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ri\OneDrive\Documenti\Università\Magistrale\Tesi\Esperimenti _ Excel &amp; Straus\"/>
    </mc:Choice>
  </mc:AlternateContent>
  <xr:revisionPtr revIDLastSave="0" documentId="13_ncr:1_{0141E87B-16E6-4021-A700-5F881A162306}" xr6:coauthVersionLast="47" xr6:coauthVersionMax="47" xr10:uidLastSave="{00000000-0000-0000-0000-000000000000}"/>
  <bookViews>
    <workbookView xWindow="-108" yWindow="-108" windowWidth="23256" windowHeight="12456" activeTab="1" xr2:uid="{FEB4890A-91C6-4CC9-92DC-D68205805A4C}"/>
  </bookViews>
  <sheets>
    <sheet name="00_f=6.89m" sheetId="2" r:id="rId1"/>
    <sheet name="01_f=2.00m" sheetId="23" r:id="rId2"/>
    <sheet name="02_f=4.00m" sheetId="24" r:id="rId3"/>
    <sheet name="03_f=6.00m" sheetId="18" r:id="rId4"/>
    <sheet name="04_f=8.00m" sheetId="17" r:id="rId5"/>
    <sheet name="05_f=10.00m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23" l="1"/>
  <c r="F29" i="19"/>
  <c r="K34" i="18"/>
  <c r="F29" i="17"/>
  <c r="O29" i="18"/>
  <c r="F38" i="18"/>
  <c r="F29" i="18"/>
  <c r="B39" i="18"/>
  <c r="B40" i="18" s="1"/>
  <c r="F29" i="24"/>
  <c r="F29" i="23"/>
  <c r="B37" i="19" l="1"/>
  <c r="B38" i="19" s="1"/>
  <c r="B39" i="19" s="1"/>
  <c r="B40" i="19" s="1"/>
  <c r="F33" i="19" s="1"/>
  <c r="F35" i="19" s="1"/>
  <c r="F38" i="19" s="1"/>
  <c r="B34" i="19"/>
  <c r="K31" i="19" s="1"/>
  <c r="K34" i="19" s="1"/>
  <c r="B32" i="19"/>
  <c r="F30" i="19"/>
  <c r="H31" i="19"/>
  <c r="B37" i="17"/>
  <c r="B38" i="17" s="1"/>
  <c r="B39" i="17" s="1"/>
  <c r="B40" i="17" s="1"/>
  <c r="F33" i="17" s="1"/>
  <c r="F35" i="17" s="1"/>
  <c r="F38" i="17" s="1"/>
  <c r="B34" i="17"/>
  <c r="H31" i="17" s="1"/>
  <c r="B32" i="17"/>
  <c r="F30" i="17"/>
  <c r="B37" i="18"/>
  <c r="B38" i="18" s="1"/>
  <c r="F33" i="18" s="1"/>
  <c r="F35" i="18" s="1"/>
  <c r="B34" i="18"/>
  <c r="H31" i="18" s="1"/>
  <c r="B32" i="18"/>
  <c r="F30" i="18"/>
  <c r="B37" i="24"/>
  <c r="B38" i="24" s="1"/>
  <c r="B39" i="24" s="1"/>
  <c r="B40" i="24" s="1"/>
  <c r="F33" i="24" s="1"/>
  <c r="F35" i="24" s="1"/>
  <c r="F38" i="24" s="1"/>
  <c r="B34" i="24"/>
  <c r="H31" i="24" s="1"/>
  <c r="B32" i="24"/>
  <c r="F30" i="24"/>
  <c r="B32" i="23"/>
  <c r="K31" i="23"/>
  <c r="K34" i="23" s="1"/>
  <c r="F35" i="23"/>
  <c r="F38" i="23" s="1"/>
  <c r="F39" i="23" s="1"/>
  <c r="F40" i="23" s="1"/>
  <c r="B37" i="23"/>
  <c r="B38" i="23" s="1"/>
  <c r="B39" i="23" s="1"/>
  <c r="B40" i="23" s="1"/>
  <c r="F33" i="23" s="1"/>
  <c r="B34" i="23"/>
  <c r="F30" i="23"/>
  <c r="M31" i="19" l="1"/>
  <c r="K35" i="19"/>
  <c r="K36" i="19" s="1"/>
  <c r="O32" i="19" s="1"/>
  <c r="H35" i="19"/>
  <c r="F39" i="19"/>
  <c r="F40" i="19" s="1"/>
  <c r="O29" i="19" s="1"/>
  <c r="H35" i="17"/>
  <c r="F39" i="17"/>
  <c r="F40" i="17" s="1"/>
  <c r="O29" i="17" s="1"/>
  <c r="K31" i="17"/>
  <c r="K34" i="17" s="1"/>
  <c r="H35" i="18"/>
  <c r="F39" i="18"/>
  <c r="F40" i="18" s="1"/>
  <c r="K31" i="18"/>
  <c r="H35" i="24"/>
  <c r="F39" i="24"/>
  <c r="F40" i="24" s="1"/>
  <c r="O29" i="24" s="1"/>
  <c r="K31" i="24"/>
  <c r="K34" i="24" s="1"/>
  <c r="H31" i="23"/>
  <c r="H35" i="23"/>
  <c r="J13" i="24"/>
  <c r="K13" i="24" s="1"/>
  <c r="J12" i="24"/>
  <c r="K12" i="24" s="1"/>
  <c r="J11" i="24"/>
  <c r="K11" i="24" s="1"/>
  <c r="J10" i="24"/>
  <c r="K10" i="24" s="1"/>
  <c r="B10" i="24"/>
  <c r="B6" i="24"/>
  <c r="H40" i="19" l="1"/>
  <c r="P29" i="19"/>
  <c r="M36" i="19"/>
  <c r="P32" i="19"/>
  <c r="M31" i="17"/>
  <c r="K35" i="17"/>
  <c r="K36" i="17" s="1"/>
  <c r="O32" i="17" s="1"/>
  <c r="H40" i="17"/>
  <c r="P29" i="17"/>
  <c r="M31" i="18"/>
  <c r="K35" i="18"/>
  <c r="K36" i="18" s="1"/>
  <c r="O32" i="18" s="1"/>
  <c r="H40" i="18"/>
  <c r="P29" i="18"/>
  <c r="K35" i="24"/>
  <c r="K36" i="24" s="1"/>
  <c r="O32" i="24" s="1"/>
  <c r="M31" i="24"/>
  <c r="H40" i="24"/>
  <c r="P29" i="24"/>
  <c r="H40" i="23"/>
  <c r="P29" i="23"/>
  <c r="M31" i="23"/>
  <c r="K35" i="23"/>
  <c r="K36" i="23" s="1"/>
  <c r="O32" i="23" s="1"/>
  <c r="K14" i="24"/>
  <c r="K15" i="24" s="1"/>
  <c r="K18" i="24" s="1"/>
  <c r="B11" i="24"/>
  <c r="B13" i="24" s="1"/>
  <c r="D13" i="24" s="1"/>
  <c r="J13" i="23"/>
  <c r="K13" i="23" s="1"/>
  <c r="J12" i="23"/>
  <c r="K12" i="23" s="1"/>
  <c r="J11" i="23"/>
  <c r="K11" i="23" s="1"/>
  <c r="J10" i="23"/>
  <c r="K10" i="23" s="1"/>
  <c r="B10" i="23"/>
  <c r="B11" i="23" s="1"/>
  <c r="B6" i="23"/>
  <c r="P32" i="17" l="1"/>
  <c r="M36" i="17"/>
  <c r="M36" i="18"/>
  <c r="P32" i="18"/>
  <c r="M36" i="24"/>
  <c r="P32" i="24"/>
  <c r="M36" i="23"/>
  <c r="P32" i="23"/>
  <c r="K14" i="23"/>
  <c r="K15" i="23" s="1"/>
  <c r="B13" i="23"/>
  <c r="D13" i="23" s="1"/>
  <c r="D13" i="17"/>
  <c r="K18" i="17"/>
  <c r="J13" i="19"/>
  <c r="K13" i="19" s="1"/>
  <c r="J12" i="19"/>
  <c r="K12" i="19" s="1"/>
  <c r="J11" i="19"/>
  <c r="K11" i="19" s="1"/>
  <c r="J10" i="19"/>
  <c r="K10" i="19" s="1"/>
  <c r="B10" i="19"/>
  <c r="B11" i="19" s="1"/>
  <c r="B6" i="19"/>
  <c r="J13" i="18"/>
  <c r="K13" i="18" s="1"/>
  <c r="J12" i="18"/>
  <c r="K12" i="18" s="1"/>
  <c r="J11" i="18"/>
  <c r="K11" i="18" s="1"/>
  <c r="J10" i="18"/>
  <c r="K10" i="18" s="1"/>
  <c r="B10" i="18"/>
  <c r="B6" i="18"/>
  <c r="J13" i="17"/>
  <c r="K13" i="17" s="1"/>
  <c r="J11" i="17"/>
  <c r="K11" i="17" s="1"/>
  <c r="J10" i="17"/>
  <c r="K10" i="17" s="1"/>
  <c r="J12" i="17"/>
  <c r="K12" i="17" s="1"/>
  <c r="B10" i="17"/>
  <c r="B11" i="17" s="1"/>
  <c r="B6" i="17"/>
  <c r="K18" i="23" l="1"/>
  <c r="K14" i="19"/>
  <c r="K15" i="19" s="1"/>
  <c r="K18" i="19" s="1"/>
  <c r="B13" i="19"/>
  <c r="D13" i="19" s="1"/>
  <c r="B11" i="18"/>
  <c r="B13" i="18" s="1"/>
  <c r="D13" i="18" s="1"/>
  <c r="K14" i="18"/>
  <c r="K15" i="18" s="1"/>
  <c r="K18" i="18" s="1"/>
  <c r="K14" i="17"/>
  <c r="K15" i="17" s="1"/>
  <c r="B13" i="17"/>
  <c r="F3" i="2" l="1"/>
  <c r="B21" i="2"/>
  <c r="B24" i="2" l="1"/>
  <c r="B23" i="2"/>
  <c r="B11" i="2"/>
  <c r="B12" i="2" s="1"/>
  <c r="B13" i="2" s="1"/>
  <c r="B14" i="2" s="1"/>
  <c r="F7" i="2" s="1"/>
  <c r="B20" i="2"/>
  <c r="B8" i="2"/>
  <c r="B6" i="2"/>
  <c r="F4" i="2"/>
  <c r="B28" i="2" l="1"/>
  <c r="B29" i="2" s="1"/>
  <c r="E28" i="2"/>
  <c r="E29" i="2" s="1"/>
  <c r="K5" i="2" s="1"/>
  <c r="K8" i="2" s="1"/>
  <c r="K9" i="2" s="1"/>
  <c r="M5" i="2" l="1"/>
  <c r="H5" i="2"/>
  <c r="F9" i="2"/>
  <c r="F12" i="2" l="1"/>
  <c r="F13" i="2" s="1"/>
  <c r="H9" i="2"/>
  <c r="F14" i="2" l="1"/>
  <c r="H14" i="2" s="1"/>
  <c r="K10" i="2"/>
  <c r="O3" i="2" l="1"/>
  <c r="P3" i="2" s="1"/>
  <c r="O6" i="2"/>
  <c r="P6" i="2" s="1"/>
  <c r="M10" i="2"/>
</calcChain>
</file>

<file path=xl/sharedStrings.xml><?xml version="1.0" encoding="utf-8"?>
<sst xmlns="http://schemas.openxmlformats.org/spreadsheetml/2006/main" count="496" uniqueCount="68">
  <si>
    <t>s</t>
  </si>
  <si>
    <t>mm</t>
  </si>
  <si>
    <t>b</t>
  </si>
  <si>
    <t>h</t>
  </si>
  <si>
    <t>A</t>
  </si>
  <si>
    <t>mm2</t>
  </si>
  <si>
    <t>m2</t>
  </si>
  <si>
    <t>Ix</t>
  </si>
  <si>
    <t>Iy</t>
  </si>
  <si>
    <t>m</t>
  </si>
  <si>
    <t>E</t>
  </si>
  <si>
    <t>Temp</t>
  </si>
  <si>
    <t>f</t>
  </si>
  <si>
    <t>K</t>
  </si>
  <si>
    <t>f/l</t>
  </si>
  <si>
    <t>Ned</t>
  </si>
  <si>
    <t>kN</t>
  </si>
  <si>
    <t>Amin</t>
  </si>
  <si>
    <t>S</t>
  </si>
  <si>
    <t>theta</t>
  </si>
  <si>
    <t>r</t>
  </si>
  <si>
    <t>C</t>
  </si>
  <si>
    <t>L</t>
  </si>
  <si>
    <t>B</t>
  </si>
  <si>
    <t>H</t>
  </si>
  <si>
    <t>λ</t>
  </si>
  <si>
    <t>fyk</t>
  </si>
  <si>
    <t>Ф</t>
  </si>
  <si>
    <t>χ</t>
  </si>
  <si>
    <t>β1</t>
  </si>
  <si>
    <t>β2</t>
  </si>
  <si>
    <t>kN/m^2</t>
  </si>
  <si>
    <t>°</t>
  </si>
  <si>
    <t>m^4</t>
  </si>
  <si>
    <t>mm^4</t>
  </si>
  <si>
    <t>A_tot</t>
  </si>
  <si>
    <t>m^2</t>
  </si>
  <si>
    <t>α</t>
  </si>
  <si>
    <t>Area (m^2)</t>
  </si>
  <si>
    <t>Arch height</t>
  </si>
  <si>
    <t>A_tot refers to half of the total area of the arch cross-section, including the empty spaces, thus an area determined by the sum of a rectangle and a triangle (approximately)</t>
  </si>
  <si>
    <t>A_triangle</t>
  </si>
  <si>
    <t>A_rectangle</t>
  </si>
  <si>
    <t>A_tot_calcolated</t>
  </si>
  <si>
    <t>Plate_A</t>
  </si>
  <si>
    <t>Plate_B</t>
  </si>
  <si>
    <t>Half plate_C</t>
  </si>
  <si>
    <t>Half plate_D</t>
  </si>
  <si>
    <t>thickness (m)</t>
  </si>
  <si>
    <t>length (m)</t>
  </si>
  <si>
    <t xml:space="preserve">Buckling multip. </t>
  </si>
  <si>
    <t>It's the area calculated considering the rectangular section with two holes</t>
  </si>
  <si>
    <t>Effective area calculated in Strand7               →</t>
  </si>
  <si>
    <t>In-plane buckling analysis</t>
  </si>
  <si>
    <t>Out-of-plane buckling analysis</t>
  </si>
  <si>
    <t>Ncr_out-of-plane</t>
  </si>
  <si>
    <t>In-plane stability check</t>
  </si>
  <si>
    <t>Ncr_in-plane</t>
  </si>
  <si>
    <t>Out-of-plane stability check</t>
  </si>
  <si>
    <t>CHECK</t>
  </si>
  <si>
    <t>tot. (half arch area)</t>
  </si>
  <si>
    <t>tot. arch area</t>
  </si>
  <si>
    <t>Calculated area</t>
  </si>
  <si>
    <t>Deck length</t>
  </si>
  <si>
    <t>β</t>
  </si>
  <si>
    <r>
      <t xml:space="preserve">IMPORTANT: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u/>
        <sz val="11"/>
        <color theme="1"/>
        <rFont val="Calibri"/>
        <family val="2"/>
        <scheme val="minor"/>
      </rPr>
      <t xml:space="preserve"> numbers are the values that the user should vary during each iteration</t>
    </r>
  </si>
  <si>
    <t>Thickness</t>
  </si>
  <si>
    <t>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</si>
</sst>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2" fontId="0" fillId="0" borderId="0" xfId="0" applyNumberFormat="1"/>
    <xf numFmtId="2" fontId="0" fillId="0" borderId="7" xfId="0" applyNumberFormat="1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4" fillId="0" borderId="4" xfId="0" applyFont="1" applyBorder="1"/>
    <xf numFmtId="0" fontId="4" fillId="0" borderId="6" xfId="0" applyFont="1" applyBorder="1"/>
    <xf numFmtId="0" fontId="4" fillId="0" borderId="1" xfId="0" applyFont="1" applyBorder="1"/>
    <xf numFmtId="0" fontId="2" fillId="2" borderId="9" xfId="0" quotePrefix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0" fillId="3" borderId="0" xfId="0" applyNumberFormat="1" applyFill="1"/>
    <xf numFmtId="0" fontId="0" fillId="0" borderId="9" xfId="0" applyBorder="1"/>
    <xf numFmtId="2" fontId="0" fillId="0" borderId="9" xfId="0" applyNumberFormat="1" applyBorder="1"/>
    <xf numFmtId="0" fontId="0" fillId="0" borderId="14" xfId="0" applyBorder="1"/>
    <xf numFmtId="165" fontId="3" fillId="0" borderId="0" xfId="0" applyNumberFormat="1" applyFont="1"/>
    <xf numFmtId="0" fontId="0" fillId="0" borderId="15" xfId="0" applyBorder="1"/>
    <xf numFmtId="0" fontId="0" fillId="0" borderId="15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3" fillId="0" borderId="9" xfId="0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3" fillId="0" borderId="9" xfId="0" applyFont="1" applyBorder="1"/>
    <xf numFmtId="2" fontId="6" fillId="0" borderId="16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0" fontId="7" fillId="0" borderId="0" xfId="0" applyFont="1"/>
    <xf numFmtId="0" fontId="4" fillId="0" borderId="0" xfId="0" applyFont="1"/>
    <xf numFmtId="166" fontId="0" fillId="0" borderId="2" xfId="0" applyNumberFormat="1" applyBorder="1"/>
    <xf numFmtId="166" fontId="0" fillId="0" borderId="7" xfId="0" applyNumberFormat="1" applyBorder="1"/>
    <xf numFmtId="165" fontId="2" fillId="0" borderId="0" xfId="0" applyNumberFormat="1" applyFont="1"/>
    <xf numFmtId="11" fontId="0" fillId="0" borderId="2" xfId="0" applyNumberForma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14</xdr:row>
      <xdr:rowOff>91440</xdr:rowOff>
    </xdr:from>
    <xdr:to>
      <xdr:col>4</xdr:col>
      <xdr:colOff>777240</xdr:colOff>
      <xdr:row>26</xdr:row>
      <xdr:rowOff>83820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3A6BB72-76EF-4193-9541-AB78F901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8" r="1178"/>
        <a:stretch/>
      </xdr:blipFill>
      <xdr:spPr>
        <a:xfrm>
          <a:off x="236220" y="2628900"/>
          <a:ext cx="3383280" cy="220980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16</xdr:row>
      <xdr:rowOff>60960</xdr:rowOff>
    </xdr:from>
    <xdr:to>
      <xdr:col>8</xdr:col>
      <xdr:colOff>822960</xdr:colOff>
      <xdr:row>16</xdr:row>
      <xdr:rowOff>160020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B2DDB3D5-775C-4DB7-AFA2-1B5333E9F46B}"/>
            </a:ext>
          </a:extLst>
        </xdr:cNvPr>
        <xdr:cNvSpPr/>
      </xdr:nvSpPr>
      <xdr:spPr>
        <a:xfrm>
          <a:off x="6012180" y="2964180"/>
          <a:ext cx="358140" cy="99060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8817</xdr:colOff>
      <xdr:row>6</xdr:row>
      <xdr:rowOff>83820</xdr:rowOff>
    </xdr:from>
    <xdr:to>
      <xdr:col>16</xdr:col>
      <xdr:colOff>210944</xdr:colOff>
      <xdr:row>15</xdr:row>
      <xdr:rowOff>106679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71E995E-E483-42B9-9F61-2843D4D45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67117" y="1143000"/>
          <a:ext cx="2640527" cy="168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14</xdr:row>
      <xdr:rowOff>91440</xdr:rowOff>
    </xdr:from>
    <xdr:to>
      <xdr:col>4</xdr:col>
      <xdr:colOff>777240</xdr:colOff>
      <xdr:row>26</xdr:row>
      <xdr:rowOff>83820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FC69CFA-7C63-412C-95E5-8AB1661BB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8" r="1178"/>
        <a:stretch/>
      </xdr:blipFill>
      <xdr:spPr>
        <a:xfrm>
          <a:off x="236220" y="2628900"/>
          <a:ext cx="3383280" cy="220980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16</xdr:row>
      <xdr:rowOff>60960</xdr:rowOff>
    </xdr:from>
    <xdr:to>
      <xdr:col>8</xdr:col>
      <xdr:colOff>822960</xdr:colOff>
      <xdr:row>16</xdr:row>
      <xdr:rowOff>160020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6F46E30C-FAD1-4815-842E-93E177EC948B}"/>
            </a:ext>
          </a:extLst>
        </xdr:cNvPr>
        <xdr:cNvSpPr/>
      </xdr:nvSpPr>
      <xdr:spPr>
        <a:xfrm>
          <a:off x="6012180" y="2964180"/>
          <a:ext cx="358140" cy="99060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8817</xdr:colOff>
      <xdr:row>6</xdr:row>
      <xdr:rowOff>83820</xdr:rowOff>
    </xdr:from>
    <xdr:to>
      <xdr:col>16</xdr:col>
      <xdr:colOff>210944</xdr:colOff>
      <xdr:row>15</xdr:row>
      <xdr:rowOff>106679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A4A164F0-2A16-4C63-930C-6ACDF2391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8537" y="1143000"/>
          <a:ext cx="2640527" cy="16840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14</xdr:row>
      <xdr:rowOff>91440</xdr:rowOff>
    </xdr:from>
    <xdr:to>
      <xdr:col>4</xdr:col>
      <xdr:colOff>777240</xdr:colOff>
      <xdr:row>26</xdr:row>
      <xdr:rowOff>83820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02D92FF-4F74-46EC-87F5-DEB315AE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8" r="1178"/>
        <a:stretch/>
      </xdr:blipFill>
      <xdr:spPr>
        <a:xfrm>
          <a:off x="236220" y="2628900"/>
          <a:ext cx="3383280" cy="220980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16</xdr:row>
      <xdr:rowOff>60960</xdr:rowOff>
    </xdr:from>
    <xdr:to>
      <xdr:col>8</xdr:col>
      <xdr:colOff>822960</xdr:colOff>
      <xdr:row>16</xdr:row>
      <xdr:rowOff>160020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CA4DD69F-892D-483C-A746-3742DFE4D990}"/>
            </a:ext>
          </a:extLst>
        </xdr:cNvPr>
        <xdr:cNvSpPr/>
      </xdr:nvSpPr>
      <xdr:spPr>
        <a:xfrm>
          <a:off x="6012180" y="2964180"/>
          <a:ext cx="358140" cy="99060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8817</xdr:colOff>
      <xdr:row>6</xdr:row>
      <xdr:rowOff>83820</xdr:rowOff>
    </xdr:from>
    <xdr:to>
      <xdr:col>16</xdr:col>
      <xdr:colOff>210944</xdr:colOff>
      <xdr:row>15</xdr:row>
      <xdr:rowOff>106679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4BD32D0-7DCF-4782-86EC-F4B8C8EE7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98537" y="1143000"/>
          <a:ext cx="2640527" cy="16840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14</xdr:row>
      <xdr:rowOff>91440</xdr:rowOff>
    </xdr:from>
    <xdr:to>
      <xdr:col>4</xdr:col>
      <xdr:colOff>777240</xdr:colOff>
      <xdr:row>26</xdr:row>
      <xdr:rowOff>83820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BA654C7-12E5-4222-9856-A0DB96F10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8" r="1178"/>
        <a:stretch/>
      </xdr:blipFill>
      <xdr:spPr>
        <a:xfrm>
          <a:off x="236220" y="2628900"/>
          <a:ext cx="3383280" cy="220980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16</xdr:row>
      <xdr:rowOff>45720</xdr:rowOff>
    </xdr:from>
    <xdr:to>
      <xdr:col>8</xdr:col>
      <xdr:colOff>822960</xdr:colOff>
      <xdr:row>16</xdr:row>
      <xdr:rowOff>144780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D2B4FFED-1F4A-1150-19F1-1BCC3557D8AD}"/>
            </a:ext>
          </a:extLst>
        </xdr:cNvPr>
        <xdr:cNvSpPr/>
      </xdr:nvSpPr>
      <xdr:spPr>
        <a:xfrm>
          <a:off x="6012180" y="2948940"/>
          <a:ext cx="358140" cy="99060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54537</xdr:colOff>
      <xdr:row>6</xdr:row>
      <xdr:rowOff>83820</xdr:rowOff>
    </xdr:from>
    <xdr:to>
      <xdr:col>16</xdr:col>
      <xdr:colOff>256664</xdr:colOff>
      <xdr:row>15</xdr:row>
      <xdr:rowOff>106679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EC4A3F6-D07A-4826-A704-78BC618EA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44257" y="1143000"/>
          <a:ext cx="2640527" cy="16840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14</xdr:row>
      <xdr:rowOff>91440</xdr:rowOff>
    </xdr:from>
    <xdr:to>
      <xdr:col>4</xdr:col>
      <xdr:colOff>777240</xdr:colOff>
      <xdr:row>26</xdr:row>
      <xdr:rowOff>83820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BB67695-7F9E-4B8C-AA59-E67D9F515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8" r="1178"/>
        <a:stretch/>
      </xdr:blipFill>
      <xdr:spPr>
        <a:xfrm>
          <a:off x="236220" y="2628900"/>
          <a:ext cx="3383280" cy="2209800"/>
        </a:xfrm>
        <a:prstGeom prst="rect">
          <a:avLst/>
        </a:prstGeom>
      </xdr:spPr>
    </xdr:pic>
    <xdr:clientData/>
  </xdr:twoCellAnchor>
  <xdr:twoCellAnchor>
    <xdr:from>
      <xdr:col>8</xdr:col>
      <xdr:colOff>464820</xdr:colOff>
      <xdr:row>16</xdr:row>
      <xdr:rowOff>45720</xdr:rowOff>
    </xdr:from>
    <xdr:to>
      <xdr:col>8</xdr:col>
      <xdr:colOff>822960</xdr:colOff>
      <xdr:row>16</xdr:row>
      <xdr:rowOff>144780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4D3F157A-D770-4280-A5DA-DE690498C60B}"/>
            </a:ext>
          </a:extLst>
        </xdr:cNvPr>
        <xdr:cNvSpPr/>
      </xdr:nvSpPr>
      <xdr:spPr>
        <a:xfrm>
          <a:off x="6012180" y="2948940"/>
          <a:ext cx="358140" cy="99060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145977</xdr:colOff>
      <xdr:row>6</xdr:row>
      <xdr:rowOff>114300</xdr:rowOff>
    </xdr:from>
    <xdr:to>
      <xdr:col>16</xdr:col>
      <xdr:colOff>348104</xdr:colOff>
      <xdr:row>15</xdr:row>
      <xdr:rowOff>137159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76536898-2BF7-0F30-64EB-C4324E34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35697" y="1173480"/>
          <a:ext cx="2640527" cy="1684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FCB0-7C2F-453E-952F-435DCA495332}">
  <dimension ref="A2:P29"/>
  <sheetViews>
    <sheetView workbookViewId="0">
      <selection activeCell="C25" sqref="C25"/>
    </sheetView>
  </sheetViews>
  <sheetFormatPr defaultRowHeight="14.4" x14ac:dyDescent="0.3"/>
  <cols>
    <col min="1" max="1" width="10.77734375" customWidth="1"/>
    <col min="2" max="2" width="11.6640625" bestFit="1" customWidth="1"/>
    <col min="4" max="4" width="11.6640625" bestFit="1" customWidth="1"/>
    <col min="5" max="5" width="12" bestFit="1" customWidth="1"/>
    <col min="9" max="9" width="17.77734375" customWidth="1"/>
    <col min="10" max="10" width="14.77734375" customWidth="1"/>
    <col min="16" max="16" width="12" bestFit="1" customWidth="1"/>
  </cols>
  <sheetData>
    <row r="2" spans="1:16" ht="15" thickBot="1" x14ac:dyDescent="0.35">
      <c r="E2" s="1" t="s">
        <v>53</v>
      </c>
      <c r="J2" s="1" t="s">
        <v>54</v>
      </c>
      <c r="O2" s="1" t="s">
        <v>56</v>
      </c>
    </row>
    <row r="3" spans="1:16" ht="15" thickBot="1" x14ac:dyDescent="0.35">
      <c r="A3" s="2" t="s">
        <v>26</v>
      </c>
      <c r="B3" s="16">
        <v>355000</v>
      </c>
      <c r="C3" s="3" t="s">
        <v>31</v>
      </c>
      <c r="E3" s="2" t="s">
        <v>11</v>
      </c>
      <c r="F3" s="16">
        <f>B7*SQRT((B8*B21)/(12*B8*B29))</f>
        <v>77.237509694135923</v>
      </c>
      <c r="G3" s="3"/>
      <c r="J3" s="19" t="s">
        <v>29</v>
      </c>
      <c r="K3" s="15">
        <v>0.54</v>
      </c>
      <c r="L3" s="3"/>
      <c r="O3" s="24">
        <f>(B5*1.1)/(F14*B3*B21)</f>
        <v>0.34866971261265001</v>
      </c>
      <c r="P3" s="21" t="str">
        <f>IF(O3&lt;=1, "OK", "ERRORE")</f>
        <v>OK</v>
      </c>
    </row>
    <row r="4" spans="1:16" ht="15" thickBot="1" x14ac:dyDescent="0.35">
      <c r="A4" s="4" t="s">
        <v>12</v>
      </c>
      <c r="B4" s="14">
        <v>6.89</v>
      </c>
      <c r="C4" s="5" t="s">
        <v>9</v>
      </c>
      <c r="E4" s="4" t="s">
        <v>14</v>
      </c>
      <c r="F4" s="25">
        <f>B4/B7</f>
        <v>0.106</v>
      </c>
      <c r="G4" s="5"/>
      <c r="J4" s="17" t="s">
        <v>30</v>
      </c>
      <c r="K4">
        <v>0.65</v>
      </c>
      <c r="L4" s="5"/>
    </row>
    <row r="5" spans="1:16" ht="15" thickBot="1" x14ac:dyDescent="0.35">
      <c r="A5" s="4" t="s">
        <v>15</v>
      </c>
      <c r="B5" s="14">
        <v>12214</v>
      </c>
      <c r="C5" s="5" t="s">
        <v>16</v>
      </c>
      <c r="E5" s="4" t="s">
        <v>13</v>
      </c>
      <c r="F5" s="14">
        <v>42</v>
      </c>
      <c r="G5" s="5"/>
      <c r="H5" s="21" t="str">
        <f>IF(F3&gt;=F5, "OK", "ERRORE")</f>
        <v>OK</v>
      </c>
      <c r="J5" s="4" t="s">
        <v>55</v>
      </c>
      <c r="K5" s="22">
        <f>(3.14 / ((K3 * K4) * B7))^2 * B8 * E29</f>
        <v>54658.176845160262</v>
      </c>
      <c r="L5" s="5" t="s">
        <v>16</v>
      </c>
      <c r="M5" s="21" t="str">
        <f>IF(K5&gt;=B5, "OK", "ERRORE")</f>
        <v>OK</v>
      </c>
      <c r="O5" s="1" t="s">
        <v>58</v>
      </c>
    </row>
    <row r="6" spans="1:16" ht="15" thickBot="1" x14ac:dyDescent="0.35">
      <c r="A6" s="4" t="s">
        <v>17</v>
      </c>
      <c r="B6" s="12">
        <f>B5/355000/1.1</f>
        <v>3.1277848911651723E-2</v>
      </c>
      <c r="C6" s="5" t="s">
        <v>6</v>
      </c>
      <c r="E6" s="4"/>
      <c r="F6" s="9"/>
      <c r="G6" s="5"/>
      <c r="J6" s="4"/>
      <c r="L6" s="5"/>
      <c r="O6" s="24">
        <f>(B5*1.1)/(K10*B3*B21)</f>
        <v>0.49018764467476295</v>
      </c>
      <c r="P6" s="21" t="str">
        <f>IF(O6&lt;=1, "OK", "ERRORE")</f>
        <v>OK</v>
      </c>
    </row>
    <row r="7" spans="1:16" x14ac:dyDescent="0.3">
      <c r="A7" s="4" t="s">
        <v>63</v>
      </c>
      <c r="B7">
        <v>65</v>
      </c>
      <c r="C7" s="5" t="s">
        <v>9</v>
      </c>
      <c r="E7" s="4" t="s">
        <v>0</v>
      </c>
      <c r="F7" s="10">
        <f>B14 / 2</f>
        <v>33.453259986046803</v>
      </c>
      <c r="G7" s="5" t="s">
        <v>9</v>
      </c>
      <c r="J7" s="17" t="s">
        <v>37</v>
      </c>
      <c r="K7" s="14">
        <v>0.49</v>
      </c>
      <c r="L7" s="5"/>
    </row>
    <row r="8" spans="1:16" ht="15" thickBot="1" x14ac:dyDescent="0.35">
      <c r="A8" s="4" t="s">
        <v>10</v>
      </c>
      <c r="B8">
        <f>2.1*10^8</f>
        <v>210000000</v>
      </c>
      <c r="C8" s="5" t="s">
        <v>31</v>
      </c>
      <c r="E8" s="4" t="s">
        <v>64</v>
      </c>
      <c r="F8" s="14">
        <v>0.3</v>
      </c>
      <c r="G8" s="5"/>
      <c r="J8" s="17" t="s">
        <v>25</v>
      </c>
      <c r="K8">
        <f>((B21 * B3) / K5)^(1/2)</f>
        <v>0.92732207504053055</v>
      </c>
      <c r="L8" s="5"/>
    </row>
    <row r="9" spans="1:16" ht="15" thickBot="1" x14ac:dyDescent="0.35">
      <c r="A9" s="4" t="s">
        <v>22</v>
      </c>
      <c r="B9">
        <v>65</v>
      </c>
      <c r="C9" s="5" t="s">
        <v>9</v>
      </c>
      <c r="E9" s="4" t="s">
        <v>57</v>
      </c>
      <c r="F9" s="22">
        <f>(3.14 / (F8 * F7))^2 * B8 * B29</f>
        <v>160633.49803681378</v>
      </c>
      <c r="G9" s="5" t="s">
        <v>16</v>
      </c>
      <c r="H9" s="21" t="str">
        <f>IF(F9&gt;=B5, "OK", "ERRORE")</f>
        <v>OK</v>
      </c>
      <c r="J9" s="17" t="s">
        <v>27</v>
      </c>
      <c r="K9">
        <f>0.5 * (1+K7 * (K8 - 0.2) + K8^2)</f>
        <v>1.1081570238136678</v>
      </c>
      <c r="L9" s="5"/>
    </row>
    <row r="10" spans="1:16" ht="15" thickBot="1" x14ac:dyDescent="0.35">
      <c r="A10" s="4"/>
      <c r="C10" s="5"/>
      <c r="E10" s="4"/>
      <c r="G10" s="5"/>
      <c r="J10" s="18" t="s">
        <v>28</v>
      </c>
      <c r="K10" s="7">
        <f>1 / (K9 + (K9^2 - K8^2)^(1 / 2))</f>
        <v>0.5831387507494955</v>
      </c>
      <c r="L10" s="8"/>
      <c r="M10" s="21" t="str">
        <f>IF(K10&lt;=1, "OK", "ERRORE")</f>
        <v>OK</v>
      </c>
    </row>
    <row r="11" spans="1:16" x14ac:dyDescent="0.3">
      <c r="A11" s="4" t="s">
        <v>19</v>
      </c>
      <c r="B11">
        <f>B4 * 48 / 6.89</f>
        <v>48</v>
      </c>
      <c r="C11" s="5" t="s">
        <v>32</v>
      </c>
      <c r="E11" s="17" t="s">
        <v>37</v>
      </c>
      <c r="F11" s="14">
        <v>0.49</v>
      </c>
      <c r="G11" s="5"/>
    </row>
    <row r="12" spans="1:16" x14ac:dyDescent="0.3">
      <c r="A12" s="4" t="s">
        <v>20</v>
      </c>
      <c r="B12" s="10">
        <f>(B9 / 2) * (1 / SIN(RADIANS(B11 / 2)))</f>
        <v>79.904283406162747</v>
      </c>
      <c r="C12" s="5" t="s">
        <v>9</v>
      </c>
      <c r="E12" s="17" t="s">
        <v>25</v>
      </c>
      <c r="F12">
        <f>((B21 * B3) / F9)^(1/2)</f>
        <v>0.54092880744862148</v>
      </c>
      <c r="G12" s="5"/>
    </row>
    <row r="13" spans="1:16" ht="15" thickBot="1" x14ac:dyDescent="0.35">
      <c r="A13" s="4" t="s">
        <v>21</v>
      </c>
      <c r="B13" s="10">
        <f>2 * 3.14 * B12</f>
        <v>501.79889979070208</v>
      </c>
      <c r="C13" s="5" t="s">
        <v>9</v>
      </c>
      <c r="E13" s="17" t="s">
        <v>27</v>
      </c>
      <c r="F13">
        <f>0.5 * (1+F11* (F12 - 0.2) + F12^2)</f>
        <v>0.72982954518880616</v>
      </c>
      <c r="G13" s="5"/>
    </row>
    <row r="14" spans="1:16" ht="15" thickBot="1" x14ac:dyDescent="0.35">
      <c r="A14" s="6" t="s">
        <v>18</v>
      </c>
      <c r="B14" s="11">
        <f>(B13 * B11) / 360</f>
        <v>66.906519972093605</v>
      </c>
      <c r="C14" s="8" t="s">
        <v>9</v>
      </c>
      <c r="E14" s="18" t="s">
        <v>28</v>
      </c>
      <c r="F14" s="7">
        <f>1 / (F13 + (F13^2 - F12^2)^(1 / 2))</f>
        <v>0.81982288798923364</v>
      </c>
      <c r="G14" s="8"/>
      <c r="H14" s="20" t="str">
        <f>IF(F14&lt;=1, "OK", "ERRORE")</f>
        <v>OK</v>
      </c>
    </row>
    <row r="16" spans="1:16" x14ac:dyDescent="0.3">
      <c r="A16" t="s">
        <v>66</v>
      </c>
      <c r="B16">
        <v>40</v>
      </c>
      <c r="C16" t="s">
        <v>1</v>
      </c>
    </row>
    <row r="17" spans="1:14" x14ac:dyDescent="0.3">
      <c r="A17" t="s">
        <v>23</v>
      </c>
      <c r="B17" s="14">
        <v>800</v>
      </c>
      <c r="C17" t="s">
        <v>1</v>
      </c>
    </row>
    <row r="18" spans="1:14" x14ac:dyDescent="0.3">
      <c r="A18" t="s">
        <v>24</v>
      </c>
      <c r="B18" s="14">
        <v>650</v>
      </c>
      <c r="C18" t="s">
        <v>1</v>
      </c>
    </row>
    <row r="19" spans="1:14" x14ac:dyDescent="0.3">
      <c r="E19" s="45" t="s">
        <v>65</v>
      </c>
    </row>
    <row r="20" spans="1:14" s="1" customFormat="1" x14ac:dyDescent="0.3">
      <c r="A20" t="s">
        <v>4</v>
      </c>
      <c r="B20">
        <f>B17*B16*2+(B18-2*B16)*B16*3</f>
        <v>132400</v>
      </c>
      <c r="C20" t="s">
        <v>5</v>
      </c>
      <c r="I20"/>
      <c r="J20"/>
      <c r="K20"/>
      <c r="L20"/>
      <c r="M20"/>
      <c r="N20"/>
    </row>
    <row r="21" spans="1:14" x14ac:dyDescent="0.3">
      <c r="B21" s="1">
        <f>B20/10^6</f>
        <v>0.13239999999999999</v>
      </c>
      <c r="C21" s="1" t="s">
        <v>6</v>
      </c>
    </row>
    <row r="22" spans="1:14" x14ac:dyDescent="0.3">
      <c r="A22" s="1"/>
      <c r="B22" s="1"/>
      <c r="C22" s="1"/>
    </row>
    <row r="23" spans="1:14" x14ac:dyDescent="0.3">
      <c r="A23" t="s">
        <v>2</v>
      </c>
      <c r="B23">
        <f>(B17 - 3 * B16) / 2</f>
        <v>340</v>
      </c>
      <c r="C23" t="s">
        <v>1</v>
      </c>
    </row>
    <row r="24" spans="1:14" x14ac:dyDescent="0.3">
      <c r="A24" t="s">
        <v>3</v>
      </c>
      <c r="B24">
        <f>B18 - 2 * B16</f>
        <v>570</v>
      </c>
      <c r="C24" t="s">
        <v>1</v>
      </c>
    </row>
    <row r="28" spans="1:14" x14ac:dyDescent="0.3">
      <c r="B28">
        <f>(B17 * B18^3) / 12 - (2 * B23 * B24^3) / 12</f>
        <v>7814063333.3333321</v>
      </c>
      <c r="C28" t="s">
        <v>34</v>
      </c>
      <c r="E28">
        <f>(B18 * B17^3) / 12 - 2 * B23 * B24 * (B23 / 2 + B16 / 2)^2</f>
        <v>13740973333.333332</v>
      </c>
      <c r="F28" t="s">
        <v>34</v>
      </c>
    </row>
    <row r="29" spans="1:14" x14ac:dyDescent="0.3">
      <c r="A29" s="1" t="s">
        <v>7</v>
      </c>
      <c r="B29" s="1">
        <f>B28/10^12</f>
        <v>7.8140633333333327E-3</v>
      </c>
      <c r="C29" s="1" t="s">
        <v>33</v>
      </c>
      <c r="D29" s="1" t="s">
        <v>8</v>
      </c>
      <c r="E29" s="1">
        <f>E28/10^12</f>
        <v>1.3740973333333331E-2</v>
      </c>
      <c r="F2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ABBB-CB74-4CC5-A099-35931A87D877}">
  <dimension ref="A1:P43"/>
  <sheetViews>
    <sheetView tabSelected="1" workbookViewId="0">
      <selection activeCell="B1" sqref="B1"/>
    </sheetView>
  </sheetViews>
  <sheetFormatPr defaultRowHeight="14.4" x14ac:dyDescent="0.3"/>
  <cols>
    <col min="1" max="1" width="14.77734375" customWidth="1"/>
    <col min="5" max="5" width="12.77734375" customWidth="1"/>
    <col min="8" max="8" width="13.77734375" customWidth="1"/>
    <col min="9" max="9" width="12.77734375" customWidth="1"/>
    <col min="10" max="10" width="14.77734375" customWidth="1"/>
    <col min="11" max="11" width="12.77734375" customWidth="1"/>
  </cols>
  <sheetData>
    <row r="1" spans="1:11" ht="18" x14ac:dyDescent="0.3">
      <c r="A1" s="31" t="s">
        <v>39</v>
      </c>
      <c r="B1" s="34">
        <v>2</v>
      </c>
      <c r="C1" s="32" t="s">
        <v>9</v>
      </c>
      <c r="E1" s="45" t="s">
        <v>65</v>
      </c>
    </row>
    <row r="2" spans="1:11" ht="7.95" customHeight="1" x14ac:dyDescent="0.3"/>
    <row r="3" spans="1:11" x14ac:dyDescent="0.3">
      <c r="A3" t="s">
        <v>23</v>
      </c>
      <c r="B3" s="26"/>
      <c r="C3" t="s">
        <v>9</v>
      </c>
    </row>
    <row r="4" spans="1:11" x14ac:dyDescent="0.3">
      <c r="A4" t="s">
        <v>24</v>
      </c>
      <c r="B4" s="26"/>
      <c r="C4" t="s">
        <v>9</v>
      </c>
    </row>
    <row r="6" spans="1:11" x14ac:dyDescent="0.3">
      <c r="A6" t="s">
        <v>35</v>
      </c>
      <c r="B6" s="13">
        <f>B3*B4/2</f>
        <v>0</v>
      </c>
      <c r="C6" t="s">
        <v>36</v>
      </c>
      <c r="D6" t="s">
        <v>40</v>
      </c>
    </row>
    <row r="7" spans="1:11" x14ac:dyDescent="0.3">
      <c r="A7" t="s">
        <v>2</v>
      </c>
      <c r="B7" s="26">
        <v>0.7</v>
      </c>
      <c r="C7" t="s">
        <v>9</v>
      </c>
    </row>
    <row r="8" spans="1:11" x14ac:dyDescent="0.3">
      <c r="A8" t="s">
        <v>3</v>
      </c>
      <c r="B8" s="26">
        <v>0.17</v>
      </c>
      <c r="C8" t="s">
        <v>9</v>
      </c>
    </row>
    <row r="9" spans="1:11" x14ac:dyDescent="0.3">
      <c r="H9" s="27"/>
      <c r="I9" s="28" t="s">
        <v>48</v>
      </c>
      <c r="J9" s="28" t="s">
        <v>49</v>
      </c>
      <c r="K9" s="28" t="s">
        <v>38</v>
      </c>
    </row>
    <row r="10" spans="1:11" x14ac:dyDescent="0.3">
      <c r="A10" t="s">
        <v>41</v>
      </c>
      <c r="B10" s="13">
        <f>B7*2*B8/2</f>
        <v>0.11899999999999999</v>
      </c>
      <c r="C10" t="s">
        <v>36</v>
      </c>
      <c r="H10" s="28" t="s">
        <v>44</v>
      </c>
      <c r="I10" s="35">
        <v>0.05</v>
      </c>
      <c r="J10" s="28">
        <f>2*B8-I11-I13</f>
        <v>0.25000000000000006</v>
      </c>
      <c r="K10" s="29">
        <f>I10*J10</f>
        <v>1.2500000000000004E-2</v>
      </c>
    </row>
    <row r="11" spans="1:11" x14ac:dyDescent="0.3">
      <c r="A11" t="s">
        <v>42</v>
      </c>
      <c r="B11" s="13">
        <f>2*B10</f>
        <v>0.23799999999999999</v>
      </c>
      <c r="C11" t="s">
        <v>36</v>
      </c>
      <c r="H11" s="28" t="s">
        <v>45</v>
      </c>
      <c r="I11" s="35">
        <v>0.04</v>
      </c>
      <c r="J11" s="29">
        <f>(B8^2+(B7)^2)^(1/2)</f>
        <v>0.72034713853808008</v>
      </c>
      <c r="K11" s="29">
        <f t="shared" ref="K11:K13" si="0">I11*J11</f>
        <v>2.8813885541523202E-2</v>
      </c>
    </row>
    <row r="12" spans="1:11" ht="15" thickBot="1" x14ac:dyDescent="0.35">
      <c r="H12" s="28" t="s">
        <v>46</v>
      </c>
      <c r="I12" s="35">
        <v>0.02</v>
      </c>
      <c r="J12" s="29">
        <f>3*B8-I13</f>
        <v>0.46</v>
      </c>
      <c r="K12" s="29">
        <f t="shared" si="0"/>
        <v>9.1999999999999998E-3</v>
      </c>
    </row>
    <row r="13" spans="1:11" ht="15" thickBot="1" x14ac:dyDescent="0.35">
      <c r="A13" t="s">
        <v>43</v>
      </c>
      <c r="B13" s="13">
        <f>B10+B11</f>
        <v>0.35699999999999998</v>
      </c>
      <c r="C13" t="s">
        <v>36</v>
      </c>
      <c r="D13" s="20" t="str">
        <f>IF(B13&gt;B6, "OK", "ERRORE")</f>
        <v>OK</v>
      </c>
      <c r="H13" s="28" t="s">
        <v>47</v>
      </c>
      <c r="I13" s="35">
        <v>0.05</v>
      </c>
      <c r="J13" s="29">
        <f>B7</f>
        <v>0.7</v>
      </c>
      <c r="K13" s="28">
        <f t="shared" si="0"/>
        <v>3.4999999999999996E-2</v>
      </c>
    </row>
    <row r="14" spans="1:11" x14ac:dyDescent="0.3">
      <c r="I14" s="42" t="s">
        <v>60</v>
      </c>
      <c r="J14" s="43"/>
      <c r="K14" s="29">
        <f>K10+K11+K12+K13</f>
        <v>8.5513885541523199E-2</v>
      </c>
    </row>
    <row r="15" spans="1:11" x14ac:dyDescent="0.3">
      <c r="I15" s="44" t="s">
        <v>61</v>
      </c>
      <c r="J15" s="44"/>
      <c r="K15" s="29">
        <f>K14*2</f>
        <v>0.1710277710830464</v>
      </c>
    </row>
    <row r="17" spans="1:16" ht="15" thickBot="1" x14ac:dyDescent="0.35">
      <c r="H17" s="1" t="s">
        <v>59</v>
      </c>
      <c r="J17" s="36" t="s">
        <v>51</v>
      </c>
    </row>
    <row r="18" spans="1:16" ht="15" thickBot="1" x14ac:dyDescent="0.35">
      <c r="H18" s="23" t="s">
        <v>62</v>
      </c>
      <c r="I18" s="30"/>
      <c r="J18" s="23" t="s">
        <v>36</v>
      </c>
      <c r="K18" s="20" t="str">
        <f>IF(K15&gt;I18, "OK", "ERRORE")</f>
        <v>OK</v>
      </c>
    </row>
    <row r="19" spans="1:16" ht="15" thickBot="1" x14ac:dyDescent="0.35">
      <c r="H19" s="23" t="s">
        <v>50</v>
      </c>
      <c r="I19" s="33">
        <v>8.07</v>
      </c>
      <c r="J19" s="23"/>
    </row>
    <row r="21" spans="1:16" x14ac:dyDescent="0.3">
      <c r="H21" s="1" t="s">
        <v>52</v>
      </c>
      <c r="J21" s="37"/>
      <c r="K21" s="40">
        <v>0.16941999999999999</v>
      </c>
      <c r="L21" s="1" t="s">
        <v>36</v>
      </c>
    </row>
    <row r="28" spans="1:16" ht="15" thickBot="1" x14ac:dyDescent="0.35">
      <c r="E28" s="1" t="s">
        <v>53</v>
      </c>
      <c r="J28" s="1" t="s">
        <v>54</v>
      </c>
      <c r="O28" s="1" t="s">
        <v>56</v>
      </c>
    </row>
    <row r="29" spans="1:16" ht="15" thickBot="1" x14ac:dyDescent="0.35">
      <c r="A29" s="2" t="s">
        <v>26</v>
      </c>
      <c r="B29" s="16">
        <v>355000</v>
      </c>
      <c r="C29" s="3" t="s">
        <v>31</v>
      </c>
      <c r="E29" s="2" t="s">
        <v>11</v>
      </c>
      <c r="F29" s="16">
        <f>B33*SQRT((B34*K21)/(12*B34*B43))</f>
        <v>107.7977394508279</v>
      </c>
      <c r="G29" s="3"/>
      <c r="J29" s="19" t="s">
        <v>29</v>
      </c>
      <c r="K29" s="15">
        <v>0.5</v>
      </c>
      <c r="L29" s="3"/>
      <c r="O29" s="24">
        <f>(B31*1.1)/(F40*B29*K21)</f>
        <v>0.5600501599324017</v>
      </c>
      <c r="P29" s="21" t="str">
        <f>IF(O29&lt;=1, "OK", "ERRORE")</f>
        <v>OK</v>
      </c>
    </row>
    <row r="30" spans="1:16" ht="15" thickBot="1" x14ac:dyDescent="0.35">
      <c r="A30" s="4" t="s">
        <v>12</v>
      </c>
      <c r="B30" s="14">
        <v>2</v>
      </c>
      <c r="C30" s="5" t="s">
        <v>9</v>
      </c>
      <c r="E30" s="4" t="s">
        <v>14</v>
      </c>
      <c r="F30" s="25">
        <f>B30/B33</f>
        <v>3.0769230769230771E-2</v>
      </c>
      <c r="G30" s="5"/>
      <c r="J30" s="17" t="s">
        <v>30</v>
      </c>
      <c r="K30">
        <v>0.65</v>
      </c>
      <c r="L30" s="5"/>
    </row>
    <row r="31" spans="1:16" ht="15" thickBot="1" x14ac:dyDescent="0.35">
      <c r="A31" s="4" t="s">
        <v>15</v>
      </c>
      <c r="B31" s="14">
        <v>22458</v>
      </c>
      <c r="C31" s="5" t="s">
        <v>16</v>
      </c>
      <c r="E31" s="4" t="s">
        <v>13</v>
      </c>
      <c r="F31" s="14">
        <v>35</v>
      </c>
      <c r="G31" s="5"/>
      <c r="H31" s="21" t="str">
        <f>IF(F29&gt;=F31, "OK", "ERRORE")</f>
        <v>OK</v>
      </c>
      <c r="J31" s="4" t="s">
        <v>55</v>
      </c>
      <c r="K31" s="22">
        <f>(3.14 / ((K29 * K30) * B33))^2 * B34 * B42</f>
        <v>148746.39016329235</v>
      </c>
      <c r="L31" s="5" t="s">
        <v>16</v>
      </c>
      <c r="M31" s="21" t="str">
        <f>IF(K31&gt;=B31, "OK", "ERRORE")</f>
        <v>OK</v>
      </c>
      <c r="O31" s="1" t="s">
        <v>58</v>
      </c>
    </row>
    <row r="32" spans="1:16" ht="15" thickBot="1" x14ac:dyDescent="0.35">
      <c r="A32" s="4" t="s">
        <v>17</v>
      </c>
      <c r="B32" s="12">
        <f>B31/355000/1.1</f>
        <v>5.7510883482714464E-2</v>
      </c>
      <c r="C32" s="5" t="s">
        <v>6</v>
      </c>
      <c r="E32" s="4"/>
      <c r="F32" s="9"/>
      <c r="G32" s="5"/>
      <c r="J32" s="4"/>
      <c r="L32" s="5"/>
      <c r="O32" s="24">
        <f>(B31*1.1)/(K36*B29*K21)</f>
        <v>0.5376780936468295</v>
      </c>
      <c r="P32" s="21" t="str">
        <f>IF(O32&lt;=1, "OK", "ERRORE")</f>
        <v>OK</v>
      </c>
    </row>
    <row r="33" spans="1:13" x14ac:dyDescent="0.3">
      <c r="A33" s="4" t="s">
        <v>63</v>
      </c>
      <c r="B33">
        <v>65</v>
      </c>
      <c r="C33" s="5" t="s">
        <v>9</v>
      </c>
      <c r="E33" s="4" t="s">
        <v>0</v>
      </c>
      <c r="F33" s="10">
        <f>B40 / 2</f>
        <v>32.563702815230585</v>
      </c>
      <c r="G33" s="5" t="s">
        <v>9</v>
      </c>
      <c r="J33" s="17" t="s">
        <v>37</v>
      </c>
      <c r="K33" s="14">
        <v>0.49</v>
      </c>
      <c r="L33" s="5"/>
    </row>
    <row r="34" spans="1:13" ht="15" thickBot="1" x14ac:dyDescent="0.35">
      <c r="A34" s="4" t="s">
        <v>10</v>
      </c>
      <c r="B34">
        <f>2.1*10^8</f>
        <v>210000000</v>
      </c>
      <c r="C34" s="5" t="s">
        <v>31</v>
      </c>
      <c r="E34" s="4" t="s">
        <v>64</v>
      </c>
      <c r="F34" s="14">
        <v>0.28000000000000003</v>
      </c>
      <c r="G34" s="5"/>
      <c r="J34" s="17" t="s">
        <v>25</v>
      </c>
      <c r="K34">
        <f>((K21 * B29) / K31)^(1/2)</f>
        <v>0.63587726526218524</v>
      </c>
      <c r="L34" s="5"/>
    </row>
    <row r="35" spans="1:13" ht="15" thickBot="1" x14ac:dyDescent="0.35">
      <c r="A35" s="4" t="s">
        <v>22</v>
      </c>
      <c r="B35">
        <v>65</v>
      </c>
      <c r="C35" s="5" t="s">
        <v>9</v>
      </c>
      <c r="E35" s="4" t="s">
        <v>57</v>
      </c>
      <c r="F35" s="22">
        <f>(3.14 / (F34 * F33))^2 * B34 * B43</f>
        <v>127845.60429097342</v>
      </c>
      <c r="G35" s="5" t="s">
        <v>16</v>
      </c>
      <c r="H35" s="21" t="str">
        <f>IF(F35&gt;=B31, "OK", "ERRORE")</f>
        <v>OK</v>
      </c>
      <c r="J35" s="17" t="s">
        <v>27</v>
      </c>
      <c r="K35">
        <f>0.5 * (1+K33 * (K34 - 0.2) + K34^2)</f>
        <v>0.80895987822789317</v>
      </c>
      <c r="L35" s="5"/>
    </row>
    <row r="36" spans="1:13" ht="15" thickBot="1" x14ac:dyDescent="0.35">
      <c r="A36" s="4"/>
      <c r="C36" s="5"/>
      <c r="E36" s="4"/>
      <c r="G36" s="5"/>
      <c r="J36" s="18" t="s">
        <v>28</v>
      </c>
      <c r="K36" s="7">
        <f>1 / (K35 + (K35^2 - K34^2)^(1 / 2))</f>
        <v>0.76392089580453548</v>
      </c>
      <c r="L36" s="8"/>
      <c r="M36" s="21" t="str">
        <f>IF(K36&lt;=1, "OK", "ERRORE")</f>
        <v>OK</v>
      </c>
    </row>
    <row r="37" spans="1:13" x14ac:dyDescent="0.3">
      <c r="A37" s="17" t="s">
        <v>67</v>
      </c>
      <c r="B37" s="10">
        <f>B30 * 48 / 6.89</f>
        <v>13.93323657474601</v>
      </c>
      <c r="C37" s="5" t="s">
        <v>32</v>
      </c>
      <c r="E37" s="17" t="s">
        <v>37</v>
      </c>
      <c r="F37" s="14">
        <v>0.49</v>
      </c>
      <c r="G37" s="5"/>
    </row>
    <row r="38" spans="1:13" x14ac:dyDescent="0.3">
      <c r="A38" s="4" t="s">
        <v>20</v>
      </c>
      <c r="B38" s="10">
        <f>(B35 / 2) * (1 / SIN(RADIANS(B37 / 2)))</f>
        <v>267.95053232118477</v>
      </c>
      <c r="C38" s="5" t="s">
        <v>9</v>
      </c>
      <c r="E38" s="17" t="s">
        <v>25</v>
      </c>
      <c r="F38">
        <f>((K21 * B29) / F35)^(1/2)</f>
        <v>0.68588864813074424</v>
      </c>
      <c r="G38" s="5"/>
    </row>
    <row r="39" spans="1:13" ht="15" thickBot="1" x14ac:dyDescent="0.35">
      <c r="A39" s="4" t="s">
        <v>21</v>
      </c>
      <c r="B39" s="10">
        <f>2 * 3.14 * B38</f>
        <v>1682.7293429770405</v>
      </c>
      <c r="C39" s="5" t="s">
        <v>9</v>
      </c>
      <c r="E39" s="17" t="s">
        <v>27</v>
      </c>
      <c r="F39">
        <f>0.5 * (1+F37* (F38 - 0.2) + F38^2)</f>
        <v>0.85426433760934228</v>
      </c>
      <c r="G39" s="5"/>
    </row>
    <row r="40" spans="1:13" ht="15" thickBot="1" x14ac:dyDescent="0.35">
      <c r="A40" s="6" t="s">
        <v>18</v>
      </c>
      <c r="B40" s="11">
        <f>(B39 * B37) / 360</f>
        <v>65.127405630461169</v>
      </c>
      <c r="C40" s="8" t="s">
        <v>9</v>
      </c>
      <c r="E40" s="18" t="s">
        <v>28</v>
      </c>
      <c r="F40" s="7">
        <f>1 / (F39 + (F39^2 - F38^2)^(1 / 2))</f>
        <v>0.73340489895179706</v>
      </c>
      <c r="G40" s="8"/>
      <c r="H40" s="20" t="str">
        <f>IF(F40&lt;=1, "OK", "ERRORE")</f>
        <v>OK</v>
      </c>
    </row>
    <row r="41" spans="1:13" ht="15" thickBot="1" x14ac:dyDescent="0.35"/>
    <row r="42" spans="1:13" x14ac:dyDescent="0.3">
      <c r="A42" s="2" t="s">
        <v>8</v>
      </c>
      <c r="B42" s="38">
        <v>3.2059834733330003E-2</v>
      </c>
      <c r="C42" s="3" t="s">
        <v>33</v>
      </c>
    </row>
    <row r="43" spans="1:13" ht="15" thickBot="1" x14ac:dyDescent="0.35">
      <c r="A43" s="6" t="s">
        <v>7</v>
      </c>
      <c r="B43" s="39">
        <v>5.1332313423689997E-3</v>
      </c>
      <c r="C43" s="8" t="s">
        <v>33</v>
      </c>
    </row>
  </sheetData>
  <mergeCells count="2">
    <mergeCell ref="I14:J14"/>
    <mergeCell ref="I15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3C61-C95B-4AD5-9520-DD5DEEA92BE9}">
  <dimension ref="A1:P43"/>
  <sheetViews>
    <sheetView topLeftCell="A13" workbookViewId="0">
      <selection activeCell="A37" sqref="A37"/>
    </sheetView>
  </sheetViews>
  <sheetFormatPr defaultRowHeight="14.4" x14ac:dyDescent="0.3"/>
  <cols>
    <col min="1" max="1" width="14.77734375" customWidth="1"/>
    <col min="5" max="5" width="12.77734375" customWidth="1"/>
    <col min="8" max="8" width="13.77734375" customWidth="1"/>
    <col min="9" max="9" width="12.77734375" customWidth="1"/>
    <col min="10" max="10" width="14.77734375" customWidth="1"/>
    <col min="11" max="11" width="12.77734375" customWidth="1"/>
  </cols>
  <sheetData>
    <row r="1" spans="1:11" ht="18" x14ac:dyDescent="0.3">
      <c r="A1" s="31" t="s">
        <v>39</v>
      </c>
      <c r="B1" s="34">
        <v>4</v>
      </c>
      <c r="C1" s="32" t="s">
        <v>9</v>
      </c>
      <c r="E1" s="45" t="s">
        <v>65</v>
      </c>
    </row>
    <row r="2" spans="1:11" ht="7.95" customHeight="1" x14ac:dyDescent="0.3"/>
    <row r="3" spans="1:11" x14ac:dyDescent="0.3">
      <c r="A3" t="s">
        <v>23</v>
      </c>
      <c r="B3" s="26"/>
      <c r="C3" t="s">
        <v>9</v>
      </c>
    </row>
    <row r="4" spans="1:11" x14ac:dyDescent="0.3">
      <c r="A4" t="s">
        <v>24</v>
      </c>
      <c r="B4" s="26"/>
      <c r="C4" t="s">
        <v>9</v>
      </c>
    </row>
    <row r="6" spans="1:11" x14ac:dyDescent="0.3">
      <c r="A6" t="s">
        <v>35</v>
      </c>
      <c r="B6" s="13">
        <f>B3*B4/2</f>
        <v>0</v>
      </c>
      <c r="C6" t="s">
        <v>36</v>
      </c>
      <c r="D6" t="s">
        <v>40</v>
      </c>
    </row>
    <row r="7" spans="1:11" x14ac:dyDescent="0.3">
      <c r="A7" t="s">
        <v>2</v>
      </c>
      <c r="B7" s="26">
        <v>0.7</v>
      </c>
      <c r="C7" t="s">
        <v>9</v>
      </c>
    </row>
    <row r="8" spans="1:11" x14ac:dyDescent="0.3">
      <c r="A8" t="s">
        <v>3</v>
      </c>
      <c r="B8" s="26">
        <v>0.17</v>
      </c>
      <c r="C8" t="s">
        <v>9</v>
      </c>
    </row>
    <row r="9" spans="1:11" x14ac:dyDescent="0.3">
      <c r="H9" s="27"/>
      <c r="I9" s="28" t="s">
        <v>48</v>
      </c>
      <c r="J9" s="28" t="s">
        <v>49</v>
      </c>
      <c r="K9" s="28" t="s">
        <v>38</v>
      </c>
    </row>
    <row r="10" spans="1:11" x14ac:dyDescent="0.3">
      <c r="A10" t="s">
        <v>41</v>
      </c>
      <c r="B10" s="13">
        <f>B7*2*B8/2</f>
        <v>0.11899999999999999</v>
      </c>
      <c r="C10" t="s">
        <v>36</v>
      </c>
      <c r="H10" s="28" t="s">
        <v>44</v>
      </c>
      <c r="I10" s="35">
        <v>0.05</v>
      </c>
      <c r="J10" s="28">
        <f>2*B8-I11-I13</f>
        <v>0.25000000000000006</v>
      </c>
      <c r="K10" s="29">
        <f>I10*J10</f>
        <v>1.2500000000000004E-2</v>
      </c>
    </row>
    <row r="11" spans="1:11" x14ac:dyDescent="0.3">
      <c r="A11" t="s">
        <v>42</v>
      </c>
      <c r="B11" s="13">
        <f>2*B10</f>
        <v>0.23799999999999999</v>
      </c>
      <c r="C11" t="s">
        <v>36</v>
      </c>
      <c r="H11" s="28" t="s">
        <v>45</v>
      </c>
      <c r="I11" s="35">
        <v>0.04</v>
      </c>
      <c r="J11" s="29">
        <f>(B8^2+(B7)^2)^(1/2)</f>
        <v>0.72034713853808008</v>
      </c>
      <c r="K11" s="29">
        <f t="shared" ref="K11:K13" si="0">I11*J11</f>
        <v>2.8813885541523202E-2</v>
      </c>
    </row>
    <row r="12" spans="1:11" ht="15" thickBot="1" x14ac:dyDescent="0.35">
      <c r="H12" s="28" t="s">
        <v>46</v>
      </c>
      <c r="I12" s="35">
        <v>0.02</v>
      </c>
      <c r="J12" s="29">
        <f>3*B8-I13</f>
        <v>0.46</v>
      </c>
      <c r="K12" s="29">
        <f t="shared" si="0"/>
        <v>9.1999999999999998E-3</v>
      </c>
    </row>
    <row r="13" spans="1:11" ht="15" thickBot="1" x14ac:dyDescent="0.35">
      <c r="A13" t="s">
        <v>43</v>
      </c>
      <c r="B13" s="13">
        <f>B10+B11</f>
        <v>0.35699999999999998</v>
      </c>
      <c r="C13" t="s">
        <v>36</v>
      </c>
      <c r="D13" s="20" t="str">
        <f>IF(B13&gt;B6, "OK", "ERRORE")</f>
        <v>OK</v>
      </c>
      <c r="H13" s="28" t="s">
        <v>47</v>
      </c>
      <c r="I13" s="35">
        <v>0.05</v>
      </c>
      <c r="J13" s="29">
        <f>B7</f>
        <v>0.7</v>
      </c>
      <c r="K13" s="28">
        <f t="shared" si="0"/>
        <v>3.4999999999999996E-2</v>
      </c>
    </row>
    <row r="14" spans="1:11" x14ac:dyDescent="0.3">
      <c r="I14" s="42" t="s">
        <v>60</v>
      </c>
      <c r="J14" s="43"/>
      <c r="K14" s="29">
        <f>K10+K11+K12+K13</f>
        <v>8.5513885541523199E-2</v>
      </c>
    </row>
    <row r="15" spans="1:11" x14ac:dyDescent="0.3">
      <c r="I15" s="44" t="s">
        <v>61</v>
      </c>
      <c r="J15" s="44"/>
      <c r="K15" s="29">
        <f>K14*2</f>
        <v>0.1710277710830464</v>
      </c>
    </row>
    <row r="17" spans="1:16" ht="15" thickBot="1" x14ac:dyDescent="0.35">
      <c r="H17" s="1" t="s">
        <v>59</v>
      </c>
      <c r="J17" s="36" t="s">
        <v>51</v>
      </c>
    </row>
    <row r="18" spans="1:16" ht="15" thickBot="1" x14ac:dyDescent="0.35">
      <c r="H18" s="23" t="s">
        <v>62</v>
      </c>
      <c r="I18" s="30"/>
      <c r="J18" s="23" t="s">
        <v>36</v>
      </c>
      <c r="K18" s="20" t="str">
        <f>IF(K15&gt;I18, "OK", "ERRORE")</f>
        <v>OK</v>
      </c>
    </row>
    <row r="19" spans="1:16" ht="15" thickBot="1" x14ac:dyDescent="0.35">
      <c r="H19" s="23" t="s">
        <v>50</v>
      </c>
      <c r="I19" s="33">
        <v>8.5299999999999994</v>
      </c>
      <c r="J19" s="23"/>
    </row>
    <row r="20" spans="1:16" x14ac:dyDescent="0.3">
      <c r="K20" s="10"/>
    </row>
    <row r="21" spans="1:16" x14ac:dyDescent="0.3">
      <c r="H21" s="1" t="s">
        <v>52</v>
      </c>
      <c r="J21" s="37"/>
      <c r="K21" s="40">
        <v>0.16109399999999999</v>
      </c>
      <c r="L21" s="1" t="s">
        <v>36</v>
      </c>
    </row>
    <row r="28" spans="1:16" ht="15" thickBot="1" x14ac:dyDescent="0.35">
      <c r="E28" s="1" t="s">
        <v>53</v>
      </c>
      <c r="J28" s="1" t="s">
        <v>54</v>
      </c>
      <c r="O28" s="1" t="s">
        <v>56</v>
      </c>
    </row>
    <row r="29" spans="1:16" ht="15" thickBot="1" x14ac:dyDescent="0.35">
      <c r="A29" s="2" t="s">
        <v>26</v>
      </c>
      <c r="B29" s="16">
        <v>355000</v>
      </c>
      <c r="C29" s="3" t="s">
        <v>31</v>
      </c>
      <c r="E29" s="2" t="s">
        <v>11</v>
      </c>
      <c r="F29" s="16">
        <f>B33*SQRT((B34*K21)/(12*B34*B43))</f>
        <v>108.42778945260623</v>
      </c>
      <c r="G29" s="3"/>
      <c r="J29" s="19" t="s">
        <v>29</v>
      </c>
      <c r="K29" s="15">
        <v>0.5</v>
      </c>
      <c r="L29" s="3"/>
      <c r="O29" s="24">
        <f>(B31*1.1)/(F40*B29*K21)</f>
        <v>0.48980140704294445</v>
      </c>
      <c r="P29" s="21" t="str">
        <f>IF(O29&lt;=1, "OK", "ERRORE")</f>
        <v>OK</v>
      </c>
    </row>
    <row r="30" spans="1:16" ht="15" thickBot="1" x14ac:dyDescent="0.35">
      <c r="A30" s="4" t="s">
        <v>12</v>
      </c>
      <c r="B30" s="14">
        <v>4</v>
      </c>
      <c r="C30" s="5" t="s">
        <v>9</v>
      </c>
      <c r="E30" s="4" t="s">
        <v>14</v>
      </c>
      <c r="F30" s="25">
        <f>B30/B33</f>
        <v>6.1538461538461542E-2</v>
      </c>
      <c r="G30" s="5"/>
      <c r="J30" s="17" t="s">
        <v>30</v>
      </c>
      <c r="K30">
        <v>0.65</v>
      </c>
      <c r="L30" s="5"/>
    </row>
    <row r="31" spans="1:16" ht="15" thickBot="1" x14ac:dyDescent="0.35">
      <c r="A31" s="4" t="s">
        <v>15</v>
      </c>
      <c r="B31" s="14">
        <v>18140</v>
      </c>
      <c r="C31" s="5" t="s">
        <v>16</v>
      </c>
      <c r="E31" s="4" t="s">
        <v>13</v>
      </c>
      <c r="F31" s="14">
        <v>35</v>
      </c>
      <c r="G31" s="5"/>
      <c r="H31" s="21" t="str">
        <f>IF(F29&gt;=F31, "OK", "ERRORE")</f>
        <v>OK</v>
      </c>
      <c r="J31" s="4" t="s">
        <v>55</v>
      </c>
      <c r="K31" s="22">
        <f>(3.14 / ((K29 * K30) * B33))^2 * B34 * B42</f>
        <v>122780.12232825038</v>
      </c>
      <c r="L31" s="5" t="s">
        <v>16</v>
      </c>
      <c r="M31" s="21" t="str">
        <f>IF(K31&gt;=B31, "OK", "ERRORE")</f>
        <v>OK</v>
      </c>
      <c r="O31" s="1" t="s">
        <v>58</v>
      </c>
    </row>
    <row r="32" spans="1:16" ht="15" thickBot="1" x14ac:dyDescent="0.35">
      <c r="A32" s="4" t="s">
        <v>17</v>
      </c>
      <c r="B32" s="12">
        <f>B31/355000/1.1</f>
        <v>4.6453265044814333E-2</v>
      </c>
      <c r="C32" s="5" t="s">
        <v>6</v>
      </c>
      <c r="E32" s="4"/>
      <c r="F32" s="9"/>
      <c r="G32" s="5"/>
      <c r="J32" s="4"/>
      <c r="L32" s="5"/>
      <c r="O32" s="24">
        <f>(B31*1.1)/(K36*B29*K21)</f>
        <v>0.47439175760401231</v>
      </c>
      <c r="P32" s="21" t="str">
        <f>IF(O32&lt;=1, "OK", "ERRORE")</f>
        <v>OK</v>
      </c>
    </row>
    <row r="33" spans="1:13" x14ac:dyDescent="0.3">
      <c r="A33" s="4" t="s">
        <v>63</v>
      </c>
      <c r="B33">
        <v>65</v>
      </c>
      <c r="C33" s="5" t="s">
        <v>9</v>
      </c>
      <c r="E33" s="4" t="s">
        <v>0</v>
      </c>
      <c r="F33" s="10">
        <f>B40 / 2</f>
        <v>32.805909276698451</v>
      </c>
      <c r="G33" s="5" t="s">
        <v>9</v>
      </c>
      <c r="J33" s="17" t="s">
        <v>37</v>
      </c>
      <c r="K33" s="14">
        <v>0.49</v>
      </c>
      <c r="L33" s="5"/>
    </row>
    <row r="34" spans="1:13" ht="15" thickBot="1" x14ac:dyDescent="0.35">
      <c r="A34" s="4" t="s">
        <v>10</v>
      </c>
      <c r="B34">
        <f>2.1*10^8</f>
        <v>210000000</v>
      </c>
      <c r="C34" s="5" t="s">
        <v>31</v>
      </c>
      <c r="E34" s="4" t="s">
        <v>64</v>
      </c>
      <c r="F34" s="14">
        <v>0.28999999999999998</v>
      </c>
      <c r="G34" s="5"/>
      <c r="J34" s="17" t="s">
        <v>25</v>
      </c>
      <c r="K34">
        <f>((K21 * B29) / K31)^(1/2)</f>
        <v>0.68247984182799604</v>
      </c>
      <c r="L34" s="5"/>
    </row>
    <row r="35" spans="1:13" ht="15" thickBot="1" x14ac:dyDescent="0.35">
      <c r="A35" s="4" t="s">
        <v>22</v>
      </c>
      <c r="B35">
        <v>65</v>
      </c>
      <c r="C35" s="5" t="s">
        <v>9</v>
      </c>
      <c r="E35" s="4" t="s">
        <v>57</v>
      </c>
      <c r="F35" s="22">
        <f>(3.14 / (F34 * F33))^2 * B34 * B43</f>
        <v>110362.63497038638</v>
      </c>
      <c r="G35" s="5" t="s">
        <v>16</v>
      </c>
      <c r="H35" s="21" t="str">
        <f>IF(F35&gt;=B31, "OK", "ERRORE")</f>
        <v>OK</v>
      </c>
      <c r="J35" s="17" t="s">
        <v>27</v>
      </c>
      <c r="K35">
        <f>0.5 * (1+K33 * (K34 - 0.2) + K34^2)</f>
        <v>0.85109692849864227</v>
      </c>
      <c r="L35" s="5"/>
    </row>
    <row r="36" spans="1:13" ht="15" thickBot="1" x14ac:dyDescent="0.35">
      <c r="A36" s="4"/>
      <c r="C36" s="5"/>
      <c r="E36" s="4"/>
      <c r="G36" s="5"/>
      <c r="J36" s="18" t="s">
        <v>28</v>
      </c>
      <c r="K36" s="7">
        <f>1 / (K35 + (K35^2 - K34^2)^(1 / 2))</f>
        <v>0.73550412852453129</v>
      </c>
      <c r="L36" s="8"/>
      <c r="M36" s="21" t="str">
        <f>IF(K36&lt;=1, "OK", "ERRORE")</f>
        <v>OK</v>
      </c>
    </row>
    <row r="37" spans="1:13" x14ac:dyDescent="0.3">
      <c r="A37" s="4" t="s">
        <v>67</v>
      </c>
      <c r="B37" s="10">
        <f>B30 * 48 / 6.89</f>
        <v>27.86647314949202</v>
      </c>
      <c r="C37" s="5" t="s">
        <v>32</v>
      </c>
      <c r="E37" s="17" t="s">
        <v>37</v>
      </c>
      <c r="F37" s="14">
        <v>0.49</v>
      </c>
      <c r="G37" s="5"/>
    </row>
    <row r="38" spans="1:13" x14ac:dyDescent="0.3">
      <c r="A38" s="4" t="s">
        <v>20</v>
      </c>
      <c r="B38" s="10">
        <f>(B35 / 2) * (1 / SIN(RADIANS(B37 / 2)))</f>
        <v>134.97176448036561</v>
      </c>
      <c r="C38" s="5" t="s">
        <v>9</v>
      </c>
      <c r="E38" s="17" t="s">
        <v>25</v>
      </c>
      <c r="F38">
        <f>((K21 * B29) / F35)^(1/2)</f>
        <v>0.71985135866564731</v>
      </c>
      <c r="G38" s="5"/>
    </row>
    <row r="39" spans="1:13" ht="15" thickBot="1" x14ac:dyDescent="0.35">
      <c r="A39" s="4" t="s">
        <v>21</v>
      </c>
      <c r="B39" s="10">
        <f>2 * 3.14 * B38</f>
        <v>847.62268093669604</v>
      </c>
      <c r="C39" s="5" t="s">
        <v>9</v>
      </c>
      <c r="E39" s="17" t="s">
        <v>27</v>
      </c>
      <c r="F39">
        <f>0.5 * (1+F37* (F38 - 0.2) + F38^2)</f>
        <v>0.88645657215947282</v>
      </c>
      <c r="G39" s="5"/>
    </row>
    <row r="40" spans="1:13" ht="15" thickBot="1" x14ac:dyDescent="0.35">
      <c r="A40" s="6" t="s">
        <v>18</v>
      </c>
      <c r="B40" s="11">
        <f>(B39 * B37) / 360</f>
        <v>65.611818553396901</v>
      </c>
      <c r="C40" s="8" t="s">
        <v>9</v>
      </c>
      <c r="E40" s="18" t="s">
        <v>28</v>
      </c>
      <c r="F40" s="7">
        <f>1 / (F39 + (F39^2 - F38^2)^(1 / 2))</f>
        <v>0.71236442206701878</v>
      </c>
      <c r="G40" s="8"/>
      <c r="H40" s="20" t="str">
        <f>IF(F40&lt;=1, "OK", "ERRORE")</f>
        <v>OK</v>
      </c>
    </row>
    <row r="41" spans="1:13" ht="15" thickBot="1" x14ac:dyDescent="0.35"/>
    <row r="42" spans="1:13" x14ac:dyDescent="0.3">
      <c r="A42" s="2" t="s">
        <v>8</v>
      </c>
      <c r="B42" s="38">
        <v>2.6463233333330002E-2</v>
      </c>
      <c r="C42" s="3" t="s">
        <v>33</v>
      </c>
    </row>
    <row r="43" spans="1:13" ht="15" thickBot="1" x14ac:dyDescent="0.35">
      <c r="A43" s="6" t="s">
        <v>7</v>
      </c>
      <c r="B43" s="39">
        <v>4.8244035121079998E-3</v>
      </c>
      <c r="C43" s="8" t="s">
        <v>33</v>
      </c>
    </row>
  </sheetData>
  <mergeCells count="2">
    <mergeCell ref="I14:J14"/>
    <mergeCell ref="I15:J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B719-71A5-44B2-A20B-F3D97E67A087}">
  <dimension ref="A1:P43"/>
  <sheetViews>
    <sheetView topLeftCell="A19" workbookViewId="0">
      <selection activeCell="A37" sqref="A37"/>
    </sheetView>
  </sheetViews>
  <sheetFormatPr defaultRowHeight="14.4" x14ac:dyDescent="0.3"/>
  <cols>
    <col min="1" max="1" width="14.77734375" customWidth="1"/>
    <col min="5" max="5" width="12.77734375" customWidth="1"/>
    <col min="8" max="8" width="13.77734375" customWidth="1"/>
    <col min="9" max="9" width="12.77734375" customWidth="1"/>
    <col min="10" max="10" width="14.77734375" customWidth="1"/>
    <col min="11" max="11" width="12.77734375" customWidth="1"/>
  </cols>
  <sheetData>
    <row r="1" spans="1:11" ht="18" x14ac:dyDescent="0.3">
      <c r="A1" s="31" t="s">
        <v>39</v>
      </c>
      <c r="B1" s="34">
        <v>6</v>
      </c>
      <c r="C1" s="32" t="s">
        <v>9</v>
      </c>
      <c r="E1" s="45" t="s">
        <v>65</v>
      </c>
    </row>
    <row r="2" spans="1:11" ht="7.95" customHeight="1" x14ac:dyDescent="0.3"/>
    <row r="3" spans="1:11" x14ac:dyDescent="0.3">
      <c r="A3" t="s">
        <v>23</v>
      </c>
      <c r="B3" s="26">
        <v>1.1499999999999999</v>
      </c>
      <c r="C3" t="s">
        <v>9</v>
      </c>
    </row>
    <row r="4" spans="1:11" x14ac:dyDescent="0.3">
      <c r="A4" t="s">
        <v>24</v>
      </c>
      <c r="B4" s="26">
        <v>0.4</v>
      </c>
      <c r="C4" t="s">
        <v>9</v>
      </c>
    </row>
    <row r="6" spans="1:11" x14ac:dyDescent="0.3">
      <c r="A6" t="s">
        <v>35</v>
      </c>
      <c r="B6" s="13">
        <f>B3*B4/2</f>
        <v>0.22999999999999998</v>
      </c>
      <c r="C6" t="s">
        <v>36</v>
      </c>
      <c r="D6" t="s">
        <v>40</v>
      </c>
    </row>
    <row r="7" spans="1:11" x14ac:dyDescent="0.3">
      <c r="A7" t="s">
        <v>2</v>
      </c>
      <c r="B7" s="26">
        <v>0.66</v>
      </c>
      <c r="C7" t="s">
        <v>9</v>
      </c>
    </row>
    <row r="8" spans="1:11" x14ac:dyDescent="0.3">
      <c r="A8" t="s">
        <v>3</v>
      </c>
      <c r="B8" s="26">
        <v>0.15</v>
      </c>
      <c r="C8" t="s">
        <v>9</v>
      </c>
    </row>
    <row r="9" spans="1:11" x14ac:dyDescent="0.3">
      <c r="H9" s="27"/>
      <c r="I9" s="28" t="s">
        <v>48</v>
      </c>
      <c r="J9" s="28" t="s">
        <v>49</v>
      </c>
      <c r="K9" s="28" t="s">
        <v>38</v>
      </c>
    </row>
    <row r="10" spans="1:11" x14ac:dyDescent="0.3">
      <c r="A10" t="s">
        <v>41</v>
      </c>
      <c r="B10" s="13">
        <f>B7*2*B8/2</f>
        <v>9.9000000000000005E-2</v>
      </c>
      <c r="C10" t="s">
        <v>36</v>
      </c>
      <c r="H10" s="28" t="s">
        <v>44</v>
      </c>
      <c r="I10" s="35">
        <v>0.05</v>
      </c>
      <c r="J10" s="28">
        <f>2*B8-I11-I13</f>
        <v>0.21000000000000002</v>
      </c>
      <c r="K10" s="29">
        <f>I10*J10</f>
        <v>1.0500000000000002E-2</v>
      </c>
    </row>
    <row r="11" spans="1:11" x14ac:dyDescent="0.3">
      <c r="A11" t="s">
        <v>42</v>
      </c>
      <c r="B11" s="13">
        <f>2*B10</f>
        <v>0.19800000000000001</v>
      </c>
      <c r="C11" t="s">
        <v>36</v>
      </c>
      <c r="H11" s="28" t="s">
        <v>45</v>
      </c>
      <c r="I11" s="35">
        <v>0.04</v>
      </c>
      <c r="J11" s="29">
        <f>(B8^2+(B7)^2)^(1/2)</f>
        <v>0.67683085036070867</v>
      </c>
      <c r="K11" s="29">
        <f t="shared" ref="K11:K13" si="0">I11*J11</f>
        <v>2.7073234014428349E-2</v>
      </c>
    </row>
    <row r="12" spans="1:11" ht="15" thickBot="1" x14ac:dyDescent="0.35">
      <c r="H12" s="28" t="s">
        <v>46</v>
      </c>
      <c r="I12" s="35">
        <v>0.02</v>
      </c>
      <c r="J12" s="29">
        <f>3*B8-I13</f>
        <v>0.39999999999999997</v>
      </c>
      <c r="K12" s="29">
        <f t="shared" si="0"/>
        <v>8.0000000000000002E-3</v>
      </c>
    </row>
    <row r="13" spans="1:11" ht="15" thickBot="1" x14ac:dyDescent="0.35">
      <c r="A13" t="s">
        <v>43</v>
      </c>
      <c r="B13" s="13">
        <f>B10+B11</f>
        <v>0.29700000000000004</v>
      </c>
      <c r="C13" t="s">
        <v>36</v>
      </c>
      <c r="D13" s="20" t="str">
        <f>IF(B13&gt;B6, "OK", "ERRORE")</f>
        <v>OK</v>
      </c>
      <c r="H13" s="28" t="s">
        <v>47</v>
      </c>
      <c r="I13" s="35">
        <v>0.05</v>
      </c>
      <c r="J13" s="29">
        <f>B7</f>
        <v>0.66</v>
      </c>
      <c r="K13" s="28">
        <f t="shared" si="0"/>
        <v>3.3000000000000002E-2</v>
      </c>
    </row>
    <row r="14" spans="1:11" x14ac:dyDescent="0.3">
      <c r="I14" s="42" t="s">
        <v>60</v>
      </c>
      <c r="J14" s="43"/>
      <c r="K14" s="29">
        <f>K10+K11+K12+K13</f>
        <v>7.8573234014428353E-2</v>
      </c>
    </row>
    <row r="15" spans="1:11" x14ac:dyDescent="0.3">
      <c r="I15" s="44" t="s">
        <v>61</v>
      </c>
      <c r="J15" s="44"/>
      <c r="K15" s="29">
        <f>K14*2</f>
        <v>0.15714646802885671</v>
      </c>
    </row>
    <row r="17" spans="1:16" ht="15" thickBot="1" x14ac:dyDescent="0.35">
      <c r="H17" s="1" t="s">
        <v>59</v>
      </c>
      <c r="J17" s="36" t="s">
        <v>51</v>
      </c>
    </row>
    <row r="18" spans="1:16" ht="15" thickBot="1" x14ac:dyDescent="0.35">
      <c r="H18" s="23" t="s">
        <v>62</v>
      </c>
      <c r="I18" s="30">
        <v>0.13039999999999999</v>
      </c>
      <c r="J18" s="23" t="s">
        <v>36</v>
      </c>
      <c r="K18" s="20" t="str">
        <f>IF(K15&gt;I18, "OK", "ERRORE")</f>
        <v>OK</v>
      </c>
    </row>
    <row r="19" spans="1:16" ht="15" thickBot="1" x14ac:dyDescent="0.35">
      <c r="H19" s="23" t="s">
        <v>50</v>
      </c>
      <c r="I19" s="33">
        <v>10.029999999999999</v>
      </c>
      <c r="J19" s="23"/>
    </row>
    <row r="21" spans="1:16" x14ac:dyDescent="0.3">
      <c r="H21" s="1" t="s">
        <v>52</v>
      </c>
      <c r="J21" s="37"/>
      <c r="K21" s="40">
        <v>0.153</v>
      </c>
      <c r="L21" s="1" t="s">
        <v>36</v>
      </c>
    </row>
    <row r="28" spans="1:16" ht="15" thickBot="1" x14ac:dyDescent="0.35">
      <c r="E28" s="1" t="s">
        <v>53</v>
      </c>
      <c r="J28" s="1" t="s">
        <v>54</v>
      </c>
      <c r="O28" s="1" t="s">
        <v>56</v>
      </c>
    </row>
    <row r="29" spans="1:16" ht="15" thickBot="1" x14ac:dyDescent="0.35">
      <c r="A29" s="2" t="s">
        <v>26</v>
      </c>
      <c r="B29" s="16">
        <v>355000</v>
      </c>
      <c r="C29" s="3" t="s">
        <v>31</v>
      </c>
      <c r="E29" s="2" t="s">
        <v>11</v>
      </c>
      <c r="F29" s="16">
        <f>B33*SQRT((B34*K21)/(12*B34*B43))</f>
        <v>127.4723521493506</v>
      </c>
      <c r="G29" s="3"/>
      <c r="J29" s="19" t="s">
        <v>29</v>
      </c>
      <c r="K29" s="15">
        <v>0.54</v>
      </c>
      <c r="L29" s="3"/>
      <c r="O29" s="24">
        <f>(B31*1.1)/(F40*B29*K21)</f>
        <v>0.46217394080416324</v>
      </c>
      <c r="P29" s="21" t="str">
        <f>IF(O29&lt;=1, "OK", "ERRORE")</f>
        <v>OK</v>
      </c>
    </row>
    <row r="30" spans="1:16" ht="15" thickBot="1" x14ac:dyDescent="0.35">
      <c r="A30" s="4" t="s">
        <v>12</v>
      </c>
      <c r="B30" s="14">
        <v>6</v>
      </c>
      <c r="C30" s="5" t="s">
        <v>9</v>
      </c>
      <c r="E30" s="4" t="s">
        <v>14</v>
      </c>
      <c r="F30" s="25">
        <f>B30/B33</f>
        <v>9.2307692307692313E-2</v>
      </c>
      <c r="G30" s="5"/>
      <c r="J30" s="17" t="s">
        <v>30</v>
      </c>
      <c r="K30">
        <v>0.65</v>
      </c>
      <c r="L30" s="5"/>
    </row>
    <row r="31" spans="1:16" ht="15" thickBot="1" x14ac:dyDescent="0.35">
      <c r="A31" s="4" t="s">
        <v>15</v>
      </c>
      <c r="B31" s="14">
        <v>13880</v>
      </c>
      <c r="C31" s="5" t="s">
        <v>16</v>
      </c>
      <c r="E31" s="4" t="s">
        <v>13</v>
      </c>
      <c r="F31" s="14">
        <v>35</v>
      </c>
      <c r="G31" s="5"/>
      <c r="H31" s="21" t="str">
        <f>IF(F29&gt;=F31, "OK", "ERRORE")</f>
        <v>OK</v>
      </c>
      <c r="J31" s="4" t="s">
        <v>55</v>
      </c>
      <c r="K31" s="22">
        <f>(3.14 / ((K29 * K30) * B33))^2 * B34 * B42</f>
        <v>100344.15564468586</v>
      </c>
      <c r="L31" s="5" t="s">
        <v>16</v>
      </c>
      <c r="M31" s="21" t="str">
        <f>IF(K31&gt;=B31, "OK", "ERRORE")</f>
        <v>OK</v>
      </c>
      <c r="O31" s="1" t="s">
        <v>58</v>
      </c>
    </row>
    <row r="32" spans="1:16" ht="15" thickBot="1" x14ac:dyDescent="0.35">
      <c r="A32" s="4" t="s">
        <v>17</v>
      </c>
      <c r="B32" s="12">
        <f>B31/355000/1.1</f>
        <v>3.554417413572343E-2</v>
      </c>
      <c r="C32" s="5" t="s">
        <v>6</v>
      </c>
      <c r="E32" s="4"/>
      <c r="F32" s="9"/>
      <c r="G32" s="5"/>
      <c r="J32" s="4"/>
      <c r="L32" s="5"/>
      <c r="O32" s="24">
        <f>(B31*1.1)/(K36*B29*K21)</f>
        <v>0.40016263942471197</v>
      </c>
      <c r="P32" s="21" t="str">
        <f>IF(O32&lt;=1, "OK", "ERRORE")</f>
        <v>OK</v>
      </c>
    </row>
    <row r="33" spans="1:13" x14ac:dyDescent="0.3">
      <c r="A33" s="4" t="s">
        <v>63</v>
      </c>
      <c r="B33">
        <v>65</v>
      </c>
      <c r="C33" s="5" t="s">
        <v>9</v>
      </c>
      <c r="E33" s="4" t="s">
        <v>0</v>
      </c>
      <c r="F33" s="10">
        <f>B40 / 2</f>
        <v>33.215231427808639</v>
      </c>
      <c r="G33" s="5" t="s">
        <v>9</v>
      </c>
      <c r="J33" s="17" t="s">
        <v>37</v>
      </c>
      <c r="K33" s="14">
        <v>0.49</v>
      </c>
      <c r="L33" s="5"/>
    </row>
    <row r="34" spans="1:13" ht="15" thickBot="1" x14ac:dyDescent="0.35">
      <c r="A34" s="4" t="s">
        <v>10</v>
      </c>
      <c r="B34">
        <f>2.1*10^8</f>
        <v>210000000</v>
      </c>
      <c r="C34" s="5" t="s">
        <v>31</v>
      </c>
      <c r="E34" s="4" t="s">
        <v>64</v>
      </c>
      <c r="F34" s="14">
        <v>0.3</v>
      </c>
      <c r="G34" s="5"/>
      <c r="J34" s="17" t="s">
        <v>25</v>
      </c>
      <c r="K34">
        <f>((K21 * B29) / K31)^(1/2)</f>
        <v>0.7357221824771043</v>
      </c>
      <c r="L34" s="5"/>
    </row>
    <row r="35" spans="1:13" ht="15" thickBot="1" x14ac:dyDescent="0.35">
      <c r="A35" s="4" t="s">
        <v>22</v>
      </c>
      <c r="B35">
        <v>65</v>
      </c>
      <c r="C35" s="5" t="s">
        <v>9</v>
      </c>
      <c r="E35" s="4" t="s">
        <v>57</v>
      </c>
      <c r="F35" s="22">
        <f>(3.14 / (F34 * F33))^2 * B34 * B43</f>
        <v>69129.977389720123</v>
      </c>
      <c r="G35" s="5" t="s">
        <v>16</v>
      </c>
      <c r="H35" s="21" t="str">
        <f>IF(F35&gt;=B31, "OK", "ERRORE")</f>
        <v>OK</v>
      </c>
      <c r="J35" s="17" t="s">
        <v>27</v>
      </c>
      <c r="K35">
        <f>0.5 * (1+K33 * (K34 - 0.2) + K34^2)</f>
        <v>0.90189549960132731</v>
      </c>
      <c r="L35" s="5"/>
    </row>
    <row r="36" spans="1:13" ht="15" thickBot="1" x14ac:dyDescent="0.35">
      <c r="A36" s="4"/>
      <c r="C36" s="5"/>
      <c r="E36" s="4"/>
      <c r="G36" s="5"/>
      <c r="J36" s="18" t="s">
        <v>28</v>
      </c>
      <c r="K36" s="7">
        <f>1 / (K35 + (K35^2 - K34^2)^(1 / 2))</f>
        <v>0.70246684048030505</v>
      </c>
      <c r="L36" s="8"/>
      <c r="M36" s="21" t="str">
        <f>IF(K36&lt;=1, "OK", "ERRORE")</f>
        <v>OK</v>
      </c>
    </row>
    <row r="37" spans="1:13" x14ac:dyDescent="0.3">
      <c r="A37" s="4" t="s">
        <v>67</v>
      </c>
      <c r="B37" s="10">
        <f>B30 * 48 / 6.89</f>
        <v>41.799709724238028</v>
      </c>
      <c r="C37" s="5" t="s">
        <v>32</v>
      </c>
      <c r="E37" s="17" t="s">
        <v>37</v>
      </c>
      <c r="F37" s="14">
        <v>0.49</v>
      </c>
      <c r="G37" s="5"/>
    </row>
    <row r="38" spans="1:13" x14ac:dyDescent="0.3">
      <c r="A38" s="4" t="s">
        <v>20</v>
      </c>
      <c r="B38" s="10">
        <f>(B35 / 2) * (1 / SIN(RADIANS(B37 / 2)))</f>
        <v>91.103879194905062</v>
      </c>
      <c r="C38" s="5" t="s">
        <v>9</v>
      </c>
      <c r="E38" s="17" t="s">
        <v>25</v>
      </c>
      <c r="F38">
        <f>((K21 * B29) / F35)^(1/2)</f>
        <v>0.88639374867533083</v>
      </c>
      <c r="G38" s="5"/>
    </row>
    <row r="39" spans="1:13" ht="15" thickBot="1" x14ac:dyDescent="0.35">
      <c r="A39" s="4" t="s">
        <v>21</v>
      </c>
      <c r="B39" s="10">
        <f>2 * 3.14 * B38</f>
        <v>572.13236134400381</v>
      </c>
      <c r="C39" s="5" t="s">
        <v>9</v>
      </c>
      <c r="E39" s="17" t="s">
        <v>27</v>
      </c>
      <c r="F39">
        <f>0.5 * (1+F37* (F38 - 0.2) + F38^2)</f>
        <v>1.0610134072708088</v>
      </c>
      <c r="G39" s="5"/>
    </row>
    <row r="40" spans="1:13" ht="15" thickBot="1" x14ac:dyDescent="0.35">
      <c r="A40" s="6" t="s">
        <v>18</v>
      </c>
      <c r="B40" s="11">
        <f>(B39 * B37) / 360</f>
        <v>66.430462855617279</v>
      </c>
      <c r="C40" s="8" t="s">
        <v>9</v>
      </c>
      <c r="E40" s="18" t="s">
        <v>28</v>
      </c>
      <c r="F40" s="7">
        <f>1 / (F39 + (F39^2 - F38^2)^(1 / 2))</f>
        <v>0.60821470052126492</v>
      </c>
      <c r="G40" s="8"/>
      <c r="H40" s="20" t="str">
        <f>IF(F40&lt;=1, "OK", "ERRORE")</f>
        <v>OK</v>
      </c>
    </row>
    <row r="41" spans="1:13" ht="15" thickBot="1" x14ac:dyDescent="0.35"/>
    <row r="42" spans="1:13" x14ac:dyDescent="0.3">
      <c r="A42" s="2" t="s">
        <v>8</v>
      </c>
      <c r="B42" s="38">
        <v>2.5226351233329999E-2</v>
      </c>
      <c r="C42" s="3" t="s">
        <v>33</v>
      </c>
    </row>
    <row r="43" spans="1:13" ht="15" thickBot="1" x14ac:dyDescent="0.35">
      <c r="A43" s="6" t="s">
        <v>7</v>
      </c>
      <c r="B43" s="39">
        <v>3.3151630932760001E-3</v>
      </c>
      <c r="C43" s="8" t="s">
        <v>33</v>
      </c>
    </row>
  </sheetData>
  <mergeCells count="2">
    <mergeCell ref="I14:J14"/>
    <mergeCell ref="I15:J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A076-C7FE-44EE-8B07-7EEEEB457E40}">
  <dimension ref="A1:P43"/>
  <sheetViews>
    <sheetView topLeftCell="A19" workbookViewId="0">
      <selection activeCell="A37" sqref="A37"/>
    </sheetView>
  </sheetViews>
  <sheetFormatPr defaultRowHeight="14.4" x14ac:dyDescent="0.3"/>
  <cols>
    <col min="1" max="1" width="14.77734375" customWidth="1"/>
    <col min="5" max="5" width="12.77734375" customWidth="1"/>
    <col min="8" max="8" width="13.77734375" customWidth="1"/>
    <col min="9" max="9" width="12.77734375" customWidth="1"/>
    <col min="10" max="10" width="14.77734375" customWidth="1"/>
    <col min="11" max="11" width="12.77734375" customWidth="1"/>
  </cols>
  <sheetData>
    <row r="1" spans="1:11" ht="18" x14ac:dyDescent="0.3">
      <c r="A1" s="31" t="s">
        <v>39</v>
      </c>
      <c r="B1" s="34">
        <v>8</v>
      </c>
      <c r="C1" s="32" t="s">
        <v>9</v>
      </c>
      <c r="E1" s="45" t="s">
        <v>65</v>
      </c>
    </row>
    <row r="2" spans="1:11" ht="7.95" customHeight="1" x14ac:dyDescent="0.3"/>
    <row r="3" spans="1:11" x14ac:dyDescent="0.3">
      <c r="A3" t="s">
        <v>23</v>
      </c>
      <c r="B3" s="26">
        <v>1.05</v>
      </c>
      <c r="C3" t="s">
        <v>9</v>
      </c>
    </row>
    <row r="4" spans="1:11" x14ac:dyDescent="0.3">
      <c r="A4" t="s">
        <v>24</v>
      </c>
      <c r="B4" s="26">
        <v>0.5</v>
      </c>
      <c r="C4" t="s">
        <v>9</v>
      </c>
    </row>
    <row r="6" spans="1:11" x14ac:dyDescent="0.3">
      <c r="A6" t="s">
        <v>35</v>
      </c>
      <c r="B6" s="13">
        <f>B3*B4/2</f>
        <v>0.26250000000000001</v>
      </c>
      <c r="C6" t="s">
        <v>36</v>
      </c>
      <c r="D6" t="s">
        <v>40</v>
      </c>
    </row>
    <row r="7" spans="1:11" x14ac:dyDescent="0.3">
      <c r="A7" t="s">
        <v>2</v>
      </c>
      <c r="B7" s="26">
        <v>0.6</v>
      </c>
      <c r="C7" t="s">
        <v>9</v>
      </c>
    </row>
    <row r="8" spans="1:11" x14ac:dyDescent="0.3">
      <c r="A8" t="s">
        <v>3</v>
      </c>
      <c r="B8" s="26">
        <v>0.15</v>
      </c>
      <c r="C8" t="s">
        <v>9</v>
      </c>
    </row>
    <row r="9" spans="1:11" x14ac:dyDescent="0.3">
      <c r="H9" s="27"/>
      <c r="I9" s="28" t="s">
        <v>48</v>
      </c>
      <c r="J9" s="28" t="s">
        <v>49</v>
      </c>
      <c r="K9" s="28" t="s">
        <v>38</v>
      </c>
    </row>
    <row r="10" spans="1:11" x14ac:dyDescent="0.3">
      <c r="A10" t="s">
        <v>41</v>
      </c>
      <c r="B10" s="13">
        <f>B7*2*B8/2</f>
        <v>0.09</v>
      </c>
      <c r="C10" t="s">
        <v>36</v>
      </c>
      <c r="H10" s="28" t="s">
        <v>44</v>
      </c>
      <c r="I10" s="35">
        <v>0.05</v>
      </c>
      <c r="J10" s="28">
        <f>2*B8-I11-I13</f>
        <v>0.2</v>
      </c>
      <c r="K10" s="29">
        <f>I10*J10</f>
        <v>1.0000000000000002E-2</v>
      </c>
    </row>
    <row r="11" spans="1:11" x14ac:dyDescent="0.3">
      <c r="A11" t="s">
        <v>42</v>
      </c>
      <c r="B11" s="13">
        <f>2*B10</f>
        <v>0.18</v>
      </c>
      <c r="C11" t="s">
        <v>36</v>
      </c>
      <c r="H11" s="28" t="s">
        <v>45</v>
      </c>
      <c r="I11" s="35">
        <v>0.05</v>
      </c>
      <c r="J11" s="29">
        <f>(B8^2+(B7)^2)^(1/2)</f>
        <v>0.61846584384264913</v>
      </c>
      <c r="K11" s="29">
        <f t="shared" ref="K11:K13" si="0">I11*J11</f>
        <v>3.0923292192132457E-2</v>
      </c>
    </row>
    <row r="12" spans="1:11" ht="15" thickBot="1" x14ac:dyDescent="0.35">
      <c r="H12" s="28" t="s">
        <v>46</v>
      </c>
      <c r="I12" s="35">
        <v>0.02</v>
      </c>
      <c r="J12" s="29">
        <f>3*B8-I13</f>
        <v>0.39999999999999997</v>
      </c>
      <c r="K12" s="29">
        <f t="shared" si="0"/>
        <v>8.0000000000000002E-3</v>
      </c>
    </row>
    <row r="13" spans="1:11" ht="15" thickBot="1" x14ac:dyDescent="0.35">
      <c r="A13" t="s">
        <v>43</v>
      </c>
      <c r="B13" s="13">
        <f>B10+B11</f>
        <v>0.27</v>
      </c>
      <c r="C13" t="s">
        <v>36</v>
      </c>
      <c r="D13" s="20" t="str">
        <f>IF(B13&gt;B6, "OK", "ERRORE")</f>
        <v>OK</v>
      </c>
      <c r="H13" s="28" t="s">
        <v>47</v>
      </c>
      <c r="I13" s="35">
        <v>0.05</v>
      </c>
      <c r="J13" s="29">
        <f>B7</f>
        <v>0.6</v>
      </c>
      <c r="K13" s="28">
        <f t="shared" si="0"/>
        <v>0.03</v>
      </c>
    </row>
    <row r="14" spans="1:11" x14ac:dyDescent="0.3">
      <c r="I14" s="42" t="s">
        <v>60</v>
      </c>
      <c r="J14" s="43"/>
      <c r="K14" s="29">
        <f>K10+K11+K12+K13</f>
        <v>7.8923292192132455E-2</v>
      </c>
    </row>
    <row r="15" spans="1:11" x14ac:dyDescent="0.3">
      <c r="I15" s="44" t="s">
        <v>61</v>
      </c>
      <c r="J15" s="44"/>
      <c r="K15" s="29">
        <f>K14*2</f>
        <v>0.15784658438426491</v>
      </c>
    </row>
    <row r="17" spans="1:16" ht="15" thickBot="1" x14ac:dyDescent="0.35">
      <c r="H17" s="1" t="s">
        <v>59</v>
      </c>
      <c r="J17" s="36" t="s">
        <v>51</v>
      </c>
    </row>
    <row r="18" spans="1:16" ht="15" thickBot="1" x14ac:dyDescent="0.35">
      <c r="H18" s="23" t="s">
        <v>62</v>
      </c>
      <c r="I18" s="30">
        <v>0.13439999999999999</v>
      </c>
      <c r="J18" s="23" t="s">
        <v>36</v>
      </c>
      <c r="K18" s="20" t="str">
        <f>IF(K15&gt;I18, "OK", "ERRORE")</f>
        <v>OK</v>
      </c>
    </row>
    <row r="19" spans="1:16" ht="15" thickBot="1" x14ac:dyDescent="0.35">
      <c r="H19" s="23" t="s">
        <v>50</v>
      </c>
      <c r="I19" s="33">
        <v>10.08</v>
      </c>
      <c r="J19" s="23"/>
    </row>
    <row r="21" spans="1:16" x14ac:dyDescent="0.3">
      <c r="H21" s="1" t="s">
        <v>52</v>
      </c>
      <c r="J21" s="37"/>
      <c r="K21" s="40">
        <v>0.156</v>
      </c>
      <c r="L21" s="1" t="s">
        <v>36</v>
      </c>
    </row>
    <row r="28" spans="1:16" ht="15" thickBot="1" x14ac:dyDescent="0.35">
      <c r="E28" s="1" t="s">
        <v>53</v>
      </c>
      <c r="J28" s="1" t="s">
        <v>54</v>
      </c>
      <c r="O28" s="1" t="s">
        <v>56</v>
      </c>
    </row>
    <row r="29" spans="1:16" ht="15" thickBot="1" x14ac:dyDescent="0.35">
      <c r="A29" s="2" t="s">
        <v>26</v>
      </c>
      <c r="B29" s="16">
        <v>355000</v>
      </c>
      <c r="C29" s="3" t="s">
        <v>31</v>
      </c>
      <c r="E29" s="2" t="s">
        <v>11</v>
      </c>
      <c r="F29" s="41">
        <f>B33*SQRT((B34*K21)/(12*B34*B43))</f>
        <v>122.49956880484361</v>
      </c>
      <c r="G29" s="3"/>
      <c r="J29" s="19" t="s">
        <v>29</v>
      </c>
      <c r="K29" s="15">
        <v>0.54</v>
      </c>
      <c r="L29" s="3"/>
      <c r="O29" s="24">
        <f>(B31*1.1)/(F40*B29*K21)</f>
        <v>0.39466129861079763</v>
      </c>
      <c r="P29" s="21" t="str">
        <f>IF(O29&lt;=1, "OK", "ERRORE")</f>
        <v>OK</v>
      </c>
    </row>
    <row r="30" spans="1:16" ht="15" thickBot="1" x14ac:dyDescent="0.35">
      <c r="A30" s="4" t="s">
        <v>12</v>
      </c>
      <c r="B30" s="14">
        <v>8</v>
      </c>
      <c r="C30" s="5" t="s">
        <v>9</v>
      </c>
      <c r="E30" s="4" t="s">
        <v>14</v>
      </c>
      <c r="F30" s="25">
        <f>B30/B33</f>
        <v>0.12307692307692308</v>
      </c>
      <c r="G30" s="5"/>
      <c r="J30" s="17" t="s">
        <v>30</v>
      </c>
      <c r="K30">
        <v>0.65</v>
      </c>
      <c r="L30" s="5"/>
    </row>
    <row r="31" spans="1:16" ht="15" thickBot="1" x14ac:dyDescent="0.35">
      <c r="A31" s="4" t="s">
        <v>15</v>
      </c>
      <c r="B31" s="14">
        <v>11273</v>
      </c>
      <c r="C31" s="5" t="s">
        <v>16</v>
      </c>
      <c r="E31" s="4" t="s">
        <v>13</v>
      </c>
      <c r="F31" s="14">
        <v>35</v>
      </c>
      <c r="G31" s="5"/>
      <c r="H31" s="21" t="str">
        <f>IF(F29&gt;=F31, "OK", "ERRORE")</f>
        <v>OK</v>
      </c>
      <c r="J31" s="4" t="s">
        <v>55</v>
      </c>
      <c r="K31" s="22">
        <f>(3.14 / ((K29 * K30) * B33))^2 * B34 * B42</f>
        <v>85148.72412545621</v>
      </c>
      <c r="L31" s="5" t="s">
        <v>16</v>
      </c>
      <c r="M31" s="21" t="str">
        <f>IF(K31&gt;=B31, "OK", "ERRORE")</f>
        <v>OK</v>
      </c>
      <c r="O31" s="1" t="s">
        <v>58</v>
      </c>
    </row>
    <row r="32" spans="1:16" ht="15" thickBot="1" x14ac:dyDescent="0.35">
      <c r="A32" s="4" t="s">
        <v>17</v>
      </c>
      <c r="B32" s="12">
        <f>B31/355000/1.1</f>
        <v>2.8868117797695256E-2</v>
      </c>
      <c r="C32" s="5" t="s">
        <v>6</v>
      </c>
      <c r="E32" s="4"/>
      <c r="F32" s="9"/>
      <c r="G32" s="5"/>
      <c r="J32" s="4"/>
      <c r="L32" s="5"/>
      <c r="O32" s="24">
        <f>(B31*1.1)/(K36*B29*K21)</f>
        <v>0.34024544165426135</v>
      </c>
      <c r="P32" s="21" t="str">
        <f>IF(O32&lt;=1, "OK", "ERRORE")</f>
        <v>OK</v>
      </c>
    </row>
    <row r="33" spans="1:13" x14ac:dyDescent="0.3">
      <c r="A33" s="4" t="s">
        <v>63</v>
      </c>
      <c r="B33">
        <v>65</v>
      </c>
      <c r="C33" s="5" t="s">
        <v>9</v>
      </c>
      <c r="E33" s="4" t="s">
        <v>0</v>
      </c>
      <c r="F33" s="10">
        <f>B40 / 2</f>
        <v>33.800420226094943</v>
      </c>
      <c r="G33" s="5" t="s">
        <v>9</v>
      </c>
      <c r="J33" s="17" t="s">
        <v>37</v>
      </c>
      <c r="K33" s="14">
        <v>0.49</v>
      </c>
      <c r="L33" s="5"/>
    </row>
    <row r="34" spans="1:13" ht="15" thickBot="1" x14ac:dyDescent="0.35">
      <c r="A34" s="4" t="s">
        <v>10</v>
      </c>
      <c r="B34">
        <f>2.1*10^8</f>
        <v>210000000</v>
      </c>
      <c r="C34" s="5" t="s">
        <v>31</v>
      </c>
      <c r="E34" s="4" t="s">
        <v>64</v>
      </c>
      <c r="F34" s="14">
        <v>0.33</v>
      </c>
      <c r="G34" s="5"/>
      <c r="J34" s="17" t="s">
        <v>25</v>
      </c>
      <c r="K34">
        <f>((K21 * B29) / K31)^(1/2)</f>
        <v>0.8064684896229336</v>
      </c>
      <c r="L34" s="5"/>
    </row>
    <row r="35" spans="1:13" ht="15" thickBot="1" x14ac:dyDescent="0.35">
      <c r="A35" s="4" t="s">
        <v>22</v>
      </c>
      <c r="B35">
        <v>65</v>
      </c>
      <c r="C35" s="5" t="s">
        <v>9</v>
      </c>
      <c r="E35" s="4" t="s">
        <v>57</v>
      </c>
      <c r="F35" s="22">
        <f>(3.14 / (F34 * F33))^2 * B34 * B43</f>
        <v>60912.644872949764</v>
      </c>
      <c r="G35" s="5" t="s">
        <v>16</v>
      </c>
      <c r="H35" s="21" t="str">
        <f>IF(F35&gt;=B31, "OK", "ERRORE")</f>
        <v>OK</v>
      </c>
      <c r="J35" s="17" t="s">
        <v>27</v>
      </c>
      <c r="K35">
        <f>0.5 * (1+K33 * (K34 - 0.2) + K34^2)</f>
        <v>0.97378049233496666</v>
      </c>
      <c r="L35" s="5"/>
    </row>
    <row r="36" spans="1:13" ht="15" thickBot="1" x14ac:dyDescent="0.35">
      <c r="A36" s="4"/>
      <c r="C36" s="5"/>
      <c r="E36" s="4"/>
      <c r="G36" s="5"/>
      <c r="J36" s="18" t="s">
        <v>28</v>
      </c>
      <c r="K36" s="7">
        <f>1 / (K35 + (K35^2 - K34^2)^(1 / 2))</f>
        <v>0.65809247548077676</v>
      </c>
      <c r="L36" s="8"/>
      <c r="M36" s="21" t="str">
        <f>IF(K36&lt;=1, "OK", "ERRORE")</f>
        <v>OK</v>
      </c>
    </row>
    <row r="37" spans="1:13" x14ac:dyDescent="0.3">
      <c r="A37" s="4" t="s">
        <v>67</v>
      </c>
      <c r="B37" s="10">
        <f>B30 * 48 / 6.89</f>
        <v>55.732946298984039</v>
      </c>
      <c r="C37" s="5" t="s">
        <v>32</v>
      </c>
      <c r="E37" s="17" t="s">
        <v>37</v>
      </c>
      <c r="F37" s="14">
        <v>0.49</v>
      </c>
      <c r="G37" s="5"/>
    </row>
    <row r="38" spans="1:13" x14ac:dyDescent="0.3">
      <c r="A38" s="4" t="s">
        <v>20</v>
      </c>
      <c r="B38" s="10">
        <f>(B35 / 2) * (1 / SIN(RADIANS(B37 / 2)))</f>
        <v>69.531716368768144</v>
      </c>
      <c r="C38" s="5" t="s">
        <v>9</v>
      </c>
      <c r="E38" s="17" t="s">
        <v>25</v>
      </c>
      <c r="F38">
        <f>((K21 * B29) / F35)^(1/2)</f>
        <v>0.9535045000926522</v>
      </c>
      <c r="G38" s="5"/>
    </row>
    <row r="39" spans="1:13" ht="15" thickBot="1" x14ac:dyDescent="0.35">
      <c r="A39" s="4" t="s">
        <v>21</v>
      </c>
      <c r="B39" s="10">
        <f>2 * 3.14 * B38</f>
        <v>436.65917879586397</v>
      </c>
      <c r="C39" s="5" t="s">
        <v>9</v>
      </c>
      <c r="E39" s="17" t="s">
        <v>27</v>
      </c>
      <c r="F39">
        <f>0.5 * (1+F37* (F38 - 0.2) + F38^2)</f>
        <v>1.1391940183711691</v>
      </c>
      <c r="G39" s="5"/>
    </row>
    <row r="40" spans="1:13" ht="15" thickBot="1" x14ac:dyDescent="0.35">
      <c r="A40" s="6" t="s">
        <v>18</v>
      </c>
      <c r="B40" s="11">
        <f>(B39 * B37) / 360</f>
        <v>67.600840452189885</v>
      </c>
      <c r="C40" s="8" t="s">
        <v>9</v>
      </c>
      <c r="E40" s="18" t="s">
        <v>28</v>
      </c>
      <c r="F40" s="7">
        <f>1 / (F39 + (F39^2 - F38^2)^(1 / 2))</f>
        <v>0.56735475648986511</v>
      </c>
      <c r="G40" s="8"/>
      <c r="H40" s="20" t="str">
        <f>IF(F40&lt;=1, "OK", "ERRORE")</f>
        <v>OK</v>
      </c>
    </row>
    <row r="41" spans="1:13" ht="15" thickBot="1" x14ac:dyDescent="0.35"/>
    <row r="42" spans="1:13" x14ac:dyDescent="0.3">
      <c r="A42" s="2" t="s">
        <v>8</v>
      </c>
      <c r="B42" s="38">
        <v>2.1406245416670001E-2</v>
      </c>
      <c r="C42" s="3" t="s">
        <v>33</v>
      </c>
    </row>
    <row r="43" spans="1:13" ht="15" thickBot="1" x14ac:dyDescent="0.35">
      <c r="A43" s="6" t="s">
        <v>7</v>
      </c>
      <c r="B43" s="39">
        <v>3.6601673749070002E-3</v>
      </c>
      <c r="C43" s="8" t="s">
        <v>33</v>
      </c>
    </row>
  </sheetData>
  <mergeCells count="2">
    <mergeCell ref="I15:J15"/>
    <mergeCell ref="I14:J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3494-66C0-409E-9EB5-C11B2CA88754}">
  <dimension ref="A1:P43"/>
  <sheetViews>
    <sheetView topLeftCell="A22" workbookViewId="0">
      <selection activeCell="F44" sqref="F44"/>
    </sheetView>
  </sheetViews>
  <sheetFormatPr defaultRowHeight="14.4" x14ac:dyDescent="0.3"/>
  <cols>
    <col min="1" max="1" width="14.77734375" customWidth="1"/>
    <col min="5" max="5" width="12.77734375" customWidth="1"/>
    <col min="8" max="8" width="13.77734375" customWidth="1"/>
    <col min="9" max="9" width="12.77734375" customWidth="1"/>
    <col min="10" max="10" width="14.77734375" customWidth="1"/>
    <col min="11" max="11" width="12.77734375" customWidth="1"/>
  </cols>
  <sheetData>
    <row r="1" spans="1:11" ht="18" x14ac:dyDescent="0.3">
      <c r="A1" s="31" t="s">
        <v>39</v>
      </c>
      <c r="B1" s="34">
        <v>10</v>
      </c>
      <c r="C1" s="32" t="s">
        <v>9</v>
      </c>
      <c r="E1" s="45" t="s">
        <v>65</v>
      </c>
    </row>
    <row r="2" spans="1:11" ht="7.95" customHeight="1" x14ac:dyDescent="0.3"/>
    <row r="3" spans="1:11" x14ac:dyDescent="0.3">
      <c r="A3" t="s">
        <v>23</v>
      </c>
      <c r="B3" s="26">
        <v>1</v>
      </c>
      <c r="C3" t="s">
        <v>9</v>
      </c>
    </row>
    <row r="4" spans="1:11" x14ac:dyDescent="0.3">
      <c r="A4" t="s">
        <v>24</v>
      </c>
      <c r="B4" s="26">
        <v>0.5</v>
      </c>
      <c r="C4" t="s">
        <v>9</v>
      </c>
    </row>
    <row r="6" spans="1:11" x14ac:dyDescent="0.3">
      <c r="A6" t="s">
        <v>35</v>
      </c>
      <c r="B6" s="13">
        <f>B3*B4/2</f>
        <v>0.25</v>
      </c>
      <c r="C6" t="s">
        <v>36</v>
      </c>
      <c r="D6" t="s">
        <v>40</v>
      </c>
    </row>
    <row r="7" spans="1:11" x14ac:dyDescent="0.3">
      <c r="A7" t="s">
        <v>2</v>
      </c>
      <c r="B7" s="26">
        <v>0.55000000000000004</v>
      </c>
      <c r="C7" t="s">
        <v>9</v>
      </c>
    </row>
    <row r="8" spans="1:11" x14ac:dyDescent="0.3">
      <c r="A8" t="s">
        <v>3</v>
      </c>
      <c r="B8" s="26">
        <v>0.16</v>
      </c>
      <c r="C8" t="s">
        <v>9</v>
      </c>
    </row>
    <row r="9" spans="1:11" x14ac:dyDescent="0.3">
      <c r="H9" s="27"/>
      <c r="I9" s="28" t="s">
        <v>48</v>
      </c>
      <c r="J9" s="28" t="s">
        <v>49</v>
      </c>
      <c r="K9" s="28" t="s">
        <v>38</v>
      </c>
    </row>
    <row r="10" spans="1:11" x14ac:dyDescent="0.3">
      <c r="A10" t="s">
        <v>41</v>
      </c>
      <c r="B10" s="13">
        <f>B7*2*B8/2</f>
        <v>8.8000000000000009E-2</v>
      </c>
      <c r="C10" t="s">
        <v>36</v>
      </c>
      <c r="H10" s="28" t="s">
        <v>44</v>
      </c>
      <c r="I10" s="35">
        <v>0.05</v>
      </c>
      <c r="J10" s="28">
        <f>2*B8-I11-I13</f>
        <v>0.22000000000000003</v>
      </c>
      <c r="K10" s="29">
        <f>I10*J10</f>
        <v>1.1000000000000003E-2</v>
      </c>
    </row>
    <row r="11" spans="1:11" x14ac:dyDescent="0.3">
      <c r="A11" t="s">
        <v>42</v>
      </c>
      <c r="B11" s="13">
        <f>2*B10</f>
        <v>0.17600000000000002</v>
      </c>
      <c r="C11" t="s">
        <v>36</v>
      </c>
      <c r="H11" s="28" t="s">
        <v>45</v>
      </c>
      <c r="I11" s="35">
        <v>0.05</v>
      </c>
      <c r="J11" s="29">
        <f>(B8^2+(B7)^2)^(1/2)</f>
        <v>0.57280013966478749</v>
      </c>
      <c r="K11" s="29">
        <f t="shared" ref="K11:K13" si="0">I11*J11</f>
        <v>2.8640006983239374E-2</v>
      </c>
    </row>
    <row r="12" spans="1:11" ht="15" thickBot="1" x14ac:dyDescent="0.35">
      <c r="H12" s="28" t="s">
        <v>46</v>
      </c>
      <c r="I12" s="35">
        <v>2.5000000000000001E-2</v>
      </c>
      <c r="J12" s="29">
        <f>3*B8-I13</f>
        <v>0.43</v>
      </c>
      <c r="K12" s="29">
        <f t="shared" si="0"/>
        <v>1.0750000000000001E-2</v>
      </c>
    </row>
    <row r="13" spans="1:11" ht="15" thickBot="1" x14ac:dyDescent="0.35">
      <c r="A13" t="s">
        <v>43</v>
      </c>
      <c r="B13" s="13">
        <f>B10+B11</f>
        <v>0.26400000000000001</v>
      </c>
      <c r="C13" t="s">
        <v>36</v>
      </c>
      <c r="D13" s="20" t="str">
        <f>IF(B13&gt;B6, "OK", "ERRORE")</f>
        <v>OK</v>
      </c>
      <c r="H13" s="28" t="s">
        <v>47</v>
      </c>
      <c r="I13" s="35">
        <v>0.05</v>
      </c>
      <c r="J13" s="29">
        <f>B7</f>
        <v>0.55000000000000004</v>
      </c>
      <c r="K13" s="28">
        <f t="shared" si="0"/>
        <v>2.7500000000000004E-2</v>
      </c>
    </row>
    <row r="14" spans="1:11" x14ac:dyDescent="0.3">
      <c r="I14" s="42" t="s">
        <v>60</v>
      </c>
      <c r="J14" s="43"/>
      <c r="K14" s="29">
        <f>K10+K11+K12+K13</f>
        <v>7.789000698323939E-2</v>
      </c>
    </row>
    <row r="15" spans="1:11" x14ac:dyDescent="0.3">
      <c r="I15" s="44" t="s">
        <v>61</v>
      </c>
      <c r="J15" s="44"/>
      <c r="K15" s="29">
        <f>K14*2</f>
        <v>0.15578001396647878</v>
      </c>
    </row>
    <row r="17" spans="1:16" ht="15" thickBot="1" x14ac:dyDescent="0.35">
      <c r="H17" s="1" t="s">
        <v>59</v>
      </c>
      <c r="J17" s="36" t="s">
        <v>51</v>
      </c>
    </row>
    <row r="18" spans="1:16" ht="15" thickBot="1" x14ac:dyDescent="0.35">
      <c r="H18" s="23" t="s">
        <v>62</v>
      </c>
      <c r="I18" s="30">
        <v>0.13039999999999999</v>
      </c>
      <c r="J18" s="23" t="s">
        <v>36</v>
      </c>
      <c r="K18" s="20" t="str">
        <f>IF(K15&gt;I18, "OK", "ERRORE")</f>
        <v>OK</v>
      </c>
    </row>
    <row r="19" spans="1:16" ht="15" thickBot="1" x14ac:dyDescent="0.35">
      <c r="H19" s="23" t="s">
        <v>50</v>
      </c>
      <c r="I19" s="33">
        <v>10.06</v>
      </c>
      <c r="J19" s="23"/>
    </row>
    <row r="21" spans="1:16" x14ac:dyDescent="0.3">
      <c r="H21" s="1" t="s">
        <v>52</v>
      </c>
      <c r="J21" s="37"/>
      <c r="K21" s="40">
        <v>0.156</v>
      </c>
      <c r="L21" s="1" t="s">
        <v>36</v>
      </c>
    </row>
    <row r="28" spans="1:16" ht="15" thickBot="1" x14ac:dyDescent="0.35">
      <c r="E28" s="1" t="s">
        <v>53</v>
      </c>
      <c r="J28" s="1" t="s">
        <v>54</v>
      </c>
      <c r="O28" s="1" t="s">
        <v>56</v>
      </c>
    </row>
    <row r="29" spans="1:16" ht="15" thickBot="1" x14ac:dyDescent="0.35">
      <c r="A29" s="2" t="s">
        <v>26</v>
      </c>
      <c r="B29" s="16">
        <v>355000</v>
      </c>
      <c r="C29" s="3" t="s">
        <v>31</v>
      </c>
      <c r="E29" s="2" t="s">
        <v>11</v>
      </c>
      <c r="F29" s="16">
        <f>B33*SQRT((B34*K21)/(12*B34*B43))</f>
        <v>118.89570491409893</v>
      </c>
      <c r="G29" s="3"/>
      <c r="J29" s="19" t="s">
        <v>29</v>
      </c>
      <c r="K29" s="15">
        <v>0.54</v>
      </c>
      <c r="L29" s="3"/>
      <c r="O29" s="24">
        <f>(B31*1.1)/(F40*B29*K21)</f>
        <v>0.41258446978670266</v>
      </c>
      <c r="P29" s="21" t="str">
        <f>IF(O29&lt;=1, "OK", "ERRORE")</f>
        <v>OK</v>
      </c>
    </row>
    <row r="30" spans="1:16" ht="15" thickBot="1" x14ac:dyDescent="0.35">
      <c r="A30" s="4" t="s">
        <v>12</v>
      </c>
      <c r="B30" s="14">
        <v>10</v>
      </c>
      <c r="C30" s="5" t="s">
        <v>9</v>
      </c>
      <c r="E30" s="4" t="s">
        <v>14</v>
      </c>
      <c r="F30" s="25">
        <f>B30/B33</f>
        <v>0.15384615384615385</v>
      </c>
      <c r="G30" s="5"/>
      <c r="J30" s="17" t="s">
        <v>30</v>
      </c>
      <c r="K30">
        <v>0.65</v>
      </c>
      <c r="L30" s="5"/>
    </row>
    <row r="31" spans="1:16" ht="15" thickBot="1" x14ac:dyDescent="0.35">
      <c r="A31" s="4" t="s">
        <v>15</v>
      </c>
      <c r="B31" s="14">
        <v>9547</v>
      </c>
      <c r="C31" s="5" t="s">
        <v>16</v>
      </c>
      <c r="E31" s="4" t="s">
        <v>13</v>
      </c>
      <c r="F31" s="14">
        <v>35</v>
      </c>
      <c r="G31" s="5"/>
      <c r="H31" s="21" t="str">
        <f>IF(F29&gt;=F31, "OK", "ERRORE")</f>
        <v>OK</v>
      </c>
      <c r="J31" s="4" t="s">
        <v>55</v>
      </c>
      <c r="K31" s="22">
        <f>(3.14 / ((K29 * K30) * B33))^2 * B34 * B42</f>
        <v>77170.844861780264</v>
      </c>
      <c r="L31" s="5" t="s">
        <v>16</v>
      </c>
      <c r="M31" s="21" t="str">
        <f>IF(K31&gt;=B31, "OK", "ERRORE")</f>
        <v>OK</v>
      </c>
      <c r="O31" s="1" t="s">
        <v>58</v>
      </c>
    </row>
    <row r="32" spans="1:16" ht="15" thickBot="1" x14ac:dyDescent="0.35">
      <c r="A32" s="4" t="s">
        <v>17</v>
      </c>
      <c r="B32" s="12">
        <f>B31/355000/1.1</f>
        <v>2.4448143405889883E-2</v>
      </c>
      <c r="C32" s="5" t="s">
        <v>6</v>
      </c>
      <c r="E32" s="4"/>
      <c r="F32" s="9"/>
      <c r="G32" s="5"/>
      <c r="J32" s="4"/>
      <c r="L32" s="5"/>
      <c r="O32" s="24">
        <f>(B31*1.1)/(K36*B29*K21)</f>
        <v>0.29975529256534139</v>
      </c>
      <c r="P32" s="21" t="str">
        <f>IF(O32&lt;=1, "OK", "ERRORE")</f>
        <v>OK</v>
      </c>
    </row>
    <row r="33" spans="1:13" x14ac:dyDescent="0.3">
      <c r="A33" s="4" t="s">
        <v>63</v>
      </c>
      <c r="B33">
        <v>65</v>
      </c>
      <c r="C33" s="5" t="s">
        <v>9</v>
      </c>
      <c r="E33" s="4" t="s">
        <v>0</v>
      </c>
      <c r="F33" s="10">
        <f>B40 / 2</f>
        <v>34.574320497587301</v>
      </c>
      <c r="G33" s="5" t="s">
        <v>9</v>
      </c>
      <c r="J33" s="17" t="s">
        <v>37</v>
      </c>
      <c r="K33" s="14">
        <v>0.49</v>
      </c>
      <c r="L33" s="5"/>
    </row>
    <row r="34" spans="1:13" ht="15" thickBot="1" x14ac:dyDescent="0.35">
      <c r="A34" s="4" t="s">
        <v>10</v>
      </c>
      <c r="B34">
        <f>2.1*10^8</f>
        <v>210000000</v>
      </c>
      <c r="C34" s="5" t="s">
        <v>31</v>
      </c>
      <c r="E34" s="4" t="s">
        <v>64</v>
      </c>
      <c r="F34" s="14">
        <v>0.4</v>
      </c>
      <c r="G34" s="5"/>
      <c r="J34" s="17" t="s">
        <v>25</v>
      </c>
      <c r="K34">
        <f>((K21 * B29) / K31)^(1/2)</f>
        <v>0.84712958309634045</v>
      </c>
      <c r="L34" s="5"/>
    </row>
    <row r="35" spans="1:13" ht="15" thickBot="1" x14ac:dyDescent="0.35">
      <c r="A35" s="4" t="s">
        <v>22</v>
      </c>
      <c r="B35">
        <v>65</v>
      </c>
      <c r="C35" s="5" t="s">
        <v>9</v>
      </c>
      <c r="E35" s="4" t="s">
        <v>57</v>
      </c>
      <c r="F35" s="22">
        <f>(3.14 / (F34 * F33))^2 * B34 * B43</f>
        <v>42061.914341637981</v>
      </c>
      <c r="G35" s="5" t="s">
        <v>16</v>
      </c>
      <c r="H35" s="21" t="str">
        <f>IF(F35&gt;=B31, "OK", "ERRORE")</f>
        <v>OK</v>
      </c>
      <c r="J35" s="17" t="s">
        <v>27</v>
      </c>
      <c r="K35">
        <f>0.5 * (1+K33 * (K34 - 0.2) + K34^2)</f>
        <v>1.0173610131370932</v>
      </c>
      <c r="L35" s="5"/>
    </row>
    <row r="36" spans="1:13" ht="15" thickBot="1" x14ac:dyDescent="0.35">
      <c r="A36" s="4"/>
      <c r="C36" s="5"/>
      <c r="E36" s="4"/>
      <c r="G36" s="5"/>
      <c r="J36" s="18" t="s">
        <v>28</v>
      </c>
      <c r="K36" s="7">
        <f>1 / (K35 + (K35^2 - K34^2)^(1 / 2))</f>
        <v>0.63261545322772605</v>
      </c>
      <c r="L36" s="8"/>
      <c r="M36" s="21" t="str">
        <f>IF(K36&lt;=1, "OK", "ERRORE")</f>
        <v>OK</v>
      </c>
    </row>
    <row r="37" spans="1:13" x14ac:dyDescent="0.3">
      <c r="A37" s="4" t="s">
        <v>67</v>
      </c>
      <c r="B37" s="10">
        <f>B30 * 48 / 6.89</f>
        <v>69.666182873730051</v>
      </c>
      <c r="C37" s="5" t="s">
        <v>32</v>
      </c>
      <c r="E37" s="17" t="s">
        <v>37</v>
      </c>
      <c r="F37" s="14">
        <v>0.49</v>
      </c>
      <c r="G37" s="5"/>
    </row>
    <row r="38" spans="1:13" x14ac:dyDescent="0.3">
      <c r="A38" s="4" t="s">
        <v>20</v>
      </c>
      <c r="B38" s="10">
        <f>(B35 / 2) * (1 / SIN(RADIANS(B37 / 2)))</f>
        <v>56.898981264739596</v>
      </c>
      <c r="C38" s="5" t="s">
        <v>9</v>
      </c>
      <c r="E38" s="17" t="s">
        <v>25</v>
      </c>
      <c r="F38">
        <f>((K21 * B29) / F35)^(1/2)</f>
        <v>1.1474452128055657</v>
      </c>
      <c r="G38" s="5"/>
    </row>
    <row r="39" spans="1:13" ht="15" thickBot="1" x14ac:dyDescent="0.35">
      <c r="A39" s="4" t="s">
        <v>21</v>
      </c>
      <c r="B39" s="10">
        <f>2 * 3.14 * B38</f>
        <v>357.32560234256471</v>
      </c>
      <c r="C39" s="5" t="s">
        <v>9</v>
      </c>
      <c r="E39" s="17" t="s">
        <v>27</v>
      </c>
      <c r="F39">
        <f>0.5 * (1+F37* (F38 - 0.2) + F38^2)</f>
        <v>1.3904393353325686</v>
      </c>
      <c r="G39" s="5"/>
    </row>
    <row r="40" spans="1:13" ht="15" thickBot="1" x14ac:dyDescent="0.35">
      <c r="A40" s="6" t="s">
        <v>18</v>
      </c>
      <c r="B40" s="11">
        <f>(B39 * B37) / 360</f>
        <v>69.148640995174603</v>
      </c>
      <c r="C40" s="8" t="s">
        <v>9</v>
      </c>
      <c r="E40" s="18" t="s">
        <v>28</v>
      </c>
      <c r="F40" s="7">
        <f>1 / (F39 + (F39^2 - F38^2)^(1 / 2))</f>
        <v>0.45961456174457482</v>
      </c>
      <c r="G40" s="8"/>
      <c r="H40" s="20" t="str">
        <f>IF(F40&lt;=1, "OK", "ERRORE")</f>
        <v>OK</v>
      </c>
    </row>
    <row r="41" spans="1:13" ht="15" thickBot="1" x14ac:dyDescent="0.35"/>
    <row r="42" spans="1:13" x14ac:dyDescent="0.3">
      <c r="A42" s="2" t="s">
        <v>8</v>
      </c>
      <c r="B42" s="38">
        <v>1.940062004557E-2</v>
      </c>
      <c r="C42" s="3" t="s">
        <v>33</v>
      </c>
    </row>
    <row r="43" spans="1:13" ht="15" thickBot="1" x14ac:dyDescent="0.35">
      <c r="A43" s="6" t="s">
        <v>7</v>
      </c>
      <c r="B43" s="39">
        <v>3.8854178712149998E-3</v>
      </c>
      <c r="C43" s="8" t="s">
        <v>33</v>
      </c>
    </row>
  </sheetData>
  <mergeCells count="2">
    <mergeCell ref="I14:J14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00_f=6.89m</vt:lpstr>
      <vt:lpstr>01_f=2.00m</vt:lpstr>
      <vt:lpstr>02_f=4.00m</vt:lpstr>
      <vt:lpstr>03_f=6.00m</vt:lpstr>
      <vt:lpstr>04_f=8.00m</vt:lpstr>
      <vt:lpstr>05_f=10.00m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bassoli</dc:creator>
  <cp:lastModifiedBy>FILIPPO RIBES</cp:lastModifiedBy>
  <dcterms:created xsi:type="dcterms:W3CDTF">2023-10-13T09:08:55Z</dcterms:created>
  <dcterms:modified xsi:type="dcterms:W3CDTF">2024-01-01T17:15:52Z</dcterms:modified>
</cp:coreProperties>
</file>