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nsmith\Desktop\"/>
    </mc:Choice>
  </mc:AlternateContent>
  <xr:revisionPtr revIDLastSave="0" documentId="13_ncr:1_{212FD1A6-5695-4062-BD4A-A04523B362E1}" xr6:coauthVersionLast="47" xr6:coauthVersionMax="47" xr10:uidLastSave="{00000000-0000-0000-0000-000000000000}"/>
  <bookViews>
    <workbookView xWindow="-120" yWindow="-120" windowWidth="29040" windowHeight="15840" tabRatio="983" xr2:uid="{00000000-000D-0000-FFFF-FFFF00000000}"/>
  </bookViews>
  <sheets>
    <sheet name="Usage Input" sheetId="1" r:id="rId1"/>
    <sheet name="Offers Input" sheetId="2" r:id="rId2"/>
    <sheet name="Report" sheetId="3" r:id="rId3"/>
  </sheets>
  <definedNames>
    <definedName name="_xlnm.Print_Area" localSheetId="2">Report!$A$1:$F$17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4" i="3" l="1"/>
  <c r="J5" i="2" s="1"/>
  <c r="B5" i="3"/>
  <c r="J6" i="2" s="1"/>
  <c r="B6" i="3"/>
  <c r="J7" i="2" s="1"/>
  <c r="B7" i="3"/>
  <c r="J8" i="2"/>
  <c r="N8" i="2" s="1"/>
  <c r="B8" i="3"/>
  <c r="J9" i="2" s="1"/>
  <c r="B9" i="3"/>
  <c r="J10" i="2" s="1"/>
  <c r="B10" i="3"/>
  <c r="J11" i="2" s="1"/>
  <c r="B11" i="3"/>
  <c r="J12" i="2"/>
  <c r="N12" i="2" s="1"/>
  <c r="B12" i="3"/>
  <c r="J13" i="2" s="1"/>
  <c r="B13" i="3"/>
  <c r="J14" i="2" s="1"/>
  <c r="B14" i="3"/>
  <c r="J15" i="2" s="1"/>
  <c r="B15" i="3"/>
  <c r="J16" i="2"/>
  <c r="N16" i="2" s="1"/>
  <c r="P8" i="2"/>
  <c r="P12" i="2"/>
  <c r="P16" i="2"/>
  <c r="K8" i="2"/>
  <c r="C7" i="3" s="1"/>
  <c r="O8" i="2"/>
  <c r="K12" i="2"/>
  <c r="C11" i="3" s="1"/>
  <c r="O12" i="2"/>
  <c r="K16" i="2"/>
  <c r="C15" i="3" s="1"/>
  <c r="O16" i="2"/>
  <c r="B17" i="3"/>
  <c r="A17" i="1"/>
  <c r="A15" i="3" s="1"/>
  <c r="A16" i="1"/>
  <c r="A14" i="3" s="1"/>
  <c r="A15" i="1"/>
  <c r="A13" i="3" s="1"/>
  <c r="A14" i="1"/>
  <c r="A12" i="3" s="1"/>
  <c r="A13" i="1"/>
  <c r="A11" i="3" s="1"/>
  <c r="A12" i="1"/>
  <c r="A10" i="3" s="1"/>
  <c r="A11" i="1"/>
  <c r="A9" i="3" s="1"/>
  <c r="A10" i="1"/>
  <c r="A8" i="3" s="1"/>
  <c r="A9" i="1"/>
  <c r="A7" i="3" s="1"/>
  <c r="A8" i="1"/>
  <c r="A6" i="3" s="1"/>
  <c r="A7" i="1"/>
  <c r="A5" i="3" s="1"/>
  <c r="A6" i="1"/>
  <c r="A4" i="3" s="1"/>
  <c r="F3" i="3"/>
  <c r="E3" i="3"/>
  <c r="D3" i="3"/>
  <c r="D17" i="1"/>
  <c r="D16" i="1"/>
  <c r="D15" i="1"/>
  <c r="D14" i="1"/>
  <c r="D13" i="1"/>
  <c r="D12" i="1"/>
  <c r="D11" i="1"/>
  <c r="D10" i="1"/>
  <c r="D9" i="1"/>
  <c r="D8" i="1"/>
  <c r="D7" i="1"/>
  <c r="D6" i="1"/>
  <c r="N11" i="2" l="1"/>
  <c r="Q11" i="2"/>
  <c r="L11" i="2"/>
  <c r="D10" i="3" s="1"/>
  <c r="R11" i="2"/>
  <c r="P11" i="2"/>
  <c r="K11" i="2"/>
  <c r="O11" i="2"/>
  <c r="M11" i="2"/>
  <c r="E10" i="3" s="1"/>
  <c r="N7" i="2"/>
  <c r="Q7" i="2"/>
  <c r="L7" i="2"/>
  <c r="D6" i="3" s="1"/>
  <c r="R7" i="2"/>
  <c r="P7" i="2"/>
  <c r="K7" i="2"/>
  <c r="O7" i="2"/>
  <c r="M7" i="2"/>
  <c r="O9" i="2"/>
  <c r="M9" i="2"/>
  <c r="E8" i="3" s="1"/>
  <c r="N9" i="2"/>
  <c r="Q9" i="2"/>
  <c r="L9" i="2"/>
  <c r="D8" i="3" s="1"/>
  <c r="R9" i="2"/>
  <c r="P9" i="2"/>
  <c r="K9" i="2"/>
  <c r="R6" i="2"/>
  <c r="M6" i="2"/>
  <c r="E5" i="3" s="1"/>
  <c r="Q6" i="2"/>
  <c r="L6" i="2"/>
  <c r="D5" i="3" s="1"/>
  <c r="P6" i="2"/>
  <c r="K6" i="2"/>
  <c r="C5" i="3" s="1"/>
  <c r="N6" i="2"/>
  <c r="O6" i="2"/>
  <c r="R14" i="2"/>
  <c r="M14" i="2"/>
  <c r="E13" i="3" s="1"/>
  <c r="Q14" i="2"/>
  <c r="L14" i="2"/>
  <c r="D13" i="3" s="1"/>
  <c r="P14" i="2"/>
  <c r="K14" i="2"/>
  <c r="C13" i="3" s="1"/>
  <c r="N14" i="2"/>
  <c r="O14" i="2"/>
  <c r="O13" i="2"/>
  <c r="M13" i="2"/>
  <c r="E12" i="3" s="1"/>
  <c r="N13" i="2"/>
  <c r="Q13" i="2"/>
  <c r="L13" i="2"/>
  <c r="D12" i="3" s="1"/>
  <c r="R13" i="2"/>
  <c r="P13" i="2"/>
  <c r="K13" i="2"/>
  <c r="R10" i="2"/>
  <c r="M10" i="2"/>
  <c r="E9" i="3" s="1"/>
  <c r="Q10" i="2"/>
  <c r="L10" i="2"/>
  <c r="P10" i="2"/>
  <c r="K10" i="2"/>
  <c r="C9" i="3" s="1"/>
  <c r="N10" i="2"/>
  <c r="O10" i="2"/>
  <c r="N15" i="2"/>
  <c r="F14" i="3" s="1"/>
  <c r="Q15" i="2"/>
  <c r="L15" i="2"/>
  <c r="R15" i="2"/>
  <c r="P15" i="2"/>
  <c r="K15" i="2"/>
  <c r="C14" i="3" s="1"/>
  <c r="O15" i="2"/>
  <c r="M15" i="2"/>
  <c r="O5" i="2"/>
  <c r="M5" i="2"/>
  <c r="N5" i="2"/>
  <c r="F4" i="3" s="1"/>
  <c r="Q5" i="2"/>
  <c r="L5" i="2"/>
  <c r="D4" i="3" s="1"/>
  <c r="R5" i="2"/>
  <c r="P5" i="2"/>
  <c r="K5" i="2"/>
  <c r="L16" i="2"/>
  <c r="D15" i="3" s="1"/>
  <c r="L12" i="2"/>
  <c r="D11" i="3" s="1"/>
  <c r="D9" i="3"/>
  <c r="L8" i="2"/>
  <c r="D7" i="3" s="1"/>
  <c r="Q16" i="2"/>
  <c r="Q12" i="2"/>
  <c r="Q8" i="2"/>
  <c r="E4" i="3"/>
  <c r="M16" i="2"/>
  <c r="E15" i="3" s="1"/>
  <c r="M12" i="2"/>
  <c r="M8" i="2"/>
  <c r="E7" i="3" s="1"/>
  <c r="R16" i="2"/>
  <c r="F15" i="3" s="1"/>
  <c r="R12" i="2"/>
  <c r="F11" i="3" s="1"/>
  <c r="R8" i="2"/>
  <c r="F7" i="3" s="1"/>
  <c r="E14" i="3" l="1"/>
  <c r="C12" i="3"/>
  <c r="C8" i="3"/>
  <c r="F6" i="3"/>
  <c r="C10" i="3"/>
  <c r="E17" i="3"/>
  <c r="C4" i="3"/>
  <c r="C6" i="3"/>
  <c r="E11" i="3"/>
  <c r="D14" i="3"/>
  <c r="D17" i="3" s="1"/>
  <c r="F9" i="3"/>
  <c r="F12" i="3"/>
  <c r="F13" i="3"/>
  <c r="F5" i="3"/>
  <c r="F17" i="3" s="1"/>
  <c r="F8" i="3"/>
  <c r="E6" i="3"/>
  <c r="F10" i="3"/>
  <c r="C17" i="3" l="1"/>
</calcChain>
</file>

<file path=xl/sharedStrings.xml><?xml version="1.0" encoding="utf-8"?>
<sst xmlns="http://schemas.openxmlformats.org/spreadsheetml/2006/main" count="68" uniqueCount="51">
  <si>
    <t>Historical Usage</t>
  </si>
  <si>
    <t>Current contract end date:</t>
  </si>
  <si>
    <t>&lt;--- Enter current contract end date here</t>
  </si>
  <si>
    <t>Bill Month</t>
  </si>
  <si>
    <t>Usage (kWh)</t>
  </si>
  <si>
    <t>Average Price / kWh</t>
  </si>
  <si>
    <t>In the tan cells to the left, enter your historical usage in KWh for each indicated month. Optionally, you can enter each bill total as well</t>
  </si>
  <si>
    <t>Provider Offers Input</t>
  </si>
  <si>
    <t>ALL OF THE BELOW CAN BE FOUND ON THE "ELECTRICITY FACTS LABEL" FOR EACH OFFERING AT POWERTOCHOOSE.ORG</t>
  </si>
  <si>
    <t>Current</t>
  </si>
  <si>
    <t>Gexa</t>
  </si>
  <si>
    <t>Green Mtn</t>
  </si>
  <si>
    <t>Discount</t>
  </si>
  <si>
    <t>&lt;--- Enter the name of each provider here</t>
  </si>
  <si>
    <t>energy chg curr</t>
  </si>
  <si>
    <t>energy chg 1</t>
  </si>
  <si>
    <t>energy chg 2</t>
  </si>
  <si>
    <t>energy chg 3</t>
  </si>
  <si>
    <t>usage chg curr</t>
  </si>
  <si>
    <t>usage chg 1</t>
  </si>
  <si>
    <t>usage chg 2</t>
  </si>
  <si>
    <t>usage chg 3</t>
  </si>
  <si>
    <t>Base Charge:</t>
  </si>
  <si>
    <t>&lt;--- Enter the "base charge", if any, here</t>
  </si>
  <si>
    <t>Energy Charge #1 $:</t>
  </si>
  <si>
    <t>}</t>
  </si>
  <si>
    <t>All providers will charge at least 1 "energy charge", which is a charge per kWh for usage. Many providers charge multiple energy charge rates depending on usage. You should enter each of these rates, and the corresponding usage ranges for each rate in the 3 sections to the left.                                                                       If your provider only charges 1 energy charge for all usage, enter 0 and 999999 for the lower and upper thresholds in the "Energy Charge #1" section.</t>
  </si>
  <si>
    <t>Energy Charge #1 lower threshold (kWh):</t>
  </si>
  <si>
    <t>Energy Charge #1 upper threshold (kWh):</t>
  </si>
  <si>
    <t>Energy Charge #2 $:</t>
  </si>
  <si>
    <t>Energy Charge #2 lower threshold (kWh):</t>
  </si>
  <si>
    <t>}----</t>
  </si>
  <si>
    <t>Energy Charge #2 upper threshold (kWh):</t>
  </si>
  <si>
    <t>Energy Charge #3 $:</t>
  </si>
  <si>
    <t>Energy Charge #3 lower threshold (kWh):</t>
  </si>
  <si>
    <t>Energy Charge #3 upper threshold (kWh):</t>
  </si>
  <si>
    <t>Usage Charge / Credit #1 $ (credit as neg.):</t>
  </si>
  <si>
    <t>Some providers will issue a flat "usage charge" or "usage credit" if your usage falls within a given range. In the sections to the left, enter the amount of any charge (as a positive number), or the amount of any credit (as a negative number), along with the required usage ranges for each.</t>
  </si>
  <si>
    <t>Usage Credit #1 lower threshold (kWh):</t>
  </si>
  <si>
    <t>Usage Credit #1 upper threshold (kWh):</t>
  </si>
  <si>
    <t>Usage Charge / Credit #2 $ (credit as neg.):</t>
  </si>
  <si>
    <t>Usage Credit #2 lower threshold (kWh):</t>
  </si>
  <si>
    <t>Usage Credit #2 upper threshold (kWh):</t>
  </si>
  <si>
    <t>Centerpoint Delivery Charge (fixed) $:</t>
  </si>
  <si>
    <t>&lt;--- Enter the fixed portion of the TDU delivery charges here</t>
  </si>
  <si>
    <t>Centerpoint Delivery Charge ($ per kWh):</t>
  </si>
  <si>
    <t>&lt;--- Enter the per kWh rate portion of the TDU delivery charges here.</t>
  </si>
  <si>
    <t>Electricity Pricing Comparison Against Historical Usage</t>
  </si>
  <si>
    <t>Actual Usage (kWh)</t>
  </si>
  <si>
    <t>Total:</t>
  </si>
  <si>
    <t>Bill Total ($) (Optional)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</si>
</sst>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quot;-$&quot;* #,##0.00_-;_-\$* \-??_-;_-@_-"/>
    <numFmt numFmtId="165" formatCode="mmm\-yy;@"/>
    <numFmt numFmtId="166" formatCode="_-\$* #,##0.00000_-;&quot;-$&quot;* #,##0.00000_-;_-\$* \-?????_-;_-@_-"/>
    <numFmt numFmtId="167" formatCode="\$#,##0.00;[Red]&quot;-$&quot;#,##0.00"/>
  </numFmts>
  <fonts count="6" x14ac:knownFonts="1">
    <font>
      <sz val="12"/>
      <color rgb="FF000000"/>
      <name val="Calibri"/>
      <family val="2"/>
      <charset val="1"/>
    </font>
    <font>
      <b/>
      <u/>
      <sz val="18"/>
      <color rgb="FF000000"/>
      <name val="Calibri"/>
      <family val="2"/>
      <charset val="1"/>
    </font>
    <font>
      <b/>
      <sz val="12"/>
      <color rgb="FF000000"/>
      <name val="Calibri"/>
      <family val="2"/>
      <charset val="1"/>
    </font>
    <font>
      <sz val="11"/>
      <color rgb="FF000000"/>
      <name val="Calibri"/>
      <family val="2"/>
      <charset val="1"/>
    </font>
    <font>
      <sz val="10"/>
      <color rgb="FF000000"/>
      <name val="Calibri"/>
      <family val="2"/>
      <charset val="1"/>
    </font>
    <font>
      <sz val="12"/>
      <color rgb="FF000000"/>
      <name val="Calibri"/>
      <family val="2"/>
      <charset val="1"/>
    </font>
  </fonts>
  <fills count="6">
    <fill>
      <patternFill patternType="none"/>
    </fill>
    <fill>
      <patternFill patternType="gray125"/>
    </fill>
    <fill>
      <patternFill patternType="solid">
        <fgColor rgb="FFEBF1DE"/>
        <bgColor rgb="FFEEECE1"/>
      </patternFill>
    </fill>
    <fill>
      <patternFill patternType="solid">
        <fgColor rgb="FFDBEEF4"/>
        <bgColor rgb="FFEBF1DE"/>
      </patternFill>
    </fill>
    <fill>
      <patternFill patternType="solid">
        <fgColor rgb="FFEEECE1"/>
        <bgColor rgb="FFEBF1DE"/>
      </patternFill>
    </fill>
    <fill>
      <patternFill patternType="solid">
        <fgColor rgb="FFFDEADA"/>
        <bgColor rgb="FFEEECE1"/>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bottom/>
      <diagonal/>
    </border>
    <border>
      <left/>
      <right/>
      <top/>
      <bottom style="thin">
        <color auto="1"/>
      </bottom>
      <diagonal/>
    </border>
    <border>
      <left/>
      <right/>
      <top style="thin">
        <color auto="1"/>
      </top>
      <bottom style="double">
        <color auto="1"/>
      </bottom>
      <diagonal/>
    </border>
  </borders>
  <cellStyleXfs count="2">
    <xf numFmtId="0" fontId="0" fillId="0" borderId="0"/>
    <xf numFmtId="164" fontId="5" fillId="0" borderId="0" applyBorder="0" applyProtection="0"/>
  </cellStyleXfs>
  <cellXfs count="49">
    <xf numFmtId="0" fontId="0" fillId="0" borderId="0" xfId="0"/>
    <xf numFmtId="0" fontId="0" fillId="0" borderId="0" xfId="0" applyProtection="1"/>
    <xf numFmtId="164" fontId="0" fillId="0" borderId="0" xfId="1" applyFont="1" applyBorder="1" applyAlignment="1" applyProtection="1"/>
    <xf numFmtId="0" fontId="1" fillId="0" borderId="0" xfId="0" applyFont="1" applyProtection="1"/>
    <xf numFmtId="0" fontId="2" fillId="0" borderId="0" xfId="0" applyFont="1" applyProtection="1"/>
    <xf numFmtId="14" fontId="0" fillId="2" borderId="1" xfId="0" applyNumberFormat="1" applyFill="1" applyBorder="1" applyProtection="1">
      <protection locked="0"/>
    </xf>
    <xf numFmtId="164" fontId="2" fillId="0" borderId="0" xfId="1" applyFont="1" applyBorder="1" applyAlignment="1" applyProtection="1"/>
    <xf numFmtId="165" fontId="0" fillId="0" borderId="0" xfId="0" applyNumberFormat="1" applyProtection="1"/>
    <xf numFmtId="0" fontId="0" fillId="2" borderId="1" xfId="0" applyFill="1" applyBorder="1" applyProtection="1">
      <protection locked="0"/>
    </xf>
    <xf numFmtId="164" fontId="0" fillId="2" borderId="1" xfId="1" applyFont="1" applyFill="1" applyBorder="1" applyAlignment="1" applyProtection="1">
      <protection locked="0"/>
    </xf>
    <xf numFmtId="0" fontId="0" fillId="0" borderId="0" xfId="0" applyAlignment="1" applyProtection="1">
      <alignment horizontal="right"/>
    </xf>
    <xf numFmtId="0" fontId="0" fillId="0" borderId="2" xfId="0" applyBorder="1" applyProtection="1"/>
    <xf numFmtId="0" fontId="0" fillId="0" borderId="3" xfId="0" applyFont="1" applyBorder="1" applyAlignment="1" applyProtection="1">
      <alignment horizontal="center"/>
    </xf>
    <xf numFmtId="0" fontId="0" fillId="0" borderId="3" xfId="0" applyFont="1" applyBorder="1" applyAlignment="1" applyProtection="1">
      <alignment horizontal="center"/>
      <protection locked="0"/>
    </xf>
    <xf numFmtId="0" fontId="4" fillId="3" borderId="0" xfId="0" applyFont="1" applyFill="1" applyProtection="1"/>
    <xf numFmtId="0" fontId="0" fillId="3" borderId="0" xfId="0" applyFill="1" applyProtection="1"/>
    <xf numFmtId="0" fontId="0" fillId="4" borderId="0" xfId="0" applyFill="1" applyProtection="1"/>
    <xf numFmtId="0" fontId="0" fillId="0" borderId="3" xfId="0" applyBorder="1" applyAlignment="1" applyProtection="1">
      <alignment horizontal="right"/>
    </xf>
    <xf numFmtId="0" fontId="0" fillId="0" borderId="3" xfId="0" applyBorder="1" applyProtection="1"/>
    <xf numFmtId="0" fontId="0" fillId="2" borderId="2" xfId="0" applyFont="1" applyFill="1" applyBorder="1" applyAlignment="1" applyProtection="1">
      <alignment horizontal="left"/>
    </xf>
    <xf numFmtId="164" fontId="0" fillId="2" borderId="3" xfId="1" applyFont="1" applyFill="1" applyBorder="1" applyAlignment="1" applyProtection="1">
      <alignment horizontal="right"/>
      <protection locked="0"/>
    </xf>
    <xf numFmtId="164" fontId="0" fillId="2" borderId="3" xfId="1" applyFont="1" applyFill="1" applyBorder="1" applyAlignment="1" applyProtection="1">
      <protection locked="0"/>
    </xf>
    <xf numFmtId="0" fontId="0" fillId="5" borderId="2" xfId="0" applyFont="1" applyFill="1" applyBorder="1" applyAlignment="1" applyProtection="1">
      <alignment horizontal="left"/>
    </xf>
    <xf numFmtId="166" fontId="0" fillId="4" borderId="3" xfId="1" applyNumberFormat="1" applyFont="1" applyFill="1" applyBorder="1" applyAlignment="1" applyProtection="1">
      <alignment horizontal="right"/>
      <protection locked="0"/>
    </xf>
    <xf numFmtId="166" fontId="0" fillId="4" borderId="3" xfId="1" applyNumberFormat="1" applyFont="1" applyFill="1" applyBorder="1" applyAlignment="1" applyProtection="1">
      <protection locked="0"/>
    </xf>
    <xf numFmtId="0" fontId="0" fillId="4" borderId="3" xfId="0" applyFill="1" applyBorder="1" applyAlignment="1" applyProtection="1">
      <alignment horizontal="right"/>
      <protection locked="0"/>
    </xf>
    <xf numFmtId="0" fontId="0" fillId="4" borderId="3" xfId="0" applyFill="1" applyBorder="1" applyProtection="1">
      <protection locked="0"/>
    </xf>
    <xf numFmtId="167" fontId="0" fillId="2" borderId="3" xfId="1" applyNumberFormat="1" applyFont="1" applyFill="1" applyBorder="1" applyAlignment="1" applyProtection="1">
      <alignment horizontal="right"/>
      <protection locked="0"/>
    </xf>
    <xf numFmtId="167" fontId="0" fillId="2" borderId="3" xfId="1" applyNumberFormat="1" applyFont="1" applyFill="1" applyBorder="1" applyAlignment="1" applyProtection="1">
      <protection locked="0"/>
    </xf>
    <xf numFmtId="0" fontId="0" fillId="2" borderId="3" xfId="0" applyFill="1" applyBorder="1" applyAlignment="1" applyProtection="1">
      <alignment horizontal="right"/>
      <protection locked="0"/>
    </xf>
    <xf numFmtId="0" fontId="0" fillId="2" borderId="3" xfId="0" applyFill="1" applyBorder="1" applyProtection="1">
      <protection locked="0"/>
    </xf>
    <xf numFmtId="164" fontId="0" fillId="4" borderId="3" xfId="1" applyFont="1" applyFill="1" applyBorder="1" applyAlignment="1" applyProtection="1">
      <alignment horizontal="right"/>
      <protection locked="0"/>
    </xf>
    <xf numFmtId="164" fontId="0" fillId="4" borderId="3" xfId="1" applyFont="1" applyFill="1" applyBorder="1" applyAlignment="1" applyProtection="1">
      <protection locked="0"/>
    </xf>
    <xf numFmtId="0" fontId="4" fillId="3" borderId="0" xfId="0" applyFont="1" applyFill="1" applyAlignment="1" applyProtection="1">
      <alignment vertical="center"/>
    </xf>
    <xf numFmtId="0" fontId="0" fillId="3" borderId="0" xfId="0" applyFill="1" applyAlignment="1" applyProtection="1">
      <alignment vertical="center"/>
    </xf>
    <xf numFmtId="0" fontId="1" fillId="0" borderId="0" xfId="0" applyFont="1"/>
    <xf numFmtId="0" fontId="0" fillId="0" borderId="4" xfId="0" applyBorder="1"/>
    <xf numFmtId="0" fontId="2" fillId="0" borderId="4" xfId="0" applyFont="1" applyBorder="1" applyAlignment="1">
      <alignment horizontal="center"/>
    </xf>
    <xf numFmtId="164" fontId="2" fillId="0" borderId="4" xfId="1" applyFont="1" applyBorder="1" applyAlignment="1" applyProtection="1">
      <alignment horizontal="center"/>
    </xf>
    <xf numFmtId="165" fontId="0" fillId="2" borderId="0" xfId="0" applyNumberFormat="1" applyFill="1"/>
    <xf numFmtId="0" fontId="0" fillId="2" borderId="0" xfId="0" applyFill="1"/>
    <xf numFmtId="164" fontId="0" fillId="2" borderId="0" xfId="1" applyFont="1" applyFill="1" applyBorder="1" applyAlignment="1" applyProtection="1"/>
    <xf numFmtId="165" fontId="0" fillId="0" borderId="0" xfId="0" applyNumberFormat="1"/>
    <xf numFmtId="0" fontId="0" fillId="2" borderId="5" xfId="0" applyFont="1" applyFill="1" applyBorder="1"/>
    <xf numFmtId="164" fontId="0" fillId="2" borderId="5" xfId="1" applyFont="1" applyFill="1" applyBorder="1" applyAlignment="1" applyProtection="1"/>
    <xf numFmtId="0" fontId="0" fillId="3" borderId="0" xfId="0" applyFont="1" applyFill="1" applyBorder="1" applyAlignment="1" applyProtection="1">
      <alignment horizontal="left"/>
    </xf>
    <xf numFmtId="0" fontId="0" fillId="3" borderId="0" xfId="0" applyFont="1" applyFill="1" applyBorder="1" applyAlignment="1" applyProtection="1">
      <alignment horizontal="left" vertical="center" wrapText="1"/>
    </xf>
    <xf numFmtId="0" fontId="3" fillId="3" borderId="0" xfId="0" applyFont="1" applyFill="1" applyBorder="1" applyAlignment="1" applyProtection="1">
      <alignment horizontal="center" wrapText="1" shrinkToFit="1"/>
    </xf>
    <xf numFmtId="0" fontId="4" fillId="3" borderId="0" xfId="0" applyFont="1" applyFill="1" applyBorder="1" applyAlignment="1" applyProtection="1">
      <alignment horizontal="left" vertical="center" wrapText="1"/>
    </xf>
  </cellXfs>
  <cellStyles count="2">
    <cellStyle name="Currency" xfId="1" builtinId="4"/>
    <cellStyle name="Normal" xfId="0" builtinId="0"/>
  </cellStyles>
  <dxfs count="0"/>
  <tableStyles count="0" defaultTableStyle="TableStyleMedium2" defaultPivotStyle="PivotStyleLight16"/>
  <colors>
    <indexedColors>
      <rgbColor rgb="FF000000"/>
      <rgbColor rgb="FFEEECE1"/>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BF1DE"/>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7"/>
  <sheetViews>
    <sheetView tabSelected="1" zoomScaleNormal="100" workbookViewId="0">
      <selection activeCell="C26" sqref="C26"/>
    </sheetView>
  </sheetViews>
  <sheetFormatPr defaultRowHeight="15.75" x14ac:dyDescent="0.25"/>
  <cols>
    <col min="1" max="1" width="13" style="1"/>
    <col min="2" max="2" width="12.625" style="1"/>
    <col min="3" max="3" width="21.25" style="2" customWidth="1"/>
    <col min="4" max="4" width="20.5" style="1"/>
    <col min="5" max="5" width="2" style="1"/>
    <col min="6" max="7" width="11.875" style="1"/>
    <col min="8" max="8" width="12.375" style="1"/>
    <col min="9" max="1025" width="11.875" style="1"/>
  </cols>
  <sheetData>
    <row r="1" spans="1:8" ht="23.25" x14ac:dyDescent="0.35">
      <c r="A1" s="3" t="s">
        <v>0</v>
      </c>
      <c r="B1"/>
      <c r="C1"/>
      <c r="D1"/>
      <c r="F1"/>
      <c r="G1"/>
      <c r="H1"/>
    </row>
    <row r="2" spans="1:8" x14ac:dyDescent="0.25">
      <c r="A2"/>
      <c r="B2"/>
      <c r="C2"/>
      <c r="D2"/>
      <c r="F2"/>
      <c r="G2"/>
      <c r="H2"/>
    </row>
    <row r="3" spans="1:8" x14ac:dyDescent="0.25">
      <c r="A3" s="4" t="s">
        <v>1</v>
      </c>
      <c r="B3"/>
      <c r="C3"/>
      <c r="D3" s="5">
        <v>43180</v>
      </c>
      <c r="F3" s="45" t="s">
        <v>2</v>
      </c>
      <c r="G3" s="45"/>
      <c r="H3" s="45"/>
    </row>
    <row r="4" spans="1:8" x14ac:dyDescent="0.25">
      <c r="A4"/>
      <c r="B4"/>
      <c r="C4"/>
      <c r="D4"/>
      <c r="F4"/>
      <c r="G4"/>
      <c r="H4"/>
    </row>
    <row r="5" spans="1:8" x14ac:dyDescent="0.25">
      <c r="A5" s="4" t="s">
        <v>3</v>
      </c>
      <c r="B5" s="4" t="s">
        <v>4</v>
      </c>
      <c r="C5" s="6" t="s">
        <v>50</v>
      </c>
      <c r="D5" s="4" t="s">
        <v>5</v>
      </c>
      <c r="F5"/>
      <c r="G5"/>
      <c r="H5"/>
    </row>
    <row r="6" spans="1:8" ht="15.75" customHeight="1" x14ac:dyDescent="0.25">
      <c r="A6" s="7">
        <f>EDATE($D$3,-1)</f>
        <v>43152</v>
      </c>
      <c r="B6" s="8">
        <v>738</v>
      </c>
      <c r="C6" s="9"/>
      <c r="D6" s="2" t="str">
        <f t="shared" ref="D6:D17" si="0">IF(C6=0,"",(C6/B6))</f>
        <v/>
      </c>
      <c r="F6" s="46" t="s">
        <v>6</v>
      </c>
      <c r="G6" s="46"/>
      <c r="H6" s="46"/>
    </row>
    <row r="7" spans="1:8" x14ac:dyDescent="0.25">
      <c r="A7" s="7">
        <f>EDATE($D$3,-2)</f>
        <v>43121</v>
      </c>
      <c r="B7" s="8">
        <v>928</v>
      </c>
      <c r="C7" s="9"/>
      <c r="D7" s="2" t="str">
        <f t="shared" si="0"/>
        <v/>
      </c>
      <c r="F7" s="46"/>
      <c r="G7" s="46"/>
      <c r="H7" s="46"/>
    </row>
    <row r="8" spans="1:8" x14ac:dyDescent="0.25">
      <c r="A8" s="7">
        <f>EDATE($D$3,-3)</f>
        <v>43090</v>
      </c>
      <c r="B8" s="8">
        <v>1044</v>
      </c>
      <c r="C8" s="9"/>
      <c r="D8" s="2" t="str">
        <f t="shared" si="0"/>
        <v/>
      </c>
      <c r="F8" s="46"/>
      <c r="G8" s="46"/>
      <c r="H8" s="46"/>
    </row>
    <row r="9" spans="1:8" x14ac:dyDescent="0.25">
      <c r="A9" s="7">
        <f>EDATE($D$3,-4)</f>
        <v>43060</v>
      </c>
      <c r="B9" s="8">
        <v>1073</v>
      </c>
      <c r="C9" s="9"/>
      <c r="D9" s="2" t="str">
        <f t="shared" si="0"/>
        <v/>
      </c>
      <c r="F9" s="46"/>
      <c r="G9" s="46"/>
      <c r="H9" s="46"/>
    </row>
    <row r="10" spans="1:8" x14ac:dyDescent="0.25">
      <c r="A10" s="7">
        <f>EDATE($D$3,-5)</f>
        <v>43029</v>
      </c>
      <c r="B10" s="8">
        <v>1396</v>
      </c>
      <c r="C10" s="9"/>
      <c r="D10" s="2" t="str">
        <f t="shared" si="0"/>
        <v/>
      </c>
      <c r="F10" s="46"/>
      <c r="G10" s="46"/>
      <c r="H10" s="46"/>
    </row>
    <row r="11" spans="1:8" x14ac:dyDescent="0.25">
      <c r="A11" s="7">
        <f>EDATE($D$3,-6)</f>
        <v>42999</v>
      </c>
      <c r="B11" s="8">
        <v>1547</v>
      </c>
      <c r="C11" s="9"/>
      <c r="D11" s="2" t="str">
        <f t="shared" si="0"/>
        <v/>
      </c>
      <c r="F11" s="46"/>
      <c r="G11" s="46"/>
      <c r="H11" s="46"/>
    </row>
    <row r="12" spans="1:8" x14ac:dyDescent="0.25">
      <c r="A12" s="7">
        <f>EDATE($D$3,-7)</f>
        <v>42968</v>
      </c>
      <c r="B12" s="8">
        <v>1912</v>
      </c>
      <c r="C12" s="9"/>
      <c r="D12" s="2" t="str">
        <f t="shared" si="0"/>
        <v/>
      </c>
      <c r="F12" s="46"/>
      <c r="G12" s="46"/>
      <c r="H12" s="46"/>
    </row>
    <row r="13" spans="1:8" x14ac:dyDescent="0.25">
      <c r="A13" s="7">
        <f>EDATE($D$3,-8)</f>
        <v>42937</v>
      </c>
      <c r="B13" s="8">
        <v>2064</v>
      </c>
      <c r="C13" s="9"/>
      <c r="D13" s="2" t="str">
        <f t="shared" si="0"/>
        <v/>
      </c>
      <c r="F13" s="46"/>
      <c r="G13" s="46"/>
      <c r="H13" s="46"/>
    </row>
    <row r="14" spans="1:8" x14ac:dyDescent="0.25">
      <c r="A14" s="7">
        <f>EDATE($D$3,-9)</f>
        <v>42907</v>
      </c>
      <c r="B14" s="8">
        <v>1508</v>
      </c>
      <c r="C14" s="9"/>
      <c r="D14" s="2" t="str">
        <f t="shared" si="0"/>
        <v/>
      </c>
      <c r="F14" s="46"/>
      <c r="G14" s="46"/>
      <c r="H14" s="46"/>
    </row>
    <row r="15" spans="1:8" x14ac:dyDescent="0.25">
      <c r="A15" s="7">
        <f>EDATE($D$3,-10)</f>
        <v>42876</v>
      </c>
      <c r="B15" s="8">
        <v>1205</v>
      </c>
      <c r="C15" s="9"/>
      <c r="D15" s="2" t="str">
        <f t="shared" si="0"/>
        <v/>
      </c>
      <c r="F15" s="46"/>
      <c r="G15" s="46"/>
      <c r="H15" s="46"/>
    </row>
    <row r="16" spans="1:8" x14ac:dyDescent="0.25">
      <c r="A16" s="7">
        <f>EDATE($D$3,-11)</f>
        <v>42846</v>
      </c>
      <c r="B16" s="8">
        <v>1079</v>
      </c>
      <c r="C16" s="9"/>
      <c r="D16" s="2" t="str">
        <f t="shared" si="0"/>
        <v/>
      </c>
      <c r="F16" s="46"/>
      <c r="G16" s="46"/>
      <c r="H16" s="46"/>
    </row>
    <row r="17" spans="1:8" x14ac:dyDescent="0.25">
      <c r="A17" s="7">
        <f>EDATE($D$3,-12)</f>
        <v>42815</v>
      </c>
      <c r="B17" s="8">
        <v>850</v>
      </c>
      <c r="C17" s="9"/>
      <c r="D17" s="2" t="str">
        <f t="shared" si="0"/>
        <v/>
      </c>
      <c r="F17" s="46"/>
      <c r="G17" s="46"/>
      <c r="H17" s="46"/>
    </row>
  </sheetData>
  <sheetProtection sheet="1" objects="1" scenarios="1"/>
  <mergeCells count="2">
    <mergeCell ref="F3:H3"/>
    <mergeCell ref="F6:H17"/>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9"/>
  <sheetViews>
    <sheetView zoomScaleNormal="100" workbookViewId="0">
      <selection activeCell="B22" sqref="B22"/>
    </sheetView>
  </sheetViews>
  <sheetFormatPr defaultRowHeight="15.75" x14ac:dyDescent="0.25"/>
  <cols>
    <col min="1" max="1" width="41" style="1"/>
    <col min="2" max="2" width="14" style="10"/>
    <col min="3" max="5" width="14" style="1"/>
    <col min="6" max="6" width="1.375" style="1"/>
    <col min="7" max="7" width="4.5" style="1"/>
    <col min="8" max="8" width="11.875" style="1"/>
    <col min="9" max="9" width="36.375" style="1"/>
    <col min="10" max="18" width="0" style="1" hidden="1"/>
    <col min="19" max="1025" width="11.875" style="1"/>
  </cols>
  <sheetData>
    <row r="1" spans="1:19" ht="35.25" customHeight="1" x14ac:dyDescent="0.35">
      <c r="A1" s="3" t="s">
        <v>7</v>
      </c>
      <c r="B1" s="47" t="s">
        <v>8</v>
      </c>
      <c r="C1" s="47"/>
      <c r="D1" s="47"/>
      <c r="E1" s="47"/>
      <c r="G1"/>
      <c r="H1"/>
      <c r="I1"/>
      <c r="J1"/>
      <c r="K1"/>
      <c r="L1"/>
      <c r="M1"/>
      <c r="N1"/>
      <c r="O1"/>
      <c r="P1"/>
      <c r="Q1"/>
      <c r="R1"/>
      <c r="S1"/>
    </row>
    <row r="2" spans="1:19" x14ac:dyDescent="0.25">
      <c r="A2"/>
      <c r="B2"/>
      <c r="C2"/>
      <c r="D2"/>
      <c r="E2"/>
      <c r="G2"/>
      <c r="H2"/>
      <c r="I2"/>
      <c r="J2"/>
      <c r="K2"/>
      <c r="L2"/>
      <c r="M2"/>
      <c r="N2"/>
      <c r="O2"/>
      <c r="P2"/>
      <c r="Q2"/>
      <c r="R2"/>
      <c r="S2"/>
    </row>
    <row r="3" spans="1:19" x14ac:dyDescent="0.25">
      <c r="A3" s="11"/>
      <c r="B3" s="12" t="s">
        <v>9</v>
      </c>
      <c r="C3" s="13" t="s">
        <v>10</v>
      </c>
      <c r="D3" s="13" t="s">
        <v>11</v>
      </c>
      <c r="E3" s="13" t="s">
        <v>12</v>
      </c>
      <c r="G3" s="14" t="s">
        <v>13</v>
      </c>
      <c r="H3" s="15"/>
      <c r="I3" s="15"/>
      <c r="J3" s="16"/>
      <c r="K3" s="16"/>
      <c r="L3" s="16"/>
      <c r="M3" s="16"/>
      <c r="N3" s="16"/>
      <c r="O3" s="16"/>
      <c r="P3" s="16"/>
      <c r="Q3" s="16"/>
      <c r="R3" s="16"/>
    </row>
    <row r="4" spans="1:19" x14ac:dyDescent="0.25">
      <c r="A4" s="11"/>
      <c r="B4" s="17"/>
      <c r="C4" s="18"/>
      <c r="D4" s="18"/>
      <c r="E4" s="18"/>
      <c r="G4" s="14"/>
      <c r="H4" s="15"/>
      <c r="I4" s="15"/>
      <c r="J4" s="16"/>
      <c r="K4" s="16" t="s">
        <v>14</v>
      </c>
      <c r="L4" s="16" t="s">
        <v>15</v>
      </c>
      <c r="M4" s="16" t="s">
        <v>16</v>
      </c>
      <c r="N4" s="16" t="s">
        <v>17</v>
      </c>
      <c r="O4" s="16" t="s">
        <v>18</v>
      </c>
      <c r="P4" s="16" t="s">
        <v>19</v>
      </c>
      <c r="Q4" s="16" t="s">
        <v>20</v>
      </c>
      <c r="R4" s="16" t="s">
        <v>21</v>
      </c>
    </row>
    <row r="5" spans="1:19" x14ac:dyDescent="0.25">
      <c r="A5" s="19" t="s">
        <v>22</v>
      </c>
      <c r="B5" s="20">
        <v>0</v>
      </c>
      <c r="C5" s="21">
        <v>15</v>
      </c>
      <c r="D5" s="21">
        <v>0</v>
      </c>
      <c r="E5" s="21">
        <v>0</v>
      </c>
      <c r="G5" s="14" t="s">
        <v>23</v>
      </c>
      <c r="H5" s="15"/>
      <c r="I5" s="15"/>
      <c r="J5" s="16">
        <f>Report!B4</f>
        <v>738</v>
      </c>
      <c r="K5" s="16">
        <f t="shared" ref="K5:K16" si="0">IF($J5&gt;B$9,IF($J5&gt;B$13,IF($J5&gt;B$17,"ERROR THRESHOLD",((($J5-B$16)*B$15)+((B$13-B$12)*B$11)+((B$9-B$8)*B$7))),(($J5-B$12)*B$11)+(B$9-B$8)*B$7),($J5*B$7))</f>
        <v>54.021599999999999</v>
      </c>
      <c r="L5" s="16">
        <f t="shared" ref="L5:L16" si="1">IF($J5&gt;C$9,IF($J5&gt;C$13,IF($J5&gt;C$17,"ERROR THRESHOLD",((($J5-C$16)*C$15)+((C$13-C$12)*C$11)+((C$9-C$8)*C$7))),(($J5-C$12)*C$11)+(C$9-C$8)*C$7),($J5*C$7))</f>
        <v>1.4021999999999999</v>
      </c>
      <c r="M5" s="16">
        <f t="shared" ref="M5:M16" si="2">IF($J5&gt;D$9,IF($J5&gt;D$13,IF($J5&gt;D$17,"ERROR THRESHOLD",((($J5-D$16)*D$15)+((D$13-D$12)*D$11)+((D$9-D$8)*D$7))),(($J5-D$12)*D$11)+(D$9-D$8)*D$7),($J5*D$7))</f>
        <v>24.313410000000001</v>
      </c>
      <c r="N5" s="16">
        <f t="shared" ref="N5:N16" si="3">IF($J5&gt;E$9,IF($J5&gt;E$13,IF($J5&gt;E$17,"ERROR THRESHOLD",((($J5-E$16)*E$15)+((E$13-E$12)*E$11)+((E$9-E$8)*E$7))),(($J5-E$12)*E$11)+(E$9-E$8)*E$7),($J5*E$7))</f>
        <v>64.12482</v>
      </c>
      <c r="O5" s="16">
        <f t="shared" ref="O5:O16" si="4">IF(AND($J5&gt;=B$20,$J5&lt;=B$21),B$19,IF(AND($J5&gt;=B$24,$J5&lt;=B$25),B$23,0))</f>
        <v>0</v>
      </c>
      <c r="P5" s="16">
        <f t="shared" ref="P5:P16" si="5">IF(AND($J5&gt;=C$20,$J5&lt;=C$21),C$19,IF(AND($J5&gt;=C$24,$J5&lt;=C$25),C$23,0))</f>
        <v>0</v>
      </c>
      <c r="Q5" s="16">
        <f t="shared" ref="Q5:Q16" si="6">IF(AND($J5&gt;=D$20,$J5&lt;=D$21),D$19,IF(AND($J5&gt;=D$24,$J5&lt;=D$25),D$23,0))</f>
        <v>0</v>
      </c>
      <c r="R5" s="16">
        <f t="shared" ref="R5:R16" si="7">IF(AND($J5&gt;=E$20,$J5&lt;=E$21),E$19,IF(AND($J5&gt;=E$24,$J5&lt;=E$25),E$23,0))</f>
        <v>0</v>
      </c>
    </row>
    <row r="6" spans="1:19" x14ac:dyDescent="0.25">
      <c r="A6" s="11"/>
      <c r="B6" s="17"/>
      <c r="C6" s="18"/>
      <c r="D6" s="18"/>
      <c r="E6" s="18"/>
      <c r="G6" s="15"/>
      <c r="H6" s="15"/>
      <c r="I6" s="15"/>
      <c r="J6" s="16">
        <f>Report!B5</f>
        <v>928</v>
      </c>
      <c r="K6" s="16">
        <f t="shared" si="0"/>
        <v>67.929600000000008</v>
      </c>
      <c r="L6" s="16">
        <f t="shared" si="1"/>
        <v>1.7632000000000001</v>
      </c>
      <c r="M6" s="16">
        <f t="shared" si="2"/>
        <v>30.572960000000002</v>
      </c>
      <c r="N6" s="16">
        <f t="shared" si="3"/>
        <v>80.633919999999989</v>
      </c>
      <c r="O6" s="16">
        <f t="shared" si="4"/>
        <v>0</v>
      </c>
      <c r="P6" s="16">
        <f t="shared" si="5"/>
        <v>0</v>
      </c>
      <c r="Q6" s="16">
        <f t="shared" si="6"/>
        <v>0</v>
      </c>
      <c r="R6" s="16">
        <f t="shared" si="7"/>
        <v>0</v>
      </c>
    </row>
    <row r="7" spans="1:19" ht="15" customHeight="1" x14ac:dyDescent="0.25">
      <c r="A7" s="22" t="s">
        <v>24</v>
      </c>
      <c r="B7" s="23">
        <v>7.3200000000000001E-2</v>
      </c>
      <c r="C7" s="24">
        <v>1.9E-3</v>
      </c>
      <c r="D7" s="24">
        <v>3.2945000000000002E-2</v>
      </c>
      <c r="E7" s="24">
        <v>8.6889999999999995E-2</v>
      </c>
      <c r="G7" s="15" t="s">
        <v>25</v>
      </c>
      <c r="H7" s="48" t="s">
        <v>26</v>
      </c>
      <c r="I7" s="48"/>
      <c r="J7" s="16">
        <f>Report!B6</f>
        <v>1044</v>
      </c>
      <c r="K7" s="16">
        <f t="shared" si="0"/>
        <v>76.4208</v>
      </c>
      <c r="L7" s="16">
        <f t="shared" si="1"/>
        <v>16.770100000000003</v>
      </c>
      <c r="M7" s="16">
        <f t="shared" si="2"/>
        <v>36.316845000000001</v>
      </c>
      <c r="N7" s="16">
        <f t="shared" si="3"/>
        <v>90.713159999999988</v>
      </c>
      <c r="O7" s="16">
        <f t="shared" si="4"/>
        <v>-85</v>
      </c>
      <c r="P7" s="16">
        <f t="shared" si="5"/>
        <v>0</v>
      </c>
      <c r="Q7" s="16">
        <f t="shared" si="6"/>
        <v>0</v>
      </c>
      <c r="R7" s="16">
        <f t="shared" si="7"/>
        <v>-85</v>
      </c>
    </row>
    <row r="8" spans="1:19" x14ac:dyDescent="0.25">
      <c r="A8" s="22" t="s">
        <v>27</v>
      </c>
      <c r="B8" s="25">
        <v>0</v>
      </c>
      <c r="C8" s="26">
        <v>0</v>
      </c>
      <c r="D8" s="26">
        <v>0</v>
      </c>
      <c r="E8" s="26">
        <v>0</v>
      </c>
      <c r="G8" s="15" t="s">
        <v>25</v>
      </c>
      <c r="H8" s="48"/>
      <c r="I8" s="48"/>
      <c r="J8" s="16">
        <f>Report!B7</f>
        <v>1073</v>
      </c>
      <c r="K8" s="16">
        <f t="shared" si="0"/>
        <v>78.543599999999998</v>
      </c>
      <c r="L8" s="16">
        <f t="shared" si="1"/>
        <v>26.572100000000002</v>
      </c>
      <c r="M8" s="16">
        <f t="shared" si="2"/>
        <v>38.590879999999999</v>
      </c>
      <c r="N8" s="16">
        <f t="shared" si="3"/>
        <v>93.232969999999995</v>
      </c>
      <c r="O8" s="16">
        <f t="shared" si="4"/>
        <v>-85</v>
      </c>
      <c r="P8" s="16">
        <f t="shared" si="5"/>
        <v>0</v>
      </c>
      <c r="Q8" s="16">
        <f t="shared" si="6"/>
        <v>0</v>
      </c>
      <c r="R8" s="16">
        <f t="shared" si="7"/>
        <v>-85</v>
      </c>
    </row>
    <row r="9" spans="1:19" x14ac:dyDescent="0.25">
      <c r="A9" s="22" t="s">
        <v>28</v>
      </c>
      <c r="B9" s="25">
        <v>999999</v>
      </c>
      <c r="C9" s="26">
        <v>999</v>
      </c>
      <c r="D9" s="26">
        <v>1000</v>
      </c>
      <c r="E9" s="26">
        <v>999999</v>
      </c>
      <c r="G9" s="15" t="s">
        <v>25</v>
      </c>
      <c r="H9" s="48"/>
      <c r="I9" s="48"/>
      <c r="J9" s="16">
        <f>Report!B8</f>
        <v>1396</v>
      </c>
      <c r="K9" s="16">
        <f t="shared" si="0"/>
        <v>102.1872</v>
      </c>
      <c r="L9" s="16">
        <f t="shared" si="1"/>
        <v>86.398099999999999</v>
      </c>
      <c r="M9" s="16">
        <f t="shared" si="2"/>
        <v>63.918925000000002</v>
      </c>
      <c r="N9" s="16">
        <f t="shared" si="3"/>
        <v>121.29844</v>
      </c>
      <c r="O9" s="16">
        <f t="shared" si="4"/>
        <v>-85</v>
      </c>
      <c r="P9" s="16">
        <f t="shared" si="5"/>
        <v>0</v>
      </c>
      <c r="Q9" s="16">
        <f t="shared" si="6"/>
        <v>0</v>
      </c>
      <c r="R9" s="16">
        <f t="shared" si="7"/>
        <v>-85</v>
      </c>
    </row>
    <row r="10" spans="1:19" x14ac:dyDescent="0.25">
      <c r="A10" s="11"/>
      <c r="B10" s="17"/>
      <c r="C10" s="18"/>
      <c r="D10" s="18"/>
      <c r="E10" s="18"/>
      <c r="G10" s="15" t="s">
        <v>25</v>
      </c>
      <c r="H10" s="48"/>
      <c r="I10" s="48"/>
      <c r="J10" s="16">
        <f>Report!B9</f>
        <v>1547</v>
      </c>
      <c r="K10" s="16">
        <f t="shared" si="0"/>
        <v>113.24040000000001</v>
      </c>
      <c r="L10" s="16">
        <f t="shared" si="1"/>
        <v>86.398099999999999</v>
      </c>
      <c r="M10" s="16">
        <f t="shared" si="2"/>
        <v>75.759590000000003</v>
      </c>
      <c r="N10" s="16">
        <f t="shared" si="3"/>
        <v>134.41882999999999</v>
      </c>
      <c r="O10" s="16">
        <f t="shared" si="4"/>
        <v>-85</v>
      </c>
      <c r="P10" s="16">
        <f t="shared" si="5"/>
        <v>0</v>
      </c>
      <c r="Q10" s="16">
        <f t="shared" si="6"/>
        <v>0</v>
      </c>
      <c r="R10" s="16">
        <f t="shared" si="7"/>
        <v>-85</v>
      </c>
    </row>
    <row r="11" spans="1:19" x14ac:dyDescent="0.25">
      <c r="A11" s="22" t="s">
        <v>29</v>
      </c>
      <c r="B11" s="23"/>
      <c r="C11" s="24">
        <v>0.33800000000000002</v>
      </c>
      <c r="D11" s="24">
        <v>7.8414999999999999E-2</v>
      </c>
      <c r="E11" s="24"/>
      <c r="G11" s="15" t="s">
        <v>25</v>
      </c>
      <c r="H11" s="48"/>
      <c r="I11" s="48"/>
      <c r="J11" s="16">
        <f>Report!B10</f>
        <v>1912</v>
      </c>
      <c r="K11" s="16">
        <f t="shared" si="0"/>
        <v>139.95840000000001</v>
      </c>
      <c r="L11" s="16">
        <f t="shared" si="1"/>
        <v>86.398099999999999</v>
      </c>
      <c r="M11" s="16">
        <f t="shared" si="2"/>
        <v>104.38106500000001</v>
      </c>
      <c r="N11" s="16">
        <f t="shared" si="3"/>
        <v>166.13368</v>
      </c>
      <c r="O11" s="16">
        <f t="shared" si="4"/>
        <v>-85</v>
      </c>
      <c r="P11" s="16">
        <f t="shared" si="5"/>
        <v>0</v>
      </c>
      <c r="Q11" s="16">
        <f t="shared" si="6"/>
        <v>0</v>
      </c>
      <c r="R11" s="16">
        <f t="shared" si="7"/>
        <v>-85</v>
      </c>
    </row>
    <row r="12" spans="1:19" x14ac:dyDescent="0.25">
      <c r="A12" s="22" t="s">
        <v>30</v>
      </c>
      <c r="B12" s="25"/>
      <c r="C12" s="26">
        <v>1000</v>
      </c>
      <c r="D12" s="26">
        <v>1001</v>
      </c>
      <c r="E12" s="26"/>
      <c r="G12" s="15" t="s">
        <v>31</v>
      </c>
      <c r="H12" s="48"/>
      <c r="I12" s="48"/>
      <c r="J12" s="16">
        <f>Report!B11</f>
        <v>2064</v>
      </c>
      <c r="K12" s="16">
        <f t="shared" si="0"/>
        <v>151.0848</v>
      </c>
      <c r="L12" s="16">
        <f t="shared" si="1"/>
        <v>86.398099999999999</v>
      </c>
      <c r="M12" s="16">
        <f t="shared" si="2"/>
        <v>116.30014499999999</v>
      </c>
      <c r="N12" s="16">
        <f t="shared" si="3"/>
        <v>179.34096</v>
      </c>
      <c r="O12" s="16">
        <f t="shared" si="4"/>
        <v>-85</v>
      </c>
      <c r="P12" s="16">
        <f t="shared" si="5"/>
        <v>0</v>
      </c>
      <c r="Q12" s="16">
        <f t="shared" si="6"/>
        <v>0</v>
      </c>
      <c r="R12" s="16">
        <f t="shared" si="7"/>
        <v>-85</v>
      </c>
    </row>
    <row r="13" spans="1:19" x14ac:dyDescent="0.25">
      <c r="A13" s="22" t="s">
        <v>32</v>
      </c>
      <c r="B13" s="25"/>
      <c r="C13" s="26">
        <v>1250</v>
      </c>
      <c r="D13" s="26">
        <v>999999</v>
      </c>
      <c r="E13" s="26"/>
      <c r="G13" s="15" t="s">
        <v>25</v>
      </c>
      <c r="H13" s="48"/>
      <c r="I13" s="48"/>
      <c r="J13" s="16">
        <f>Report!B12</f>
        <v>1508</v>
      </c>
      <c r="K13" s="16">
        <f t="shared" si="0"/>
        <v>110.3856</v>
      </c>
      <c r="L13" s="16">
        <f t="shared" si="1"/>
        <v>86.398099999999999</v>
      </c>
      <c r="M13" s="16">
        <f t="shared" si="2"/>
        <v>72.701404999999994</v>
      </c>
      <c r="N13" s="16">
        <f t="shared" si="3"/>
        <v>131.03011999999998</v>
      </c>
      <c r="O13" s="16">
        <f t="shared" si="4"/>
        <v>-85</v>
      </c>
      <c r="P13" s="16">
        <f t="shared" si="5"/>
        <v>0</v>
      </c>
      <c r="Q13" s="16">
        <f t="shared" si="6"/>
        <v>0</v>
      </c>
      <c r="R13" s="16">
        <f t="shared" si="7"/>
        <v>-85</v>
      </c>
    </row>
    <row r="14" spans="1:19" x14ac:dyDescent="0.25">
      <c r="A14" s="11"/>
      <c r="B14" s="17"/>
      <c r="C14" s="18"/>
      <c r="D14" s="18"/>
      <c r="E14" s="18"/>
      <c r="G14" s="15" t="s">
        <v>25</v>
      </c>
      <c r="H14" s="48"/>
      <c r="I14" s="48"/>
      <c r="J14" s="16">
        <f>Report!B13</f>
        <v>1205</v>
      </c>
      <c r="K14" s="16">
        <f t="shared" si="0"/>
        <v>88.206000000000003</v>
      </c>
      <c r="L14" s="16">
        <f t="shared" si="1"/>
        <v>71.188100000000006</v>
      </c>
      <c r="M14" s="16">
        <f t="shared" si="2"/>
        <v>48.941659999999999</v>
      </c>
      <c r="N14" s="16">
        <f t="shared" si="3"/>
        <v>104.70245</v>
      </c>
      <c r="O14" s="16">
        <f t="shared" si="4"/>
        <v>-85</v>
      </c>
      <c r="P14" s="16">
        <f t="shared" si="5"/>
        <v>0</v>
      </c>
      <c r="Q14" s="16">
        <f t="shared" si="6"/>
        <v>0</v>
      </c>
      <c r="R14" s="16">
        <f t="shared" si="7"/>
        <v>-85</v>
      </c>
    </row>
    <row r="15" spans="1:19" x14ac:dyDescent="0.25">
      <c r="A15" s="22" t="s">
        <v>33</v>
      </c>
      <c r="B15" s="23"/>
      <c r="C15" s="24">
        <v>0</v>
      </c>
      <c r="D15" s="24"/>
      <c r="E15" s="24"/>
      <c r="G15" s="15" t="s">
        <v>25</v>
      </c>
      <c r="H15" s="48"/>
      <c r="I15" s="48"/>
      <c r="J15" s="16">
        <f>Report!B14</f>
        <v>1079</v>
      </c>
      <c r="K15" s="16">
        <f t="shared" si="0"/>
        <v>78.982799999999997</v>
      </c>
      <c r="L15" s="16">
        <f t="shared" si="1"/>
        <v>28.600100000000001</v>
      </c>
      <c r="M15" s="16">
        <f t="shared" si="2"/>
        <v>39.061369999999997</v>
      </c>
      <c r="N15" s="16">
        <f t="shared" si="3"/>
        <v>93.75430999999999</v>
      </c>
      <c r="O15" s="16">
        <f t="shared" si="4"/>
        <v>-85</v>
      </c>
      <c r="P15" s="16">
        <f t="shared" si="5"/>
        <v>0</v>
      </c>
      <c r="Q15" s="16">
        <f t="shared" si="6"/>
        <v>0</v>
      </c>
      <c r="R15" s="16">
        <f t="shared" si="7"/>
        <v>-85</v>
      </c>
    </row>
    <row r="16" spans="1:19" x14ac:dyDescent="0.25">
      <c r="A16" s="22" t="s">
        <v>34</v>
      </c>
      <c r="B16" s="25"/>
      <c r="C16" s="26">
        <v>1251</v>
      </c>
      <c r="D16" s="26"/>
      <c r="E16" s="26"/>
      <c r="G16" s="15" t="s">
        <v>25</v>
      </c>
      <c r="H16" s="48"/>
      <c r="I16" s="48"/>
      <c r="J16" s="16">
        <f>Report!B15</f>
        <v>850</v>
      </c>
      <c r="K16" s="16">
        <f t="shared" si="0"/>
        <v>62.22</v>
      </c>
      <c r="L16" s="16">
        <f t="shared" si="1"/>
        <v>1.615</v>
      </c>
      <c r="M16" s="16">
        <f t="shared" si="2"/>
        <v>28.003250000000001</v>
      </c>
      <c r="N16" s="16">
        <f t="shared" si="3"/>
        <v>73.856499999999997</v>
      </c>
      <c r="O16" s="16">
        <f t="shared" si="4"/>
        <v>0</v>
      </c>
      <c r="P16" s="16">
        <f t="shared" si="5"/>
        <v>0</v>
      </c>
      <c r="Q16" s="16">
        <f t="shared" si="6"/>
        <v>0</v>
      </c>
      <c r="R16" s="16">
        <f t="shared" si="7"/>
        <v>0</v>
      </c>
    </row>
    <row r="17" spans="1:18" x14ac:dyDescent="0.25">
      <c r="A17" s="22" t="s">
        <v>35</v>
      </c>
      <c r="B17" s="25"/>
      <c r="C17" s="26">
        <v>999999</v>
      </c>
      <c r="D17" s="26"/>
      <c r="E17" s="26"/>
      <c r="G17" s="15" t="s">
        <v>25</v>
      </c>
      <c r="H17" s="48"/>
      <c r="I17" s="48"/>
      <c r="J17" s="16"/>
      <c r="K17" s="16"/>
      <c r="L17" s="16"/>
      <c r="M17" s="16"/>
      <c r="N17" s="16"/>
      <c r="O17" s="16"/>
      <c r="P17" s="16"/>
      <c r="Q17" s="16"/>
      <c r="R17" s="16"/>
    </row>
    <row r="18" spans="1:18" x14ac:dyDescent="0.25">
      <c r="A18" s="11"/>
      <c r="B18" s="17"/>
      <c r="C18" s="18"/>
      <c r="D18" s="18"/>
      <c r="E18" s="18"/>
      <c r="G18" s="15"/>
      <c r="H18" s="15"/>
      <c r="I18" s="15"/>
      <c r="J18" s="16"/>
      <c r="K18" s="16"/>
      <c r="L18" s="16"/>
      <c r="M18" s="16"/>
      <c r="N18" s="16"/>
      <c r="O18" s="16"/>
      <c r="P18" s="16"/>
      <c r="Q18" s="16"/>
      <c r="R18" s="16"/>
    </row>
    <row r="19" spans="1:18" ht="15" customHeight="1" x14ac:dyDescent="0.25">
      <c r="A19" s="19" t="s">
        <v>36</v>
      </c>
      <c r="B19" s="27">
        <v>-85</v>
      </c>
      <c r="C19" s="28"/>
      <c r="D19" s="28"/>
      <c r="E19" s="28">
        <v>-85</v>
      </c>
      <c r="G19" s="15" t="s">
        <v>25</v>
      </c>
      <c r="H19" s="48" t="s">
        <v>37</v>
      </c>
      <c r="I19" s="48"/>
      <c r="J19" s="16"/>
      <c r="K19" s="16"/>
      <c r="L19" s="16"/>
      <c r="M19" s="16"/>
      <c r="N19" s="16"/>
      <c r="O19" s="16"/>
      <c r="P19" s="16"/>
      <c r="Q19" s="16"/>
      <c r="R19" s="16"/>
    </row>
    <row r="20" spans="1:18" x14ac:dyDescent="0.25">
      <c r="A20" s="19" t="s">
        <v>38</v>
      </c>
      <c r="B20" s="29">
        <v>1000</v>
      </c>
      <c r="C20" s="30"/>
      <c r="D20" s="30"/>
      <c r="E20" s="30">
        <v>1000</v>
      </c>
      <c r="G20" s="15" t="s">
        <v>25</v>
      </c>
      <c r="H20" s="48"/>
      <c r="I20" s="48"/>
      <c r="J20" s="16"/>
      <c r="K20" s="16"/>
      <c r="L20" s="16"/>
      <c r="M20" s="16"/>
      <c r="N20" s="16"/>
      <c r="O20" s="16"/>
      <c r="P20" s="16"/>
      <c r="Q20" s="16"/>
      <c r="R20" s="16"/>
    </row>
    <row r="21" spans="1:18" x14ac:dyDescent="0.25">
      <c r="A21" s="19" t="s">
        <v>39</v>
      </c>
      <c r="B21" s="29">
        <v>999999</v>
      </c>
      <c r="C21" s="30"/>
      <c r="D21" s="30"/>
      <c r="E21" s="30">
        <v>999999</v>
      </c>
      <c r="G21" s="15" t="s">
        <v>25</v>
      </c>
      <c r="H21" s="48"/>
      <c r="I21" s="48"/>
      <c r="J21" s="16"/>
      <c r="K21" s="16"/>
      <c r="L21" s="16"/>
      <c r="M21" s="16"/>
      <c r="N21" s="16"/>
      <c r="O21" s="16"/>
      <c r="P21" s="16"/>
      <c r="Q21" s="16"/>
      <c r="R21" s="16"/>
    </row>
    <row r="22" spans="1:18" x14ac:dyDescent="0.25">
      <c r="A22" s="11"/>
      <c r="B22" s="17"/>
      <c r="C22" s="18"/>
      <c r="D22" s="18"/>
      <c r="E22" s="18"/>
      <c r="G22" s="15" t="s">
        <v>31</v>
      </c>
      <c r="H22" s="48"/>
      <c r="I22" s="48"/>
      <c r="J22" s="16"/>
      <c r="K22" s="16"/>
      <c r="L22" s="16"/>
      <c r="M22" s="16"/>
      <c r="N22" s="16"/>
      <c r="O22" s="16"/>
      <c r="P22" s="16"/>
      <c r="Q22" s="16"/>
      <c r="R22" s="16"/>
    </row>
    <row r="23" spans="1:18" x14ac:dyDescent="0.25">
      <c r="A23" s="19" t="s">
        <v>40</v>
      </c>
      <c r="B23" s="27"/>
      <c r="C23" s="28"/>
      <c r="D23" s="28"/>
      <c r="E23" s="28"/>
      <c r="G23" s="15" t="s">
        <v>25</v>
      </c>
      <c r="H23" s="48"/>
      <c r="I23" s="48"/>
      <c r="J23" s="16"/>
      <c r="K23" s="16"/>
      <c r="L23" s="16"/>
      <c r="M23" s="16"/>
      <c r="N23" s="16"/>
      <c r="O23" s="16"/>
      <c r="P23" s="16"/>
      <c r="Q23" s="16"/>
      <c r="R23" s="16"/>
    </row>
    <row r="24" spans="1:18" x14ac:dyDescent="0.25">
      <c r="A24" s="19" t="s">
        <v>41</v>
      </c>
      <c r="B24" s="29"/>
      <c r="C24" s="30"/>
      <c r="D24" s="30"/>
      <c r="E24" s="30"/>
      <c r="G24" s="15" t="s">
        <v>25</v>
      </c>
      <c r="H24" s="48"/>
      <c r="I24" s="48"/>
      <c r="J24" s="16"/>
      <c r="K24" s="16"/>
      <c r="L24" s="16"/>
      <c r="M24" s="16"/>
      <c r="N24" s="16"/>
      <c r="O24" s="16"/>
      <c r="P24" s="16"/>
      <c r="Q24" s="16"/>
      <c r="R24" s="16"/>
    </row>
    <row r="25" spans="1:18" x14ac:dyDescent="0.25">
      <c r="A25" s="19" t="s">
        <v>42</v>
      </c>
      <c r="B25" s="29"/>
      <c r="C25" s="30"/>
      <c r="D25" s="30"/>
      <c r="E25" s="30"/>
      <c r="G25" s="15" t="s">
        <v>25</v>
      </c>
      <c r="H25" s="48"/>
      <c r="I25" s="48"/>
      <c r="J25" s="16"/>
      <c r="K25" s="16"/>
      <c r="L25" s="16"/>
      <c r="M25" s="16"/>
      <c r="N25" s="16"/>
      <c r="O25" s="16"/>
      <c r="P25" s="16"/>
      <c r="Q25" s="16"/>
      <c r="R25" s="16"/>
    </row>
    <row r="26" spans="1:18" x14ac:dyDescent="0.25">
      <c r="A26" s="11"/>
      <c r="B26" s="17"/>
      <c r="C26" s="18"/>
      <c r="D26" s="18"/>
      <c r="E26" s="18"/>
      <c r="G26" s="15"/>
      <c r="H26" s="15"/>
      <c r="I26" s="15"/>
      <c r="J26" s="16"/>
      <c r="K26" s="16"/>
      <c r="L26" s="16"/>
      <c r="M26" s="16"/>
      <c r="N26" s="16"/>
      <c r="O26" s="16"/>
      <c r="P26" s="16"/>
      <c r="Q26" s="16"/>
      <c r="R26" s="16"/>
    </row>
    <row r="27" spans="1:18" x14ac:dyDescent="0.25">
      <c r="A27" s="22" t="s">
        <v>43</v>
      </c>
      <c r="B27" s="31">
        <v>5.47</v>
      </c>
      <c r="C27" s="32">
        <v>5.47</v>
      </c>
      <c r="D27" s="32">
        <v>5.47</v>
      </c>
      <c r="E27" s="32">
        <v>5.47</v>
      </c>
      <c r="G27" s="14" t="s">
        <v>44</v>
      </c>
      <c r="H27" s="33"/>
      <c r="I27" s="33"/>
      <c r="J27" s="16"/>
      <c r="K27" s="16"/>
      <c r="L27" s="16"/>
      <c r="M27" s="16"/>
      <c r="N27" s="16"/>
      <c r="O27" s="16"/>
      <c r="P27" s="16"/>
      <c r="Q27" s="16"/>
      <c r="R27" s="16"/>
    </row>
    <row r="28" spans="1:18" x14ac:dyDescent="0.25">
      <c r="A28" s="22" t="s">
        <v>45</v>
      </c>
      <c r="B28" s="23">
        <v>3.8800000000000001E-2</v>
      </c>
      <c r="C28" s="24">
        <v>3.8800000000000001E-2</v>
      </c>
      <c r="D28" s="24">
        <v>3.8800000000000001E-2</v>
      </c>
      <c r="E28" s="24">
        <v>3.8800000000000001E-2</v>
      </c>
      <c r="G28" s="14" t="s">
        <v>46</v>
      </c>
      <c r="H28" s="34"/>
      <c r="I28" s="34"/>
      <c r="J28" s="16"/>
      <c r="K28" s="16"/>
      <c r="L28" s="16"/>
      <c r="M28" s="16"/>
      <c r="N28" s="16"/>
      <c r="O28" s="16"/>
      <c r="P28" s="16"/>
      <c r="Q28" s="16"/>
      <c r="R28" s="16"/>
    </row>
    <row r="29" spans="1:18" x14ac:dyDescent="0.25">
      <c r="A29" s="11"/>
      <c r="B29" s="17"/>
      <c r="C29" s="18"/>
      <c r="D29" s="18"/>
      <c r="E29" s="18"/>
      <c r="G29" s="15"/>
      <c r="H29" s="15"/>
      <c r="I29" s="15"/>
      <c r="J29" s="16"/>
      <c r="K29" s="16"/>
      <c r="L29" s="16"/>
      <c r="M29" s="16"/>
      <c r="N29" s="16"/>
      <c r="O29" s="16"/>
      <c r="P29" s="16"/>
      <c r="Q29" s="16"/>
      <c r="R29" s="16"/>
    </row>
  </sheetData>
  <sheetProtection sheet="1" objects="1" scenarios="1"/>
  <mergeCells count="3">
    <mergeCell ref="B1:E1"/>
    <mergeCell ref="H7:I17"/>
    <mergeCell ref="H19:I25"/>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17"/>
  <sheetViews>
    <sheetView zoomScaleNormal="100" workbookViewId="0">
      <selection activeCell="C23" sqref="C23"/>
    </sheetView>
  </sheetViews>
  <sheetFormatPr defaultRowHeight="15.75" x14ac:dyDescent="0.25"/>
  <cols>
    <col min="1" max="1" width="11"/>
    <col min="2" max="2" width="19.625"/>
    <col min="3" max="6" width="14.875" style="2"/>
    <col min="7" max="1025" width="11.875"/>
  </cols>
  <sheetData>
    <row r="1" spans="1:6" ht="23.25" x14ac:dyDescent="0.35">
      <c r="A1" s="35" t="s">
        <v>47</v>
      </c>
      <c r="B1" s="35"/>
      <c r="C1"/>
      <c r="D1"/>
      <c r="E1"/>
      <c r="F1"/>
    </row>
    <row r="2" spans="1:6" x14ac:dyDescent="0.25">
      <c r="C2"/>
      <c r="D2"/>
      <c r="E2"/>
      <c r="F2"/>
    </row>
    <row r="3" spans="1:6" x14ac:dyDescent="0.25">
      <c r="A3" s="36"/>
      <c r="B3" s="37" t="s">
        <v>48</v>
      </c>
      <c r="C3" s="38" t="s">
        <v>9</v>
      </c>
      <c r="D3" s="38" t="str">
        <f>'Offers Input'!C3</f>
        <v>Gexa</v>
      </c>
      <c r="E3" s="38" t="str">
        <f>'Offers Input'!D3</f>
        <v>Green Mtn</v>
      </c>
      <c r="F3" s="38" t="str">
        <f>'Offers Input'!E3</f>
        <v>Discount</v>
      </c>
    </row>
    <row r="4" spans="1:6" x14ac:dyDescent="0.25">
      <c r="A4" s="39">
        <f>'Usage Input'!A6</f>
        <v>43152</v>
      </c>
      <c r="B4" s="40">
        <f>'Usage Input'!B6</f>
        <v>738</v>
      </c>
      <c r="C4" s="41">
        <f>'Offers Input'!B$5+'Offers Input'!B$27+('Offers Input'!B$28*Report!$B4)+'Offers Input'!K5+'Offers Input'!O5</f>
        <v>88.126000000000005</v>
      </c>
      <c r="D4" s="41">
        <f>'Offers Input'!C$5+'Offers Input'!C$27+('Offers Input'!C$28*Report!$B4)+'Offers Input'!L5+'Offers Input'!P5</f>
        <v>50.506599999999999</v>
      </c>
      <c r="E4" s="41">
        <f>'Offers Input'!D$5+'Offers Input'!D$27+('Offers Input'!D$28*Report!$B4)+'Offers Input'!M5+'Offers Input'!Q5</f>
        <v>58.417810000000003</v>
      </c>
      <c r="F4" s="41">
        <f>'Offers Input'!E$5+'Offers Input'!E$27+('Offers Input'!E$28*Report!$B4)+'Offers Input'!N5+'Offers Input'!R5</f>
        <v>98.229219999999998</v>
      </c>
    </row>
    <row r="5" spans="1:6" x14ac:dyDescent="0.25">
      <c r="A5" s="42">
        <f>'Usage Input'!A7</f>
        <v>43121</v>
      </c>
      <c r="B5">
        <f>'Usage Input'!B7</f>
        <v>928</v>
      </c>
      <c r="C5" s="2">
        <f>'Offers Input'!B$5+'Offers Input'!B$27+('Offers Input'!B$28*Report!$B5)+'Offers Input'!K6+'Offers Input'!O6</f>
        <v>109.40600000000001</v>
      </c>
      <c r="D5" s="2">
        <f>'Offers Input'!C$5+'Offers Input'!C$27+('Offers Input'!C$28*Report!$B5)+'Offers Input'!L6+'Offers Input'!P6</f>
        <v>58.239599999999996</v>
      </c>
      <c r="E5" s="2">
        <f>'Offers Input'!D$5+'Offers Input'!D$27+('Offers Input'!D$28*Report!$B5)+'Offers Input'!M6+'Offers Input'!Q6</f>
        <v>72.049360000000007</v>
      </c>
      <c r="F5" s="2">
        <f>'Offers Input'!E$5+'Offers Input'!E$27+('Offers Input'!E$28*Report!$B5)+'Offers Input'!N6+'Offers Input'!R6</f>
        <v>122.11031999999999</v>
      </c>
    </row>
    <row r="6" spans="1:6" x14ac:dyDescent="0.25">
      <c r="A6" s="39">
        <f>'Usage Input'!A8</f>
        <v>43090</v>
      </c>
      <c r="B6" s="40">
        <f>'Usage Input'!B8</f>
        <v>1044</v>
      </c>
      <c r="C6" s="41">
        <f>'Offers Input'!B$5+'Offers Input'!B$27+('Offers Input'!B$28*Report!$B6)+'Offers Input'!K7+'Offers Input'!O7</f>
        <v>37.397999999999996</v>
      </c>
      <c r="D6" s="41">
        <f>'Offers Input'!C$5+'Offers Input'!C$27+('Offers Input'!C$28*Report!$B6)+'Offers Input'!L7+'Offers Input'!P7</f>
        <v>77.74730000000001</v>
      </c>
      <c r="E6" s="41">
        <f>'Offers Input'!D$5+'Offers Input'!D$27+('Offers Input'!D$28*Report!$B6)+'Offers Input'!M7+'Offers Input'!Q7</f>
        <v>82.294045000000011</v>
      </c>
      <c r="F6" s="41">
        <f>'Offers Input'!E$5+'Offers Input'!E$27+('Offers Input'!E$28*Report!$B6)+'Offers Input'!N7+'Offers Input'!R7</f>
        <v>51.690359999999998</v>
      </c>
    </row>
    <row r="7" spans="1:6" x14ac:dyDescent="0.25">
      <c r="A7" s="42">
        <f>'Usage Input'!A9</f>
        <v>43060</v>
      </c>
      <c r="B7">
        <f>'Usage Input'!B9</f>
        <v>1073</v>
      </c>
      <c r="C7" s="2">
        <f>'Offers Input'!B$5+'Offers Input'!B$27+('Offers Input'!B$28*Report!$B7)+'Offers Input'!K8+'Offers Input'!O8</f>
        <v>40.646000000000001</v>
      </c>
      <c r="D7" s="2">
        <f>'Offers Input'!C$5+'Offers Input'!C$27+('Offers Input'!C$28*Report!$B7)+'Offers Input'!L8+'Offers Input'!P8</f>
        <v>88.674500000000009</v>
      </c>
      <c r="E7" s="2">
        <f>'Offers Input'!D$5+'Offers Input'!D$27+('Offers Input'!D$28*Report!$B7)+'Offers Input'!M8+'Offers Input'!Q8</f>
        <v>85.693280000000001</v>
      </c>
      <c r="F7" s="2">
        <f>'Offers Input'!E$5+'Offers Input'!E$27+('Offers Input'!E$28*Report!$B7)+'Offers Input'!N8+'Offers Input'!R8</f>
        <v>55.335370000000012</v>
      </c>
    </row>
    <row r="8" spans="1:6" x14ac:dyDescent="0.25">
      <c r="A8" s="39">
        <f>'Usage Input'!A10</f>
        <v>43029</v>
      </c>
      <c r="B8" s="40">
        <f>'Usage Input'!B10</f>
        <v>1396</v>
      </c>
      <c r="C8" s="41">
        <f>'Offers Input'!B$5+'Offers Input'!B$27+('Offers Input'!B$28*Report!$B8)+'Offers Input'!K9+'Offers Input'!O9</f>
        <v>76.822000000000003</v>
      </c>
      <c r="D8" s="41">
        <f>'Offers Input'!C$5+'Offers Input'!C$27+('Offers Input'!C$28*Report!$B8)+'Offers Input'!L9+'Offers Input'!P9</f>
        <v>161.03289999999998</v>
      </c>
      <c r="E8" s="41">
        <f>'Offers Input'!D$5+'Offers Input'!D$27+('Offers Input'!D$28*Report!$B8)+'Offers Input'!M9+'Offers Input'!Q9</f>
        <v>123.553725</v>
      </c>
      <c r="F8" s="41">
        <f>'Offers Input'!E$5+'Offers Input'!E$27+('Offers Input'!E$28*Report!$B8)+'Offers Input'!N9+'Offers Input'!R9</f>
        <v>95.933240000000012</v>
      </c>
    </row>
    <row r="9" spans="1:6" x14ac:dyDescent="0.25">
      <c r="A9" s="42">
        <f>'Usage Input'!A11</f>
        <v>42999</v>
      </c>
      <c r="B9">
        <f>'Usage Input'!B11</f>
        <v>1547</v>
      </c>
      <c r="C9" s="2">
        <f>'Offers Input'!B$5+'Offers Input'!B$27+('Offers Input'!B$28*Report!$B9)+'Offers Input'!K10+'Offers Input'!O10</f>
        <v>93.734000000000009</v>
      </c>
      <c r="D9" s="2">
        <f>'Offers Input'!C$5+'Offers Input'!C$27+('Offers Input'!C$28*Report!$B9)+'Offers Input'!L10+'Offers Input'!P10</f>
        <v>166.89170000000001</v>
      </c>
      <c r="E9" s="2">
        <f>'Offers Input'!D$5+'Offers Input'!D$27+('Offers Input'!D$28*Report!$B9)+'Offers Input'!M10+'Offers Input'!Q10</f>
        <v>141.25319000000002</v>
      </c>
      <c r="F9" s="2">
        <f>'Offers Input'!E$5+'Offers Input'!E$27+('Offers Input'!E$28*Report!$B9)+'Offers Input'!N10+'Offers Input'!R10</f>
        <v>114.91242999999997</v>
      </c>
    </row>
    <row r="10" spans="1:6" x14ac:dyDescent="0.25">
      <c r="A10" s="39">
        <f>'Usage Input'!A12</f>
        <v>42968</v>
      </c>
      <c r="B10" s="40">
        <f>'Usage Input'!B12</f>
        <v>1912</v>
      </c>
      <c r="C10" s="41">
        <f>'Offers Input'!B$5+'Offers Input'!B$27+('Offers Input'!B$28*Report!$B10)+'Offers Input'!K11+'Offers Input'!O11</f>
        <v>134.61400000000003</v>
      </c>
      <c r="D10" s="41">
        <f>'Offers Input'!C$5+'Offers Input'!C$27+('Offers Input'!C$28*Report!$B10)+'Offers Input'!L11+'Offers Input'!P11</f>
        <v>181.05369999999999</v>
      </c>
      <c r="E10" s="41">
        <f>'Offers Input'!D$5+'Offers Input'!D$27+('Offers Input'!D$28*Report!$B10)+'Offers Input'!M11+'Offers Input'!Q11</f>
        <v>184.03666500000003</v>
      </c>
      <c r="F10" s="41">
        <f>'Offers Input'!E$5+'Offers Input'!E$27+('Offers Input'!E$28*Report!$B10)+'Offers Input'!N11+'Offers Input'!R11</f>
        <v>160.78928000000002</v>
      </c>
    </row>
    <row r="11" spans="1:6" x14ac:dyDescent="0.25">
      <c r="A11" s="42">
        <f>'Usage Input'!A13</f>
        <v>42937</v>
      </c>
      <c r="B11">
        <f>'Usage Input'!B13</f>
        <v>2064</v>
      </c>
      <c r="C11" s="2">
        <f>'Offers Input'!B$5+'Offers Input'!B$27+('Offers Input'!B$28*Report!$B11)+'Offers Input'!K12+'Offers Input'!O12</f>
        <v>151.63800000000001</v>
      </c>
      <c r="D11" s="2">
        <f>'Offers Input'!C$5+'Offers Input'!C$27+('Offers Input'!C$28*Report!$B11)+'Offers Input'!L12+'Offers Input'!P12</f>
        <v>186.9513</v>
      </c>
      <c r="E11" s="2">
        <f>'Offers Input'!D$5+'Offers Input'!D$27+('Offers Input'!D$28*Report!$B11)+'Offers Input'!M12+'Offers Input'!Q12</f>
        <v>201.85334499999999</v>
      </c>
      <c r="F11" s="2">
        <f>'Offers Input'!E$5+'Offers Input'!E$27+('Offers Input'!E$28*Report!$B11)+'Offers Input'!N12+'Offers Input'!R12</f>
        <v>179.89416</v>
      </c>
    </row>
    <row r="12" spans="1:6" x14ac:dyDescent="0.25">
      <c r="A12" s="39">
        <f>'Usage Input'!A14</f>
        <v>42907</v>
      </c>
      <c r="B12" s="40">
        <f>'Usage Input'!B14</f>
        <v>1508</v>
      </c>
      <c r="C12" s="41">
        <f>'Offers Input'!B$5+'Offers Input'!B$27+('Offers Input'!B$28*Report!$B12)+'Offers Input'!K13+'Offers Input'!O13</f>
        <v>89.365999999999985</v>
      </c>
      <c r="D12" s="41">
        <f>'Offers Input'!C$5+'Offers Input'!C$27+('Offers Input'!C$28*Report!$B12)+'Offers Input'!L13+'Offers Input'!P13</f>
        <v>165.3785</v>
      </c>
      <c r="E12" s="41">
        <f>'Offers Input'!D$5+'Offers Input'!D$27+('Offers Input'!D$28*Report!$B12)+'Offers Input'!M13+'Offers Input'!Q13</f>
        <v>136.681805</v>
      </c>
      <c r="F12" s="41">
        <f>'Offers Input'!E$5+'Offers Input'!E$27+('Offers Input'!E$28*Report!$B12)+'Offers Input'!N13+'Offers Input'!R13</f>
        <v>110.01051999999999</v>
      </c>
    </row>
    <row r="13" spans="1:6" x14ac:dyDescent="0.25">
      <c r="A13" s="42">
        <f>'Usage Input'!A15</f>
        <v>42876</v>
      </c>
      <c r="B13">
        <f>'Usage Input'!B15</f>
        <v>1205</v>
      </c>
      <c r="C13" s="2">
        <f>'Offers Input'!B$5+'Offers Input'!B$27+('Offers Input'!B$28*Report!$B13)+'Offers Input'!K14+'Offers Input'!O14</f>
        <v>55.430000000000007</v>
      </c>
      <c r="D13" s="2">
        <f>'Offers Input'!C$5+'Offers Input'!C$27+('Offers Input'!C$28*Report!$B13)+'Offers Input'!L14+'Offers Input'!P14</f>
        <v>138.41210000000001</v>
      </c>
      <c r="E13" s="2">
        <f>'Offers Input'!D$5+'Offers Input'!D$27+('Offers Input'!D$28*Report!$B13)+'Offers Input'!M14+'Offers Input'!Q14</f>
        <v>101.16566</v>
      </c>
      <c r="F13" s="2">
        <f>'Offers Input'!E$5+'Offers Input'!E$27+('Offers Input'!E$28*Report!$B13)+'Offers Input'!N14+'Offers Input'!R14</f>
        <v>71.926449999999988</v>
      </c>
    </row>
    <row r="14" spans="1:6" x14ac:dyDescent="0.25">
      <c r="A14" s="39">
        <f>'Usage Input'!A16</f>
        <v>42846</v>
      </c>
      <c r="B14" s="40">
        <f>'Usage Input'!B16</f>
        <v>1079</v>
      </c>
      <c r="C14" s="41">
        <f>'Offers Input'!B$5+'Offers Input'!B$27+('Offers Input'!B$28*Report!$B14)+'Offers Input'!K15+'Offers Input'!O15</f>
        <v>41.317999999999998</v>
      </c>
      <c r="D14" s="41">
        <f>'Offers Input'!C$5+'Offers Input'!C$27+('Offers Input'!C$28*Report!$B14)+'Offers Input'!L15+'Offers Input'!P15</f>
        <v>90.935299999999998</v>
      </c>
      <c r="E14" s="41">
        <f>'Offers Input'!D$5+'Offers Input'!D$27+('Offers Input'!D$28*Report!$B14)+'Offers Input'!M15+'Offers Input'!Q15</f>
        <v>86.396569999999997</v>
      </c>
      <c r="F14" s="41">
        <f>'Offers Input'!E$5+'Offers Input'!E$27+('Offers Input'!E$28*Report!$B14)+'Offers Input'!N15+'Offers Input'!R15</f>
        <v>56.08950999999999</v>
      </c>
    </row>
    <row r="15" spans="1:6" x14ac:dyDescent="0.25">
      <c r="A15" s="42">
        <f>'Usage Input'!A17</f>
        <v>42815</v>
      </c>
      <c r="B15">
        <f>'Usage Input'!B17</f>
        <v>850</v>
      </c>
      <c r="C15" s="2">
        <f>'Offers Input'!B$5+'Offers Input'!B$27+('Offers Input'!B$28*Report!$B15)+'Offers Input'!K16+'Offers Input'!O16</f>
        <v>100.67</v>
      </c>
      <c r="D15" s="2">
        <f>'Offers Input'!C$5+'Offers Input'!C$27+('Offers Input'!C$28*Report!$B15)+'Offers Input'!L16+'Offers Input'!P16</f>
        <v>55.065000000000005</v>
      </c>
      <c r="E15" s="2">
        <f>'Offers Input'!D$5+'Offers Input'!D$27+('Offers Input'!D$28*Report!$B15)+'Offers Input'!M16+'Offers Input'!Q16</f>
        <v>66.453249999999997</v>
      </c>
      <c r="F15" s="2">
        <f>'Offers Input'!E$5+'Offers Input'!E$27+('Offers Input'!E$28*Report!$B15)+'Offers Input'!N16+'Offers Input'!R16</f>
        <v>112.3065</v>
      </c>
    </row>
    <row r="17" spans="1:6" x14ac:dyDescent="0.25">
      <c r="A17" s="43" t="s">
        <v>49</v>
      </c>
      <c r="B17" s="43">
        <f>SUM(B4:B15)</f>
        <v>15344</v>
      </c>
      <c r="C17" s="44">
        <f>SUM(C4:C15)</f>
        <v>1019.168</v>
      </c>
      <c r="D17" s="44">
        <f>SUM(D4:D15)</f>
        <v>1420.8885</v>
      </c>
      <c r="E17" s="44">
        <f>SUM(E4:E15)</f>
        <v>1339.8487049999999</v>
      </c>
      <c r="F17" s="44">
        <f>SUM(F4:F15)</f>
        <v>1229.2273599999999</v>
      </c>
    </row>
  </sheetData>
  <sheetProtection sheet="1" objects="1" scenarios="1"/>
  <pageMargins left="0.75" right="0.75" top="1" bottom="1" header="0.51180555555555496" footer="0.51180555555555496"/>
  <pageSetup paperSize="0" scale="0" firstPageNumber="0" fitToHeight="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2286</TotalTime>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Usage Input</vt:lpstr>
      <vt:lpstr>Offers Input</vt:lpstr>
      <vt:lpstr>Report</vt:lpstr>
      <vt:lpstr>Report!Print_Area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description/>
  <cp:lastPrinted>2016-01-27T18:11:31Z</cp:lastPrinted>
  <dcterms:created xsi:type="dcterms:W3CDTF">2016-01-26T04:21:21Z</dcterms:created>
  <dcterms:modified xsi:type="dcterms:W3CDTF">2021-07-02T20:07:43Z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