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I-DEDE\Users\Public\PT. PERISAI CAKRAWALA INDONESIA\INVOICE\"/>
    </mc:Choice>
  </mc:AlternateContent>
  <bookViews>
    <workbookView xWindow="0" yWindow="0" windowWidth="20490" windowHeight="7620" tabRatio="585" activeTab="2"/>
  </bookViews>
  <sheets>
    <sheet name="PiuGlobal 20" sheetId="15" r:id="rId1"/>
    <sheet name="PiuGlobal 21" sheetId="14" r:id="rId2"/>
    <sheet name="PiuGlobal 22" sheetId="42" r:id="rId3"/>
    <sheet name="rekap tm" sheetId="36" r:id="rId4"/>
    <sheet name="Adwyawinsa (2)" sheetId="43" r:id="rId5"/>
    <sheet name="Tibeka_Biaya Lain2" sheetId="32" r:id="rId6"/>
    <sheet name="Tibeka_Biaya Pengiriman" sheetId="33" r:id="rId7"/>
    <sheet name="Ibu ENi" sheetId="35" r:id="rId8"/>
    <sheet name="rekap pemakaian pa imam" sheetId="39" r:id="rId9"/>
    <sheet name="Piutang Ari tirta" sheetId="16" r:id="rId10"/>
    <sheet name="Perhitungan DN" sheetId="37" r:id="rId11"/>
    <sheet name="Sriboga Marugame" sheetId="18" r:id="rId12"/>
    <sheet name="Fastindo" sheetId="21" r:id="rId13"/>
    <sheet name="Sicepat" sheetId="34" r:id="rId14"/>
    <sheet name="Mega Duta" sheetId="23" r:id="rId15"/>
    <sheet name="Poslog" sheetId="31" r:id="rId16"/>
    <sheet name="Grantika" sheetId="28" r:id="rId17"/>
    <sheet name="PCS" sheetId="27" r:id="rId18"/>
    <sheet name="Sheet1" sheetId="25" r:id="rId19"/>
    <sheet name="Adwyawinsa" sheetId="24" r:id="rId20"/>
    <sheet name="Sheet2" sheetId="26" r:id="rId21"/>
    <sheet name="Sheet3" sheetId="29" r:id="rId22"/>
  </sheets>
  <externalReferences>
    <externalReference r:id="rId23"/>
    <externalReference r:id="rId24"/>
    <externalReference r:id="rId25"/>
  </externalReferences>
  <definedNames>
    <definedName name="_xlnm._FilterDatabase" localSheetId="19" hidden="1">Adwyawinsa!$A$2:$G$14</definedName>
    <definedName name="_xlnm._FilterDatabase" localSheetId="4" hidden="1">'Adwyawinsa (2)'!$A$2:$G$9</definedName>
    <definedName name="_xlnm._FilterDatabase" localSheetId="12" hidden="1">Fastindo!$A$2:$G$89</definedName>
    <definedName name="_xlnm._FilterDatabase" localSheetId="16" hidden="1">Grantika!$A$1:$H$95</definedName>
    <definedName name="_xlnm._FilterDatabase" localSheetId="7" hidden="1">'Ibu ENi'!$A$2:$H$99</definedName>
    <definedName name="_xlnm._FilterDatabase" localSheetId="14" hidden="1">'Mega Duta'!$A$2:$G$81</definedName>
    <definedName name="_xlnm._FilterDatabase" localSheetId="17" hidden="1">PCS!$A$2:$M$20</definedName>
    <definedName name="_xlnm._FilterDatabase" localSheetId="0" hidden="1">'PiuGlobal 20'!$A$2:$R$110</definedName>
    <definedName name="_xlnm._FilterDatabase" localSheetId="1" hidden="1">'PiuGlobal 21'!$A$2:$U$1176</definedName>
    <definedName name="_xlnm._FilterDatabase" localSheetId="2" hidden="1">'PiuGlobal 22'!$A$2:$U$748</definedName>
    <definedName name="_xlnm._FilterDatabase" localSheetId="9" hidden="1">'Piutang Ari tirta'!$A$2:$G$119</definedName>
    <definedName name="_xlnm._FilterDatabase" localSheetId="15" hidden="1">Poslog!$A$2:$F$74</definedName>
    <definedName name="_xlnm._FilterDatabase" localSheetId="13" hidden="1">Sicepat!$A$2:$Q$45</definedName>
    <definedName name="_xlnm._FilterDatabase" localSheetId="11" hidden="1">'Sriboga Marugame'!$A$2:$S$87</definedName>
    <definedName name="_xlnm._FilterDatabase" localSheetId="5" hidden="1">'Tibeka_Biaya Lain2'!$A$2:$N$23</definedName>
    <definedName name="_xlnm._FilterDatabase" localSheetId="6" hidden="1">'Tibeka_Biaya Pengiriman'!$A$2:$Q$23</definedName>
    <definedName name="_xlnm.Print_Area" localSheetId="7">'Ibu ENi'!$A$1:$N$32</definedName>
    <definedName name="_xlnm.Print_Area" localSheetId="10">'Perhitungan DN'!$A$89:$F$145</definedName>
    <definedName name="_xlnm.Print_Area" localSheetId="0">'PiuGlobal 20'!$A$84:$P$110</definedName>
    <definedName name="_xlnm.Print_Area" localSheetId="3">'rekap tm'!$A$164:$L$257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508" i="42" l="1"/>
  <c r="K685" i="42"/>
  <c r="Q685" i="42" s="1"/>
  <c r="K686" i="42"/>
  <c r="Q686" i="42" s="1"/>
  <c r="K687" i="42"/>
  <c r="Q687" i="42" s="1"/>
  <c r="K688" i="42"/>
  <c r="K689" i="42"/>
  <c r="K681" i="42"/>
  <c r="Q681" i="42" s="1"/>
  <c r="K682" i="42"/>
  <c r="Q682" i="42" s="1"/>
  <c r="K683" i="42"/>
  <c r="Q683" i="42" s="1"/>
  <c r="K684" i="42"/>
  <c r="Q684" i="42" s="1"/>
  <c r="K679" i="42"/>
  <c r="K680" i="42"/>
  <c r="U652" i="42" l="1"/>
  <c r="U651" i="42"/>
  <c r="U650" i="42"/>
  <c r="U649" i="42"/>
  <c r="K664" i="42" l="1"/>
  <c r="K665" i="42"/>
  <c r="K666" i="42"/>
  <c r="K667" i="42"/>
  <c r="K668" i="42"/>
  <c r="K669" i="42"/>
  <c r="K670" i="42"/>
  <c r="K671" i="42"/>
  <c r="K672" i="42"/>
  <c r="K673" i="42"/>
  <c r="K674" i="42"/>
  <c r="K675" i="42"/>
  <c r="K676" i="42"/>
  <c r="K677" i="42"/>
  <c r="K678" i="42"/>
  <c r="K656" i="42"/>
  <c r="K657" i="42"/>
  <c r="K658" i="42"/>
  <c r="K659" i="42"/>
  <c r="K660" i="42"/>
  <c r="K661" i="42"/>
  <c r="K662" i="42"/>
  <c r="K663" i="42"/>
  <c r="U513" i="42"/>
  <c r="U512" i="42"/>
  <c r="U424" i="42"/>
  <c r="U406" i="42"/>
  <c r="U396" i="42" l="1"/>
  <c r="U417" i="42" l="1"/>
  <c r="U409" i="42"/>
  <c r="U360" i="42"/>
  <c r="U380" i="42"/>
  <c r="K640" i="42" l="1"/>
  <c r="Q640" i="42" s="1"/>
  <c r="U514" i="42" l="1"/>
  <c r="U515" i="42"/>
  <c r="U516" i="42"/>
  <c r="U517" i="42"/>
  <c r="U518" i="42"/>
  <c r="U519" i="42"/>
  <c r="U520" i="42"/>
  <c r="U521" i="42"/>
  <c r="U522" i="42"/>
  <c r="U523" i="42"/>
  <c r="U524" i="42"/>
  <c r="U525" i="42"/>
  <c r="U526" i="42"/>
  <c r="U506" i="42"/>
  <c r="U505" i="42"/>
  <c r="U504" i="42"/>
  <c r="U503" i="42"/>
  <c r="U502" i="42"/>
  <c r="U501" i="42"/>
  <c r="U500" i="42"/>
  <c r="U499" i="42"/>
  <c r="U498" i="42"/>
  <c r="U497" i="42"/>
  <c r="U496" i="42"/>
  <c r="U495" i="42"/>
  <c r="U494" i="42"/>
  <c r="U493" i="42"/>
  <c r="U492" i="42"/>
  <c r="U491" i="42"/>
  <c r="U490" i="42"/>
  <c r="U489" i="42"/>
  <c r="U488" i="42"/>
  <c r="U487" i="42"/>
  <c r="U287" i="42"/>
  <c r="U196" i="42"/>
  <c r="U195" i="42"/>
  <c r="U194" i="42"/>
  <c r="U193" i="42"/>
  <c r="U192" i="42"/>
  <c r="U191" i="42"/>
  <c r="U190" i="42"/>
  <c r="U189" i="42"/>
  <c r="U188" i="42"/>
  <c r="U187" i="42"/>
  <c r="U186" i="42"/>
  <c r="U185" i="42"/>
  <c r="U184" i="42"/>
  <c r="U183" i="42"/>
  <c r="U182" i="42"/>
  <c r="U181" i="42"/>
  <c r="U180" i="42"/>
  <c r="U179" i="42"/>
  <c r="U178" i="42"/>
  <c r="U177" i="42"/>
  <c r="U176" i="42"/>
  <c r="U93" i="42"/>
  <c r="U76" i="42"/>
  <c r="U60" i="42"/>
  <c r="U59" i="42"/>
  <c r="U58" i="42"/>
  <c r="U57" i="42"/>
  <c r="U56" i="42"/>
  <c r="U55" i="42"/>
  <c r="U54" i="42"/>
  <c r="U53" i="42"/>
  <c r="U52" i="42"/>
  <c r="U51" i="42"/>
  <c r="U50" i="42"/>
  <c r="U49" i="42"/>
  <c r="U48" i="42"/>
  <c r="U44" i="42"/>
  <c r="U43" i="42"/>
  <c r="U42" i="42"/>
  <c r="U41" i="42"/>
  <c r="U40" i="42"/>
  <c r="U39" i="42"/>
  <c r="U38" i="42"/>
  <c r="U37" i="42"/>
  <c r="U36" i="42"/>
  <c r="U35" i="42"/>
  <c r="U34" i="42"/>
  <c r="U33" i="42"/>
  <c r="U32" i="42"/>
  <c r="U19" i="42"/>
  <c r="U18" i="42"/>
  <c r="U17" i="42"/>
  <c r="U16" i="42"/>
  <c r="U15" i="42"/>
  <c r="U8" i="42"/>
  <c r="U415" i="42" l="1"/>
  <c r="U295" i="42"/>
  <c r="U288" i="42"/>
  <c r="U1098" i="14"/>
  <c r="K637" i="42" l="1"/>
  <c r="K638" i="42"/>
  <c r="K639" i="42"/>
  <c r="K641" i="42"/>
  <c r="K642" i="42"/>
  <c r="K643" i="42"/>
  <c r="K644" i="42"/>
  <c r="K645" i="42"/>
  <c r="K646" i="42"/>
  <c r="K647" i="42"/>
  <c r="K648" i="42"/>
  <c r="K649" i="42"/>
  <c r="K650" i="42"/>
  <c r="K651" i="42"/>
  <c r="K652" i="42"/>
  <c r="K653" i="42"/>
  <c r="K654" i="42"/>
  <c r="K655" i="42"/>
  <c r="U454" i="42" l="1"/>
  <c r="U453" i="42"/>
  <c r="U452" i="42"/>
  <c r="U364" i="42"/>
  <c r="U301" i="42"/>
  <c r="U269" i="42"/>
  <c r="K626" i="42" l="1"/>
  <c r="K627" i="42"/>
  <c r="K628" i="42"/>
  <c r="K629" i="42"/>
  <c r="K630" i="42"/>
  <c r="K631" i="42"/>
  <c r="K632" i="42"/>
  <c r="K633" i="42"/>
  <c r="K634" i="42"/>
  <c r="K635" i="42"/>
  <c r="K636" i="42"/>
  <c r="K621" i="42" l="1"/>
  <c r="K622" i="42"/>
  <c r="K623" i="42"/>
  <c r="K624" i="42"/>
  <c r="K625" i="42"/>
  <c r="K304" i="42" l="1"/>
  <c r="K305" i="42"/>
  <c r="K306" i="42"/>
  <c r="K307" i="42"/>
  <c r="K308" i="42"/>
  <c r="K309" i="42"/>
  <c r="K310" i="42"/>
  <c r="K311" i="42"/>
  <c r="K312" i="42"/>
  <c r="K313" i="42"/>
  <c r="K314" i="42"/>
  <c r="K315" i="42"/>
  <c r="K316" i="42"/>
  <c r="K317" i="42"/>
  <c r="K318" i="42"/>
  <c r="K319" i="42"/>
  <c r="K320" i="42"/>
  <c r="K321" i="42"/>
  <c r="K322" i="42"/>
  <c r="K323" i="42"/>
  <c r="K332" i="42"/>
  <c r="K333" i="42"/>
  <c r="K334" i="42"/>
  <c r="K335" i="42"/>
  <c r="K336" i="42"/>
  <c r="K337" i="42"/>
  <c r="K338" i="42"/>
  <c r="K339" i="42"/>
  <c r="K340" i="42"/>
  <c r="K341" i="42"/>
  <c r="K342" i="42"/>
  <c r="K343" i="42"/>
  <c r="K344" i="42"/>
  <c r="K345" i="42"/>
  <c r="K346" i="42"/>
  <c r="K347" i="42"/>
  <c r="K348" i="42"/>
  <c r="K349" i="42"/>
  <c r="K350" i="42"/>
  <c r="K351" i="42"/>
  <c r="K352" i="42"/>
  <c r="K353" i="42"/>
  <c r="K354" i="42"/>
  <c r="K355" i="42"/>
  <c r="K356" i="42"/>
  <c r="K357" i="42"/>
  <c r="K358" i="42"/>
  <c r="K359" i="42"/>
  <c r="K360" i="42"/>
  <c r="K361" i="42"/>
  <c r="K362" i="42"/>
  <c r="K363" i="42"/>
  <c r="K364" i="42"/>
  <c r="K365" i="42"/>
  <c r="K366" i="42"/>
  <c r="K367" i="42"/>
  <c r="K368" i="42"/>
  <c r="K369" i="42"/>
  <c r="K370" i="42"/>
  <c r="K371" i="42"/>
  <c r="K372" i="42"/>
  <c r="K373" i="42"/>
  <c r="K374" i="42"/>
  <c r="K375" i="42"/>
  <c r="K376" i="42"/>
  <c r="K377" i="42"/>
  <c r="K378" i="42"/>
  <c r="K379" i="42"/>
  <c r="K380" i="42"/>
  <c r="K381" i="42"/>
  <c r="K382" i="42"/>
  <c r="K383" i="42"/>
  <c r="K384" i="42"/>
  <c r="K385" i="42"/>
  <c r="K386" i="42"/>
  <c r="K387" i="42"/>
  <c r="K388" i="42"/>
  <c r="K389" i="42"/>
  <c r="K390" i="42"/>
  <c r="K391" i="42"/>
  <c r="K392" i="42"/>
  <c r="K393" i="42"/>
  <c r="K394" i="42"/>
  <c r="K395" i="42"/>
  <c r="K396" i="42"/>
  <c r="K397" i="42"/>
  <c r="K398" i="42"/>
  <c r="K399" i="42"/>
  <c r="K400" i="42"/>
  <c r="K401" i="42"/>
  <c r="K402" i="42"/>
  <c r="K403" i="42"/>
  <c r="K404" i="42"/>
  <c r="K405" i="42"/>
  <c r="K406" i="42"/>
  <c r="K407" i="42"/>
  <c r="K408" i="42"/>
  <c r="K409" i="42"/>
  <c r="K410" i="42"/>
  <c r="K411" i="42"/>
  <c r="K412" i="42"/>
  <c r="K413" i="42"/>
  <c r="K414" i="42"/>
  <c r="K415" i="42"/>
  <c r="K416" i="42"/>
  <c r="K417" i="42"/>
  <c r="K418" i="42"/>
  <c r="K419" i="42"/>
  <c r="K420" i="42"/>
  <c r="K421" i="42"/>
  <c r="K422" i="42"/>
  <c r="K423" i="42"/>
  <c r="K424" i="42"/>
  <c r="K425" i="42"/>
  <c r="K426" i="42"/>
  <c r="K427" i="42"/>
  <c r="K428" i="42"/>
  <c r="K429" i="42"/>
  <c r="K430" i="42"/>
  <c r="K431" i="42"/>
  <c r="K432" i="42"/>
  <c r="K433" i="42"/>
  <c r="K434" i="42"/>
  <c r="K435" i="42"/>
  <c r="K436" i="42"/>
  <c r="K437" i="42"/>
  <c r="K438" i="42"/>
  <c r="K439" i="42"/>
  <c r="K440" i="42"/>
  <c r="K441" i="42"/>
  <c r="K442" i="42"/>
  <c r="K443" i="42"/>
  <c r="K444" i="42"/>
  <c r="K445" i="42"/>
  <c r="K446" i="42"/>
  <c r="K447" i="42"/>
  <c r="K448" i="42"/>
  <c r="K449" i="42"/>
  <c r="K450" i="42"/>
  <c r="K451" i="42"/>
  <c r="K452" i="42"/>
  <c r="Q452" i="42" s="1"/>
  <c r="K453" i="42"/>
  <c r="K454" i="42"/>
  <c r="K455" i="42"/>
  <c r="K456" i="42"/>
  <c r="K457" i="42"/>
  <c r="K458" i="42"/>
  <c r="K459" i="42"/>
  <c r="K460" i="42"/>
  <c r="K461" i="42"/>
  <c r="K462" i="42"/>
  <c r="K463" i="42"/>
  <c r="K464" i="42"/>
  <c r="K465" i="42"/>
  <c r="K466" i="42"/>
  <c r="K467" i="42"/>
  <c r="K468" i="42"/>
  <c r="K469" i="42"/>
  <c r="K470" i="42"/>
  <c r="K471" i="42"/>
  <c r="K472" i="42"/>
  <c r="K473" i="42"/>
  <c r="K474" i="42"/>
  <c r="K475" i="42"/>
  <c r="K476" i="42"/>
  <c r="K477" i="42"/>
  <c r="K478" i="42"/>
  <c r="K479" i="42"/>
  <c r="K480" i="42"/>
  <c r="K482" i="42"/>
  <c r="K483" i="42"/>
  <c r="K484" i="42"/>
  <c r="K485" i="42"/>
  <c r="K486" i="42"/>
  <c r="K487" i="42"/>
  <c r="K488" i="42"/>
  <c r="K489" i="42"/>
  <c r="K490" i="42"/>
  <c r="K491" i="42"/>
  <c r="K492" i="42"/>
  <c r="K493" i="42"/>
  <c r="K494" i="42"/>
  <c r="K495" i="42"/>
  <c r="K496" i="42"/>
  <c r="K497" i="42"/>
  <c r="K498" i="42"/>
  <c r="K499" i="42"/>
  <c r="K500" i="42"/>
  <c r="K501" i="42"/>
  <c r="K502" i="42"/>
  <c r="K503" i="42"/>
  <c r="K504" i="42"/>
  <c r="K505" i="42"/>
  <c r="K506" i="42"/>
  <c r="K147" i="42"/>
  <c r="K148" i="42"/>
  <c r="K149" i="42"/>
  <c r="K150" i="42"/>
  <c r="K151" i="42"/>
  <c r="K152" i="42"/>
  <c r="K153" i="42"/>
  <c r="K154" i="42"/>
  <c r="K155" i="42"/>
  <c r="K156" i="42"/>
  <c r="K157" i="42"/>
  <c r="K158" i="42"/>
  <c r="K159" i="42"/>
  <c r="K160" i="42"/>
  <c r="K161" i="42"/>
  <c r="K162" i="42"/>
  <c r="K163" i="42"/>
  <c r="K164" i="42"/>
  <c r="K165" i="42"/>
  <c r="K166" i="42"/>
  <c r="K167" i="42"/>
  <c r="K168" i="42"/>
  <c r="K169" i="42"/>
  <c r="K170" i="42"/>
  <c r="K171" i="42"/>
  <c r="K172" i="42"/>
  <c r="K173" i="42"/>
  <c r="K174" i="42"/>
  <c r="K175" i="42"/>
  <c r="K176" i="42"/>
  <c r="K177" i="42"/>
  <c r="K178" i="42"/>
  <c r="K179" i="42"/>
  <c r="K180" i="42"/>
  <c r="K181" i="42"/>
  <c r="K182" i="42"/>
  <c r="K183" i="42"/>
  <c r="K184" i="42"/>
  <c r="K185" i="42"/>
  <c r="K186" i="42"/>
  <c r="K187" i="42"/>
  <c r="K188" i="42"/>
  <c r="K189" i="42"/>
  <c r="K190" i="42"/>
  <c r="K191" i="42"/>
  <c r="K192" i="42"/>
  <c r="K193" i="42"/>
  <c r="K194" i="42"/>
  <c r="K195" i="42"/>
  <c r="K196" i="42"/>
  <c r="K197" i="42"/>
  <c r="K198" i="42"/>
  <c r="K199" i="42"/>
  <c r="K200" i="42"/>
  <c r="K201" i="42"/>
  <c r="K202" i="42"/>
  <c r="K203" i="42"/>
  <c r="K204" i="42"/>
  <c r="K205" i="42"/>
  <c r="K207" i="42"/>
  <c r="K208" i="42"/>
  <c r="K209" i="42"/>
  <c r="K210" i="42"/>
  <c r="K211" i="42"/>
  <c r="K212" i="42"/>
  <c r="K213" i="42"/>
  <c r="K214" i="42"/>
  <c r="K215" i="42"/>
  <c r="K216" i="42"/>
  <c r="K217" i="42"/>
  <c r="K218" i="42"/>
  <c r="K219" i="42"/>
  <c r="K220" i="42"/>
  <c r="K221" i="42"/>
  <c r="K222" i="42"/>
  <c r="K223" i="42"/>
  <c r="K224" i="42"/>
  <c r="K225" i="42"/>
  <c r="K226" i="42"/>
  <c r="K227" i="42"/>
  <c r="K228" i="42"/>
  <c r="K229" i="42"/>
  <c r="K230" i="42"/>
  <c r="K231" i="42"/>
  <c r="K232" i="42"/>
  <c r="K233" i="42"/>
  <c r="K234" i="42"/>
  <c r="K235" i="42"/>
  <c r="K236" i="42"/>
  <c r="K237" i="42"/>
  <c r="K238" i="42"/>
  <c r="K239" i="42"/>
  <c r="K240" i="42"/>
  <c r="K241" i="42"/>
  <c r="K242" i="42"/>
  <c r="K243" i="42"/>
  <c r="K244" i="42"/>
  <c r="K245" i="42"/>
  <c r="K246" i="42"/>
  <c r="K247" i="42"/>
  <c r="K248" i="42"/>
  <c r="K249" i="42"/>
  <c r="K250" i="42"/>
  <c r="K251" i="42"/>
  <c r="K252" i="42"/>
  <c r="K253" i="42"/>
  <c r="K254" i="42"/>
  <c r="K255" i="42"/>
  <c r="K256" i="42"/>
  <c r="K257" i="42"/>
  <c r="K258" i="42"/>
  <c r="K259" i="42"/>
  <c r="K260" i="42"/>
  <c r="K261" i="42"/>
  <c r="K262" i="42"/>
  <c r="K263" i="42"/>
  <c r="K264" i="42"/>
  <c r="K265" i="42"/>
  <c r="K266" i="42"/>
  <c r="K267" i="42"/>
  <c r="K268" i="42"/>
  <c r="K269" i="42"/>
  <c r="K270" i="42"/>
  <c r="K271" i="42"/>
  <c r="K272" i="42"/>
  <c r="K273" i="42"/>
  <c r="Q273" i="42" s="1"/>
  <c r="K274" i="42"/>
  <c r="K275" i="42"/>
  <c r="K276" i="42"/>
  <c r="K277" i="42"/>
  <c r="K278" i="42"/>
  <c r="K279" i="42"/>
  <c r="K280" i="42"/>
  <c r="K281" i="42"/>
  <c r="K282" i="42"/>
  <c r="K283" i="42"/>
  <c r="K284" i="42"/>
  <c r="K285" i="42"/>
  <c r="K287" i="42"/>
  <c r="K288" i="42"/>
  <c r="K289" i="42"/>
  <c r="K290" i="42"/>
  <c r="K291" i="42"/>
  <c r="K292" i="42"/>
  <c r="K293" i="42"/>
  <c r="K294" i="42"/>
  <c r="K295" i="42"/>
  <c r="K296" i="42"/>
  <c r="K297" i="42"/>
  <c r="K298" i="42"/>
  <c r="K299" i="42"/>
  <c r="K300" i="42"/>
  <c r="K301" i="42"/>
  <c r="K5" i="42"/>
  <c r="K6" i="42"/>
  <c r="K7" i="42"/>
  <c r="K8" i="42"/>
  <c r="K9" i="42"/>
  <c r="K10" i="42"/>
  <c r="K11" i="42"/>
  <c r="K12" i="42"/>
  <c r="K13" i="42"/>
  <c r="K14" i="42"/>
  <c r="K15" i="42"/>
  <c r="K16" i="42"/>
  <c r="K17" i="42"/>
  <c r="K18" i="42"/>
  <c r="K19" i="42"/>
  <c r="K20" i="42"/>
  <c r="K21" i="42"/>
  <c r="K22" i="42"/>
  <c r="K23" i="42"/>
  <c r="K24" i="42"/>
  <c r="K25" i="42"/>
  <c r="K26" i="42"/>
  <c r="K27" i="42"/>
  <c r="K28" i="42"/>
  <c r="K29" i="42"/>
  <c r="K30" i="42"/>
  <c r="K31" i="42"/>
  <c r="K32" i="42"/>
  <c r="K33" i="42"/>
  <c r="K34" i="42"/>
  <c r="K35" i="42"/>
  <c r="K36" i="42"/>
  <c r="K37" i="42"/>
  <c r="K38" i="42"/>
  <c r="K39" i="42"/>
  <c r="K40" i="42"/>
  <c r="K41" i="42"/>
  <c r="K42" i="42"/>
  <c r="K43" i="42"/>
  <c r="K44" i="42"/>
  <c r="K45" i="42"/>
  <c r="K46" i="42"/>
  <c r="K47" i="42"/>
  <c r="K48" i="42"/>
  <c r="K49" i="42"/>
  <c r="K50" i="42"/>
  <c r="K51" i="42"/>
  <c r="K52" i="42"/>
  <c r="K53" i="42"/>
  <c r="K54" i="42"/>
  <c r="K55" i="42"/>
  <c r="K56" i="42"/>
  <c r="K57" i="42"/>
  <c r="K58" i="42"/>
  <c r="K59" i="42"/>
  <c r="K60" i="42"/>
  <c r="K61" i="42"/>
  <c r="K62" i="42"/>
  <c r="K63" i="42"/>
  <c r="K64" i="42"/>
  <c r="K65" i="42"/>
  <c r="K66" i="42"/>
  <c r="K67" i="42"/>
  <c r="K68" i="42"/>
  <c r="K69" i="42"/>
  <c r="K70" i="42"/>
  <c r="K71" i="42"/>
  <c r="K72" i="42"/>
  <c r="K73" i="42"/>
  <c r="K74" i="42"/>
  <c r="K75" i="42"/>
  <c r="K76" i="42"/>
  <c r="K77" i="42"/>
  <c r="K78" i="42"/>
  <c r="K79" i="42"/>
  <c r="K80" i="42"/>
  <c r="K81" i="42"/>
  <c r="K82" i="42"/>
  <c r="K83" i="42"/>
  <c r="K84" i="42"/>
  <c r="K85" i="42"/>
  <c r="K86" i="42"/>
  <c r="K87" i="42"/>
  <c r="K88" i="42"/>
  <c r="K89" i="42"/>
  <c r="K90" i="42"/>
  <c r="K91" i="42"/>
  <c r="K92" i="42"/>
  <c r="K93" i="42"/>
  <c r="K94" i="42"/>
  <c r="K95" i="42"/>
  <c r="K96" i="42"/>
  <c r="K97" i="42"/>
  <c r="K98" i="42"/>
  <c r="K99" i="42"/>
  <c r="K100" i="42"/>
  <c r="K101" i="42"/>
  <c r="K102" i="42"/>
  <c r="K103" i="42"/>
  <c r="K104" i="42"/>
  <c r="K105" i="42"/>
  <c r="K106" i="42"/>
  <c r="K107" i="42"/>
  <c r="K108" i="42"/>
  <c r="K109" i="42"/>
  <c r="K110" i="42"/>
  <c r="K111" i="42"/>
  <c r="K112" i="42"/>
  <c r="K113" i="42"/>
  <c r="K114" i="42"/>
  <c r="K115" i="42"/>
  <c r="K116" i="42"/>
  <c r="K117" i="42"/>
  <c r="K118" i="42"/>
  <c r="K119" i="42"/>
  <c r="K120" i="42"/>
  <c r="K121" i="42"/>
  <c r="K122" i="42"/>
  <c r="K123" i="42"/>
  <c r="K124" i="42"/>
  <c r="K125" i="42"/>
  <c r="K126" i="42"/>
  <c r="K127" i="42"/>
  <c r="K128" i="42"/>
  <c r="K129" i="42"/>
  <c r="K130" i="42"/>
  <c r="K131" i="42"/>
  <c r="K132" i="42"/>
  <c r="K133" i="42"/>
  <c r="K134" i="42"/>
  <c r="K135" i="42"/>
  <c r="K136" i="42"/>
  <c r="K137" i="42"/>
  <c r="K138" i="42"/>
  <c r="K139" i="42"/>
  <c r="K140" i="42"/>
  <c r="K141" i="42"/>
  <c r="K142" i="42"/>
  <c r="K143" i="42"/>
  <c r="K144" i="42"/>
  <c r="Q743" i="42"/>
  <c r="Q621" i="42"/>
  <c r="Q622" i="42"/>
  <c r="Q623" i="42"/>
  <c r="Q624" i="42"/>
  <c r="Q625" i="42"/>
  <c r="Q626" i="42"/>
  <c r="Q627" i="42"/>
  <c r="Q628" i="42"/>
  <c r="Q629" i="42"/>
  <c r="Q630" i="42"/>
  <c r="Q631" i="42"/>
  <c r="Q632" i="42"/>
  <c r="Q633" i="42"/>
  <c r="Q634" i="42"/>
  <c r="Q635" i="42"/>
  <c r="Q636" i="42"/>
  <c r="Q637" i="42"/>
  <c r="Q638" i="42"/>
  <c r="Q639" i="42"/>
  <c r="Q641" i="42"/>
  <c r="Q642" i="42"/>
  <c r="Q643" i="42"/>
  <c r="Q644" i="42"/>
  <c r="Q645" i="42"/>
  <c r="Q646" i="42"/>
  <c r="Q647" i="42"/>
  <c r="Q648" i="42"/>
  <c r="Q649" i="42"/>
  <c r="Q650" i="42"/>
  <c r="Q651" i="42"/>
  <c r="Q652" i="42"/>
  <c r="Q653" i="42"/>
  <c r="Q654" i="42"/>
  <c r="Q655" i="42"/>
  <c r="Q656" i="42"/>
  <c r="Q657" i="42"/>
  <c r="Q658" i="42"/>
  <c r="Q659" i="42"/>
  <c r="Q660" i="42"/>
  <c r="Q661" i="42"/>
  <c r="Q662" i="42"/>
  <c r="Q663" i="42"/>
  <c r="Q664" i="42"/>
  <c r="Q665" i="42"/>
  <c r="Q666" i="42"/>
  <c r="Q667" i="42"/>
  <c r="Q668" i="42"/>
  <c r="Q669" i="42"/>
  <c r="Q670" i="42"/>
  <c r="Q671" i="42"/>
  <c r="Q672" i="42"/>
  <c r="Q673" i="42"/>
  <c r="Q674" i="42"/>
  <c r="Q675" i="42"/>
  <c r="Q676" i="42"/>
  <c r="Q677" i="42"/>
  <c r="Q678" i="42"/>
  <c r="Q679" i="42"/>
  <c r="Q680" i="42"/>
  <c r="Q735" i="42"/>
  <c r="Q736" i="42"/>
  <c r="Q737" i="42"/>
  <c r="Q738" i="42"/>
  <c r="Q739" i="42"/>
  <c r="Q740" i="42"/>
  <c r="Q741" i="42"/>
  <c r="Q742" i="42"/>
  <c r="Q750" i="42"/>
  <c r="O76" i="42" l="1"/>
  <c r="N76" i="42"/>
  <c r="O56" i="42"/>
  <c r="N56" i="42"/>
  <c r="O48" i="42"/>
  <c r="N48" i="42"/>
  <c r="O40" i="42"/>
  <c r="N40" i="42"/>
  <c r="O32" i="42"/>
  <c r="N32" i="42"/>
  <c r="O24" i="42"/>
  <c r="N24" i="42"/>
  <c r="O16" i="42"/>
  <c r="N16" i="42"/>
  <c r="O8" i="42"/>
  <c r="N8" i="42"/>
  <c r="O195" i="42"/>
  <c r="N195" i="42"/>
  <c r="O187" i="42"/>
  <c r="N187" i="42"/>
  <c r="O179" i="42"/>
  <c r="N179" i="42"/>
  <c r="O168" i="42"/>
  <c r="N168" i="42"/>
  <c r="O160" i="42"/>
  <c r="N160" i="42"/>
  <c r="O311" i="42"/>
  <c r="N311" i="42"/>
  <c r="O59" i="42"/>
  <c r="N59" i="42"/>
  <c r="O51" i="42"/>
  <c r="N51" i="42"/>
  <c r="O43" i="42"/>
  <c r="N43" i="42"/>
  <c r="O35" i="42"/>
  <c r="N35" i="42"/>
  <c r="O31" i="42"/>
  <c r="N31" i="42"/>
  <c r="O23" i="42"/>
  <c r="N23" i="42"/>
  <c r="O15" i="42"/>
  <c r="N15" i="42"/>
  <c r="O7" i="42"/>
  <c r="N7" i="42"/>
  <c r="O194" i="42"/>
  <c r="N194" i="42"/>
  <c r="O186" i="42"/>
  <c r="N186" i="42"/>
  <c r="O182" i="42"/>
  <c r="N182" i="42"/>
  <c r="O159" i="42"/>
  <c r="N159" i="42"/>
  <c r="O151" i="42"/>
  <c r="N151" i="42"/>
  <c r="O322" i="42"/>
  <c r="N322" i="42"/>
  <c r="O318" i="42"/>
  <c r="N318" i="42"/>
  <c r="O314" i="42"/>
  <c r="N314" i="42"/>
  <c r="O306" i="42"/>
  <c r="N306" i="42"/>
  <c r="O74" i="42"/>
  <c r="N74" i="42"/>
  <c r="O50" i="42"/>
  <c r="N50" i="42"/>
  <c r="O38" i="42"/>
  <c r="N38" i="42"/>
  <c r="O22" i="42"/>
  <c r="N22" i="42"/>
  <c r="O10" i="42"/>
  <c r="N10" i="42"/>
  <c r="O197" i="42"/>
  <c r="N197" i="42"/>
  <c r="O181" i="42"/>
  <c r="N181" i="42"/>
  <c r="O169" i="42"/>
  <c r="N169" i="42"/>
  <c r="O154" i="42"/>
  <c r="N154" i="42"/>
  <c r="O321" i="42"/>
  <c r="N321" i="42"/>
  <c r="O317" i="42"/>
  <c r="N317" i="42"/>
  <c r="O313" i="42"/>
  <c r="N313" i="42"/>
  <c r="O309" i="42"/>
  <c r="N309" i="42"/>
  <c r="O60" i="42"/>
  <c r="N60" i="42"/>
  <c r="O52" i="42"/>
  <c r="N52" i="42"/>
  <c r="O44" i="42"/>
  <c r="N44" i="42"/>
  <c r="O36" i="42"/>
  <c r="N36" i="42"/>
  <c r="O28" i="42"/>
  <c r="N28" i="42"/>
  <c r="O20" i="42"/>
  <c r="N20" i="42"/>
  <c r="O12" i="42"/>
  <c r="N12" i="42"/>
  <c r="O191" i="42"/>
  <c r="N191" i="42"/>
  <c r="O183" i="42"/>
  <c r="N183" i="42"/>
  <c r="O171" i="42"/>
  <c r="N171" i="42"/>
  <c r="O164" i="42"/>
  <c r="N164" i="42"/>
  <c r="O156" i="42"/>
  <c r="N156" i="42"/>
  <c r="O148" i="42"/>
  <c r="N148" i="42"/>
  <c r="O323" i="42"/>
  <c r="N323" i="42"/>
  <c r="O319" i="42"/>
  <c r="N319" i="42"/>
  <c r="O315" i="42"/>
  <c r="N315" i="42"/>
  <c r="O307" i="42"/>
  <c r="N307" i="42"/>
  <c r="O75" i="42"/>
  <c r="N75" i="42"/>
  <c r="O55" i="42"/>
  <c r="N55" i="42"/>
  <c r="O47" i="42"/>
  <c r="N47" i="42"/>
  <c r="O39" i="42"/>
  <c r="N39" i="42"/>
  <c r="O27" i="42"/>
  <c r="N27" i="42"/>
  <c r="O19" i="42"/>
  <c r="N19" i="42"/>
  <c r="O11" i="42"/>
  <c r="N11" i="42"/>
  <c r="O198" i="42"/>
  <c r="N198" i="42"/>
  <c r="O190" i="42"/>
  <c r="N190" i="42"/>
  <c r="O178" i="42"/>
  <c r="N178" i="42"/>
  <c r="O170" i="42"/>
  <c r="N170" i="42"/>
  <c r="O163" i="42"/>
  <c r="N163" i="42"/>
  <c r="O155" i="42"/>
  <c r="N155" i="42"/>
  <c r="O147" i="42"/>
  <c r="N147" i="42"/>
  <c r="O310" i="42"/>
  <c r="N310" i="42"/>
  <c r="O58" i="42"/>
  <c r="N58" i="42"/>
  <c r="O54" i="42"/>
  <c r="N54" i="42"/>
  <c r="O46" i="42"/>
  <c r="N46" i="42"/>
  <c r="O42" i="42"/>
  <c r="N42" i="42"/>
  <c r="O34" i="42"/>
  <c r="N34" i="42"/>
  <c r="O30" i="42"/>
  <c r="N30" i="42"/>
  <c r="O26" i="42"/>
  <c r="N26" i="42"/>
  <c r="O18" i="42"/>
  <c r="N18" i="42"/>
  <c r="O14" i="42"/>
  <c r="N14" i="42"/>
  <c r="O6" i="42"/>
  <c r="N6" i="42"/>
  <c r="O193" i="42"/>
  <c r="N193" i="42"/>
  <c r="O189" i="42"/>
  <c r="N189" i="42"/>
  <c r="O185" i="42"/>
  <c r="N185" i="42"/>
  <c r="O177" i="42"/>
  <c r="N177" i="42"/>
  <c r="O162" i="42"/>
  <c r="N162" i="42"/>
  <c r="O158" i="42"/>
  <c r="N158" i="42"/>
  <c r="O150" i="42"/>
  <c r="N150" i="42"/>
  <c r="O73" i="42"/>
  <c r="N73" i="42"/>
  <c r="O61" i="42"/>
  <c r="N61" i="42"/>
  <c r="O57" i="42"/>
  <c r="N57" i="42"/>
  <c r="O53" i="42"/>
  <c r="N53" i="42"/>
  <c r="O49" i="42"/>
  <c r="N49" i="42"/>
  <c r="O45" i="42"/>
  <c r="N45" i="42"/>
  <c r="O41" i="42"/>
  <c r="N41" i="42"/>
  <c r="O37" i="42"/>
  <c r="N37" i="42"/>
  <c r="O33" i="42"/>
  <c r="N33" i="42"/>
  <c r="O29" i="42"/>
  <c r="N29" i="42"/>
  <c r="O25" i="42"/>
  <c r="N25" i="42"/>
  <c r="O21" i="42"/>
  <c r="N21" i="42"/>
  <c r="O17" i="42"/>
  <c r="N17" i="42"/>
  <c r="O13" i="42"/>
  <c r="N13" i="42"/>
  <c r="O9" i="42"/>
  <c r="N9" i="42"/>
  <c r="O5" i="42"/>
  <c r="N5" i="42"/>
  <c r="O196" i="42"/>
  <c r="N196" i="42"/>
  <c r="O192" i="42"/>
  <c r="N192" i="42"/>
  <c r="O188" i="42"/>
  <c r="N188" i="42"/>
  <c r="O184" i="42"/>
  <c r="N184" i="42"/>
  <c r="O180" i="42"/>
  <c r="N180" i="42"/>
  <c r="O176" i="42"/>
  <c r="N176" i="42"/>
  <c r="O165" i="42"/>
  <c r="N165" i="42"/>
  <c r="O161" i="42"/>
  <c r="N161" i="42"/>
  <c r="O157" i="42"/>
  <c r="N157" i="42"/>
  <c r="O153" i="42"/>
  <c r="N153" i="42"/>
  <c r="O149" i="42"/>
  <c r="N149" i="42"/>
  <c r="O320" i="42"/>
  <c r="N320" i="42"/>
  <c r="O316" i="42"/>
  <c r="N316" i="42"/>
  <c r="O312" i="42"/>
  <c r="N312" i="42"/>
  <c r="O308" i="42"/>
  <c r="N308" i="42"/>
  <c r="U458" i="42"/>
  <c r="U446" i="42"/>
  <c r="U445" i="42"/>
  <c r="U444" i="42"/>
  <c r="U443" i="42"/>
  <c r="U431" i="42"/>
  <c r="U423" i="42"/>
  <c r="U422" i="42"/>
  <c r="U412" i="42"/>
  <c r="U411" i="42"/>
  <c r="U410" i="42"/>
  <c r="U387" i="42"/>
  <c r="U386" i="42"/>
  <c r="U385" i="42"/>
  <c r="U384" i="42"/>
  <c r="U383" i="42"/>
  <c r="U370" i="42"/>
  <c r="U369" i="42"/>
  <c r="U368" i="42"/>
  <c r="U367" i="42"/>
  <c r="U359" i="42"/>
  <c r="U299" i="42"/>
  <c r="U297" i="42"/>
  <c r="U296" i="42"/>
  <c r="Q334" i="42"/>
  <c r="P982" i="14" l="1"/>
  <c r="K610" i="42" l="1"/>
  <c r="Q610" i="42" s="1"/>
  <c r="K611" i="42"/>
  <c r="Q611" i="42" s="1"/>
  <c r="Q451" i="42"/>
  <c r="Q453" i="42"/>
  <c r="Q454" i="42"/>
  <c r="K612" i="42"/>
  <c r="Q612" i="42" s="1"/>
  <c r="K613" i="42"/>
  <c r="Q613" i="42" s="1"/>
  <c r="K614" i="42"/>
  <c r="Q614" i="42" s="1"/>
  <c r="K615" i="42"/>
  <c r="Q615" i="42" s="1"/>
  <c r="K616" i="42"/>
  <c r="Q616" i="42" s="1"/>
  <c r="K617" i="42"/>
  <c r="Q617" i="42" s="1"/>
  <c r="K507" i="42"/>
  <c r="Q507" i="42" s="1"/>
  <c r="K618" i="42"/>
  <c r="Q618" i="42" s="1"/>
  <c r="K619" i="42"/>
  <c r="Q619" i="42" s="1"/>
  <c r="K620" i="42"/>
  <c r="Q620" i="42" s="1"/>
  <c r="Q464" i="42"/>
  <c r="Q465" i="42"/>
  <c r="Q466" i="42"/>
  <c r="Q467" i="42"/>
  <c r="Q468" i="42"/>
  <c r="K603" i="42"/>
  <c r="Q603" i="42" s="1"/>
  <c r="Q469" i="42"/>
  <c r="Q470" i="42"/>
  <c r="Q471" i="42"/>
  <c r="K604" i="42"/>
  <c r="Q604" i="42" s="1"/>
  <c r="K605" i="42"/>
  <c r="Q605" i="42" s="1"/>
  <c r="K606" i="42"/>
  <c r="Q606" i="42" s="1"/>
  <c r="K607" i="42"/>
  <c r="Q607" i="42" s="1"/>
  <c r="K608" i="42"/>
  <c r="Q608" i="42" s="1"/>
  <c r="K609" i="42"/>
  <c r="Q609" i="42" s="1"/>
  <c r="Q472" i="42"/>
  <c r="Q474" i="42" l="1"/>
  <c r="Q475" i="42"/>
  <c r="Q478" i="42"/>
  <c r="Q479" i="42"/>
  <c r="Q480" i="42"/>
  <c r="Q481" i="42"/>
  <c r="Q482" i="42"/>
  <c r="Q483" i="42"/>
  <c r="Q484" i="42"/>
  <c r="Q485" i="42"/>
  <c r="Q486" i="42"/>
  <c r="Q487" i="42"/>
  <c r="Q488" i="42"/>
  <c r="Q489" i="42"/>
  <c r="Q490" i="42"/>
  <c r="Q491" i="42"/>
  <c r="Q492" i="42"/>
  <c r="Q493" i="42"/>
  <c r="Q494" i="42"/>
  <c r="Q495" i="42"/>
  <c r="Q496" i="42"/>
  <c r="Q497" i="42"/>
  <c r="Q498" i="42"/>
  <c r="Q499" i="42"/>
  <c r="Q500" i="42"/>
  <c r="Q501" i="42"/>
  <c r="Q502" i="42"/>
  <c r="Q503" i="42"/>
  <c r="Q504" i="42"/>
  <c r="Q505" i="42"/>
  <c r="Q506" i="42"/>
  <c r="U322" i="42" l="1"/>
  <c r="U320" i="42"/>
  <c r="U319" i="42"/>
  <c r="U318" i="42"/>
  <c r="U317" i="42"/>
  <c r="U311" i="42"/>
  <c r="U310" i="42"/>
  <c r="U309" i="42"/>
  <c r="U308" i="42"/>
  <c r="U307" i="42"/>
  <c r="U306" i="42"/>
  <c r="U170" i="42"/>
  <c r="U169" i="42"/>
  <c r="Q455" i="42" l="1"/>
  <c r="Q456" i="42"/>
  <c r="K600" i="42"/>
  <c r="Q600" i="42" s="1"/>
  <c r="K601" i="42"/>
  <c r="Q601" i="42" s="1"/>
  <c r="Q457" i="42"/>
  <c r="Q458" i="42"/>
  <c r="Q459" i="42"/>
  <c r="Q460" i="42"/>
  <c r="Q461" i="42"/>
  <c r="K286" i="42"/>
  <c r="Q286" i="42" s="1"/>
  <c r="K602" i="42"/>
  <c r="Q602" i="42" s="1"/>
  <c r="Q462" i="42"/>
  <c r="Q463" i="42"/>
  <c r="Q473" i="42" l="1"/>
  <c r="K324" i="42"/>
  <c r="K325" i="42"/>
  <c r="Q325" i="42" s="1"/>
  <c r="K326" i="42"/>
  <c r="Q326" i="42" s="1"/>
  <c r="K327" i="42"/>
  <c r="Q327" i="42" s="1"/>
  <c r="Q206" i="42"/>
  <c r="K511" i="42"/>
  <c r="K328" i="42"/>
  <c r="K329" i="42"/>
  <c r="K330" i="42"/>
  <c r="K331" i="42"/>
  <c r="K512" i="42"/>
  <c r="K513" i="42"/>
  <c r="K514" i="42"/>
  <c r="K515" i="42"/>
  <c r="K516" i="42"/>
  <c r="K517" i="42"/>
  <c r="K518" i="42"/>
  <c r="K519" i="42"/>
  <c r="K520" i="42"/>
  <c r="K521" i="42"/>
  <c r="K522" i="42"/>
  <c r="K523" i="42"/>
  <c r="K524" i="42"/>
  <c r="K525" i="42"/>
  <c r="K526" i="42"/>
  <c r="K527" i="42"/>
  <c r="Q527" i="42" s="1"/>
  <c r="K528" i="42"/>
  <c r="Q528" i="42" s="1"/>
  <c r="K529" i="42"/>
  <c r="Q529" i="42" s="1"/>
  <c r="K530" i="42"/>
  <c r="Q530" i="42" s="1"/>
  <c r="K531" i="42"/>
  <c r="Q531" i="42" s="1"/>
  <c r="K532" i="42"/>
  <c r="Q532" i="42" s="1"/>
  <c r="K533" i="42"/>
  <c r="Q533" i="42" s="1"/>
  <c r="K534" i="42"/>
  <c r="Q534" i="42" s="1"/>
  <c r="K535" i="42"/>
  <c r="Q535" i="42" s="1"/>
  <c r="K536" i="42"/>
  <c r="Q536" i="42" s="1"/>
  <c r="K537" i="42"/>
  <c r="Q537" i="42" s="1"/>
  <c r="K538" i="42"/>
  <c r="Q538" i="42" s="1"/>
  <c r="K539" i="42"/>
  <c r="Q539" i="42" s="1"/>
  <c r="K540" i="42"/>
  <c r="Q540" i="42" s="1"/>
  <c r="K541" i="42"/>
  <c r="Q541" i="42" s="1"/>
  <c r="K542" i="42"/>
  <c r="Q542" i="42" s="1"/>
  <c r="K543" i="42"/>
  <c r="Q543" i="42" s="1"/>
  <c r="K544" i="42"/>
  <c r="Q544" i="42" s="1"/>
  <c r="K545" i="42"/>
  <c r="Q545" i="42" s="1"/>
  <c r="K546" i="42"/>
  <c r="Q546" i="42" s="1"/>
  <c r="K547" i="42"/>
  <c r="Q547" i="42" s="1"/>
  <c r="K548" i="42"/>
  <c r="Q548" i="42" s="1"/>
  <c r="K549" i="42"/>
  <c r="Q549" i="42" s="1"/>
  <c r="K550" i="42"/>
  <c r="Q550" i="42" s="1"/>
  <c r="K551" i="42"/>
  <c r="Q551" i="42" s="1"/>
  <c r="K552" i="42"/>
  <c r="Q552" i="42" s="1"/>
  <c r="K553" i="42"/>
  <c r="Q553" i="42" s="1"/>
  <c r="K554" i="42"/>
  <c r="Q554" i="42" s="1"/>
  <c r="K555" i="42"/>
  <c r="Q555" i="42" s="1"/>
  <c r="K556" i="42"/>
  <c r="Q556" i="42" s="1"/>
  <c r="K557" i="42"/>
  <c r="Q557" i="42" s="1"/>
  <c r="K558" i="42"/>
  <c r="Q558" i="42" s="1"/>
  <c r="K559" i="42"/>
  <c r="Q559" i="42" s="1"/>
  <c r="K560" i="42"/>
  <c r="Q560" i="42" s="1"/>
  <c r="K561" i="42"/>
  <c r="Q561" i="42" s="1"/>
  <c r="K562" i="42"/>
  <c r="Q562" i="42" s="1"/>
  <c r="K563" i="42"/>
  <c r="Q563" i="42" s="1"/>
  <c r="K564" i="42"/>
  <c r="Q564" i="42" s="1"/>
  <c r="K565" i="42"/>
  <c r="Q565" i="42" s="1"/>
  <c r="K566" i="42"/>
  <c r="Q566" i="42" s="1"/>
  <c r="K567" i="42"/>
  <c r="Q567" i="42" s="1"/>
  <c r="K568" i="42"/>
  <c r="Q568" i="42" s="1"/>
  <c r="K569" i="42"/>
  <c r="Q569" i="42" s="1"/>
  <c r="K570" i="42"/>
  <c r="Q570" i="42" s="1"/>
  <c r="K571" i="42"/>
  <c r="Q571" i="42" s="1"/>
  <c r="K572" i="42"/>
  <c r="Q572" i="42" s="1"/>
  <c r="K573" i="42"/>
  <c r="Q573" i="42" s="1"/>
  <c r="K574" i="42"/>
  <c r="Q574" i="42" s="1"/>
  <c r="K575" i="42"/>
  <c r="Q575" i="42" s="1"/>
  <c r="K576" i="42"/>
  <c r="Q576" i="42" s="1"/>
  <c r="K577" i="42"/>
  <c r="Q577" i="42" s="1"/>
  <c r="K578" i="42"/>
  <c r="Q578" i="42" s="1"/>
  <c r="K579" i="42"/>
  <c r="Q579" i="42" s="1"/>
  <c r="K580" i="42"/>
  <c r="Q580" i="42" s="1"/>
  <c r="K581" i="42"/>
  <c r="Q581" i="42" s="1"/>
  <c r="K582" i="42"/>
  <c r="Q582" i="42" s="1"/>
  <c r="K583" i="42"/>
  <c r="Q583" i="42" s="1"/>
  <c r="K584" i="42"/>
  <c r="Q584" i="42" s="1"/>
  <c r="K585" i="42"/>
  <c r="Q585" i="42" s="1"/>
  <c r="K586" i="42"/>
  <c r="Q586" i="42" s="1"/>
  <c r="K587" i="42"/>
  <c r="Q587" i="42" s="1"/>
  <c r="K588" i="42"/>
  <c r="Q588" i="42" s="1"/>
  <c r="K589" i="42"/>
  <c r="Q589" i="42" s="1"/>
  <c r="K590" i="42"/>
  <c r="Q590" i="42" s="1"/>
  <c r="K591" i="42"/>
  <c r="Q591" i="42" s="1"/>
  <c r="K592" i="42"/>
  <c r="Q592" i="42" s="1"/>
  <c r="K593" i="42"/>
  <c r="Q593" i="42" s="1"/>
  <c r="K594" i="42"/>
  <c r="Q594" i="42" s="1"/>
  <c r="K595" i="42"/>
  <c r="Q595" i="42" s="1"/>
  <c r="K596" i="42"/>
  <c r="Q596" i="42" s="1"/>
  <c r="K597" i="42"/>
  <c r="Q597" i="42" s="1"/>
  <c r="K598" i="42"/>
  <c r="Q598" i="42" s="1"/>
  <c r="K599" i="42"/>
  <c r="Q599" i="42" s="1"/>
  <c r="O511" i="42" l="1"/>
  <c r="N511" i="42"/>
  <c r="O524" i="42"/>
  <c r="N524" i="42"/>
  <c r="O516" i="42"/>
  <c r="N516" i="42"/>
  <c r="O328" i="42"/>
  <c r="N328" i="42"/>
  <c r="O523" i="42"/>
  <c r="N523" i="42"/>
  <c r="O526" i="42"/>
  <c r="N526" i="42"/>
  <c r="O522" i="42"/>
  <c r="N522" i="42"/>
  <c r="O518" i="42"/>
  <c r="N518" i="42"/>
  <c r="O514" i="42"/>
  <c r="N514" i="42"/>
  <c r="O330" i="42"/>
  <c r="N330" i="42"/>
  <c r="O324" i="42"/>
  <c r="N324" i="42"/>
  <c r="O520" i="42"/>
  <c r="N520" i="42"/>
  <c r="O512" i="42"/>
  <c r="N512" i="42"/>
  <c r="O519" i="42"/>
  <c r="N519" i="42"/>
  <c r="O515" i="42"/>
  <c r="N515" i="42"/>
  <c r="O331" i="42"/>
  <c r="N331" i="42"/>
  <c r="O525" i="42"/>
  <c r="N525" i="42"/>
  <c r="O521" i="42"/>
  <c r="N521" i="42"/>
  <c r="O517" i="42"/>
  <c r="N517" i="42"/>
  <c r="O513" i="42"/>
  <c r="N513" i="42"/>
  <c r="O329" i="42"/>
  <c r="N329" i="42"/>
  <c r="Q82" i="42"/>
  <c r="Q330" i="42" l="1"/>
  <c r="Q525" i="42"/>
  <c r="Q324" i="42"/>
  <c r="Q521" i="42"/>
  <c r="Q331" i="42"/>
  <c r="Q519" i="42"/>
  <c r="Q514" i="42"/>
  <c r="Q522" i="42"/>
  <c r="Q516" i="42"/>
  <c r="Q328" i="42"/>
  <c r="Q524" i="42"/>
  <c r="Q526" i="42"/>
  <c r="Q329" i="42"/>
  <c r="Q511" i="42"/>
  <c r="Q517" i="42"/>
  <c r="Q515" i="42"/>
  <c r="Q518" i="42"/>
  <c r="Q520" i="42"/>
  <c r="Q523" i="42"/>
  <c r="Q513" i="42"/>
  <c r="Q512" i="42"/>
  <c r="E343" i="36"/>
  <c r="F343" i="36" s="1"/>
  <c r="E342" i="36"/>
  <c r="F342" i="36" s="1"/>
  <c r="E341" i="36"/>
  <c r="F341" i="36" s="1"/>
  <c r="E340" i="36"/>
  <c r="F340" i="36" s="1"/>
  <c r="E339" i="36"/>
  <c r="F339" i="36" s="1"/>
  <c r="E338" i="36"/>
  <c r="F338" i="36" s="1"/>
  <c r="E337" i="36"/>
  <c r="U147" i="42" l="1"/>
  <c r="D334" i="36" l="1"/>
  <c r="L332" i="36"/>
  <c r="L329" i="36"/>
  <c r="L326" i="36"/>
  <c r="L323" i="36"/>
  <c r="H1181" i="14"/>
  <c r="L320" i="36"/>
  <c r="L317" i="36"/>
  <c r="L314" i="36"/>
  <c r="L311" i="36"/>
  <c r="L308" i="36"/>
  <c r="L305" i="36"/>
  <c r="L302" i="36"/>
  <c r="L299" i="36"/>
  <c r="L296" i="36"/>
  <c r="L293" i="36"/>
  <c r="L290" i="36"/>
  <c r="L287" i="36"/>
  <c r="Q446" i="42" l="1"/>
  <c r="Q447" i="42"/>
  <c r="Q448" i="42"/>
  <c r="Q449" i="42"/>
  <c r="Q450" i="42"/>
  <c r="Q445" i="42"/>
  <c r="Q441" i="42"/>
  <c r="Q442" i="42"/>
  <c r="Q443" i="42"/>
  <c r="Q444" i="42"/>
  <c r="Q65" i="42" l="1"/>
  <c r="Q64" i="42"/>
  <c r="Q395" i="42" l="1"/>
  <c r="Q396" i="42"/>
  <c r="Q397" i="42"/>
  <c r="Q398" i="42"/>
  <c r="Q291" i="42"/>
  <c r="Q399" i="42"/>
  <c r="Q400" i="42"/>
  <c r="Q401" i="42"/>
  <c r="Q402" i="42"/>
  <c r="Q403" i="42"/>
  <c r="Q404" i="42"/>
  <c r="Q405" i="42"/>
  <c r="Q406" i="42"/>
  <c r="Q407" i="42"/>
  <c r="Q408" i="42"/>
  <c r="Q409" i="42"/>
  <c r="Q410" i="42"/>
  <c r="Q411" i="42"/>
  <c r="Q412" i="42"/>
  <c r="Q413" i="42"/>
  <c r="Q414" i="42"/>
  <c r="Q415" i="42"/>
  <c r="Q416" i="42"/>
  <c r="Q417" i="42"/>
  <c r="Q418" i="42"/>
  <c r="Q419" i="42"/>
  <c r="Q420" i="42"/>
  <c r="Q421" i="42"/>
  <c r="Q422" i="42"/>
  <c r="Q423" i="42"/>
  <c r="Q424" i="42"/>
  <c r="Q425" i="42"/>
  <c r="Q426" i="42"/>
  <c r="Q427" i="42"/>
  <c r="Q428" i="42"/>
  <c r="Q429" i="42"/>
  <c r="Q430" i="42"/>
  <c r="Q431" i="42"/>
  <c r="Q432" i="42"/>
  <c r="Q433" i="42"/>
  <c r="Q434" i="42"/>
  <c r="Q435" i="42"/>
  <c r="Q436" i="42"/>
  <c r="Q437" i="42"/>
  <c r="Q438" i="42"/>
  <c r="Q439" i="42"/>
  <c r="Q440" i="42"/>
  <c r="I8" i="43" l="1"/>
  <c r="K8" i="43" s="1"/>
  <c r="I7" i="43"/>
  <c r="K7" i="43" s="1"/>
  <c r="I6" i="43"/>
  <c r="K6" i="43" s="1"/>
  <c r="I5" i="43"/>
  <c r="K5" i="43" s="1"/>
  <c r="I4" i="43"/>
  <c r="K4" i="43" s="1"/>
  <c r="A4" i="43"/>
  <c r="A5" i="43" s="1"/>
  <c r="A6" i="43" s="1"/>
  <c r="A7" i="43" s="1"/>
  <c r="A8" i="43" s="1"/>
  <c r="I3" i="43"/>
  <c r="K3" i="43" s="1"/>
  <c r="I9" i="43" l="1"/>
  <c r="J3" i="43"/>
  <c r="J5" i="43"/>
  <c r="M5" i="43" s="1"/>
  <c r="J7" i="43"/>
  <c r="M7" i="43" s="1"/>
  <c r="J4" i="43"/>
  <c r="M4" i="43" s="1"/>
  <c r="J6" i="43"/>
  <c r="M6" i="43" s="1"/>
  <c r="J8" i="43"/>
  <c r="M8" i="43" s="1"/>
  <c r="M3" i="43"/>
  <c r="Q78" i="42"/>
  <c r="Q79" i="42"/>
  <c r="Q200" i="42"/>
  <c r="Q201" i="42"/>
  <c r="Q202" i="42"/>
  <c r="Q203" i="42"/>
  <c r="Q204" i="42"/>
  <c r="Q205" i="42"/>
  <c r="Q80" i="42"/>
  <c r="Q81" i="42"/>
  <c r="Q172" i="42"/>
  <c r="Q173" i="42"/>
  <c r="Q174" i="42"/>
  <c r="Q175" i="42"/>
  <c r="Q77" i="42"/>
  <c r="Q313" i="42" l="1"/>
  <c r="O199" i="42"/>
  <c r="N199" i="42"/>
  <c r="Q315" i="42" l="1"/>
  <c r="Q199" i="42"/>
  <c r="Q178" i="42"/>
  <c r="Q317" i="42"/>
  <c r="Q198" i="42"/>
  <c r="Q312" i="42"/>
  <c r="Q180" i="42"/>
  <c r="Q182" i="42"/>
  <c r="Q184" i="42"/>
  <c r="Q186" i="42"/>
  <c r="Q188" i="42"/>
  <c r="Q190" i="42"/>
  <c r="Q192" i="42"/>
  <c r="Q194" i="42"/>
  <c r="Q196" i="42"/>
  <c r="Q319" i="42"/>
  <c r="Q179" i="42"/>
  <c r="Q181" i="42"/>
  <c r="Q183" i="42"/>
  <c r="Q185" i="42"/>
  <c r="Q187" i="42"/>
  <c r="Q320" i="42"/>
  <c r="Q321" i="42"/>
  <c r="Q323" i="42"/>
  <c r="Q189" i="42"/>
  <c r="Q191" i="42"/>
  <c r="Q193" i="42"/>
  <c r="Q195" i="42"/>
  <c r="Q314" i="42"/>
  <c r="Q322" i="42"/>
  <c r="Q197" i="42"/>
  <c r="Q316" i="42"/>
  <c r="Q318" i="42"/>
  <c r="U354" i="42"/>
  <c r="U353" i="42"/>
  <c r="Q66" i="42" l="1"/>
  <c r="Q67" i="42"/>
  <c r="Q68" i="42"/>
  <c r="Q69" i="42"/>
  <c r="Q70" i="42"/>
  <c r="Q71" i="42"/>
  <c r="Q332" i="42"/>
  <c r="Q333" i="42"/>
  <c r="Q335" i="42"/>
  <c r="Q336" i="42"/>
  <c r="Q337" i="42"/>
  <c r="Q338" i="42"/>
  <c r="Q339" i="42"/>
  <c r="Q340" i="42"/>
  <c r="Q341" i="42"/>
  <c r="Q342" i="42"/>
  <c r="Q343" i="42"/>
  <c r="Q344" i="42"/>
  <c r="Q345" i="42"/>
  <c r="Q346" i="42"/>
  <c r="Q347" i="42"/>
  <c r="Q348" i="42"/>
  <c r="Q349" i="42"/>
  <c r="Q350" i="42"/>
  <c r="Q351" i="42"/>
  <c r="Q352" i="42"/>
  <c r="Q353" i="42"/>
  <c r="Q354" i="42"/>
  <c r="Q355" i="42"/>
  <c r="Q356" i="42"/>
  <c r="Q357" i="42"/>
  <c r="Q358" i="42"/>
  <c r="Q359" i="42"/>
  <c r="Q143" i="42"/>
  <c r="Q293" i="42"/>
  <c r="Q296" i="42"/>
  <c r="Q297" i="42"/>
  <c r="Q298" i="42"/>
  <c r="Q299" i="42"/>
  <c r="Q367" i="42"/>
  <c r="Q368" i="42"/>
  <c r="Q207" i="42"/>
  <c r="Q208" i="42"/>
  <c r="Q209" i="42"/>
  <c r="Q210" i="42"/>
  <c r="Q211" i="42"/>
  <c r="Q212" i="42"/>
  <c r="Q213" i="42"/>
  <c r="Q214" i="42"/>
  <c r="Q215" i="42"/>
  <c r="Q216" i="42"/>
  <c r="Q217" i="42"/>
  <c r="Q218" i="42"/>
  <c r="Q219" i="42"/>
  <c r="Q220" i="42"/>
  <c r="Q221" i="42"/>
  <c r="Q222" i="42"/>
  <c r="Q223" i="42"/>
  <c r="Q224" i="42"/>
  <c r="Q225" i="42"/>
  <c r="Q226" i="42"/>
  <c r="Q227" i="42"/>
  <c r="Q228" i="42"/>
  <c r="Q229" i="42"/>
  <c r="Q230" i="42"/>
  <c r="Q231" i="42"/>
  <c r="Q232" i="42"/>
  <c r="Q233" i="42"/>
  <c r="Q234" i="42"/>
  <c r="Q235" i="42"/>
  <c r="Q236" i="42"/>
  <c r="Q237" i="42"/>
  <c r="Q238" i="42"/>
  <c r="Q239" i="42"/>
  <c r="Q240" i="42"/>
  <c r="Q241" i="42"/>
  <c r="Q242" i="42"/>
  <c r="Q243" i="42"/>
  <c r="Q244" i="42"/>
  <c r="Q245" i="42"/>
  <c r="Q246" i="42"/>
  <c r="Q247" i="42"/>
  <c r="Q248" i="42"/>
  <c r="Q249" i="42"/>
  <c r="Q250" i="42"/>
  <c r="Q251" i="42"/>
  <c r="Q252" i="42"/>
  <c r="Q253" i="42"/>
  <c r="Q254" i="42"/>
  <c r="Q255" i="42"/>
  <c r="Q256" i="42"/>
  <c r="Q257" i="42"/>
  <c r="Q258" i="42"/>
  <c r="Q259" i="42"/>
  <c r="Q260" i="42"/>
  <c r="Q261" i="42"/>
  <c r="Q262" i="42"/>
  <c r="Q263" i="42"/>
  <c r="Q264" i="42"/>
  <c r="Q265" i="42"/>
  <c r="Q266" i="42"/>
  <c r="Q267" i="42"/>
  <c r="Q268" i="42"/>
  <c r="Q269" i="42"/>
  <c r="Q270" i="42"/>
  <c r="Q271" i="42"/>
  <c r="Q272" i="42"/>
  <c r="Q274" i="42"/>
  <c r="Q275" i="42"/>
  <c r="Q276" i="42"/>
  <c r="Q277" i="42"/>
  <c r="Q279" i="42"/>
  <c r="Q280" i="42"/>
  <c r="Q281" i="42"/>
  <c r="Q282" i="42"/>
  <c r="Q283" i="42"/>
  <c r="Q284" i="42"/>
  <c r="Q285" i="42"/>
  <c r="Q287" i="42"/>
  <c r="Q289" i="42"/>
  <c r="Q290" i="42"/>
  <c r="Q294" i="42"/>
  <c r="K146" i="42"/>
  <c r="Q6" i="42"/>
  <c r="Q62" i="42"/>
  <c r="Q72" i="42"/>
  <c r="Q83" i="42"/>
  <c r="Q84" i="42"/>
  <c r="Q85" i="42"/>
  <c r="Q86" i="42"/>
  <c r="Q87" i="42"/>
  <c r="Q88" i="42"/>
  <c r="Q89" i="42"/>
  <c r="Q90" i="42"/>
  <c r="Q91" i="42"/>
  <c r="Q92" i="42"/>
  <c r="Q93" i="42"/>
  <c r="Q94" i="42"/>
  <c r="Q95" i="42"/>
  <c r="Q96" i="42"/>
  <c r="Q97" i="42"/>
  <c r="Q98" i="42"/>
  <c r="Q99" i="42"/>
  <c r="Q100" i="42"/>
  <c r="Q101" i="42"/>
  <c r="Q102" i="42"/>
  <c r="Q103" i="42"/>
  <c r="Q104" i="42"/>
  <c r="Q105" i="42"/>
  <c r="Q106" i="42"/>
  <c r="Q107" i="42"/>
  <c r="Q108" i="42"/>
  <c r="Q109" i="42"/>
  <c r="Q110" i="42"/>
  <c r="Q111" i="42"/>
  <c r="Q112" i="42"/>
  <c r="Q113" i="42"/>
  <c r="Q114" i="42"/>
  <c r="Q115" i="42"/>
  <c r="Q116" i="42"/>
  <c r="Q117" i="42"/>
  <c r="Q118" i="42"/>
  <c r="Q119" i="42"/>
  <c r="Q120" i="42"/>
  <c r="Q121" i="42"/>
  <c r="Q122" i="42"/>
  <c r="Q123" i="42"/>
  <c r="Q124" i="42"/>
  <c r="Q125" i="42"/>
  <c r="Q126" i="42"/>
  <c r="Q127" i="42"/>
  <c r="Q128" i="42"/>
  <c r="Q129" i="42"/>
  <c r="Q130" i="42"/>
  <c r="Q131" i="42"/>
  <c r="Q132" i="42"/>
  <c r="Q133" i="42"/>
  <c r="Q134" i="42"/>
  <c r="Q135" i="42"/>
  <c r="Q136" i="42"/>
  <c r="Q137" i="42"/>
  <c r="Q138" i="42"/>
  <c r="Q139" i="42"/>
  <c r="Q140" i="42"/>
  <c r="Q141" i="42"/>
  <c r="Q142" i="42"/>
  <c r="Q144" i="42"/>
  <c r="O146" i="42" l="1"/>
  <c r="N146" i="42"/>
  <c r="M762" i="42"/>
  <c r="A147" i="42"/>
  <c r="A148" i="42" s="1"/>
  <c r="A149" i="42" s="1"/>
  <c r="A150" i="42" s="1"/>
  <c r="A151" i="42" s="1"/>
  <c r="A152" i="42" s="1"/>
  <c r="A153" i="42" s="1"/>
  <c r="A154" i="42" s="1"/>
  <c r="A155" i="42" s="1"/>
  <c r="A156" i="42" s="1"/>
  <c r="A157" i="42" s="1"/>
  <c r="A158" i="42" s="1"/>
  <c r="A159" i="42" s="1"/>
  <c r="A160" i="42" s="1"/>
  <c r="A161" i="42" s="1"/>
  <c r="A162" i="42" s="1"/>
  <c r="A163" i="42" s="1"/>
  <c r="A164" i="42" s="1"/>
  <c r="A165" i="42" s="1"/>
  <c r="A166" i="42" s="1"/>
  <c r="A167" i="42" s="1"/>
  <c r="A168" i="42" s="1"/>
  <c r="A169" i="42" s="1"/>
  <c r="A170" i="42" s="1"/>
  <c r="A171" i="42" s="1"/>
  <c r="A172" i="42" s="1"/>
  <c r="A173" i="42" s="1"/>
  <c r="A174" i="42" s="1"/>
  <c r="A175" i="42" s="1"/>
  <c r="A176" i="42" s="1"/>
  <c r="A177" i="42" s="1"/>
  <c r="A178" i="42" s="1"/>
  <c r="A179" i="42" s="1"/>
  <c r="A180" i="42" s="1"/>
  <c r="A181" i="42" s="1"/>
  <c r="A182" i="42" s="1"/>
  <c r="A183" i="42" s="1"/>
  <c r="A184" i="42" s="1"/>
  <c r="A185" i="42" s="1"/>
  <c r="A186" i="42" s="1"/>
  <c r="A187" i="42" s="1"/>
  <c r="A188" i="42" s="1"/>
  <c r="A189" i="42" s="1"/>
  <c r="A190" i="42" s="1"/>
  <c r="A191" i="42" s="1"/>
  <c r="A192" i="42" s="1"/>
  <c r="A193" i="42" s="1"/>
  <c r="A194" i="42" s="1"/>
  <c r="A195" i="42" s="1"/>
  <c r="A196" i="42" s="1"/>
  <c r="A197" i="42" s="1"/>
  <c r="A198" i="42" s="1"/>
  <c r="A199" i="42" s="1"/>
  <c r="A200" i="42" s="1"/>
  <c r="A201" i="42" s="1"/>
  <c r="A202" i="42" s="1"/>
  <c r="A203" i="42" s="1"/>
  <c r="A204" i="42" s="1"/>
  <c r="A205" i="42" s="1"/>
  <c r="A207" i="42" s="1"/>
  <c r="A208" i="42" s="1"/>
  <c r="A209" i="42" s="1"/>
  <c r="A210" i="42" s="1"/>
  <c r="A211" i="42" s="1"/>
  <c r="A212" i="42" s="1"/>
  <c r="A213" i="42" s="1"/>
  <c r="A214" i="42" s="1"/>
  <c r="A215" i="42" s="1"/>
  <c r="A216" i="42" s="1"/>
  <c r="A217" i="42" s="1"/>
  <c r="A218" i="42" s="1"/>
  <c r="A219" i="42" s="1"/>
  <c r="A220" i="42" s="1"/>
  <c r="A221" i="42" s="1"/>
  <c r="A222" i="42" s="1"/>
  <c r="A223" i="42" s="1"/>
  <c r="A224" i="42" s="1"/>
  <c r="A225" i="42" s="1"/>
  <c r="A226" i="42" s="1"/>
  <c r="A227" i="42" s="1"/>
  <c r="A228" i="42" s="1"/>
  <c r="A229" i="42" s="1"/>
  <c r="A230" i="42" s="1"/>
  <c r="A231" i="42" s="1"/>
  <c r="A232" i="42" s="1"/>
  <c r="A233" i="42" s="1"/>
  <c r="A234" i="42" s="1"/>
  <c r="A235" i="42" s="1"/>
  <c r="A236" i="42" s="1"/>
  <c r="A237" i="42" s="1"/>
  <c r="A238" i="42" s="1"/>
  <c r="A239" i="42" s="1"/>
  <c r="A240" i="42" s="1"/>
  <c r="A241" i="42" s="1"/>
  <c r="A242" i="42" s="1"/>
  <c r="A243" i="42" s="1"/>
  <c r="A244" i="42" s="1"/>
  <c r="A245" i="42" s="1"/>
  <c r="A246" i="42" s="1"/>
  <c r="A247" i="42" s="1"/>
  <c r="A248" i="42" s="1"/>
  <c r="A249" i="42" s="1"/>
  <c r="A250" i="42" s="1"/>
  <c r="A251" i="42" s="1"/>
  <c r="A252" i="42" s="1"/>
  <c r="A253" i="42" s="1"/>
  <c r="A254" i="42" s="1"/>
  <c r="A255" i="42" s="1"/>
  <c r="A256" i="42" s="1"/>
  <c r="A257" i="42" s="1"/>
  <c r="A258" i="42" s="1"/>
  <c r="A259" i="42" s="1"/>
  <c r="A260" i="42" s="1"/>
  <c r="A261" i="42" s="1"/>
  <c r="A262" i="42" s="1"/>
  <c r="A263" i="42" s="1"/>
  <c r="A264" i="42" s="1"/>
  <c r="A265" i="42" s="1"/>
  <c r="A266" i="42" s="1"/>
  <c r="A267" i="42" s="1"/>
  <c r="A268" i="42" s="1"/>
  <c r="A269" i="42" s="1"/>
  <c r="A270" i="42" s="1"/>
  <c r="A271" i="42" s="1"/>
  <c r="A272" i="42" s="1"/>
  <c r="A273" i="42" s="1"/>
  <c r="A274" i="42" s="1"/>
  <c r="A275" i="42" s="1"/>
  <c r="A276" i="42" s="1"/>
  <c r="A277" i="42" s="1"/>
  <c r="A278" i="42" s="1"/>
  <c r="A279" i="42" s="1"/>
  <c r="A280" i="42" s="1"/>
  <c r="A281" i="42" s="1"/>
  <c r="A282" i="42" s="1"/>
  <c r="A283" i="42" s="1"/>
  <c r="A284" i="42" s="1"/>
  <c r="A285" i="42" s="1"/>
  <c r="A287" i="42" s="1"/>
  <c r="A288" i="42" s="1"/>
  <c r="A289" i="42" s="1"/>
  <c r="A290" i="42" s="1"/>
  <c r="A291" i="42" s="1"/>
  <c r="A292" i="42" s="1"/>
  <c r="A293" i="42" s="1"/>
  <c r="A294" i="42" s="1"/>
  <c r="A295" i="42" s="1"/>
  <c r="A296" i="42" s="1"/>
  <c r="A297" i="42" s="1"/>
  <c r="A298" i="42" s="1"/>
  <c r="A299" i="42" s="1"/>
  <c r="A300" i="42" s="1"/>
  <c r="A301" i="42" s="1"/>
  <c r="Q158" i="42" l="1"/>
  <c r="U278" i="42"/>
  <c r="U150" i="42"/>
  <c r="U103" i="42"/>
  <c r="U285" i="42"/>
  <c r="U215" i="42"/>
  <c r="U85" i="42"/>
  <c r="U31" i="42"/>
  <c r="U30" i="42"/>
  <c r="U281" i="42"/>
  <c r="U341" i="42"/>
  <c r="U279" i="42"/>
  <c r="U272" i="42"/>
  <c r="U343" i="42"/>
  <c r="U304" i="42"/>
  <c r="U274" i="42"/>
  <c r="U229" i="42"/>
  <c r="U167" i="42"/>
  <c r="U152" i="42"/>
  <c r="U276" i="42"/>
  <c r="U257" i="42"/>
  <c r="U256" i="42"/>
  <c r="U127" i="42"/>
  <c r="U97" i="42"/>
  <c r="U91" i="42"/>
  <c r="U45" i="42"/>
  <c r="U352" i="42"/>
  <c r="U342" i="42"/>
  <c r="U284" i="42"/>
  <c r="U283" i="42"/>
  <c r="U282" i="42"/>
  <c r="U280" i="42"/>
  <c r="U144" i="42"/>
  <c r="U142" i="42"/>
  <c r="U134" i="42"/>
  <c r="U133" i="42"/>
  <c r="U132" i="42"/>
  <c r="U303" i="42"/>
  <c r="U168" i="42"/>
  <c r="U92" i="42"/>
  <c r="U275" i="42"/>
  <c r="U332" i="42"/>
  <c r="U335" i="42"/>
  <c r="U350" i="42"/>
  <c r="U344" i="42"/>
  <c r="U271" i="42"/>
  <c r="U270" i="42"/>
  <c r="U277" i="42"/>
  <c r="U268" i="42"/>
  <c r="U351" i="42"/>
  <c r="U347" i="42"/>
  <c r="U346" i="42"/>
  <c r="U340" i="42"/>
  <c r="U339" i="42"/>
  <c r="U338" i="42"/>
  <c r="U337" i="42"/>
  <c r="U334" i="42"/>
  <c r="U264" i="42"/>
  <c r="U263" i="42"/>
  <c r="U255" i="42"/>
  <c r="U254" i="42"/>
  <c r="U252" i="42"/>
  <c r="U251" i="42"/>
  <c r="U244" i="42"/>
  <c r="U112" i="42"/>
  <c r="U213" i="42" l="1"/>
  <c r="A304" i="42" l="1"/>
  <c r="A305" i="42" s="1"/>
  <c r="A306" i="42" s="1"/>
  <c r="A307" i="42" s="1"/>
  <c r="A308" i="42" s="1"/>
  <c r="A309" i="42" s="1"/>
  <c r="A310" i="42" s="1"/>
  <c r="A311" i="42" s="1"/>
  <c r="A312" i="42" s="1"/>
  <c r="A313" i="42" s="1"/>
  <c r="A314" i="42" s="1"/>
  <c r="A315" i="42" s="1"/>
  <c r="A316" i="42" s="1"/>
  <c r="A317" i="42" s="1"/>
  <c r="A318" i="42" s="1"/>
  <c r="A319" i="42" s="1"/>
  <c r="A320" i="42" s="1"/>
  <c r="A321" i="42" s="1"/>
  <c r="A322" i="42" s="1"/>
  <c r="A323" i="42" s="1"/>
  <c r="A332" i="42" s="1"/>
  <c r="A333" i="42" s="1"/>
  <c r="A334" i="42" s="1"/>
  <c r="A335" i="42" s="1"/>
  <c r="A336" i="42" s="1"/>
  <c r="A337" i="42" s="1"/>
  <c r="A338" i="42" s="1"/>
  <c r="A339" i="42" s="1"/>
  <c r="A340" i="42" s="1"/>
  <c r="A341" i="42" s="1"/>
  <c r="A342" i="42" s="1"/>
  <c r="A343" i="42" s="1"/>
  <c r="A344" i="42" s="1"/>
  <c r="A345" i="42" s="1"/>
  <c r="A346" i="42" s="1"/>
  <c r="A347" i="42" s="1"/>
  <c r="A348" i="42" s="1"/>
  <c r="A349" i="42" s="1"/>
  <c r="A350" i="42" s="1"/>
  <c r="A351" i="42" s="1"/>
  <c r="A352" i="42" s="1"/>
  <c r="A353" i="42" s="1"/>
  <c r="A354" i="42" s="1"/>
  <c r="A355" i="42" s="1"/>
  <c r="A356" i="42" s="1"/>
  <c r="A357" i="42" s="1"/>
  <c r="A358" i="42" s="1"/>
  <c r="A359" i="42" s="1"/>
  <c r="A360" i="42" s="1"/>
  <c r="A361" i="42" s="1"/>
  <c r="A362" i="42" s="1"/>
  <c r="A363" i="42" s="1"/>
  <c r="A364" i="42" s="1"/>
  <c r="A365" i="42" s="1"/>
  <c r="A366" i="42" s="1"/>
  <c r="A367" i="42" s="1"/>
  <c r="A368" i="42" s="1"/>
  <c r="A369" i="42" s="1"/>
  <c r="A370" i="42" s="1"/>
  <c r="A371" i="42" s="1"/>
  <c r="A372" i="42" s="1"/>
  <c r="A373" i="42" s="1"/>
  <c r="A374" i="42" s="1"/>
  <c r="A375" i="42" s="1"/>
  <c r="A376" i="42" s="1"/>
  <c r="A377" i="42" s="1"/>
  <c r="A378" i="42" s="1"/>
  <c r="A379" i="42" s="1"/>
  <c r="A380" i="42" s="1"/>
  <c r="A381" i="42" s="1"/>
  <c r="A382" i="42" s="1"/>
  <c r="A383" i="42" s="1"/>
  <c r="A384" i="42" s="1"/>
  <c r="A385" i="42" s="1"/>
  <c r="A386" i="42" s="1"/>
  <c r="A387" i="42" s="1"/>
  <c r="A388" i="42" s="1"/>
  <c r="A389" i="42" s="1"/>
  <c r="A390" i="42" s="1"/>
  <c r="A391" i="42" s="1"/>
  <c r="A392" i="42" s="1"/>
  <c r="A393" i="42" s="1"/>
  <c r="A394" i="42" s="1"/>
  <c r="A395" i="42" s="1"/>
  <c r="A396" i="42" s="1"/>
  <c r="A397" i="42" s="1"/>
  <c r="A398" i="42" s="1"/>
  <c r="A399" i="42" s="1"/>
  <c r="A400" i="42" s="1"/>
  <c r="A401" i="42" s="1"/>
  <c r="A402" i="42" s="1"/>
  <c r="A403" i="42" s="1"/>
  <c r="A404" i="42" s="1"/>
  <c r="A405" i="42" s="1"/>
  <c r="A406" i="42" s="1"/>
  <c r="A407" i="42" s="1"/>
  <c r="A408" i="42" s="1"/>
  <c r="A409" i="42" s="1"/>
  <c r="A410" i="42" s="1"/>
  <c r="A411" i="42" s="1"/>
  <c r="A412" i="42" s="1"/>
  <c r="A413" i="42" s="1"/>
  <c r="A414" i="42" s="1"/>
  <c r="A415" i="42" s="1"/>
  <c r="A416" i="42" s="1"/>
  <c r="A417" i="42" s="1"/>
  <c r="A418" i="42" s="1"/>
  <c r="A419" i="42" s="1"/>
  <c r="A420" i="42" s="1"/>
  <c r="A421" i="42" s="1"/>
  <c r="A422" i="42" s="1"/>
  <c r="A423" i="42" s="1"/>
  <c r="A424" i="42" s="1"/>
  <c r="A425" i="42" s="1"/>
  <c r="A426" i="42" s="1"/>
  <c r="A427" i="42" s="1"/>
  <c r="A428" i="42" s="1"/>
  <c r="A429" i="42" s="1"/>
  <c r="A430" i="42" s="1"/>
  <c r="A431" i="42" s="1"/>
  <c r="A432" i="42" s="1"/>
  <c r="A433" i="42" s="1"/>
  <c r="A434" i="42" s="1"/>
  <c r="A435" i="42" s="1"/>
  <c r="A436" i="42" s="1"/>
  <c r="A437" i="42" s="1"/>
  <c r="A438" i="42" s="1"/>
  <c r="A439" i="42" s="1"/>
  <c r="A440" i="42" s="1"/>
  <c r="A441" i="42" s="1"/>
  <c r="A442" i="42" s="1"/>
  <c r="A443" i="42" s="1"/>
  <c r="A444" i="42" s="1"/>
  <c r="A445" i="42" s="1"/>
  <c r="A446" i="42" s="1"/>
  <c r="A447" i="42" s="1"/>
  <c r="A448" i="42" s="1"/>
  <c r="A449" i="42" s="1"/>
  <c r="A450" i="42" s="1"/>
  <c r="A473" i="42" s="1"/>
  <c r="K303" i="42"/>
  <c r="O304" i="42"/>
  <c r="O303" i="42" l="1"/>
  <c r="N303" i="42"/>
  <c r="A474" i="42"/>
  <c r="A475" i="42" s="1"/>
  <c r="A476" i="42" s="1"/>
  <c r="A477" i="42" s="1"/>
  <c r="A478" i="42" s="1"/>
  <c r="A479" i="42" s="1"/>
  <c r="A480" i="42" s="1"/>
  <c r="A481" i="42" s="1"/>
  <c r="A482" i="42" s="1"/>
  <c r="A483" i="42" s="1"/>
  <c r="A484" i="42" s="1"/>
  <c r="A485" i="42" s="1"/>
  <c r="A486" i="42" s="1"/>
  <c r="A487" i="42" s="1"/>
  <c r="A488" i="42" s="1"/>
  <c r="A489" i="42" s="1"/>
  <c r="A490" i="42" s="1"/>
  <c r="A491" i="42" s="1"/>
  <c r="A492" i="42" s="1"/>
  <c r="A493" i="42" s="1"/>
  <c r="A494" i="42" s="1"/>
  <c r="A495" i="42" s="1"/>
  <c r="A496" i="42" s="1"/>
  <c r="A497" i="42" s="1"/>
  <c r="A498" i="42" s="1"/>
  <c r="A499" i="42" s="1"/>
  <c r="A500" i="42" s="1"/>
  <c r="A501" i="42" s="1"/>
  <c r="A502" i="42" s="1"/>
  <c r="A503" i="42" s="1"/>
  <c r="A504" i="42" s="1"/>
  <c r="A505" i="42" s="1"/>
  <c r="A506" i="42" s="1"/>
  <c r="A64" i="42"/>
  <c r="A65" i="42" s="1"/>
  <c r="A66" i="42" s="1"/>
  <c r="A67" i="42" s="1"/>
  <c r="A68" i="42" s="1"/>
  <c r="A69" i="42" s="1"/>
  <c r="A70" i="42" s="1"/>
  <c r="A71" i="42" s="1"/>
  <c r="A76" i="42" s="1"/>
  <c r="N167" i="42"/>
  <c r="O167" i="42"/>
  <c r="N304" i="42"/>
  <c r="Q304" i="42" s="1"/>
  <c r="Q168" i="42" l="1"/>
  <c r="Q167" i="42"/>
  <c r="Q303" i="42"/>
  <c r="K988" i="14"/>
  <c r="L278" i="42"/>
  <c r="Q278" i="42" s="1"/>
  <c r="L753" i="42" l="1"/>
  <c r="U1045" i="14" l="1"/>
  <c r="U1042" i="14"/>
  <c r="U1041" i="14"/>
  <c r="U1040" i="14"/>
  <c r="U1039" i="14"/>
  <c r="I3" i="33"/>
  <c r="L3" i="33" s="1"/>
  <c r="I4" i="33"/>
  <c r="L4" i="33" s="1"/>
  <c r="I5" i="33"/>
  <c r="L5" i="33" s="1"/>
  <c r="I6" i="33"/>
  <c r="L6" i="33" s="1"/>
  <c r="I7" i="33"/>
  <c r="L7" i="33" s="1"/>
  <c r="I8" i="33"/>
  <c r="L8" i="33" s="1"/>
  <c r="I9" i="33"/>
  <c r="L9" i="33" s="1"/>
  <c r="I10" i="33"/>
  <c r="L10" i="33" s="1"/>
  <c r="I11" i="33"/>
  <c r="L11" i="33" s="1"/>
  <c r="I12" i="33"/>
  <c r="L12" i="33" s="1"/>
  <c r="I13" i="33"/>
  <c r="L13" i="33" s="1"/>
  <c r="I14" i="33"/>
  <c r="L14" i="33" s="1"/>
  <c r="I15" i="33"/>
  <c r="L15" i="33" s="1"/>
  <c r="I16" i="33"/>
  <c r="L16" i="33" s="1"/>
  <c r="I17" i="33"/>
  <c r="L17" i="33" s="1"/>
  <c r="I18" i="33"/>
  <c r="L18" i="33" s="1"/>
  <c r="I19" i="33"/>
  <c r="L19" i="33" s="1"/>
  <c r="I20" i="33"/>
  <c r="L20" i="33" s="1"/>
  <c r="I21" i="33"/>
  <c r="L21" i="33" s="1"/>
  <c r="I22" i="33"/>
  <c r="L22" i="33" s="1"/>
  <c r="I23" i="33"/>
  <c r="L23" i="33" s="1"/>
  <c r="K11" i="33" l="1"/>
  <c r="N11" i="33" s="1"/>
  <c r="K21" i="33"/>
  <c r="K5" i="33"/>
  <c r="N5" i="33" s="1"/>
  <c r="K17" i="33"/>
  <c r="N17" i="33" s="1"/>
  <c r="K9" i="33"/>
  <c r="N9" i="33" s="1"/>
  <c r="K3" i="33"/>
  <c r="N3" i="33" s="1"/>
  <c r="K19" i="33"/>
  <c r="K13" i="33"/>
  <c r="N13" i="33" s="1"/>
  <c r="K23" i="33"/>
  <c r="N23" i="33" s="1"/>
  <c r="K15" i="33"/>
  <c r="K7" i="33"/>
  <c r="N7" i="33" s="1"/>
  <c r="K22" i="33"/>
  <c r="N22" i="33" s="1"/>
  <c r="K20" i="33"/>
  <c r="N20" i="33" s="1"/>
  <c r="K18" i="33"/>
  <c r="K16" i="33"/>
  <c r="N16" i="33" s="1"/>
  <c r="K14" i="33"/>
  <c r="N14" i="33" s="1"/>
  <c r="K12" i="33"/>
  <c r="N12" i="33" s="1"/>
  <c r="K10" i="33"/>
  <c r="K8" i="33"/>
  <c r="N8" i="33" s="1"/>
  <c r="K6" i="33"/>
  <c r="N6" i="33" s="1"/>
  <c r="K4" i="33"/>
  <c r="N4" i="33" s="1"/>
  <c r="N21" i="33"/>
  <c r="N19" i="33"/>
  <c r="N18" i="33"/>
  <c r="N15" i="33"/>
  <c r="N10" i="33"/>
  <c r="Q394" i="42"/>
  <c r="Q393" i="42"/>
  <c r="Q392" i="42"/>
  <c r="Q391" i="42"/>
  <c r="Q390" i="42"/>
  <c r="Q389" i="42"/>
  <c r="Q301" i="42"/>
  <c r="Q388" i="42"/>
  <c r="Q387" i="42"/>
  <c r="Q386" i="42"/>
  <c r="Q385" i="42"/>
  <c r="Q384" i="42"/>
  <c r="Q383" i="42"/>
  <c r="Q382" i="42"/>
  <c r="Q300" i="42"/>
  <c r="Q381" i="42"/>
  <c r="Q380" i="42"/>
  <c r="Q379" i="42"/>
  <c r="Q378" i="42"/>
  <c r="Q377" i="42"/>
  <c r="Q376" i="42"/>
  <c r="Q375" i="42"/>
  <c r="Q374" i="42"/>
  <c r="Q373" i="42"/>
  <c r="Q372" i="42"/>
  <c r="Q371" i="42"/>
  <c r="Q370" i="42"/>
  <c r="Q369" i="42"/>
  <c r="N366" i="42"/>
  <c r="N365" i="42"/>
  <c r="N292" i="42"/>
  <c r="N363" i="42"/>
  <c r="Q360" i="42"/>
  <c r="N305" i="42"/>
  <c r="Q305" i="42" s="1"/>
  <c r="A143" i="42"/>
  <c r="Q177" i="42" l="1"/>
  <c r="N24" i="33"/>
  <c r="Q76" i="42"/>
  <c r="Q309" i="42"/>
  <c r="Q288" i="42"/>
  <c r="Q176" i="42"/>
  <c r="Q310" i="42"/>
  <c r="Q308" i="42"/>
  <c r="Q311" i="42"/>
  <c r="Q307" i="42"/>
  <c r="Q295" i="42"/>
  <c r="O366" i="42"/>
  <c r="Q366" i="42" s="1"/>
  <c r="Q364" i="42"/>
  <c r="O363" i="42"/>
  <c r="Q363" i="42" s="1"/>
  <c r="Q361" i="42"/>
  <c r="O365" i="42"/>
  <c r="Q365" i="42" s="1"/>
  <c r="O292" i="42"/>
  <c r="Q292" i="42" s="1"/>
  <c r="Q171" i="42"/>
  <c r="Q170" i="42"/>
  <c r="Q169" i="42" l="1"/>
  <c r="Q362" i="42"/>
  <c r="Q306" i="42"/>
  <c r="U930" i="14"/>
  <c r="U1056" i="14" l="1"/>
  <c r="U1055" i="14"/>
  <c r="U1054" i="14"/>
  <c r="U1053" i="14"/>
  <c r="U1052" i="14"/>
  <c r="U1051" i="14"/>
  <c r="U1050" i="14"/>
  <c r="U1049" i="14"/>
  <c r="U1048" i="14"/>
  <c r="Q744" i="42" l="1"/>
  <c r="J96" i="15"/>
  <c r="U267" i="42" l="1"/>
  <c r="U266" i="42"/>
  <c r="U265" i="42"/>
  <c r="U262" i="42"/>
  <c r="U261" i="42"/>
  <c r="U260" i="42"/>
  <c r="N166" i="42" l="1"/>
  <c r="Q166" i="42" s="1"/>
  <c r="Q164" i="42" l="1"/>
  <c r="Q165" i="42"/>
  <c r="Q163" i="42"/>
  <c r="F19" i="39"/>
  <c r="K19" i="35"/>
  <c r="K20" i="35"/>
  <c r="L13" i="35"/>
  <c r="K14" i="35"/>
  <c r="H31" i="35"/>
  <c r="J19" i="35"/>
  <c r="K683" i="14" l="1"/>
  <c r="U258" i="42"/>
  <c r="U253" i="42"/>
  <c r="U250" i="42"/>
  <c r="U249" i="42"/>
  <c r="U248" i="42"/>
  <c r="U247" i="42"/>
  <c r="U246" i="42"/>
  <c r="U245" i="42"/>
  <c r="U243" i="42"/>
  <c r="U242" i="42"/>
  <c r="U241" i="42"/>
  <c r="U240" i="42"/>
  <c r="U239" i="42"/>
  <c r="U238" i="42"/>
  <c r="U237" i="42"/>
  <c r="U236" i="42"/>
  <c r="U235" i="42"/>
  <c r="U234" i="42"/>
  <c r="U233" i="42"/>
  <c r="U232" i="42"/>
  <c r="U231" i="42"/>
  <c r="U230" i="42"/>
  <c r="U228" i="42"/>
  <c r="U227" i="42"/>
  <c r="U226" i="42"/>
  <c r="U225" i="42"/>
  <c r="U224" i="42"/>
  <c r="U223" i="42"/>
  <c r="U222" i="42"/>
  <c r="U221" i="42"/>
  <c r="U220" i="42"/>
  <c r="U219" i="42"/>
  <c r="U218" i="42"/>
  <c r="U217" i="42"/>
  <c r="U216" i="42"/>
  <c r="U214" i="42"/>
  <c r="U212" i="42"/>
  <c r="U211" i="42"/>
  <c r="U210" i="42"/>
  <c r="U209" i="42"/>
  <c r="U208" i="42"/>
  <c r="U207" i="42"/>
  <c r="U166" i="42"/>
  <c r="U165" i="42"/>
  <c r="U164" i="42"/>
  <c r="U163" i="42"/>
  <c r="U162" i="42"/>
  <c r="U161" i="42"/>
  <c r="U160" i="42"/>
  <c r="U159" i="42"/>
  <c r="U158" i="42"/>
  <c r="U157" i="42"/>
  <c r="U156" i="42"/>
  <c r="U155" i="42"/>
  <c r="U154" i="42"/>
  <c r="U153" i="42"/>
  <c r="U151" i="42"/>
  <c r="U149" i="42"/>
  <c r="U148" i="42"/>
  <c r="U146" i="42"/>
  <c r="U140" i="42"/>
  <c r="U139" i="42"/>
  <c r="U138" i="42"/>
  <c r="U137" i="42"/>
  <c r="U136" i="42"/>
  <c r="U135" i="42"/>
  <c r="U131" i="42"/>
  <c r="U130" i="42"/>
  <c r="U129" i="42"/>
  <c r="U128" i="42"/>
  <c r="U126" i="42"/>
  <c r="U125" i="42"/>
  <c r="U124" i="42"/>
  <c r="U123" i="42"/>
  <c r="U122" i="42"/>
  <c r="U121" i="42"/>
  <c r="U120" i="42"/>
  <c r="U119" i="42"/>
  <c r="U118" i="42"/>
  <c r="U117" i="42"/>
  <c r="U116" i="42"/>
  <c r="U84" i="42"/>
  <c r="U83" i="42"/>
  <c r="U75" i="42"/>
  <c r="U74" i="42"/>
  <c r="U73" i="42"/>
  <c r="U72" i="42"/>
  <c r="U63" i="42"/>
  <c r="U62" i="42"/>
  <c r="U61" i="42"/>
  <c r="U141" i="42"/>
  <c r="U111" i="42"/>
  <c r="U47" i="42"/>
  <c r="U46" i="42"/>
  <c r="U105" i="42"/>
  <c r="U94" i="42"/>
  <c r="U88" i="42"/>
  <c r="U115" i="42"/>
  <c r="U114" i="42"/>
  <c r="U113" i="42"/>
  <c r="U29" i="42" l="1"/>
  <c r="U28" i="42"/>
  <c r="U27" i="42"/>
  <c r="U25" i="42"/>
  <c r="U24" i="42"/>
  <c r="U23" i="42"/>
  <c r="U22" i="42"/>
  <c r="U14" i="42"/>
  <c r="U13" i="42"/>
  <c r="U12" i="42"/>
  <c r="U9" i="42"/>
  <c r="U6" i="42"/>
  <c r="U5" i="42"/>
  <c r="Q162" i="42" l="1"/>
  <c r="Q160" i="42"/>
  <c r="Q161" i="42"/>
  <c r="Q159" i="42" l="1"/>
  <c r="K1054" i="14"/>
  <c r="Q1054" i="14" s="1"/>
  <c r="K1055" i="14"/>
  <c r="Q1055" i="14" s="1"/>
  <c r="K1056" i="14"/>
  <c r="Q1056" i="14" s="1"/>
  <c r="Q153" i="42" l="1"/>
  <c r="Q157" i="42"/>
  <c r="Q155" i="42"/>
  <c r="Q74" i="42"/>
  <c r="Q61" i="42"/>
  <c r="Q156" i="42"/>
  <c r="Q154" i="42"/>
  <c r="U26" i="42"/>
  <c r="O152" i="42" l="1"/>
  <c r="Q152" i="42" s="1"/>
  <c r="Q149" i="42" l="1"/>
  <c r="Q147" i="42"/>
  <c r="Q146" i="42"/>
  <c r="Q151" i="42"/>
  <c r="Q148" i="42"/>
  <c r="Q150" i="42"/>
  <c r="O63" i="42"/>
  <c r="N63" i="42"/>
  <c r="Q302" i="42" l="1"/>
  <c r="Q63" i="42"/>
  <c r="M751" i="42"/>
  <c r="K753" i="42"/>
  <c r="Q54" i="42"/>
  <c r="F337" i="36"/>
  <c r="L284" i="36"/>
  <c r="L281" i="36"/>
  <c r="L278" i="36"/>
  <c r="L275" i="36"/>
  <c r="L272" i="36"/>
  <c r="L269" i="36"/>
  <c r="L266" i="36"/>
  <c r="L263" i="36"/>
  <c r="L260" i="36"/>
  <c r="Q48" i="42" l="1"/>
  <c r="Q58" i="42"/>
  <c r="Q55" i="42"/>
  <c r="Q46" i="42"/>
  <c r="Q60" i="42"/>
  <c r="Q51" i="42"/>
  <c r="Q75" i="42"/>
  <c r="Q52" i="42"/>
  <c r="Q73" i="42"/>
  <c r="Q49" i="42"/>
  <c r="Q57" i="42"/>
  <c r="Q53" i="42"/>
  <c r="Q47" i="42"/>
  <c r="Q50" i="42"/>
  <c r="Q59" i="42"/>
  <c r="Q56" i="42"/>
  <c r="L334" i="36"/>
  <c r="O753" i="42"/>
  <c r="N753" i="42"/>
  <c r="M755" i="42"/>
  <c r="L754" i="42"/>
  <c r="Q753" i="42" l="1"/>
  <c r="K1045" i="14"/>
  <c r="M1178" i="14" s="1"/>
  <c r="M1180" i="14" s="1"/>
  <c r="K1046" i="14"/>
  <c r="U86" i="42"/>
  <c r="U87" i="42"/>
  <c r="U89" i="42"/>
  <c r="U90" i="42"/>
  <c r="O1046" i="14" l="1"/>
  <c r="N1046" i="14"/>
  <c r="N1045" i="14"/>
  <c r="O1045" i="14"/>
  <c r="Q45" i="42" l="1"/>
  <c r="Q36" i="42"/>
  <c r="Q33" i="42"/>
  <c r="Q41" i="42"/>
  <c r="Q38" i="42"/>
  <c r="Q44" i="42"/>
  <c r="Q40" i="42"/>
  <c r="Q37" i="42"/>
  <c r="Q34" i="42"/>
  <c r="Q42" i="42"/>
  <c r="Q35" i="42"/>
  <c r="Q43" i="42"/>
  <c r="Q39" i="42"/>
  <c r="Q1046" i="14"/>
  <c r="Q1045" i="14"/>
  <c r="K930" i="14" l="1"/>
  <c r="Q930" i="14" s="1"/>
  <c r="K1048" i="14"/>
  <c r="Q1048" i="14" s="1"/>
  <c r="K1049" i="14"/>
  <c r="Q1049" i="14" s="1"/>
  <c r="K1050" i="14"/>
  <c r="Q1050" i="14" s="1"/>
  <c r="K1051" i="14"/>
  <c r="Q1051" i="14" s="1"/>
  <c r="K1052" i="14"/>
  <c r="Q1052" i="14" s="1"/>
  <c r="K1053" i="14"/>
  <c r="Q1053" i="14" s="1"/>
  <c r="Q32" i="42" l="1"/>
  <c r="P1168" i="14"/>
  <c r="Q30" i="42" l="1"/>
  <c r="Q28" i="42"/>
  <c r="Q31" i="42"/>
  <c r="Q29" i="42"/>
  <c r="U1044" i="14"/>
  <c r="U1043" i="14"/>
  <c r="U110" i="42" l="1"/>
  <c r="U109" i="42"/>
  <c r="U108" i="42"/>
  <c r="U107" i="42"/>
  <c r="U106" i="42"/>
  <c r="U104" i="42"/>
  <c r="U102" i="42"/>
  <c r="U101" i="42"/>
  <c r="U100" i="42"/>
  <c r="U99" i="42"/>
  <c r="U98" i="42"/>
  <c r="U96" i="42"/>
  <c r="U95" i="42"/>
  <c r="U11" i="42"/>
  <c r="U21" i="42"/>
  <c r="U20" i="42"/>
  <c r="K1043" i="14"/>
  <c r="Q1043" i="14" s="1"/>
  <c r="K1044" i="14"/>
  <c r="Q1044" i="14" s="1"/>
  <c r="K879" i="14" l="1"/>
  <c r="Q879" i="14" s="1"/>
  <c r="K880" i="14"/>
  <c r="K986" i="14"/>
  <c r="Q986" i="14" s="1"/>
  <c r="K987" i="14"/>
  <c r="Q987" i="14" s="1"/>
  <c r="K1098" i="14"/>
  <c r="Q1098" i="14" s="1"/>
  <c r="I108" i="15"/>
  <c r="L108" i="15" s="1"/>
  <c r="I104" i="15"/>
  <c r="O104" i="15" s="1"/>
  <c r="I81" i="15"/>
  <c r="M81" i="15" s="1"/>
  <c r="F82" i="15"/>
  <c r="I82" i="15" s="1"/>
  <c r="M82" i="15" s="1"/>
  <c r="Q24" i="42" l="1"/>
  <c r="Q27" i="42"/>
  <c r="Q26" i="42"/>
  <c r="Q23" i="42"/>
  <c r="Q25" i="42"/>
  <c r="M108" i="15"/>
  <c r="O108" i="15" s="1"/>
  <c r="O81" i="15"/>
  <c r="O82" i="15"/>
  <c r="U1038" i="14" l="1"/>
  <c r="U929" i="14"/>
  <c r="U822" i="14"/>
  <c r="U821" i="14"/>
  <c r="K1097" i="14" l="1"/>
  <c r="K1042" i="14" l="1"/>
  <c r="K1041" i="14"/>
  <c r="K1040" i="14"/>
  <c r="K1039" i="14"/>
  <c r="K1033" i="14"/>
  <c r="K1032" i="14"/>
  <c r="K1031" i="14"/>
  <c r="K1030" i="14"/>
  <c r="K1029" i="14"/>
  <c r="K1028" i="14"/>
  <c r="K1027" i="14"/>
  <c r="K1026" i="14"/>
  <c r="K1025" i="14"/>
  <c r="K1024" i="14"/>
  <c r="K1023" i="14"/>
  <c r="K1022" i="14"/>
  <c r="K1021" i="14"/>
  <c r="K1020" i="14"/>
  <c r="K1019" i="14"/>
  <c r="A883" i="14"/>
  <c r="A884" i="14" s="1"/>
  <c r="A885" i="14" s="1"/>
  <c r="A886" i="14" s="1"/>
  <c r="A887" i="14" s="1"/>
  <c r="A888" i="14" s="1"/>
  <c r="A889" i="14" s="1"/>
  <c r="A890" i="14" s="1"/>
  <c r="A891" i="14" s="1"/>
  <c r="A892" i="14" s="1"/>
  <c r="A893" i="14" s="1"/>
  <c r="A894" i="14" s="1"/>
  <c r="A895" i="14" s="1"/>
  <c r="A896" i="14" s="1"/>
  <c r="A897" i="14" s="1"/>
  <c r="A898" i="14" s="1"/>
  <c r="A899" i="14" s="1"/>
  <c r="A900" i="14" s="1"/>
  <c r="A901" i="14" s="1"/>
  <c r="A902" i="14" s="1"/>
  <c r="A903" i="14" s="1"/>
  <c r="A904" i="14" s="1"/>
  <c r="A905" i="14" s="1"/>
  <c r="A906" i="14" s="1"/>
  <c r="A907" i="14" s="1"/>
  <c r="A908" i="14" s="1"/>
  <c r="A909" i="14" s="1"/>
  <c r="A910" i="14" s="1"/>
  <c r="A911" i="14" s="1"/>
  <c r="A912" i="14" s="1"/>
  <c r="A913" i="14" s="1"/>
  <c r="A914" i="14" s="1"/>
  <c r="A915" i="14" s="1"/>
  <c r="A916" i="14" s="1"/>
  <c r="A917" i="14" s="1"/>
  <c r="A918" i="14" s="1"/>
  <c r="A919" i="14" s="1"/>
  <c r="A920" i="14" s="1"/>
  <c r="A921" i="14" s="1"/>
  <c r="A922" i="14" s="1"/>
  <c r="A923" i="14" s="1"/>
  <c r="A924" i="14" s="1"/>
  <c r="A925" i="14" s="1"/>
  <c r="A926" i="14" s="1"/>
  <c r="A927" i="14" s="1"/>
  <c r="A928" i="14" s="1"/>
  <c r="A929" i="14" s="1"/>
  <c r="A931" i="14" s="1"/>
  <c r="A932" i="14" s="1"/>
  <c r="A933" i="14" s="1"/>
  <c r="A934" i="14" s="1"/>
  <c r="K929" i="14"/>
  <c r="Q929" i="14" s="1"/>
  <c r="U1047" i="14"/>
  <c r="K1038" i="14"/>
  <c r="K822" i="14"/>
  <c r="Q822" i="14" s="1"/>
  <c r="K821" i="14"/>
  <c r="Q821" i="14" s="1"/>
  <c r="K1148" i="14"/>
  <c r="Q1148" i="14" s="1"/>
  <c r="K1149" i="14"/>
  <c r="Q1149" i="14" s="1"/>
  <c r="O1031" i="14" l="1"/>
  <c r="N1031" i="14"/>
  <c r="O1040" i="14"/>
  <c r="N1040" i="14"/>
  <c r="N1032" i="14"/>
  <c r="O1032" i="14"/>
  <c r="N1041" i="14"/>
  <c r="O1041" i="14"/>
  <c r="O1029" i="14"/>
  <c r="N1029" i="14"/>
  <c r="O1033" i="14"/>
  <c r="N1033" i="14"/>
  <c r="O1042" i="14"/>
  <c r="N1042" i="14"/>
  <c r="N1030" i="14"/>
  <c r="O1030" i="14"/>
  <c r="O1039" i="14"/>
  <c r="N1039" i="14"/>
  <c r="N1027" i="14"/>
  <c r="O1027" i="14"/>
  <c r="N1028" i="14"/>
  <c r="O1028" i="14"/>
  <c r="O1026" i="14"/>
  <c r="N1026" i="14"/>
  <c r="O1025" i="14"/>
  <c r="N1025" i="14"/>
  <c r="N1024" i="14"/>
  <c r="O1024" i="14"/>
  <c r="M1168" i="14"/>
  <c r="O1023" i="14"/>
  <c r="N1023" i="14"/>
  <c r="N1022" i="14"/>
  <c r="O1022" i="14"/>
  <c r="N1021" i="14"/>
  <c r="O1021" i="14"/>
  <c r="N1020" i="14"/>
  <c r="O1020" i="14"/>
  <c r="N1019" i="14"/>
  <c r="O1019" i="14"/>
  <c r="O1038" i="14"/>
  <c r="N1038" i="14"/>
  <c r="I29" i="16"/>
  <c r="I30" i="16"/>
  <c r="I31" i="16"/>
  <c r="I32" i="16"/>
  <c r="I33" i="16"/>
  <c r="I34" i="16"/>
  <c r="L34" i="16" s="1"/>
  <c r="I35" i="16"/>
  <c r="L35" i="16" s="1"/>
  <c r="I28" i="16"/>
  <c r="L33" i="16"/>
  <c r="Q18" i="42" l="1"/>
  <c r="Q19" i="42"/>
  <c r="Q21" i="42"/>
  <c r="Q22" i="42"/>
  <c r="Q20" i="42"/>
  <c r="Q1041" i="14"/>
  <c r="Q1039" i="14"/>
  <c r="Q1042" i="14"/>
  <c r="Q1040" i="14"/>
  <c r="Q1038" i="14"/>
  <c r="L212" i="14"/>
  <c r="K1095" i="14"/>
  <c r="U10" i="42" l="1"/>
  <c r="U7" i="42"/>
  <c r="U4" i="42"/>
  <c r="U1150" i="14"/>
  <c r="U1147" i="14"/>
  <c r="U1146" i="14"/>
  <c r="U1145" i="14"/>
  <c r="U1144" i="14"/>
  <c r="U1143" i="14"/>
  <c r="U1142" i="14"/>
  <c r="U1141" i="14"/>
  <c r="U1140" i="14"/>
  <c r="U1139" i="14"/>
  <c r="U1138" i="14"/>
  <c r="U1137" i="14"/>
  <c r="U1136" i="14"/>
  <c r="U1135" i="14"/>
  <c r="U1134" i="14"/>
  <c r="U1133" i="14"/>
  <c r="U1132" i="14"/>
  <c r="U1131" i="14"/>
  <c r="U1130" i="14"/>
  <c r="U1129" i="14"/>
  <c r="U1128" i="14"/>
  <c r="U1127" i="14"/>
  <c r="U1126" i="14"/>
  <c r="U1125" i="14"/>
  <c r="U1124" i="14"/>
  <c r="U1123" i="14"/>
  <c r="U1122" i="14"/>
  <c r="U1121" i="14"/>
  <c r="U1120" i="14"/>
  <c r="U1119" i="14"/>
  <c r="U1118" i="14"/>
  <c r="U1117" i="14"/>
  <c r="U1116" i="14"/>
  <c r="U1115" i="14"/>
  <c r="U1114" i="14"/>
  <c r="U1113" i="14"/>
  <c r="U1112" i="14"/>
  <c r="U1111" i="14"/>
  <c r="U1110" i="14"/>
  <c r="U1109" i="14"/>
  <c r="U1108" i="14"/>
  <c r="U1107" i="14"/>
  <c r="U1106" i="14"/>
  <c r="U1105" i="14"/>
  <c r="U1104" i="14"/>
  <c r="U1103" i="14"/>
  <c r="U1102" i="14"/>
  <c r="U1101" i="14"/>
  <c r="U1100" i="14"/>
  <c r="U1099" i="14"/>
  <c r="U1097" i="14"/>
  <c r="U1096" i="14"/>
  <c r="U1095" i="14"/>
  <c r="U1094" i="14"/>
  <c r="U1093" i="14"/>
  <c r="U1092" i="14"/>
  <c r="U1091" i="14"/>
  <c r="U1090" i="14"/>
  <c r="U1089" i="14"/>
  <c r="U1088" i="14"/>
  <c r="U1087" i="14"/>
  <c r="U1086" i="14"/>
  <c r="U1085" i="14"/>
  <c r="U1084" i="14"/>
  <c r="U1083" i="14"/>
  <c r="U1082" i="14"/>
  <c r="U1081" i="14"/>
  <c r="U1080" i="14"/>
  <c r="U1079" i="14"/>
  <c r="U1078" i="14"/>
  <c r="U1077" i="14"/>
  <c r="U1076" i="14"/>
  <c r="U1075" i="14"/>
  <c r="U1074" i="14"/>
  <c r="U1073" i="14"/>
  <c r="U1072" i="14"/>
  <c r="U1071" i="14"/>
  <c r="U1070" i="14"/>
  <c r="U1069" i="14"/>
  <c r="U1068" i="14"/>
  <c r="U1067" i="14"/>
  <c r="U1066" i="14"/>
  <c r="U1065" i="14"/>
  <c r="U1064" i="14"/>
  <c r="U1063" i="14"/>
  <c r="U1062" i="14"/>
  <c r="U1061" i="14"/>
  <c r="U1060" i="14"/>
  <c r="U1059" i="14"/>
  <c r="U1058" i="14"/>
  <c r="U1057" i="14"/>
  <c r="U1037" i="14"/>
  <c r="U1036" i="14"/>
  <c r="U1035" i="14"/>
  <c r="U1034" i="14"/>
  <c r="U1033" i="14"/>
  <c r="U1032" i="14"/>
  <c r="U1031" i="14"/>
  <c r="U1030" i="14"/>
  <c r="U1029" i="14"/>
  <c r="U1028" i="14"/>
  <c r="U1027" i="14"/>
  <c r="U1026" i="14"/>
  <c r="U1025" i="14"/>
  <c r="U1024" i="14"/>
  <c r="U1023" i="14"/>
  <c r="U1022" i="14"/>
  <c r="U1021" i="14"/>
  <c r="U1020" i="14"/>
  <c r="U1019" i="14"/>
  <c r="U1018" i="14"/>
  <c r="U1017" i="14"/>
  <c r="U1016" i="14"/>
  <c r="U1015" i="14"/>
  <c r="U1014" i="14"/>
  <c r="U1013" i="14"/>
  <c r="U1012" i="14"/>
  <c r="U1011" i="14"/>
  <c r="U1010" i="14"/>
  <c r="U1009" i="14"/>
  <c r="U1008" i="14"/>
  <c r="U1007" i="14"/>
  <c r="U1006" i="14"/>
  <c r="U1005" i="14"/>
  <c r="U1004" i="14"/>
  <c r="U1003" i="14"/>
  <c r="U1002" i="14"/>
  <c r="U1001" i="14"/>
  <c r="U1000" i="14"/>
  <c r="U999" i="14"/>
  <c r="U998" i="14"/>
  <c r="U997" i="14"/>
  <c r="U996" i="14"/>
  <c r="U995" i="14"/>
  <c r="U994" i="14"/>
  <c r="U993" i="14"/>
  <c r="U992" i="14"/>
  <c r="U991" i="14"/>
  <c r="U989" i="14"/>
  <c r="U985" i="14"/>
  <c r="U984" i="14"/>
  <c r="U983" i="14"/>
  <c r="U982" i="14"/>
  <c r="U981" i="14"/>
  <c r="U980" i="14"/>
  <c r="U979" i="14"/>
  <c r="U978" i="14"/>
  <c r="U977" i="14"/>
  <c r="U976" i="14"/>
  <c r="U975" i="14"/>
  <c r="U974" i="14"/>
  <c r="U973" i="14"/>
  <c r="U972" i="14"/>
  <c r="U971" i="14"/>
  <c r="U970" i="14"/>
  <c r="U969" i="14"/>
  <c r="U968" i="14"/>
  <c r="U967" i="14"/>
  <c r="U966" i="14"/>
  <c r="U965" i="14"/>
  <c r="U964" i="14"/>
  <c r="U963" i="14"/>
  <c r="U962" i="14"/>
  <c r="U961" i="14"/>
  <c r="U960" i="14"/>
  <c r="U959" i="14"/>
  <c r="U958" i="14"/>
  <c r="U957" i="14"/>
  <c r="U956" i="14"/>
  <c r="U955" i="14"/>
  <c r="U954" i="14"/>
  <c r="U953" i="14"/>
  <c r="U952" i="14"/>
  <c r="U951" i="14"/>
  <c r="U950" i="14"/>
  <c r="U949" i="14"/>
  <c r="U948" i="14"/>
  <c r="U947" i="14"/>
  <c r="U946" i="14"/>
  <c r="U945" i="14"/>
  <c r="U944" i="14"/>
  <c r="U943" i="14"/>
  <c r="U942" i="14"/>
  <c r="U941" i="14"/>
  <c r="U940" i="14"/>
  <c r="U939" i="14"/>
  <c r="U938" i="14"/>
  <c r="U937" i="14"/>
  <c r="U936" i="14"/>
  <c r="U935" i="14"/>
  <c r="U934" i="14"/>
  <c r="U933" i="14"/>
  <c r="U932" i="14"/>
  <c r="U931" i="14"/>
  <c r="U928" i="14"/>
  <c r="U927" i="14"/>
  <c r="U926" i="14"/>
  <c r="U925" i="14"/>
  <c r="U924" i="14"/>
  <c r="U923" i="14"/>
  <c r="U922" i="14"/>
  <c r="U921" i="14"/>
  <c r="U920" i="14"/>
  <c r="U919" i="14"/>
  <c r="U918" i="14"/>
  <c r="U917" i="14"/>
  <c r="U916" i="14"/>
  <c r="U915" i="14"/>
  <c r="U914" i="14"/>
  <c r="U913" i="14"/>
  <c r="U912" i="14"/>
  <c r="U911" i="14"/>
  <c r="U910" i="14"/>
  <c r="U909" i="14"/>
  <c r="U908" i="14"/>
  <c r="U907" i="14"/>
  <c r="U906" i="14"/>
  <c r="U905" i="14"/>
  <c r="U904" i="14"/>
  <c r="U903" i="14"/>
  <c r="U902" i="14"/>
  <c r="U901" i="14"/>
  <c r="U900" i="14"/>
  <c r="U899" i="14"/>
  <c r="U898" i="14"/>
  <c r="U897" i="14"/>
  <c r="U896" i="14"/>
  <c r="U895" i="14"/>
  <c r="U894" i="14"/>
  <c r="U893" i="14"/>
  <c r="U892" i="14"/>
  <c r="U891" i="14"/>
  <c r="U890" i="14"/>
  <c r="U889" i="14"/>
  <c r="U888" i="14"/>
  <c r="U887" i="14"/>
  <c r="U886" i="14"/>
  <c r="U885" i="14"/>
  <c r="U884" i="14"/>
  <c r="U883" i="14"/>
  <c r="U882" i="14"/>
  <c r="U880" i="14"/>
  <c r="U878" i="14"/>
  <c r="U877" i="14"/>
  <c r="U876" i="14"/>
  <c r="U875" i="14"/>
  <c r="U874" i="14"/>
  <c r="U873" i="14"/>
  <c r="U870" i="14"/>
  <c r="U869" i="14"/>
  <c r="U868" i="14"/>
  <c r="U867" i="14"/>
  <c r="U866" i="14"/>
  <c r="U865" i="14"/>
  <c r="U864" i="14"/>
  <c r="U863" i="14"/>
  <c r="U862" i="14"/>
  <c r="U861" i="14"/>
  <c r="U860" i="14"/>
  <c r="U859" i="14"/>
  <c r="U858" i="14"/>
  <c r="U857" i="14"/>
  <c r="U856" i="14"/>
  <c r="U855" i="14"/>
  <c r="U854" i="14"/>
  <c r="U853" i="14"/>
  <c r="U852" i="14"/>
  <c r="U851" i="14"/>
  <c r="U850" i="14"/>
  <c r="U849" i="14"/>
  <c r="U848" i="14"/>
  <c r="U847" i="14"/>
  <c r="U846" i="14"/>
  <c r="U845" i="14"/>
  <c r="U844" i="14"/>
  <c r="U843" i="14"/>
  <c r="U842" i="14"/>
  <c r="U841" i="14"/>
  <c r="U840" i="14"/>
  <c r="U839" i="14"/>
  <c r="U838" i="14"/>
  <c r="U837" i="14"/>
  <c r="U836" i="14"/>
  <c r="U835" i="14"/>
  <c r="U834" i="14"/>
  <c r="U833" i="14"/>
  <c r="U832" i="14"/>
  <c r="U831" i="14"/>
  <c r="U830" i="14"/>
  <c r="U829" i="14"/>
  <c r="U828" i="14"/>
  <c r="U827" i="14"/>
  <c r="U826" i="14"/>
  <c r="U825" i="14"/>
  <c r="U824" i="14"/>
  <c r="U823" i="14"/>
  <c r="U820" i="14"/>
  <c r="U819" i="14"/>
  <c r="U818" i="14"/>
  <c r="U817" i="14"/>
  <c r="U816" i="14"/>
  <c r="U815" i="14"/>
  <c r="U814" i="14"/>
  <c r="U813" i="14"/>
  <c r="U812" i="14"/>
  <c r="U811" i="14"/>
  <c r="U810" i="14"/>
  <c r="U809" i="14"/>
  <c r="U808" i="14"/>
  <c r="U807" i="14"/>
  <c r="U806" i="14"/>
  <c r="U805" i="14"/>
  <c r="U804" i="14"/>
  <c r="U803" i="14"/>
  <c r="U802" i="14"/>
  <c r="U801" i="14"/>
  <c r="U800" i="14"/>
  <c r="U799" i="14"/>
  <c r="U798" i="14"/>
  <c r="U797" i="14"/>
  <c r="U796" i="14"/>
  <c r="U795" i="14"/>
  <c r="U794" i="14"/>
  <c r="U793" i="14"/>
  <c r="U792" i="14"/>
  <c r="U791" i="14"/>
  <c r="U790" i="14"/>
  <c r="U789" i="14"/>
  <c r="U788" i="14"/>
  <c r="U787" i="14"/>
  <c r="U786" i="14"/>
  <c r="U785" i="14"/>
  <c r="U784" i="14"/>
  <c r="U783" i="14"/>
  <c r="U782" i="14"/>
  <c r="U781" i="14"/>
  <c r="U780" i="14"/>
  <c r="U779" i="14"/>
  <c r="U778" i="14"/>
  <c r="U777" i="14"/>
  <c r="U776" i="14"/>
  <c r="U775" i="14"/>
  <c r="U773" i="14"/>
  <c r="U772" i="14"/>
  <c r="U771" i="14"/>
  <c r="U770" i="14"/>
  <c r="U769" i="14"/>
  <c r="U768" i="14"/>
  <c r="U767" i="14"/>
  <c r="U766" i="14"/>
  <c r="U765" i="14"/>
  <c r="U764" i="14"/>
  <c r="U763" i="14"/>
  <c r="U762" i="14"/>
  <c r="U761" i="14"/>
  <c r="U760" i="14"/>
  <c r="U759" i="14"/>
  <c r="U758" i="14"/>
  <c r="U757" i="14"/>
  <c r="U756" i="14"/>
  <c r="U755" i="14"/>
  <c r="U754" i="14"/>
  <c r="U753" i="14"/>
  <c r="U752" i="14"/>
  <c r="U751" i="14"/>
  <c r="U750" i="14"/>
  <c r="U749" i="14"/>
  <c r="U748" i="14"/>
  <c r="U747" i="14"/>
  <c r="U746" i="14"/>
  <c r="U745" i="14"/>
  <c r="U744" i="14"/>
  <c r="U743" i="14"/>
  <c r="U742" i="14"/>
  <c r="U741" i="14"/>
  <c r="U740" i="14"/>
  <c r="U739" i="14"/>
  <c r="U738" i="14"/>
  <c r="U737" i="14"/>
  <c r="U736" i="14"/>
  <c r="U735" i="14"/>
  <c r="U734" i="14"/>
  <c r="U733" i="14"/>
  <c r="U732" i="14"/>
  <c r="U731" i="14"/>
  <c r="U730" i="14"/>
  <c r="U729" i="14"/>
  <c r="U728" i="14"/>
  <c r="U727" i="14"/>
  <c r="U726" i="14"/>
  <c r="U725" i="14"/>
  <c r="U724" i="14"/>
  <c r="U723" i="14"/>
  <c r="U722" i="14"/>
  <c r="U721" i="14"/>
  <c r="U720" i="14"/>
  <c r="U719" i="14"/>
  <c r="U718" i="14"/>
  <c r="U717" i="14"/>
  <c r="U716" i="14"/>
  <c r="U715" i="14"/>
  <c r="U714" i="14"/>
  <c r="U713" i="14"/>
  <c r="U712" i="14"/>
  <c r="U711" i="14"/>
  <c r="U710" i="14"/>
  <c r="U709" i="14"/>
  <c r="U708" i="14"/>
  <c r="U707" i="14"/>
  <c r="U706" i="14"/>
  <c r="U705" i="14"/>
  <c r="U704" i="14"/>
  <c r="U703" i="14"/>
  <c r="U702" i="14"/>
  <c r="U701" i="14"/>
  <c r="U700" i="14"/>
  <c r="U699" i="14"/>
  <c r="U698" i="14"/>
  <c r="U697" i="14"/>
  <c r="U696" i="14"/>
  <c r="U695" i="14"/>
  <c r="U694" i="14"/>
  <c r="U693" i="14"/>
  <c r="U692" i="14"/>
  <c r="U691" i="14"/>
  <c r="U690" i="14"/>
  <c r="U689" i="14"/>
  <c r="U688" i="14"/>
  <c r="U687" i="14"/>
  <c r="U685" i="14"/>
  <c r="U684" i="14"/>
  <c r="U683" i="14"/>
  <c r="U682" i="14"/>
  <c r="U681" i="14"/>
  <c r="U680" i="14"/>
  <c r="U679" i="14"/>
  <c r="U678" i="14"/>
  <c r="U677" i="14"/>
  <c r="U676" i="14"/>
  <c r="U675" i="14"/>
  <c r="U674" i="14"/>
  <c r="U673" i="14"/>
  <c r="U672" i="14"/>
  <c r="U671" i="14"/>
  <c r="U670" i="14"/>
  <c r="U669" i="14"/>
  <c r="U668" i="14"/>
  <c r="U667" i="14"/>
  <c r="U666" i="14"/>
  <c r="U665" i="14"/>
  <c r="U664" i="14"/>
  <c r="U663" i="14"/>
  <c r="U662" i="14"/>
  <c r="U661" i="14"/>
  <c r="U660" i="14"/>
  <c r="U659" i="14"/>
  <c r="U658" i="14"/>
  <c r="U657" i="14"/>
  <c r="U656" i="14"/>
  <c r="U655" i="14"/>
  <c r="U654" i="14"/>
  <c r="U653" i="14"/>
  <c r="U652" i="14"/>
  <c r="U651" i="14"/>
  <c r="U650" i="14"/>
  <c r="U649" i="14"/>
  <c r="U648" i="14"/>
  <c r="U647" i="14"/>
  <c r="U646" i="14"/>
  <c r="U645" i="14"/>
  <c r="U644" i="14"/>
  <c r="U643" i="14"/>
  <c r="U642" i="14"/>
  <c r="U641" i="14"/>
  <c r="U640" i="14"/>
  <c r="U639" i="14"/>
  <c r="U638" i="14"/>
  <c r="U637" i="14"/>
  <c r="U636" i="14"/>
  <c r="U635" i="14"/>
  <c r="U634" i="14"/>
  <c r="U633" i="14"/>
  <c r="U632" i="14"/>
  <c r="U631" i="14"/>
  <c r="U630" i="14"/>
  <c r="U629" i="14"/>
  <c r="U628" i="14"/>
  <c r="U627" i="14"/>
  <c r="U626" i="14"/>
  <c r="U625" i="14"/>
  <c r="U624" i="14"/>
  <c r="U623" i="14"/>
  <c r="U622" i="14"/>
  <c r="U621" i="14"/>
  <c r="U620" i="14"/>
  <c r="U619" i="14"/>
  <c r="U618" i="14"/>
  <c r="U617" i="14"/>
  <c r="U616" i="14"/>
  <c r="U615" i="14"/>
  <c r="U614" i="14"/>
  <c r="U613" i="14"/>
  <c r="U612" i="14"/>
  <c r="U611" i="14"/>
  <c r="U610" i="14"/>
  <c r="U609" i="14"/>
  <c r="U608" i="14"/>
  <c r="U606" i="14"/>
  <c r="U605" i="14"/>
  <c r="U604" i="14"/>
  <c r="U603" i="14"/>
  <c r="U602" i="14"/>
  <c r="U601" i="14"/>
  <c r="U600" i="14"/>
  <c r="U599" i="14"/>
  <c r="U598" i="14"/>
  <c r="U597" i="14"/>
  <c r="U596" i="14"/>
  <c r="U595" i="14"/>
  <c r="U594" i="14"/>
  <c r="U593" i="14"/>
  <c r="U592" i="14"/>
  <c r="U591" i="14"/>
  <c r="U590" i="14"/>
  <c r="U589" i="14"/>
  <c r="U588" i="14"/>
  <c r="U587" i="14"/>
  <c r="U586" i="14"/>
  <c r="U585" i="14"/>
  <c r="U584" i="14"/>
  <c r="U583" i="14"/>
  <c r="U582" i="14"/>
  <c r="U581" i="14"/>
  <c r="U580" i="14"/>
  <c r="U579" i="14"/>
  <c r="U578" i="14"/>
  <c r="U577" i="14"/>
  <c r="U576" i="14"/>
  <c r="U575" i="14"/>
  <c r="U574" i="14"/>
  <c r="U573" i="14"/>
  <c r="U572" i="14"/>
  <c r="U571" i="14"/>
  <c r="U570" i="14"/>
  <c r="U569" i="14"/>
  <c r="U568" i="14"/>
  <c r="U567" i="14"/>
  <c r="U566" i="14"/>
  <c r="U565" i="14"/>
  <c r="U564" i="14"/>
  <c r="U563" i="14"/>
  <c r="U562" i="14"/>
  <c r="U561" i="14"/>
  <c r="U560" i="14"/>
  <c r="U559" i="14"/>
  <c r="U558" i="14"/>
  <c r="U557" i="14"/>
  <c r="U556" i="14"/>
  <c r="U555" i="14"/>
  <c r="U554" i="14"/>
  <c r="U553" i="14"/>
  <c r="U552" i="14"/>
  <c r="U551" i="14"/>
  <c r="U550" i="14"/>
  <c r="U549" i="14"/>
  <c r="U548" i="14"/>
  <c r="U547" i="14"/>
  <c r="U546" i="14"/>
  <c r="U545" i="14"/>
  <c r="U544" i="14"/>
  <c r="U543" i="14"/>
  <c r="U542" i="14"/>
  <c r="U541" i="14"/>
  <c r="U540" i="14"/>
  <c r="U539" i="14"/>
  <c r="U538" i="14"/>
  <c r="U537" i="14"/>
  <c r="U536" i="14"/>
  <c r="U535" i="14"/>
  <c r="U534" i="14"/>
  <c r="U533" i="14"/>
  <c r="U532" i="14"/>
  <c r="U531" i="14"/>
  <c r="U530" i="14"/>
  <c r="U529" i="14"/>
  <c r="U528" i="14"/>
  <c r="U527" i="14"/>
  <c r="U526" i="14"/>
  <c r="U525" i="14"/>
  <c r="U524" i="14"/>
  <c r="U523" i="14"/>
  <c r="U522" i="14"/>
  <c r="U521" i="14"/>
  <c r="U520" i="14"/>
  <c r="U519" i="14"/>
  <c r="U518" i="14"/>
  <c r="U517" i="14"/>
  <c r="U516" i="14"/>
  <c r="U515" i="14"/>
  <c r="U514" i="14"/>
  <c r="U513" i="14"/>
  <c r="U512" i="14"/>
  <c r="U511" i="14"/>
  <c r="U510" i="14"/>
  <c r="U509" i="14"/>
  <c r="U508" i="14"/>
  <c r="U507" i="14"/>
  <c r="U506" i="14"/>
  <c r="U505" i="14"/>
  <c r="U504" i="14"/>
  <c r="U503" i="14"/>
  <c r="U502" i="14"/>
  <c r="U501" i="14"/>
  <c r="U500" i="14"/>
  <c r="U499" i="14"/>
  <c r="U498" i="14"/>
  <c r="U497" i="14"/>
  <c r="U496" i="14"/>
  <c r="U495" i="14"/>
  <c r="U494" i="14"/>
  <c r="U493" i="14"/>
  <c r="U492" i="14"/>
  <c r="U491" i="14"/>
  <c r="U490" i="14"/>
  <c r="U489" i="14"/>
  <c r="U488" i="14"/>
  <c r="U487" i="14"/>
  <c r="U486" i="14"/>
  <c r="U485" i="14"/>
  <c r="U484" i="14"/>
  <c r="U483" i="14"/>
  <c r="U482" i="14"/>
  <c r="U481" i="14"/>
  <c r="U480" i="14"/>
  <c r="U479" i="14"/>
  <c r="U478" i="14"/>
  <c r="U477" i="14"/>
  <c r="U476" i="14"/>
  <c r="U475" i="14"/>
  <c r="U474" i="14"/>
  <c r="U473" i="14"/>
  <c r="U472" i="14"/>
  <c r="U471" i="14"/>
  <c r="U470" i="14"/>
  <c r="U469" i="14"/>
  <c r="U468" i="14"/>
  <c r="U467" i="14"/>
  <c r="U466" i="14"/>
  <c r="U465" i="14"/>
  <c r="U464" i="14"/>
  <c r="U463" i="14"/>
  <c r="U462" i="14"/>
  <c r="U461" i="14"/>
  <c r="U460" i="14"/>
  <c r="U459" i="14"/>
  <c r="U458" i="14"/>
  <c r="U457" i="14"/>
  <c r="U456" i="14"/>
  <c r="U455" i="14"/>
  <c r="U454" i="14"/>
  <c r="U453" i="14"/>
  <c r="U452" i="14"/>
  <c r="U451" i="14"/>
  <c r="U450" i="14"/>
  <c r="U449" i="14"/>
  <c r="U448" i="14"/>
  <c r="U447" i="14"/>
  <c r="U446" i="14"/>
  <c r="U445" i="14"/>
  <c r="U444" i="14"/>
  <c r="U443" i="14"/>
  <c r="U442" i="14"/>
  <c r="U441" i="14"/>
  <c r="U440" i="14"/>
  <c r="U439" i="14"/>
  <c r="U438" i="14"/>
  <c r="U437" i="14"/>
  <c r="U436" i="14"/>
  <c r="U435" i="14"/>
  <c r="U434" i="14"/>
  <c r="U433" i="14"/>
  <c r="U432" i="14"/>
  <c r="U430" i="14"/>
  <c r="U429" i="14"/>
  <c r="U428" i="14"/>
  <c r="U427" i="14"/>
  <c r="U426" i="14"/>
  <c r="U425" i="14"/>
  <c r="U424" i="14"/>
  <c r="U423" i="14"/>
  <c r="U422" i="14"/>
  <c r="U421" i="14"/>
  <c r="U420" i="14"/>
  <c r="U419" i="14"/>
  <c r="U418" i="14"/>
  <c r="U417" i="14"/>
  <c r="U416" i="14"/>
  <c r="U415" i="14"/>
  <c r="U414" i="14"/>
  <c r="U413" i="14"/>
  <c r="U412" i="14"/>
  <c r="U411" i="14"/>
  <c r="U410" i="14"/>
  <c r="U409" i="14"/>
  <c r="U408" i="14"/>
  <c r="U407" i="14"/>
  <c r="U406" i="14"/>
  <c r="U405" i="14"/>
  <c r="U404" i="14"/>
  <c r="U403" i="14"/>
  <c r="U402" i="14"/>
  <c r="U401" i="14"/>
  <c r="U400" i="14"/>
  <c r="U399" i="14"/>
  <c r="U398" i="14"/>
  <c r="U397" i="14"/>
  <c r="U396" i="14"/>
  <c r="U395" i="14"/>
  <c r="U394" i="14"/>
  <c r="U393" i="14"/>
  <c r="U392" i="14"/>
  <c r="U391" i="14"/>
  <c r="U390" i="14"/>
  <c r="U389" i="14"/>
  <c r="U388" i="14"/>
  <c r="U387" i="14"/>
  <c r="U386" i="14"/>
  <c r="U385" i="14"/>
  <c r="U384" i="14"/>
  <c r="U383" i="14"/>
  <c r="U382" i="14"/>
  <c r="U381" i="14"/>
  <c r="U380" i="14"/>
  <c r="U379" i="14"/>
  <c r="U378" i="14"/>
  <c r="U377" i="14"/>
  <c r="U376" i="14"/>
  <c r="U375" i="14"/>
  <c r="U374" i="14"/>
  <c r="U373" i="14"/>
  <c r="U372" i="14"/>
  <c r="U371" i="14"/>
  <c r="U370" i="14"/>
  <c r="U369" i="14"/>
  <c r="U368" i="14"/>
  <c r="U367" i="14"/>
  <c r="U366" i="14"/>
  <c r="U365" i="14"/>
  <c r="U364" i="14"/>
  <c r="U363" i="14"/>
  <c r="U362" i="14"/>
  <c r="U361" i="14"/>
  <c r="U360" i="14"/>
  <c r="U359" i="14"/>
  <c r="U358" i="14"/>
  <c r="U357" i="14"/>
  <c r="U356" i="14"/>
  <c r="U355" i="14"/>
  <c r="U354" i="14"/>
  <c r="U353" i="14"/>
  <c r="U352" i="14"/>
  <c r="U351" i="14"/>
  <c r="U350" i="14"/>
  <c r="U349" i="14"/>
  <c r="U348" i="14"/>
  <c r="U347" i="14"/>
  <c r="U346" i="14"/>
  <c r="U345" i="14"/>
  <c r="U344" i="14"/>
  <c r="U343" i="14"/>
  <c r="U342" i="14"/>
  <c r="U341" i="14"/>
  <c r="U340" i="14"/>
  <c r="U339" i="14"/>
  <c r="U338" i="14"/>
  <c r="U337" i="14"/>
  <c r="U336" i="14"/>
  <c r="U335" i="14"/>
  <c r="U334" i="14"/>
  <c r="U333" i="14"/>
  <c r="U332" i="14"/>
  <c r="U331" i="14"/>
  <c r="U330" i="14"/>
  <c r="U329" i="14"/>
  <c r="U328" i="14"/>
  <c r="U327" i="14"/>
  <c r="U326" i="14"/>
  <c r="U324" i="14"/>
  <c r="U323" i="14"/>
  <c r="U322" i="14"/>
  <c r="U321" i="14"/>
  <c r="U320" i="14"/>
  <c r="U319" i="14"/>
  <c r="U318" i="14"/>
  <c r="U317" i="14"/>
  <c r="U316" i="14"/>
  <c r="U315" i="14"/>
  <c r="U314" i="14"/>
  <c r="U313" i="14"/>
  <c r="U312" i="14"/>
  <c r="U311" i="14"/>
  <c r="U310" i="14"/>
  <c r="U309" i="14"/>
  <c r="U308" i="14"/>
  <c r="U307" i="14"/>
  <c r="U306" i="14"/>
  <c r="U305" i="14"/>
  <c r="U304" i="14"/>
  <c r="U303" i="14"/>
  <c r="U302" i="14"/>
  <c r="U301" i="14"/>
  <c r="U300" i="14"/>
  <c r="U299" i="14"/>
  <c r="U298" i="14"/>
  <c r="U297" i="14"/>
  <c r="U296" i="14"/>
  <c r="U295" i="14"/>
  <c r="U294" i="14"/>
  <c r="U293" i="14"/>
  <c r="U292" i="14"/>
  <c r="U291" i="14"/>
  <c r="U290" i="14"/>
  <c r="U289" i="14"/>
  <c r="U288" i="14"/>
  <c r="U287" i="14"/>
  <c r="U286" i="14"/>
  <c r="U285" i="14"/>
  <c r="U284" i="14"/>
  <c r="U283" i="14"/>
  <c r="U282" i="14"/>
  <c r="U281" i="14"/>
  <c r="U280" i="14"/>
  <c r="U279" i="14"/>
  <c r="U278" i="14"/>
  <c r="U277" i="14"/>
  <c r="U276" i="14"/>
  <c r="U275" i="14"/>
  <c r="U274" i="14"/>
  <c r="U273" i="14"/>
  <c r="U272" i="14"/>
  <c r="U271" i="14"/>
  <c r="U270" i="14"/>
  <c r="U269" i="14"/>
  <c r="U268" i="14"/>
  <c r="U267" i="14"/>
  <c r="U266" i="14"/>
  <c r="U265" i="14"/>
  <c r="U264" i="14"/>
  <c r="U263" i="14"/>
  <c r="U262" i="14"/>
  <c r="U261" i="14"/>
  <c r="U260" i="14"/>
  <c r="U259" i="14"/>
  <c r="U258" i="14"/>
  <c r="U257" i="14"/>
  <c r="U256" i="14"/>
  <c r="U255" i="14"/>
  <c r="U254" i="14"/>
  <c r="U253" i="14"/>
  <c r="U252" i="14"/>
  <c r="U251" i="14"/>
  <c r="U250" i="14"/>
  <c r="U249" i="14"/>
  <c r="U248" i="14"/>
  <c r="U247" i="14"/>
  <c r="U246" i="14"/>
  <c r="U245" i="14"/>
  <c r="U244" i="14"/>
  <c r="U243" i="14"/>
  <c r="U242" i="14"/>
  <c r="U241" i="14"/>
  <c r="U240" i="14"/>
  <c r="U239" i="14"/>
  <c r="U238" i="14"/>
  <c r="U237" i="14"/>
  <c r="U236" i="14"/>
  <c r="U235" i="14"/>
  <c r="U234" i="14"/>
  <c r="U233" i="14"/>
  <c r="U232" i="14"/>
  <c r="U231" i="14"/>
  <c r="U230" i="14"/>
  <c r="U229" i="14"/>
  <c r="U228" i="14"/>
  <c r="U227" i="14"/>
  <c r="U226" i="14"/>
  <c r="U225" i="14"/>
  <c r="U224" i="14"/>
  <c r="U223" i="14"/>
  <c r="U222" i="14"/>
  <c r="U221" i="14"/>
  <c r="U219" i="14"/>
  <c r="U218" i="14"/>
  <c r="U217" i="14"/>
  <c r="U216" i="14"/>
  <c r="U215" i="14"/>
  <c r="U214" i="14"/>
  <c r="U213" i="14"/>
  <c r="U212" i="14"/>
  <c r="U211" i="14"/>
  <c r="U210" i="14"/>
  <c r="U209" i="14"/>
  <c r="U208" i="14"/>
  <c r="U207" i="14"/>
  <c r="U206" i="14"/>
  <c r="U205" i="14"/>
  <c r="U204" i="14"/>
  <c r="U203" i="14"/>
  <c r="U202" i="14"/>
  <c r="U201" i="14"/>
  <c r="U200" i="14"/>
  <c r="U199" i="14"/>
  <c r="U198" i="14"/>
  <c r="U197" i="14"/>
  <c r="U196" i="14"/>
  <c r="U195" i="14"/>
  <c r="U194" i="14"/>
  <c r="U193" i="14"/>
  <c r="U192" i="14"/>
  <c r="U191" i="14"/>
  <c r="U190" i="14"/>
  <c r="U189" i="14"/>
  <c r="U188" i="14"/>
  <c r="U187" i="14"/>
  <c r="U186" i="14"/>
  <c r="U185" i="14"/>
  <c r="U184" i="14"/>
  <c r="U183" i="14"/>
  <c r="U182" i="14"/>
  <c r="U181" i="14"/>
  <c r="U180" i="14"/>
  <c r="U179" i="14"/>
  <c r="U178" i="14"/>
  <c r="U177" i="14"/>
  <c r="U176" i="14"/>
  <c r="U175" i="14"/>
  <c r="U174" i="14"/>
  <c r="U173" i="14"/>
  <c r="U172" i="14"/>
  <c r="U171" i="14"/>
  <c r="U170" i="14"/>
  <c r="U169" i="14"/>
  <c r="U168" i="14"/>
  <c r="U167" i="14"/>
  <c r="U166" i="14"/>
  <c r="U165" i="14"/>
  <c r="U164" i="14"/>
  <c r="U163" i="14"/>
  <c r="U162" i="14"/>
  <c r="U161" i="14"/>
  <c r="U160" i="14"/>
  <c r="U159" i="14"/>
  <c r="U158" i="14"/>
  <c r="U157" i="14"/>
  <c r="U155" i="14"/>
  <c r="U154" i="14"/>
  <c r="U153" i="14"/>
  <c r="U152" i="14"/>
  <c r="U151" i="14"/>
  <c r="U150" i="14"/>
  <c r="U149" i="14"/>
  <c r="U148" i="14"/>
  <c r="U147" i="14"/>
  <c r="U146" i="14"/>
  <c r="U145" i="14"/>
  <c r="U144" i="14"/>
  <c r="U143" i="14"/>
  <c r="U142" i="14"/>
  <c r="U141" i="14"/>
  <c r="U140" i="14"/>
  <c r="U139" i="14"/>
  <c r="U138" i="14"/>
  <c r="U137" i="14"/>
  <c r="U136" i="14"/>
  <c r="U135" i="14"/>
  <c r="U134" i="14"/>
  <c r="U133" i="14"/>
  <c r="U132" i="14"/>
  <c r="U131" i="14"/>
  <c r="U130" i="14"/>
  <c r="U129" i="14"/>
  <c r="U128" i="14"/>
  <c r="U127" i="14"/>
  <c r="U126" i="14"/>
  <c r="U125" i="14"/>
  <c r="U124" i="14"/>
  <c r="U123" i="14"/>
  <c r="U122" i="14"/>
  <c r="U121" i="14"/>
  <c r="U120" i="14"/>
  <c r="U119" i="14"/>
  <c r="U118" i="14"/>
  <c r="U117" i="14"/>
  <c r="U116" i="14"/>
  <c r="U115" i="14"/>
  <c r="U114" i="14"/>
  <c r="U113" i="14"/>
  <c r="U112" i="14"/>
  <c r="U111" i="14"/>
  <c r="U110" i="14"/>
  <c r="U109" i="14"/>
  <c r="U108" i="14"/>
  <c r="U107" i="14"/>
  <c r="U106" i="14"/>
  <c r="U105" i="14"/>
  <c r="U104" i="14"/>
  <c r="U103" i="14"/>
  <c r="U102" i="14"/>
  <c r="U101" i="14"/>
  <c r="U100" i="14"/>
  <c r="U99" i="14"/>
  <c r="U98" i="14"/>
  <c r="U97" i="14"/>
  <c r="U96" i="14"/>
  <c r="U95" i="14"/>
  <c r="U94" i="14"/>
  <c r="U93" i="14"/>
  <c r="U91" i="14"/>
  <c r="U90" i="14"/>
  <c r="U89" i="14"/>
  <c r="U88" i="14"/>
  <c r="U87" i="14"/>
  <c r="U86" i="14"/>
  <c r="U85" i="14"/>
  <c r="U84" i="14"/>
  <c r="U83" i="14"/>
  <c r="U82" i="14"/>
  <c r="U81" i="14"/>
  <c r="U80" i="14"/>
  <c r="U79" i="14"/>
  <c r="U78" i="14"/>
  <c r="U77" i="14"/>
  <c r="U76" i="14"/>
  <c r="U75" i="14"/>
  <c r="U74" i="14"/>
  <c r="U73" i="14"/>
  <c r="U72" i="14"/>
  <c r="U71" i="14"/>
  <c r="U70" i="14"/>
  <c r="U69" i="14"/>
  <c r="U68" i="14"/>
  <c r="U67" i="14"/>
  <c r="U66" i="14"/>
  <c r="U65" i="14"/>
  <c r="U64" i="14"/>
  <c r="U63" i="14"/>
  <c r="U62" i="14"/>
  <c r="U61" i="14"/>
  <c r="U60" i="14"/>
  <c r="U59" i="14"/>
  <c r="U58" i="14"/>
  <c r="U57" i="14"/>
  <c r="U56" i="14"/>
  <c r="U55" i="14"/>
  <c r="U54" i="14"/>
  <c r="U53" i="14"/>
  <c r="U52" i="14"/>
  <c r="U51" i="14"/>
  <c r="U50" i="14"/>
  <c r="U49" i="14"/>
  <c r="U48" i="14"/>
  <c r="U47" i="14"/>
  <c r="U46" i="14"/>
  <c r="U45" i="14"/>
  <c r="U44" i="14"/>
  <c r="U43" i="14"/>
  <c r="U41" i="14"/>
  <c r="U5" i="14"/>
  <c r="U6" i="14"/>
  <c r="U7" i="14"/>
  <c r="U8" i="14"/>
  <c r="U9" i="14"/>
  <c r="U10" i="14"/>
  <c r="U11" i="14"/>
  <c r="U12" i="14"/>
  <c r="U13" i="14"/>
  <c r="U14" i="14"/>
  <c r="U15" i="14"/>
  <c r="U16" i="14"/>
  <c r="U17" i="14"/>
  <c r="U18" i="14"/>
  <c r="U19" i="14"/>
  <c r="U20" i="14"/>
  <c r="U21" i="14"/>
  <c r="U22" i="14"/>
  <c r="U23" i="14"/>
  <c r="U24" i="14"/>
  <c r="U25" i="14"/>
  <c r="U26" i="14"/>
  <c r="U27" i="14"/>
  <c r="U28" i="14"/>
  <c r="U29" i="14"/>
  <c r="U30" i="14"/>
  <c r="U31" i="14"/>
  <c r="U32" i="14"/>
  <c r="U33" i="14"/>
  <c r="U34" i="14"/>
  <c r="U35" i="14"/>
  <c r="U36" i="14"/>
  <c r="U37" i="14"/>
  <c r="U38" i="14"/>
  <c r="U39" i="14"/>
  <c r="U40" i="14"/>
  <c r="U4" i="14"/>
  <c r="K927" i="14"/>
  <c r="Q927" i="14" s="1"/>
  <c r="K928" i="14"/>
  <c r="Q928" i="14" s="1"/>
  <c r="Q1019" i="14" l="1"/>
  <c r="Q1020" i="14"/>
  <c r="Q1021" i="14"/>
  <c r="Q1022" i="14"/>
  <c r="Q1023" i="14"/>
  <c r="Q1024" i="14"/>
  <c r="Q1025" i="14"/>
  <c r="Q1026" i="14"/>
  <c r="Q1027" i="14"/>
  <c r="Q1028" i="14"/>
  <c r="Q1029" i="14"/>
  <c r="Q1030" i="14"/>
  <c r="Q1031" i="14"/>
  <c r="Q1032" i="14"/>
  <c r="Q1033" i="14"/>
  <c r="Q1095" i="14"/>
  <c r="Q1097" i="14"/>
  <c r="Q1150" i="14"/>
  <c r="A992" i="14"/>
  <c r="A993" i="14" s="1"/>
  <c r="A994" i="14" s="1"/>
  <c r="A995" i="14" s="1"/>
  <c r="A996" i="14" s="1"/>
  <c r="A997" i="14" s="1"/>
  <c r="A998" i="14" s="1"/>
  <c r="A999" i="14" s="1"/>
  <c r="A1000" i="14" s="1"/>
  <c r="A1001" i="14" s="1"/>
  <c r="A1002" i="14" s="1"/>
  <c r="A1003" i="14" s="1"/>
  <c r="A1004" i="14" s="1"/>
  <c r="A1005" i="14" s="1"/>
  <c r="A1006" i="14" s="1"/>
  <c r="A1007" i="14" s="1"/>
  <c r="A1008" i="14" s="1"/>
  <c r="A1009" i="14" s="1"/>
  <c r="A1010" i="14" s="1"/>
  <c r="A1011" i="14" s="1"/>
  <c r="A1012" i="14" s="1"/>
  <c r="A1013" i="14" s="1"/>
  <c r="A1014" i="14" s="1"/>
  <c r="A1015" i="14" s="1"/>
  <c r="A1016" i="14" s="1"/>
  <c r="A1017" i="14" s="1"/>
  <c r="A1018" i="14" s="1"/>
  <c r="A1019" i="14" s="1"/>
  <c r="A1020" i="14" s="1"/>
  <c r="A1021" i="14" s="1"/>
  <c r="A1022" i="14" s="1"/>
  <c r="A1023" i="14" s="1"/>
  <c r="A1024" i="14" s="1"/>
  <c r="A1025" i="14" s="1"/>
  <c r="A1026" i="14" s="1"/>
  <c r="A1027" i="14" s="1"/>
  <c r="A1028" i="14" s="1"/>
  <c r="A1029" i="14" s="1"/>
  <c r="A1030" i="14" s="1"/>
  <c r="A1031" i="14" s="1"/>
  <c r="A1032" i="14" s="1"/>
  <c r="A1033" i="14" s="1"/>
  <c r="A1034" i="14" s="1"/>
  <c r="A1035" i="14" s="1"/>
  <c r="A1036" i="14" s="1"/>
  <c r="A1037" i="14" s="1"/>
  <c r="A1038" i="14" s="1"/>
  <c r="A1039" i="14" s="1"/>
  <c r="A1040" i="14" s="1"/>
  <c r="A1041" i="14" s="1"/>
  <c r="A1042" i="14" s="1"/>
  <c r="A1047" i="14" s="1"/>
  <c r="A1057" i="14" s="1"/>
  <c r="A1058" i="14" s="1"/>
  <c r="A1059" i="14" s="1"/>
  <c r="A1060" i="14" s="1"/>
  <c r="A1061" i="14" s="1"/>
  <c r="A1062" i="14" s="1"/>
  <c r="A1063" i="14" s="1"/>
  <c r="A1064" i="14" s="1"/>
  <c r="A1065" i="14" s="1"/>
  <c r="A1066" i="14" s="1"/>
  <c r="A1067" i="14" s="1"/>
  <c r="A1068" i="14" s="1"/>
  <c r="A1069" i="14" s="1"/>
  <c r="A1070" i="14" s="1"/>
  <c r="A1071" i="14" s="1"/>
  <c r="A1072" i="14" s="1"/>
  <c r="A1073" i="14" s="1"/>
  <c r="A1074" i="14" s="1"/>
  <c r="A1075" i="14" s="1"/>
  <c r="A1076" i="14" s="1"/>
  <c r="A1077" i="14" s="1"/>
  <c r="A1078" i="14" s="1"/>
  <c r="A1079" i="14" s="1"/>
  <c r="A1080" i="14" s="1"/>
  <c r="A1081" i="14" s="1"/>
  <c r="A1082" i="14" s="1"/>
  <c r="A1083" i="14" s="1"/>
  <c r="A1084" i="14" s="1"/>
  <c r="A1085" i="14" s="1"/>
  <c r="A1086" i="14" s="1"/>
  <c r="A1087" i="14" s="1"/>
  <c r="A1088" i="14" s="1"/>
  <c r="A1089" i="14" s="1"/>
  <c r="A1090" i="14" s="1"/>
  <c r="A1091" i="14" s="1"/>
  <c r="A1092" i="14" s="1"/>
  <c r="A1093" i="14" s="1"/>
  <c r="A1094" i="14" s="1"/>
  <c r="A1095" i="14" s="1"/>
  <c r="A1096" i="14" s="1"/>
  <c r="A1097" i="14" s="1"/>
  <c r="A1098" i="14" s="1"/>
  <c r="A1099" i="14" s="1"/>
  <c r="A1100" i="14" s="1"/>
  <c r="A1101" i="14" s="1"/>
  <c r="A1102" i="14" s="1"/>
  <c r="A1103" i="14" s="1"/>
  <c r="A1104" i="14" s="1"/>
  <c r="A1105" i="14" s="1"/>
  <c r="A1106" i="14" s="1"/>
  <c r="A1107" i="14" s="1"/>
  <c r="A1108" i="14" s="1"/>
  <c r="A1109" i="14" s="1"/>
  <c r="A1110" i="14" s="1"/>
  <c r="A1111" i="14" s="1"/>
  <c r="A1112" i="14" s="1"/>
  <c r="A1113" i="14" s="1"/>
  <c r="A1114" i="14" s="1"/>
  <c r="A1115" i="14" s="1"/>
  <c r="A1116" i="14" s="1"/>
  <c r="A1117" i="14" s="1"/>
  <c r="A1118" i="14" s="1"/>
  <c r="A1119" i="14" s="1"/>
  <c r="A1120" i="14" s="1"/>
  <c r="A1121" i="14" s="1"/>
  <c r="A1122" i="14" s="1"/>
  <c r="A1123" i="14" s="1"/>
  <c r="A1124" i="14" s="1"/>
  <c r="A1125" i="14" s="1"/>
  <c r="A1126" i="14" s="1"/>
  <c r="A1127" i="14" s="1"/>
  <c r="A1128" i="14" s="1"/>
  <c r="A1129" i="14" s="1"/>
  <c r="A1130" i="14" s="1"/>
  <c r="A1131" i="14" s="1"/>
  <c r="A1132" i="14" s="1"/>
  <c r="A1133" i="14" s="1"/>
  <c r="A1134" i="14" s="1"/>
  <c r="A1135" i="14" s="1"/>
  <c r="A1136" i="14" s="1"/>
  <c r="A1137" i="14" s="1"/>
  <c r="A1138" i="14" s="1"/>
  <c r="A1139" i="14" s="1"/>
  <c r="A1140" i="14" s="1"/>
  <c r="A1141" i="14" s="1"/>
  <c r="A1142" i="14" s="1"/>
  <c r="A1143" i="14" s="1"/>
  <c r="A1144" i="14" s="1"/>
  <c r="A1145" i="14" s="1"/>
  <c r="A1146" i="14" s="1"/>
  <c r="A1147" i="14" s="1"/>
  <c r="A1148" i="14" s="1"/>
  <c r="A1149" i="14" s="1"/>
  <c r="A1150" i="14" s="1"/>
  <c r="K1037" i="14"/>
  <c r="Q1037" i="14" s="1"/>
  <c r="K1036" i="14"/>
  <c r="Q1036" i="14" s="1"/>
  <c r="K1035" i="14"/>
  <c r="K1034" i="14"/>
  <c r="Q13" i="42" l="1"/>
  <c r="Q10" i="42"/>
  <c r="Q16" i="42"/>
  <c r="Q14" i="42"/>
  <c r="Q12" i="42"/>
  <c r="Q17" i="42"/>
  <c r="Q15" i="42"/>
  <c r="Q9" i="42"/>
  <c r="Q11" i="42"/>
  <c r="O1034" i="14"/>
  <c r="N1034" i="14"/>
  <c r="O1035" i="14"/>
  <c r="N1035" i="14"/>
  <c r="K1096" i="14"/>
  <c r="Q1096" i="14" s="1"/>
  <c r="K1147" i="14"/>
  <c r="Q1147" i="14" s="1"/>
  <c r="K1145" i="14"/>
  <c r="K1146" i="14"/>
  <c r="K985" i="14"/>
  <c r="Q985" i="14" s="1"/>
  <c r="K989" i="14"/>
  <c r="Q989" i="14" s="1"/>
  <c r="Q1034" i="14" l="1"/>
  <c r="Q1035" i="14"/>
  <c r="O1146" i="14"/>
  <c r="Q1146" i="14" s="1"/>
  <c r="O1145" i="14"/>
  <c r="Q1145" i="14" s="1"/>
  <c r="Q8" i="42" l="1"/>
  <c r="A5" i="42"/>
  <c r="A6" i="42" s="1"/>
  <c r="A7" i="42" s="1"/>
  <c r="A8" i="42" s="1"/>
  <c r="A9" i="42" s="1"/>
  <c r="A10" i="42" s="1"/>
  <c r="A11" i="42" s="1"/>
  <c r="A12" i="42" s="1"/>
  <c r="A13" i="42" s="1"/>
  <c r="A14" i="42" s="1"/>
  <c r="A15" i="42" s="1"/>
  <c r="A16" i="42" s="1"/>
  <c r="A17" i="42" s="1"/>
  <c r="A18" i="42" s="1"/>
  <c r="A19" i="42" s="1"/>
  <c r="A20" i="42" s="1"/>
  <c r="A21" i="42" s="1"/>
  <c r="A22" i="42" s="1"/>
  <c r="A23" i="42" s="1"/>
  <c r="A24" i="42" s="1"/>
  <c r="A25" i="42" s="1"/>
  <c r="A26" i="42" s="1"/>
  <c r="A27" i="42" s="1"/>
  <c r="A28" i="42" s="1"/>
  <c r="A29" i="42" s="1"/>
  <c r="A30" i="42" s="1"/>
  <c r="A31" i="42" s="1"/>
  <c r="A32" i="42" s="1"/>
  <c r="A33" i="42" l="1"/>
  <c r="A1049" i="14"/>
  <c r="A1048" i="14"/>
  <c r="A1043" i="14"/>
  <c r="A1044" i="14" s="1"/>
  <c r="K1018" i="14"/>
  <c r="K1017" i="14"/>
  <c r="Q1017" i="14" s="1"/>
  <c r="K926" i="14"/>
  <c r="Q926" i="14" s="1"/>
  <c r="K1014" i="14"/>
  <c r="K1015" i="14"/>
  <c r="K1016" i="14"/>
  <c r="K4" i="42"/>
  <c r="A34" i="42" l="1"/>
  <c r="A1050" i="14"/>
  <c r="O1015" i="14"/>
  <c r="N1015" i="14"/>
  <c r="O1018" i="14"/>
  <c r="N1018" i="14"/>
  <c r="Q5" i="42"/>
  <c r="O1016" i="14"/>
  <c r="N1016" i="14"/>
  <c r="O1014" i="14"/>
  <c r="N1014" i="14"/>
  <c r="O4" i="42"/>
  <c r="N4" i="42"/>
  <c r="Q7" i="42" l="1"/>
  <c r="A35" i="42"/>
  <c r="A1051" i="14"/>
  <c r="Q1015" i="14"/>
  <c r="Q1018" i="14"/>
  <c r="Q1016" i="14"/>
  <c r="Q1014" i="14"/>
  <c r="Q4" i="42"/>
  <c r="K825" i="14"/>
  <c r="Q145" i="42" l="1"/>
  <c r="Q747" i="42" s="1"/>
  <c r="A36" i="42"/>
  <c r="A1052" i="14"/>
  <c r="N825" i="14"/>
  <c r="O825" i="14"/>
  <c r="A37" i="42" l="1"/>
  <c r="A1053" i="14"/>
  <c r="Q825" i="14"/>
  <c r="K991" i="14"/>
  <c r="O991" i="14" s="1"/>
  <c r="A38" i="42" l="1"/>
  <c r="A1054" i="14"/>
  <c r="N991" i="14"/>
  <c r="Q991" i="14" s="1"/>
  <c r="A39" i="42" l="1"/>
  <c r="A1055" i="14"/>
  <c r="K1101" i="14"/>
  <c r="Q1101" i="14" s="1"/>
  <c r="K1102" i="14"/>
  <c r="Q1102" i="14" s="1"/>
  <c r="K1103" i="14"/>
  <c r="Q1103" i="14" s="1"/>
  <c r="K1104" i="14"/>
  <c r="Q1104" i="14" s="1"/>
  <c r="K1105" i="14"/>
  <c r="Q1105" i="14" s="1"/>
  <c r="K1106" i="14"/>
  <c r="Q1106" i="14" s="1"/>
  <c r="K1107" i="14"/>
  <c r="Q1107" i="14" s="1"/>
  <c r="K1108" i="14"/>
  <c r="Q1108" i="14" s="1"/>
  <c r="K1109" i="14"/>
  <c r="Q1109" i="14" s="1"/>
  <c r="K1110" i="14"/>
  <c r="Q1110" i="14" s="1"/>
  <c r="K1111" i="14"/>
  <c r="Q1111" i="14" s="1"/>
  <c r="K1112" i="14"/>
  <c r="Q1112" i="14" s="1"/>
  <c r="K1113" i="14"/>
  <c r="Q1113" i="14" s="1"/>
  <c r="K1114" i="14"/>
  <c r="Q1114" i="14" s="1"/>
  <c r="K1115" i="14"/>
  <c r="Q1115" i="14" s="1"/>
  <c r="K1116" i="14"/>
  <c r="Q1116" i="14" s="1"/>
  <c r="K1117" i="14"/>
  <c r="Q1117" i="14" s="1"/>
  <c r="K1118" i="14"/>
  <c r="Q1118" i="14" s="1"/>
  <c r="K1119" i="14"/>
  <c r="Q1119" i="14" s="1"/>
  <c r="K1120" i="14"/>
  <c r="Q1120" i="14" s="1"/>
  <c r="K1121" i="14"/>
  <c r="Q1121" i="14" s="1"/>
  <c r="K1122" i="14"/>
  <c r="Q1122" i="14" s="1"/>
  <c r="K1123" i="14"/>
  <c r="Q1123" i="14" s="1"/>
  <c r="K1124" i="14"/>
  <c r="Q1124" i="14" s="1"/>
  <c r="K1125" i="14"/>
  <c r="Q1125" i="14" s="1"/>
  <c r="K1126" i="14"/>
  <c r="Q1126" i="14" s="1"/>
  <c r="K1127" i="14"/>
  <c r="Q1127" i="14" s="1"/>
  <c r="K1128" i="14"/>
  <c r="Q1128" i="14" s="1"/>
  <c r="K1129" i="14"/>
  <c r="Q1129" i="14" s="1"/>
  <c r="K1130" i="14"/>
  <c r="Q1130" i="14" s="1"/>
  <c r="K1131" i="14"/>
  <c r="Q1131" i="14" s="1"/>
  <c r="K1132" i="14"/>
  <c r="Q1132" i="14" s="1"/>
  <c r="K1133" i="14"/>
  <c r="Q1133" i="14" s="1"/>
  <c r="K1134" i="14"/>
  <c r="Q1134" i="14" s="1"/>
  <c r="K1135" i="14"/>
  <c r="Q1135" i="14" s="1"/>
  <c r="K1136" i="14"/>
  <c r="Q1136" i="14" s="1"/>
  <c r="K1137" i="14"/>
  <c r="Q1137" i="14" s="1"/>
  <c r="K1138" i="14"/>
  <c r="Q1138" i="14" s="1"/>
  <c r="K1139" i="14"/>
  <c r="Q1139" i="14" s="1"/>
  <c r="K1140" i="14"/>
  <c r="Q1140" i="14" s="1"/>
  <c r="K1141" i="14"/>
  <c r="Q1141" i="14" s="1"/>
  <c r="K1142" i="14"/>
  <c r="Q1142" i="14" s="1"/>
  <c r="K1143" i="14"/>
  <c r="Q1143" i="14" s="1"/>
  <c r="K1144" i="14"/>
  <c r="Q1144" i="14" s="1"/>
  <c r="A40" i="42" l="1"/>
  <c r="A41" i="42" s="1"/>
  <c r="A42" i="42" s="1"/>
  <c r="A43" i="42" s="1"/>
  <c r="A44" i="42" s="1"/>
  <c r="A1056" i="14"/>
  <c r="K1013" i="14"/>
  <c r="A45" i="42" l="1"/>
  <c r="A46" i="42" s="1"/>
  <c r="A47" i="42" s="1"/>
  <c r="A48" i="42" s="1"/>
  <c r="A49" i="42" s="1"/>
  <c r="A50" i="42" s="1"/>
  <c r="A51" i="42" s="1"/>
  <c r="A52" i="42" s="1"/>
  <c r="A53" i="42" s="1"/>
  <c r="A54" i="42" s="1"/>
  <c r="A55" i="42" s="1"/>
  <c r="A56" i="42" s="1"/>
  <c r="A57" i="42" s="1"/>
  <c r="A58" i="42" s="1"/>
  <c r="A59" i="42" s="1"/>
  <c r="A60" i="42" s="1"/>
  <c r="A61" i="42" s="1"/>
  <c r="A62" i="42" s="1"/>
  <c r="A63" i="42" s="1"/>
  <c r="A72" i="42" s="1"/>
  <c r="A73" i="42" s="1"/>
  <c r="A74" i="42" s="1"/>
  <c r="A75" i="42" s="1"/>
  <c r="A83" i="42" s="1"/>
  <c r="A84" i="42" s="1"/>
  <c r="A85" i="42" s="1"/>
  <c r="A86" i="42" s="1"/>
  <c r="A87" i="42" s="1"/>
  <c r="A88" i="42" s="1"/>
  <c r="A89" i="42" s="1"/>
  <c r="A90" i="42" s="1"/>
  <c r="A91" i="42" s="1"/>
  <c r="A92" i="42" s="1"/>
  <c r="A93" i="42" s="1"/>
  <c r="A94" i="42" s="1"/>
  <c r="A95" i="42" s="1"/>
  <c r="A96" i="42" s="1"/>
  <c r="A97" i="42" s="1"/>
  <c r="A98" i="42" s="1"/>
  <c r="A99" i="42" s="1"/>
  <c r="A100" i="42" s="1"/>
  <c r="A101" i="42" s="1"/>
  <c r="A102" i="42" s="1"/>
  <c r="A103" i="42" s="1"/>
  <c r="A104" i="42" s="1"/>
  <c r="A105" i="42" s="1"/>
  <c r="A106" i="42" s="1"/>
  <c r="A107" i="42" s="1"/>
  <c r="A108" i="42" s="1"/>
  <c r="A109" i="42" s="1"/>
  <c r="A110" i="42" s="1"/>
  <c r="A111" i="42" s="1"/>
  <c r="A112" i="42" s="1"/>
  <c r="A113" i="42" s="1"/>
  <c r="A114" i="42" s="1"/>
  <c r="A115" i="42" s="1"/>
  <c r="A116" i="42" s="1"/>
  <c r="A117" i="42" s="1"/>
  <c r="A118" i="42" s="1"/>
  <c r="A119" i="42" s="1"/>
  <c r="A120" i="42" s="1"/>
  <c r="A121" i="42" s="1"/>
  <c r="A122" i="42" s="1"/>
  <c r="A123" i="42" s="1"/>
  <c r="A124" i="42" s="1"/>
  <c r="A125" i="42" s="1"/>
  <c r="A126" i="42" s="1"/>
  <c r="A127" i="42" s="1"/>
  <c r="A128" i="42" s="1"/>
  <c r="A129" i="42" s="1"/>
  <c r="A130" i="42" s="1"/>
  <c r="A131" i="42" s="1"/>
  <c r="A132" i="42" s="1"/>
  <c r="A133" i="42" s="1"/>
  <c r="A134" i="42" s="1"/>
  <c r="A135" i="42" s="1"/>
  <c r="A136" i="42" s="1"/>
  <c r="A137" i="42" s="1"/>
  <c r="A138" i="42" s="1"/>
  <c r="A139" i="42" s="1"/>
  <c r="A140" i="42" s="1"/>
  <c r="A141" i="42" s="1"/>
  <c r="A142" i="42" s="1"/>
  <c r="A144" i="42" s="1"/>
  <c r="A1045" i="14"/>
  <c r="A1046" i="14" s="1"/>
  <c r="O1013" i="14"/>
  <c r="N1013" i="14"/>
  <c r="L386" i="14"/>
  <c r="Q1013" i="14" l="1"/>
  <c r="K1004" i="14"/>
  <c r="K1005" i="14"/>
  <c r="K1006" i="14"/>
  <c r="K1007" i="14"/>
  <c r="K1008" i="14"/>
  <c r="K1009" i="14"/>
  <c r="K1010" i="14"/>
  <c r="K1011" i="14"/>
  <c r="K1012" i="14"/>
  <c r="K1003" i="14"/>
  <c r="N1008" i="14" l="1"/>
  <c r="O1012" i="14"/>
  <c r="N1011" i="14"/>
  <c r="N1007" i="14"/>
  <c r="O1003" i="14"/>
  <c r="O1010" i="14"/>
  <c r="O1006" i="14"/>
  <c r="O1009" i="14"/>
  <c r="N1005" i="14"/>
  <c r="O1008" i="14"/>
  <c r="O1004" i="14"/>
  <c r="O1005" i="14"/>
  <c r="N1010" i="14"/>
  <c r="N1003" i="14"/>
  <c r="N1012" i="14"/>
  <c r="N1004" i="14"/>
  <c r="N1009" i="14"/>
  <c r="O1007" i="14"/>
  <c r="N1006" i="14"/>
  <c r="O1011" i="14"/>
  <c r="K819" i="14"/>
  <c r="Q819" i="14" s="1"/>
  <c r="K925" i="14"/>
  <c r="Q925" i="14" s="1"/>
  <c r="K820" i="14"/>
  <c r="Q820" i="14" s="1"/>
  <c r="K823" i="14"/>
  <c r="K824" i="14"/>
  <c r="Q824" i="14" s="1"/>
  <c r="K1000" i="14"/>
  <c r="K1001" i="14"/>
  <c r="Q1001" i="14" s="1"/>
  <c r="K1002" i="14"/>
  <c r="Q1007" i="14" l="1"/>
  <c r="Q1006" i="14"/>
  <c r="Q1011" i="14"/>
  <c r="Q1010" i="14"/>
  <c r="Q1008" i="14"/>
  <c r="Q1009" i="14"/>
  <c r="Q1012" i="14"/>
  <c r="Q1000" i="14"/>
  <c r="Q1004" i="14"/>
  <c r="Q1005" i="14"/>
  <c r="Q1003" i="14"/>
  <c r="O1002" i="14"/>
  <c r="N1002" i="14"/>
  <c r="P787" i="14"/>
  <c r="Q1002" i="14" l="1"/>
  <c r="Q1173" i="14" s="1"/>
  <c r="Q1175" i="14" s="1"/>
  <c r="L972" i="14"/>
  <c r="L978" i="14" l="1"/>
  <c r="K922" i="14" l="1"/>
  <c r="Q922" i="14" s="1"/>
  <c r="K923" i="14"/>
  <c r="Q923" i="14" s="1"/>
  <c r="K924" i="14"/>
  <c r="Q924" i="14" s="1"/>
  <c r="K998" i="14"/>
  <c r="K999" i="14"/>
  <c r="O998" i="14" l="1"/>
  <c r="N998" i="14"/>
  <c r="O999" i="14"/>
  <c r="N999" i="14"/>
  <c r="Q998" i="14" l="1"/>
  <c r="Q999" i="14"/>
  <c r="O175" i="36"/>
  <c r="P175" i="36" s="1"/>
  <c r="L254" i="36" l="1"/>
  <c r="L251" i="36"/>
  <c r="L248" i="36"/>
  <c r="L245" i="36"/>
  <c r="F195" i="37" l="1"/>
  <c r="F153" i="37" l="1"/>
  <c r="F174" i="37"/>
  <c r="F175" i="37" s="1"/>
  <c r="K157" i="37"/>
  <c r="K158" i="37"/>
  <c r="F196" i="37" l="1"/>
  <c r="K159" i="37"/>
  <c r="K590" i="14" l="1"/>
  <c r="N590" i="14" l="1"/>
  <c r="O590" i="14"/>
  <c r="K720" i="14" l="1"/>
  <c r="K921" i="14"/>
  <c r="K817" i="14"/>
  <c r="Q817" i="14" s="1"/>
  <c r="K818" i="14"/>
  <c r="Q818" i="14" s="1"/>
  <c r="K918" i="14"/>
  <c r="K919" i="14"/>
  <c r="Q919" i="14" s="1"/>
  <c r="K816" i="14"/>
  <c r="Q816" i="14" s="1"/>
  <c r="K920" i="14"/>
  <c r="K995" i="14"/>
  <c r="K996" i="14"/>
  <c r="K997" i="14"/>
  <c r="K993" i="14"/>
  <c r="K657" i="14"/>
  <c r="K994" i="14"/>
  <c r="K917" i="14"/>
  <c r="Q917" i="14" s="1"/>
  <c r="K916" i="14"/>
  <c r="K992" i="14"/>
  <c r="K915" i="14"/>
  <c r="K914" i="14"/>
  <c r="K913" i="14"/>
  <c r="K912" i="14"/>
  <c r="K911" i="14"/>
  <c r="K1057" i="14"/>
  <c r="Q1057" i="14" s="1"/>
  <c r="K1058" i="14"/>
  <c r="Q1058" i="14" s="1"/>
  <c r="K1059" i="14"/>
  <c r="Q1059" i="14" s="1"/>
  <c r="K1060" i="14"/>
  <c r="Q1060" i="14" s="1"/>
  <c r="K1061" i="14"/>
  <c r="Q1061" i="14" s="1"/>
  <c r="K1062" i="14"/>
  <c r="Q1062" i="14" s="1"/>
  <c r="K1100" i="14"/>
  <c r="Q1100" i="14" s="1"/>
  <c r="K1099" i="14"/>
  <c r="Q1099" i="14" s="1"/>
  <c r="K1094" i="14"/>
  <c r="Q1094" i="14" s="1"/>
  <c r="K1093" i="14"/>
  <c r="Q1093" i="14" s="1"/>
  <c r="K1092" i="14"/>
  <c r="Q1092" i="14" s="1"/>
  <c r="K1091" i="14"/>
  <c r="Q1091" i="14" s="1"/>
  <c r="K1090" i="14"/>
  <c r="Q1090" i="14" s="1"/>
  <c r="K1089" i="14"/>
  <c r="Q1089" i="14" s="1"/>
  <c r="K1088" i="14"/>
  <c r="Q1088" i="14" s="1"/>
  <c r="K1087" i="14"/>
  <c r="Q1087" i="14" s="1"/>
  <c r="K1086" i="14"/>
  <c r="Q1086" i="14" s="1"/>
  <c r="K1085" i="14"/>
  <c r="Q1085" i="14" s="1"/>
  <c r="K1084" i="14"/>
  <c r="Q1084" i="14" s="1"/>
  <c r="K1083" i="14"/>
  <c r="Q1083" i="14" s="1"/>
  <c r="K1082" i="14"/>
  <c r="Q1082" i="14" s="1"/>
  <c r="K1081" i="14"/>
  <c r="Q1081" i="14" s="1"/>
  <c r="K983" i="14"/>
  <c r="Q983" i="14" s="1"/>
  <c r="K1080" i="14"/>
  <c r="Q1080" i="14" s="1"/>
  <c r="K1079" i="14"/>
  <c r="Q1079" i="14" s="1"/>
  <c r="K1078" i="14"/>
  <c r="Q1078" i="14" s="1"/>
  <c r="K982" i="14"/>
  <c r="Q982" i="14" s="1"/>
  <c r="K910" i="14"/>
  <c r="Q910" i="14" s="1"/>
  <c r="K909" i="14"/>
  <c r="K908" i="14"/>
  <c r="K907" i="14"/>
  <c r="K906" i="14"/>
  <c r="K1077" i="14"/>
  <c r="Q1077" i="14" s="1"/>
  <c r="K1076" i="14"/>
  <c r="Q1076" i="14" s="1"/>
  <c r="K979" i="14"/>
  <c r="K877" i="14"/>
  <c r="K978" i="14"/>
  <c r="K977" i="14"/>
  <c r="K1075" i="14"/>
  <c r="Q1075" i="14" s="1"/>
  <c r="K1074" i="14"/>
  <c r="Q1074" i="14" s="1"/>
  <c r="K980" i="14"/>
  <c r="Q980" i="14" s="1"/>
  <c r="K1073" i="14"/>
  <c r="Q1073" i="14" s="1"/>
  <c r="K1072" i="14"/>
  <c r="Q1072" i="14" s="1"/>
  <c r="K981" i="14"/>
  <c r="K1071" i="14"/>
  <c r="Q1071" i="14" s="1"/>
  <c r="K1070" i="14"/>
  <c r="Q1070" i="14" s="1"/>
  <c r="K878" i="14"/>
  <c r="K1069" i="14"/>
  <c r="Q1069" i="14" s="1"/>
  <c r="K1068" i="14"/>
  <c r="Q1068" i="14" s="1"/>
  <c r="K1067" i="14"/>
  <c r="Q1067" i="14" s="1"/>
  <c r="K1066" i="14"/>
  <c r="Q1066" i="14" s="1"/>
  <c r="K1065" i="14"/>
  <c r="Q1065" i="14" s="1"/>
  <c r="K976" i="14"/>
  <c r="Q976" i="14" s="1"/>
  <c r="K1064" i="14"/>
  <c r="Q1064" i="14" s="1"/>
  <c r="K1063" i="14"/>
  <c r="Q1063" i="14" s="1"/>
  <c r="K803" i="14"/>
  <c r="N657" i="14" l="1"/>
  <c r="O657" i="14"/>
  <c r="N918" i="14"/>
  <c r="O918" i="14"/>
  <c r="O911" i="14"/>
  <c r="N911" i="14"/>
  <c r="O906" i="14"/>
  <c r="N906" i="14"/>
  <c r="O907" i="14"/>
  <c r="N907" i="14"/>
  <c r="O909" i="14"/>
  <c r="N909" i="14"/>
  <c r="O912" i="14"/>
  <c r="N912" i="14"/>
  <c r="O913" i="14"/>
  <c r="N913" i="14"/>
  <c r="O914" i="14"/>
  <c r="N914" i="14"/>
  <c r="O908" i="14"/>
  <c r="N908" i="14"/>
  <c r="O915" i="14"/>
  <c r="N915" i="14"/>
  <c r="O916" i="14"/>
  <c r="N916" i="14"/>
  <c r="O992" i="14"/>
  <c r="N992" i="14"/>
  <c r="O994" i="14"/>
  <c r="N994" i="14"/>
  <c r="O993" i="14"/>
  <c r="N993" i="14"/>
  <c r="O996" i="14"/>
  <c r="N996" i="14"/>
  <c r="O921" i="14"/>
  <c r="N921" i="14"/>
  <c r="O995" i="14"/>
  <c r="N995" i="14"/>
  <c r="O920" i="14"/>
  <c r="N920" i="14"/>
  <c r="O997" i="14"/>
  <c r="N997" i="14"/>
  <c r="O720" i="14"/>
  <c r="N720" i="14"/>
  <c r="Q877" i="14"/>
  <c r="Q979" i="14"/>
  <c r="Q878" i="14"/>
  <c r="Q978" i="14"/>
  <c r="Q981" i="14"/>
  <c r="Q977" i="14"/>
  <c r="Q657" i="14" l="1"/>
  <c r="Q918" i="14"/>
  <c r="Q911" i="14"/>
  <c r="Q906" i="14"/>
  <c r="Q907" i="14"/>
  <c r="Q909" i="14"/>
  <c r="Q914" i="14"/>
  <c r="Q912" i="14"/>
  <c r="Q908" i="14"/>
  <c r="Q913" i="14"/>
  <c r="Q915" i="14"/>
  <c r="Q994" i="14"/>
  <c r="Q916" i="14"/>
  <c r="Q992" i="14"/>
  <c r="Q993" i="14"/>
  <c r="Q996" i="14"/>
  <c r="Q995" i="14"/>
  <c r="Q1162" i="14"/>
  <c r="Q920" i="14"/>
  <c r="Q997" i="14"/>
  <c r="Q921" i="14"/>
  <c r="Q720" i="14"/>
  <c r="Q1151" i="14" l="1"/>
  <c r="L20" i="35"/>
  <c r="Q855" i="14" l="1"/>
  <c r="Q856" i="14"/>
  <c r="Q857" i="14"/>
  <c r="Q762" i="14"/>
  <c r="Q721" i="14"/>
  <c r="Q590" i="14"/>
  <c r="Q399" i="14"/>
  <c r="Q127" i="14"/>
  <c r="Q51" i="14"/>
  <c r="Q63" i="14"/>
  <c r="Q69" i="14"/>
  <c r="Q90" i="14"/>
  <c r="Q91" i="14"/>
  <c r="N905" i="14" l="1"/>
  <c r="N904" i="14"/>
  <c r="N903" i="14"/>
  <c r="K815" i="14"/>
  <c r="Q815" i="14" s="1"/>
  <c r="P546" i="14" l="1"/>
  <c r="P375" i="14"/>
  <c r="N900" i="14" l="1"/>
  <c r="N902" i="14"/>
  <c r="N901" i="14" l="1"/>
  <c r="N697" i="14"/>
  <c r="K21" i="35" l="1"/>
  <c r="P21" i="35" l="1"/>
  <c r="O174" i="36" l="1"/>
  <c r="P174" i="36" s="1"/>
  <c r="O172" i="36"/>
  <c r="P172" i="36" s="1"/>
  <c r="F144" i="37" l="1"/>
  <c r="F99" i="37"/>
  <c r="K104" i="37"/>
  <c r="K103" i="37"/>
  <c r="F121" i="37"/>
  <c r="F61" i="37"/>
  <c r="F98" i="37"/>
  <c r="F122" i="37" l="1"/>
  <c r="F145" i="37" s="1"/>
  <c r="K105" i="37"/>
  <c r="H813" i="14" l="1"/>
  <c r="H814" i="14"/>
  <c r="K814" i="14" s="1"/>
  <c r="O814" i="14" l="1"/>
  <c r="N814" i="14"/>
  <c r="K975" i="14"/>
  <c r="Q975" i="14" s="1"/>
  <c r="Q814" i="14" l="1"/>
  <c r="K984" i="14"/>
  <c r="Q984" i="14" l="1"/>
  <c r="P1181" i="14"/>
  <c r="P1182" i="14" s="1"/>
  <c r="P1183" i="14" s="1"/>
  <c r="K972" i="14"/>
  <c r="Q972" i="14" s="1"/>
  <c r="K973" i="14"/>
  <c r="Q973" i="14" s="1"/>
  <c r="K974" i="14"/>
  <c r="Q974" i="14" s="1"/>
  <c r="K969" i="14"/>
  <c r="Q969" i="14" s="1"/>
  <c r="K970" i="14"/>
  <c r="Q970" i="14" s="1"/>
  <c r="K971" i="14"/>
  <c r="Q971" i="14" s="1"/>
  <c r="K966" i="14"/>
  <c r="Q966" i="14" s="1"/>
  <c r="K967" i="14"/>
  <c r="Q967" i="14" s="1"/>
  <c r="K968" i="14"/>
  <c r="Q968" i="14" s="1"/>
  <c r="K964" i="14"/>
  <c r="Q964" i="14" s="1"/>
  <c r="K965" i="14"/>
  <c r="Q965" i="14" s="1"/>
  <c r="J95" i="18" l="1"/>
  <c r="I83" i="18"/>
  <c r="K83" i="18" s="1"/>
  <c r="I84" i="18"/>
  <c r="I85" i="18"/>
  <c r="I86" i="18"/>
  <c r="A5" i="32"/>
  <c r="A6" i="32" s="1"/>
  <c r="A7" i="32" s="1"/>
  <c r="A8" i="32" s="1"/>
  <c r="A9" i="32" s="1"/>
  <c r="A10" i="32" s="1"/>
  <c r="A11" i="32" s="1"/>
  <c r="A12" i="32" s="1"/>
  <c r="A13" i="32" s="1"/>
  <c r="A14" i="32" s="1"/>
  <c r="A15" i="32" s="1"/>
  <c r="A16" i="32" s="1"/>
  <c r="A17" i="32" s="1"/>
  <c r="A18" i="32" s="1"/>
  <c r="A19" i="32" s="1"/>
  <c r="A20" i="32" s="1"/>
  <c r="A21" i="32" s="1"/>
  <c r="A22" i="32" s="1"/>
  <c r="J23" i="32"/>
  <c r="L83" i="18" l="1"/>
  <c r="N83" i="18" s="1"/>
  <c r="L86" i="18"/>
  <c r="K85" i="18"/>
  <c r="L84" i="18"/>
  <c r="K86" i="18"/>
  <c r="K84" i="18"/>
  <c r="L85" i="18"/>
  <c r="K806" i="14"/>
  <c r="K807" i="14"/>
  <c r="Q807" i="14" s="1"/>
  <c r="K808" i="14"/>
  <c r="Q808" i="14" s="1"/>
  <c r="K809" i="14"/>
  <c r="K810" i="14"/>
  <c r="K899" i="14"/>
  <c r="K900" i="14"/>
  <c r="K901" i="14"/>
  <c r="K902" i="14"/>
  <c r="K903" i="14"/>
  <c r="K904" i="14"/>
  <c r="K905" i="14"/>
  <c r="K898" i="14"/>
  <c r="K894" i="14"/>
  <c r="K895" i="14"/>
  <c r="K896" i="14"/>
  <c r="K897" i="14"/>
  <c r="K889" i="14"/>
  <c r="K890" i="14"/>
  <c r="K891" i="14"/>
  <c r="K892" i="14"/>
  <c r="K893" i="14"/>
  <c r="K888" i="14"/>
  <c r="K811" i="14"/>
  <c r="K812" i="14"/>
  <c r="I6" i="21"/>
  <c r="L6" i="21" s="1"/>
  <c r="O173" i="36"/>
  <c r="P567" i="14"/>
  <c r="P562" i="14"/>
  <c r="P561" i="14"/>
  <c r="P556" i="14"/>
  <c r="P555" i="14"/>
  <c r="P525" i="14"/>
  <c r="P407" i="14"/>
  <c r="P406" i="14"/>
  <c r="P405" i="14"/>
  <c r="P404" i="14"/>
  <c r="P403" i="14"/>
  <c r="P402" i="14"/>
  <c r="P294" i="14"/>
  <c r="P293" i="14"/>
  <c r="P292" i="14"/>
  <c r="P291" i="14"/>
  <c r="P290" i="14"/>
  <c r="P288" i="14"/>
  <c r="P284" i="14"/>
  <c r="P283" i="14"/>
  <c r="M61" i="36"/>
  <c r="Q276" i="14"/>
  <c r="L242" i="36"/>
  <c r="L239" i="36"/>
  <c r="L236" i="36"/>
  <c r="L233" i="36"/>
  <c r="L230" i="36"/>
  <c r="L227" i="36"/>
  <c r="L224" i="36"/>
  <c r="K875" i="14"/>
  <c r="Q875" i="14" s="1"/>
  <c r="K961" i="14"/>
  <c r="Q961" i="14" s="1"/>
  <c r="K962" i="14"/>
  <c r="Q962" i="14" s="1"/>
  <c r="K963" i="14"/>
  <c r="Q963" i="14" s="1"/>
  <c r="Q880" i="14"/>
  <c r="K949" i="14"/>
  <c r="Q949" i="14" s="1"/>
  <c r="K950" i="14"/>
  <c r="Q950" i="14" s="1"/>
  <c r="K951" i="14"/>
  <c r="Q951" i="14" s="1"/>
  <c r="K952" i="14"/>
  <c r="Q952" i="14" s="1"/>
  <c r="K953" i="14"/>
  <c r="Q953" i="14" s="1"/>
  <c r="K954" i="14"/>
  <c r="Q954" i="14" s="1"/>
  <c r="K955" i="14"/>
  <c r="Q955" i="14" s="1"/>
  <c r="K876" i="14"/>
  <c r="Q876" i="14" s="1"/>
  <c r="K956" i="14"/>
  <c r="Q956" i="14" s="1"/>
  <c r="K873" i="14"/>
  <c r="Q873" i="14" s="1"/>
  <c r="K874" i="14"/>
  <c r="Q874" i="14" s="1"/>
  <c r="K957" i="14"/>
  <c r="Q957" i="14" s="1"/>
  <c r="K958" i="14"/>
  <c r="Q958" i="14" s="1"/>
  <c r="K959" i="14"/>
  <c r="Q959" i="14" s="1"/>
  <c r="K960" i="14"/>
  <c r="Q960" i="14" s="1"/>
  <c r="N86" i="18" l="1"/>
  <c r="N809" i="14"/>
  <c r="O809" i="14"/>
  <c r="N812" i="14"/>
  <c r="O812" i="14"/>
  <c r="N84" i="18"/>
  <c r="N85" i="18"/>
  <c r="O897" i="14"/>
  <c r="N897" i="14"/>
  <c r="O898" i="14"/>
  <c r="N898" i="14"/>
  <c r="O896" i="14"/>
  <c r="N896" i="14"/>
  <c r="O806" i="14"/>
  <c r="N806" i="14"/>
  <c r="O905" i="14"/>
  <c r="Q905" i="14" s="1"/>
  <c r="O904" i="14"/>
  <c r="Q904" i="14" s="1"/>
  <c r="O903" i="14"/>
  <c r="Q903" i="14" s="1"/>
  <c r="N811" i="14"/>
  <c r="O811" i="14"/>
  <c r="O810" i="14"/>
  <c r="N810" i="14"/>
  <c r="O900" i="14"/>
  <c r="Q900" i="14" s="1"/>
  <c r="O902" i="14"/>
  <c r="Q902" i="14" s="1"/>
  <c r="O901" i="14"/>
  <c r="Q901" i="14" s="1"/>
  <c r="O899" i="14"/>
  <c r="N899" i="14"/>
  <c r="N890" i="14"/>
  <c r="O890" i="14"/>
  <c r="N893" i="14"/>
  <c r="O893" i="14"/>
  <c r="N894" i="14"/>
  <c r="O894" i="14"/>
  <c r="O892" i="14"/>
  <c r="N892" i="14"/>
  <c r="N805" i="14"/>
  <c r="O805" i="14"/>
  <c r="N895" i="14"/>
  <c r="O895" i="14"/>
  <c r="N889" i="14"/>
  <c r="O889" i="14"/>
  <c r="O888" i="14"/>
  <c r="N888" i="14"/>
  <c r="N891" i="14"/>
  <c r="O891" i="14"/>
  <c r="P1158" i="14"/>
  <c r="P1160" i="14" s="1"/>
  <c r="Q809" i="14" l="1"/>
  <c r="Q812" i="14"/>
  <c r="Q891" i="14"/>
  <c r="Q894" i="14"/>
  <c r="Q893" i="14"/>
  <c r="Q890" i="14"/>
  <c r="Q892" i="14"/>
  <c r="Q897" i="14"/>
  <c r="Q898" i="14"/>
  <c r="Q896" i="14"/>
  <c r="Q806" i="14"/>
  <c r="Q810" i="14"/>
  <c r="Q811" i="14"/>
  <c r="Q805" i="14"/>
  <c r="Q888" i="14"/>
  <c r="Q895" i="14"/>
  <c r="Q889" i="14"/>
  <c r="Q899" i="14"/>
  <c r="H858" i="14"/>
  <c r="H857" i="14"/>
  <c r="H856" i="14"/>
  <c r="K838" i="14" l="1"/>
  <c r="Q838" i="14" s="1"/>
  <c r="K758" i="14"/>
  <c r="Q758" i="14" s="1"/>
  <c r="F33" i="37" l="1"/>
  <c r="F6" i="37"/>
  <c r="M858" i="14"/>
  <c r="Q858" i="14" s="1"/>
  <c r="H1171" i="14" l="1"/>
  <c r="I1171" i="14"/>
  <c r="I1174" i="14"/>
  <c r="I1172" i="14" l="1"/>
  <c r="U156" i="14" l="1"/>
  <c r="U220" i="14"/>
  <c r="U325" i="14"/>
  <c r="U431" i="14"/>
  <c r="U607" i="14"/>
  <c r="U686" i="14"/>
  <c r="U774" i="14"/>
  <c r="U92" i="14"/>
  <c r="F86" i="37" l="1"/>
  <c r="F43" i="37"/>
  <c r="F62" i="37" l="1"/>
  <c r="F87" i="37" s="1"/>
  <c r="P173" i="36" l="1"/>
  <c r="F16" i="37" l="1"/>
  <c r="F17" i="37" s="1"/>
  <c r="K802" i="14" l="1"/>
  <c r="O803" i="14"/>
  <c r="K804" i="14"/>
  <c r="K887" i="14"/>
  <c r="O802" i="14" l="1"/>
  <c r="N887" i="14"/>
  <c r="O887" i="14"/>
  <c r="O804" i="14"/>
  <c r="N804" i="14"/>
  <c r="N803" i="14"/>
  <c r="N802" i="14"/>
  <c r="Q803" i="14" l="1"/>
  <c r="Q802" i="14"/>
  <c r="Q804" i="14"/>
  <c r="Q887" i="14"/>
  <c r="K946" i="14"/>
  <c r="Q946" i="14" s="1"/>
  <c r="K947" i="14"/>
  <c r="Q947" i="14" s="1"/>
  <c r="K948" i="14"/>
  <c r="Q948" i="14" s="1"/>
  <c r="K13" i="23" l="1"/>
  <c r="L221" i="36" l="1"/>
  <c r="L218" i="36"/>
  <c r="L215" i="36"/>
  <c r="L212" i="36"/>
  <c r="L209" i="36"/>
  <c r="K863" i="14" l="1"/>
  <c r="Q863" i="14" s="1"/>
  <c r="K864" i="14"/>
  <c r="Q864" i="14" s="1"/>
  <c r="K866" i="14"/>
  <c r="Q866" i="14" s="1"/>
  <c r="K867" i="14"/>
  <c r="Q867" i="14" s="1"/>
  <c r="K868" i="14"/>
  <c r="Q868" i="14" s="1"/>
  <c r="K869" i="14"/>
  <c r="Q869" i="14" s="1"/>
  <c r="K870" i="14"/>
  <c r="K862" i="14"/>
  <c r="Q862" i="14" s="1"/>
  <c r="K861" i="14"/>
  <c r="Q861" i="14" s="1"/>
  <c r="K813" i="14" l="1"/>
  <c r="N813" i="14" l="1"/>
  <c r="O813" i="14"/>
  <c r="K715" i="14"/>
  <c r="K713" i="14"/>
  <c r="Q713" i="14" s="1"/>
  <c r="K714" i="14"/>
  <c r="Q714" i="14" s="1"/>
  <c r="Q813" i="14" l="1"/>
  <c r="K717" i="14"/>
  <c r="Q717" i="14" s="1"/>
  <c r="L683" i="14"/>
  <c r="W717" i="14" l="1"/>
  <c r="A688" i="14"/>
  <c r="A689" i="14" s="1"/>
  <c r="A690" i="14" s="1"/>
  <c r="A691" i="14" s="1"/>
  <c r="A692" i="14" s="1"/>
  <c r="A693" i="14" s="1"/>
  <c r="A694" i="14" s="1"/>
  <c r="A695" i="14" s="1"/>
  <c r="A696" i="14" s="1"/>
  <c r="A697" i="14" s="1"/>
  <c r="A698" i="14" s="1"/>
  <c r="A699" i="14" s="1"/>
  <c r="A700" i="14" s="1"/>
  <c r="A701" i="14" s="1"/>
  <c r="A702" i="14" s="1"/>
  <c r="A703" i="14" s="1"/>
  <c r="A704" i="14" s="1"/>
  <c r="A705" i="14" s="1"/>
  <c r="A706" i="14" s="1"/>
  <c r="A707" i="14" s="1"/>
  <c r="A708" i="14" s="1"/>
  <c r="A709" i="14" s="1"/>
  <c r="A710" i="14" s="1"/>
  <c r="A711" i="14" s="1"/>
  <c r="A712" i="14" s="1"/>
  <c r="A713" i="14" s="1"/>
  <c r="A714" i="14" s="1"/>
  <c r="A715" i="14" s="1"/>
  <c r="A716" i="14" s="1"/>
  <c r="A717" i="14" s="1"/>
  <c r="A718" i="14" s="1"/>
  <c r="A719" i="14" s="1"/>
  <c r="A720" i="14" s="1"/>
  <c r="A721" i="14" s="1"/>
  <c r="A722" i="14" s="1"/>
  <c r="A723" i="14" s="1"/>
  <c r="A724" i="14" s="1"/>
  <c r="A725" i="14" s="1"/>
  <c r="A726" i="14" s="1"/>
  <c r="A727" i="14" s="1"/>
  <c r="A728" i="14" s="1"/>
  <c r="A729" i="14" s="1"/>
  <c r="A730" i="14" s="1"/>
  <c r="A731" i="14" s="1"/>
  <c r="A732" i="14" s="1"/>
  <c r="A733" i="14" s="1"/>
  <c r="A734" i="14" s="1"/>
  <c r="A735" i="14" s="1"/>
  <c r="A736" i="14" s="1"/>
  <c r="A737" i="14" s="1"/>
  <c r="A738" i="14" s="1"/>
  <c r="A739" i="14" s="1"/>
  <c r="A740" i="14" s="1"/>
  <c r="A741" i="14" s="1"/>
  <c r="A742" i="14" s="1"/>
  <c r="A743" i="14" s="1"/>
  <c r="A744" i="14" s="1"/>
  <c r="A745" i="14" s="1"/>
  <c r="A746" i="14" s="1"/>
  <c r="A747" i="14" s="1"/>
  <c r="A748" i="14" s="1"/>
  <c r="A749" i="14" s="1"/>
  <c r="A750" i="14" s="1"/>
  <c r="A751" i="14" s="1"/>
  <c r="A752" i="14" s="1"/>
  <c r="A753" i="14" s="1"/>
  <c r="A754" i="14" s="1"/>
  <c r="A755" i="14" s="1"/>
  <c r="A756" i="14" s="1"/>
  <c r="A757" i="14" s="1"/>
  <c r="A758" i="14" s="1"/>
  <c r="A759" i="14" s="1"/>
  <c r="A760" i="14" s="1"/>
  <c r="A761" i="14" s="1"/>
  <c r="A762" i="14" s="1"/>
  <c r="A763" i="14" s="1"/>
  <c r="A764" i="14" s="1"/>
  <c r="A765" i="14" s="1"/>
  <c r="A766" i="14" s="1"/>
  <c r="A767" i="14" s="1"/>
  <c r="A768" i="14" s="1"/>
  <c r="A769" i="14" s="1"/>
  <c r="A770" i="14" s="1"/>
  <c r="A771" i="14" s="1"/>
  <c r="A772" i="14" s="1"/>
  <c r="A773" i="14" s="1"/>
  <c r="K939" i="14"/>
  <c r="Q939" i="14" s="1"/>
  <c r="K860" i="14"/>
  <c r="Q860" i="14" s="1"/>
  <c r="K940" i="14"/>
  <c r="Q940" i="14" s="1"/>
  <c r="K941" i="14"/>
  <c r="Q941" i="14" s="1"/>
  <c r="K942" i="14"/>
  <c r="K943" i="14"/>
  <c r="Q943" i="14" s="1"/>
  <c r="K944" i="14"/>
  <c r="Q944" i="14" s="1"/>
  <c r="K945" i="14"/>
  <c r="Q945" i="14" s="1"/>
  <c r="A935" i="14" l="1"/>
  <c r="A936" i="14" s="1"/>
  <c r="A937" i="14" s="1"/>
  <c r="A938" i="14" s="1"/>
  <c r="A939" i="14" s="1"/>
  <c r="A940" i="14" s="1"/>
  <c r="A941" i="14" s="1"/>
  <c r="A942" i="14" s="1"/>
  <c r="A943" i="14" s="1"/>
  <c r="A944" i="14" s="1"/>
  <c r="A945" i="14" s="1"/>
  <c r="A946" i="14" s="1"/>
  <c r="A947" i="14" s="1"/>
  <c r="A948" i="14" s="1"/>
  <c r="A949" i="14" s="1"/>
  <c r="A950" i="14" s="1"/>
  <c r="A951" i="14" s="1"/>
  <c r="A952" i="14" s="1"/>
  <c r="A953" i="14" s="1"/>
  <c r="A954" i="14" s="1"/>
  <c r="A955" i="14" s="1"/>
  <c r="A956" i="14" s="1"/>
  <c r="A957" i="14" s="1"/>
  <c r="A958" i="14" s="1"/>
  <c r="A959" i="14" s="1"/>
  <c r="A960" i="14" s="1"/>
  <c r="A961" i="14" s="1"/>
  <c r="A962" i="14" s="1"/>
  <c r="A963" i="14" s="1"/>
  <c r="A964" i="14" s="1"/>
  <c r="A965" i="14" s="1"/>
  <c r="A966" i="14" s="1"/>
  <c r="A967" i="14" s="1"/>
  <c r="A968" i="14" s="1"/>
  <c r="A969" i="14" s="1"/>
  <c r="A970" i="14" s="1"/>
  <c r="A971" i="14" s="1"/>
  <c r="A972" i="14" s="1"/>
  <c r="A973" i="14" s="1"/>
  <c r="A974" i="14" s="1"/>
  <c r="A975" i="14" s="1"/>
  <c r="A976" i="14" s="1"/>
  <c r="A977" i="14" s="1"/>
  <c r="A978" i="14" s="1"/>
  <c r="A979" i="14" s="1"/>
  <c r="A980" i="14" s="1"/>
  <c r="A981" i="14" s="1"/>
  <c r="A982" i="14" s="1"/>
  <c r="A983" i="14" s="1"/>
  <c r="A984" i="14" s="1"/>
  <c r="A985" i="14" s="1"/>
  <c r="A986" i="14" s="1"/>
  <c r="A987" i="14" s="1"/>
  <c r="A989" i="14" s="1"/>
  <c r="K883" i="14"/>
  <c r="K796" i="14"/>
  <c r="K797" i="14"/>
  <c r="K798" i="14"/>
  <c r="K799" i="14"/>
  <c r="K800" i="14"/>
  <c r="K801" i="14"/>
  <c r="K884" i="14"/>
  <c r="K885" i="14"/>
  <c r="K886" i="14"/>
  <c r="O886" i="14" l="1"/>
  <c r="N886" i="14"/>
  <c r="O885" i="14"/>
  <c r="N885" i="14"/>
  <c r="O884" i="14"/>
  <c r="N884" i="14"/>
  <c r="O798" i="14"/>
  <c r="N798" i="14"/>
  <c r="N801" i="14"/>
  <c r="O801" i="14"/>
  <c r="N797" i="14"/>
  <c r="O797" i="14"/>
  <c r="O800" i="14"/>
  <c r="N800" i="14"/>
  <c r="N796" i="14"/>
  <c r="O796" i="14"/>
  <c r="N799" i="14"/>
  <c r="O799" i="14"/>
  <c r="N883" i="14"/>
  <c r="O883" i="14"/>
  <c r="Q797" i="14" l="1"/>
  <c r="Q885" i="14"/>
  <c r="Q884" i="14"/>
  <c r="Q886" i="14"/>
  <c r="Q799" i="14"/>
  <c r="Q801" i="14"/>
  <c r="Q796" i="14"/>
  <c r="Q798" i="14"/>
  <c r="Q800" i="14"/>
  <c r="Q883" i="14"/>
  <c r="M715" i="14"/>
  <c r="O715" i="14"/>
  <c r="N715" i="14"/>
  <c r="Q715" i="14" l="1"/>
  <c r="O697" i="14"/>
  <c r="Q697" i="14" s="1"/>
  <c r="K938" i="14" l="1"/>
  <c r="Q938" i="14" s="1"/>
  <c r="K937" i="14"/>
  <c r="Q937" i="14" s="1"/>
  <c r="Q1163" i="14" s="1"/>
  <c r="K936" i="14"/>
  <c r="Q936" i="14" s="1"/>
  <c r="K935" i="14"/>
  <c r="Q935" i="14" s="1"/>
  <c r="K934" i="14"/>
  <c r="Q934" i="14" s="1"/>
  <c r="K933" i="14"/>
  <c r="Q933" i="14" s="1"/>
  <c r="K932" i="14"/>
  <c r="Q932" i="14" s="1"/>
  <c r="K931" i="14"/>
  <c r="Q931" i="14" s="1"/>
  <c r="K854" i="14"/>
  <c r="Q854" i="14" s="1"/>
  <c r="K853" i="14"/>
  <c r="Q853" i="14" s="1"/>
  <c r="K852" i="14"/>
  <c r="Q852" i="14" s="1"/>
  <c r="K851" i="14"/>
  <c r="Q851" i="14" s="1"/>
  <c r="K850" i="14"/>
  <c r="Q850" i="14" s="1"/>
  <c r="K849" i="14"/>
  <c r="Q849" i="14" s="1"/>
  <c r="K848" i="14"/>
  <c r="Q848" i="14" s="1"/>
  <c r="K847" i="14"/>
  <c r="Q847" i="14" s="1"/>
  <c r="K846" i="14"/>
  <c r="Q846" i="14" s="1"/>
  <c r="K845" i="14"/>
  <c r="Q845" i="14" s="1"/>
  <c r="K844" i="14"/>
  <c r="Q844" i="14" s="1"/>
  <c r="K843" i="14"/>
  <c r="Q843" i="14" s="1"/>
  <c r="K842" i="14"/>
  <c r="Q842" i="14" s="1"/>
  <c r="K841" i="14"/>
  <c r="Q841" i="14" s="1"/>
  <c r="K840" i="14"/>
  <c r="Q840" i="14" s="1"/>
  <c r="K839" i="14"/>
  <c r="Q839" i="14" s="1"/>
  <c r="K837" i="14"/>
  <c r="Q837" i="14" s="1"/>
  <c r="K836" i="14"/>
  <c r="Q836" i="14" s="1"/>
  <c r="K835" i="14"/>
  <c r="Q835" i="14" s="1"/>
  <c r="K834" i="14"/>
  <c r="Q834" i="14" s="1"/>
  <c r="K833" i="14"/>
  <c r="Q833" i="14" s="1"/>
  <c r="K832" i="14"/>
  <c r="Q832" i="14" s="1"/>
  <c r="K831" i="14"/>
  <c r="Q831" i="14" s="1"/>
  <c r="K830" i="14"/>
  <c r="Q830" i="14" s="1"/>
  <c r="K829" i="14"/>
  <c r="Q829" i="14" s="1"/>
  <c r="K828" i="14"/>
  <c r="Q828" i="14" s="1"/>
  <c r="K827" i="14"/>
  <c r="Q827" i="14" s="1"/>
  <c r="K826" i="14"/>
  <c r="Q826" i="14" s="1"/>
  <c r="K859" i="14"/>
  <c r="Q859" i="14" s="1"/>
  <c r="K773" i="14"/>
  <c r="Q773" i="14" s="1"/>
  <c r="K772" i="14"/>
  <c r="Q772" i="14" s="1"/>
  <c r="K771" i="14"/>
  <c r="Q771" i="14" s="1"/>
  <c r="K770" i="14"/>
  <c r="Q770" i="14" s="1"/>
  <c r="K769" i="14"/>
  <c r="Q769" i="14" s="1"/>
  <c r="K768" i="14"/>
  <c r="Q768" i="14" s="1"/>
  <c r="K767" i="14"/>
  <c r="Q767" i="14" s="1"/>
  <c r="K766" i="14"/>
  <c r="Q766" i="14" s="1"/>
  <c r="K765" i="14"/>
  <c r="Q765" i="14" s="1"/>
  <c r="K764" i="14"/>
  <c r="Q764" i="14" s="1"/>
  <c r="K763" i="14"/>
  <c r="Q763" i="14" s="1"/>
  <c r="K761" i="14"/>
  <c r="Q761" i="14" s="1"/>
  <c r="K760" i="14"/>
  <c r="Q760" i="14" s="1"/>
  <c r="K759" i="14"/>
  <c r="Q759" i="14" s="1"/>
  <c r="K757" i="14"/>
  <c r="Q757" i="14" s="1"/>
  <c r="K756" i="14"/>
  <c r="Q756" i="14" s="1"/>
  <c r="K755" i="14"/>
  <c r="Q755" i="14" s="1"/>
  <c r="K754" i="14"/>
  <c r="Q754" i="14" s="1"/>
  <c r="K753" i="14"/>
  <c r="Q753" i="14" s="1"/>
  <c r="K752" i="14"/>
  <c r="Q752" i="14" s="1"/>
  <c r="K751" i="14"/>
  <c r="Q751" i="14" s="1"/>
  <c r="K750" i="14"/>
  <c r="Q750" i="14" s="1"/>
  <c r="K749" i="14"/>
  <c r="Q749" i="14" s="1"/>
  <c r="K748" i="14"/>
  <c r="Q748" i="14" s="1"/>
  <c r="K747" i="14"/>
  <c r="Q747" i="14" s="1"/>
  <c r="K746" i="14"/>
  <c r="Q746" i="14" s="1"/>
  <c r="K745" i="14"/>
  <c r="Q745" i="14" s="1"/>
  <c r="K744" i="14"/>
  <c r="Q744" i="14" s="1"/>
  <c r="K743" i="14"/>
  <c r="Q743" i="14" s="1"/>
  <c r="K742" i="14"/>
  <c r="Q742" i="14" s="1"/>
  <c r="K741" i="14"/>
  <c r="Q741" i="14" s="1"/>
  <c r="K740" i="14"/>
  <c r="Q740" i="14" s="1"/>
  <c r="K739" i="14"/>
  <c r="Q739" i="14" s="1"/>
  <c r="K738" i="14"/>
  <c r="Q738" i="14" s="1"/>
  <c r="K737" i="14"/>
  <c r="Q737" i="14" s="1"/>
  <c r="K736" i="14"/>
  <c r="Q736" i="14" s="1"/>
  <c r="K735" i="14"/>
  <c r="Q735" i="14" s="1"/>
  <c r="K734" i="14"/>
  <c r="Q734" i="14" s="1"/>
  <c r="K733" i="14"/>
  <c r="Q733" i="14" s="1"/>
  <c r="K732" i="14"/>
  <c r="Q732" i="14" s="1"/>
  <c r="K731" i="14"/>
  <c r="Q731" i="14" s="1"/>
  <c r="K730" i="14"/>
  <c r="Q730" i="14" s="1"/>
  <c r="K729" i="14"/>
  <c r="Q729" i="14" s="1"/>
  <c r="K728" i="14"/>
  <c r="Q728" i="14" s="1"/>
  <c r="K727" i="14"/>
  <c r="Q727" i="14" s="1"/>
  <c r="K726" i="14"/>
  <c r="Q726" i="14" s="1"/>
  <c r="K725" i="14"/>
  <c r="K724" i="14"/>
  <c r="Q724" i="14" s="1"/>
  <c r="K723" i="14"/>
  <c r="Q723" i="14" s="1"/>
  <c r="K722" i="14"/>
  <c r="Q722" i="14" s="1"/>
  <c r="K685" i="14"/>
  <c r="Q685" i="14" s="1"/>
  <c r="K684" i="14"/>
  <c r="Q684" i="14" s="1"/>
  <c r="Q683" i="14"/>
  <c r="K682" i="14"/>
  <c r="Q682" i="14" s="1"/>
  <c r="K680" i="14"/>
  <c r="Q680" i="14" s="1"/>
  <c r="K679" i="14"/>
  <c r="Q679" i="14" s="1"/>
  <c r="K678" i="14"/>
  <c r="K677" i="14"/>
  <c r="Q677" i="14" s="1"/>
  <c r="K676" i="14"/>
  <c r="Q676" i="14" s="1"/>
  <c r="K675" i="14"/>
  <c r="Q675" i="14" s="1"/>
  <c r="K674" i="14"/>
  <c r="Q674" i="14" s="1"/>
  <c r="K673" i="14"/>
  <c r="Q673" i="14" s="1"/>
  <c r="K672" i="14"/>
  <c r="Q672" i="14" s="1"/>
  <c r="K671" i="14"/>
  <c r="Q671" i="14" s="1"/>
  <c r="K670" i="14"/>
  <c r="Q670" i="14" s="1"/>
  <c r="K669" i="14"/>
  <c r="Q669" i="14" s="1"/>
  <c r="K668" i="14"/>
  <c r="Q668" i="14" s="1"/>
  <c r="K667" i="14"/>
  <c r="Q667" i="14" s="1"/>
  <c r="K666" i="14"/>
  <c r="Q666" i="14" s="1"/>
  <c r="K665" i="14"/>
  <c r="Q665" i="14" s="1"/>
  <c r="K664" i="14"/>
  <c r="Q664" i="14" s="1"/>
  <c r="K663" i="14"/>
  <c r="Q663" i="14" s="1"/>
  <c r="K662" i="14"/>
  <c r="Q662" i="14" s="1"/>
  <c r="K661" i="14"/>
  <c r="Q661" i="14" s="1"/>
  <c r="K660" i="14"/>
  <c r="Q660" i="14" s="1"/>
  <c r="K659" i="14"/>
  <c r="Q659" i="14" s="1"/>
  <c r="K658" i="14"/>
  <c r="Q658" i="14" s="1"/>
  <c r="K606" i="14"/>
  <c r="Q606" i="14" s="1"/>
  <c r="K605" i="14"/>
  <c r="Q605" i="14" s="1"/>
  <c r="K604" i="14"/>
  <c r="Q604" i="14" s="1"/>
  <c r="K603" i="14"/>
  <c r="Q603" i="14" s="1"/>
  <c r="K602" i="14"/>
  <c r="Q602" i="14" s="1"/>
  <c r="K601" i="14"/>
  <c r="Q601" i="14" s="1"/>
  <c r="K600" i="14"/>
  <c r="Q600" i="14" s="1"/>
  <c r="K598" i="14"/>
  <c r="Q598" i="14" s="1"/>
  <c r="K593" i="14"/>
  <c r="Q593" i="14" s="1"/>
  <c r="K591" i="14"/>
  <c r="Q591" i="14" s="1"/>
  <c r="K587" i="14"/>
  <c r="K586" i="14"/>
  <c r="Q586" i="14" s="1"/>
  <c r="K585" i="14"/>
  <c r="Q585" i="14" s="1"/>
  <c r="K584" i="14"/>
  <c r="Q584" i="14" s="1"/>
  <c r="K583" i="14"/>
  <c r="Q583" i="14" s="1"/>
  <c r="K582" i="14"/>
  <c r="Q582" i="14" s="1"/>
  <c r="K882" i="14"/>
  <c r="N882" i="14" s="1"/>
  <c r="K795" i="14"/>
  <c r="K794" i="14"/>
  <c r="K793" i="14"/>
  <c r="K792" i="14"/>
  <c r="K791" i="14"/>
  <c r="K790" i="14"/>
  <c r="K789" i="14"/>
  <c r="K788" i="14"/>
  <c r="K787" i="14"/>
  <c r="K786" i="14"/>
  <c r="K785" i="14"/>
  <c r="N785" i="14" l="1"/>
  <c r="O785" i="14"/>
  <c r="O793" i="14"/>
  <c r="N787" i="14"/>
  <c r="O791" i="14"/>
  <c r="O786" i="14"/>
  <c r="N794" i="14"/>
  <c r="O789" i="14"/>
  <c r="N790" i="14"/>
  <c r="N792" i="14"/>
  <c r="O795" i="14"/>
  <c r="O787" i="14"/>
  <c r="O790" i="14"/>
  <c r="O792" i="14"/>
  <c r="O794" i="14"/>
  <c r="O882" i="14"/>
  <c r="Q882" i="14" s="1"/>
  <c r="Q990" i="14" s="1"/>
  <c r="N786" i="14"/>
  <c r="N789" i="14"/>
  <c r="N791" i="14"/>
  <c r="N793" i="14"/>
  <c r="N795" i="14"/>
  <c r="M788" i="14"/>
  <c r="Q788" i="14" s="1"/>
  <c r="Q793" i="14" l="1"/>
  <c r="Q786" i="14"/>
  <c r="Q794" i="14"/>
  <c r="Q785" i="14"/>
  <c r="Q791" i="14"/>
  <c r="Q787" i="14"/>
  <c r="Q790" i="14"/>
  <c r="Q789" i="14"/>
  <c r="Q792" i="14"/>
  <c r="Q795" i="14"/>
  <c r="W788" i="14"/>
  <c r="X719" i="14" s="1"/>
  <c r="I79" i="18" l="1"/>
  <c r="I80" i="18"/>
  <c r="I81" i="18"/>
  <c r="I82"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K81" i="18" l="1"/>
  <c r="L80" i="18"/>
  <c r="K79" i="18"/>
  <c r="I95" i="18"/>
  <c r="L82" i="18"/>
  <c r="L79" i="18"/>
  <c r="L81" i="18"/>
  <c r="K80" i="18"/>
  <c r="K82" i="18"/>
  <c r="N81" i="18" l="1"/>
  <c r="N80" i="18"/>
  <c r="N82" i="18"/>
  <c r="N79" i="18"/>
  <c r="L95" i="18"/>
  <c r="K95" i="18"/>
  <c r="J12" i="23"/>
  <c r="J13" i="23"/>
  <c r="J11" i="23"/>
  <c r="J10" i="23"/>
  <c r="J9" i="23"/>
  <c r="J8" i="23"/>
  <c r="J7" i="23"/>
  <c r="J6" i="23"/>
  <c r="J5" i="23"/>
  <c r="J4" i="23"/>
  <c r="N95" i="18" l="1"/>
  <c r="K784" i="14"/>
  <c r="O784" i="14" l="1"/>
  <c r="N784" i="14"/>
  <c r="K719" i="14"/>
  <c r="K718" i="14"/>
  <c r="Q784" i="14" l="1"/>
  <c r="O718" i="14"/>
  <c r="N719" i="14"/>
  <c r="O719" i="14"/>
  <c r="N718" i="14"/>
  <c r="Q718" i="14" l="1"/>
  <c r="Q719" i="14"/>
  <c r="K783" i="14"/>
  <c r="K782" i="14"/>
  <c r="K781" i="14"/>
  <c r="K780" i="14"/>
  <c r="Q587" i="14"/>
  <c r="K581" i="14"/>
  <c r="Q581" i="14" s="1"/>
  <c r="K580" i="14"/>
  <c r="K579" i="14"/>
  <c r="Q579" i="14" s="1"/>
  <c r="K578" i="14"/>
  <c r="Q578" i="14" s="1"/>
  <c r="K577" i="14"/>
  <c r="Q577" i="14" s="1"/>
  <c r="K576" i="14"/>
  <c r="Q576" i="14" s="1"/>
  <c r="K575" i="14"/>
  <c r="Q575" i="14" s="1"/>
  <c r="K574" i="14"/>
  <c r="Q574" i="14" s="1"/>
  <c r="K573" i="14"/>
  <c r="Q573" i="14" s="1"/>
  <c r="K572" i="14"/>
  <c r="Q572" i="14" s="1"/>
  <c r="K571" i="14"/>
  <c r="Q571" i="14" s="1"/>
  <c r="K570" i="14"/>
  <c r="Q570" i="14" s="1"/>
  <c r="K569" i="14"/>
  <c r="Q569" i="14" s="1"/>
  <c r="K568" i="14"/>
  <c r="K567" i="14"/>
  <c r="Q567" i="14" s="1"/>
  <c r="K566" i="14"/>
  <c r="Q566" i="14" s="1"/>
  <c r="K565" i="14"/>
  <c r="Q565" i="14" s="1"/>
  <c r="K564" i="14"/>
  <c r="Q564" i="14" s="1"/>
  <c r="K563" i="14"/>
  <c r="Q563" i="14" s="1"/>
  <c r="K562" i="14"/>
  <c r="Q562" i="14" s="1"/>
  <c r="K561" i="14"/>
  <c r="Q561" i="14" s="1"/>
  <c r="K560" i="14"/>
  <c r="Q560" i="14" s="1"/>
  <c r="K559" i="14"/>
  <c r="Q559" i="14" s="1"/>
  <c r="K558" i="14"/>
  <c r="Q558" i="14" s="1"/>
  <c r="K557" i="14"/>
  <c r="Q557" i="14" s="1"/>
  <c r="K556" i="14"/>
  <c r="Q556" i="14" s="1"/>
  <c r="K555" i="14"/>
  <c r="Q555" i="14" s="1"/>
  <c r="K554" i="14"/>
  <c r="Q554" i="14" s="1"/>
  <c r="K553" i="14"/>
  <c r="Q553" i="14" s="1"/>
  <c r="K552" i="14"/>
  <c r="Q552" i="14" s="1"/>
  <c r="K551" i="14"/>
  <c r="Q551" i="14" s="1"/>
  <c r="K550" i="14"/>
  <c r="Q550" i="14" s="1"/>
  <c r="K549" i="14"/>
  <c r="Q549" i="14" s="1"/>
  <c r="K548" i="14"/>
  <c r="Q548" i="14" s="1"/>
  <c r="K547" i="14"/>
  <c r="Q547" i="14" s="1"/>
  <c r="K546" i="14"/>
  <c r="Q546" i="14" s="1"/>
  <c r="K545" i="14"/>
  <c r="K544" i="14"/>
  <c r="Q544" i="14" s="1"/>
  <c r="K543" i="14"/>
  <c r="Q543" i="14" s="1"/>
  <c r="K542" i="14"/>
  <c r="Q542" i="14" s="1"/>
  <c r="K541" i="14"/>
  <c r="Q541" i="14" s="1"/>
  <c r="K540" i="14"/>
  <c r="Q540" i="14" s="1"/>
  <c r="K539" i="14"/>
  <c r="Q539" i="14" s="1"/>
  <c r="K538" i="14"/>
  <c r="Q538" i="14" s="1"/>
  <c r="K537" i="14"/>
  <c r="Q537" i="14" s="1"/>
  <c r="K536" i="14"/>
  <c r="Q536" i="14" s="1"/>
  <c r="K535" i="14"/>
  <c r="Q535" i="14" s="1"/>
  <c r="K534" i="14"/>
  <c r="Q534" i="14" s="1"/>
  <c r="K533" i="14"/>
  <c r="Q533" i="14" s="1"/>
  <c r="K532" i="14"/>
  <c r="Q532" i="14" s="1"/>
  <c r="K531" i="14"/>
  <c r="Q531" i="14" s="1"/>
  <c r="K530" i="14"/>
  <c r="K529" i="14"/>
  <c r="Q529" i="14" s="1"/>
  <c r="K528" i="14"/>
  <c r="Q528" i="14" s="1"/>
  <c r="K527" i="14"/>
  <c r="Q527" i="14" s="1"/>
  <c r="K526" i="14"/>
  <c r="Q526" i="14" s="1"/>
  <c r="K525" i="14"/>
  <c r="Q525" i="14" s="1"/>
  <c r="K524" i="14"/>
  <c r="Q524" i="14" s="1"/>
  <c r="K523" i="14"/>
  <c r="K522" i="14"/>
  <c r="Q522" i="14" s="1"/>
  <c r="K521" i="14"/>
  <c r="Q521" i="14" s="1"/>
  <c r="K520" i="14"/>
  <c r="Q520" i="14" s="1"/>
  <c r="K519" i="14"/>
  <c r="Q519" i="14" s="1"/>
  <c r="K518" i="14"/>
  <c r="Q518" i="14" s="1"/>
  <c r="K517" i="14"/>
  <c r="Q517" i="14" s="1"/>
  <c r="K516" i="14"/>
  <c r="Q516" i="14" s="1"/>
  <c r="K515" i="14"/>
  <c r="K514" i="14"/>
  <c r="K513" i="14"/>
  <c r="Q513" i="14" s="1"/>
  <c r="K512" i="14"/>
  <c r="Q512" i="14" s="1"/>
  <c r="K511" i="14"/>
  <c r="Q511" i="14" s="1"/>
  <c r="K510" i="14"/>
  <c r="Q510" i="14" s="1"/>
  <c r="K509" i="14"/>
  <c r="Q509" i="14" s="1"/>
  <c r="K407" i="14"/>
  <c r="Q407" i="14" s="1"/>
  <c r="K406" i="14"/>
  <c r="Q406" i="14" s="1"/>
  <c r="K405" i="14"/>
  <c r="Q405" i="14" s="1"/>
  <c r="K404" i="14"/>
  <c r="Q404" i="14" s="1"/>
  <c r="K403" i="14"/>
  <c r="Q403" i="14" s="1"/>
  <c r="K402" i="14"/>
  <c r="Q402" i="14" s="1"/>
  <c r="K392" i="14"/>
  <c r="Q392" i="14" s="1"/>
  <c r="K391" i="14"/>
  <c r="Q391" i="14" s="1"/>
  <c r="K390" i="14"/>
  <c r="Q390" i="14" s="1"/>
  <c r="K389" i="14"/>
  <c r="Q389" i="14" s="1"/>
  <c r="K388" i="14"/>
  <c r="Q388" i="14" s="1"/>
  <c r="K387" i="14"/>
  <c r="Q387" i="14" s="1"/>
  <c r="K386" i="14"/>
  <c r="Q386" i="14" s="1"/>
  <c r="K385" i="14"/>
  <c r="Q385" i="14" s="1"/>
  <c r="K384" i="14"/>
  <c r="Q384" i="14" s="1"/>
  <c r="K383" i="14"/>
  <c r="Q383" i="14" s="1"/>
  <c r="K382" i="14"/>
  <c r="Q382" i="14" s="1"/>
  <c r="K381" i="14"/>
  <c r="Q381" i="14" s="1"/>
  <c r="K380" i="14"/>
  <c r="Q380" i="14" s="1"/>
  <c r="K379" i="14"/>
  <c r="Q379" i="14" s="1"/>
  <c r="K378" i="14"/>
  <c r="Q378" i="14" s="1"/>
  <c r="K377" i="14"/>
  <c r="Q377" i="14" s="1"/>
  <c r="K376" i="14"/>
  <c r="Q376" i="14" s="1"/>
  <c r="K375" i="14"/>
  <c r="Q375" i="14" s="1"/>
  <c r="K374" i="14"/>
  <c r="Q374" i="14" s="1"/>
  <c r="K373" i="14"/>
  <c r="Q373" i="14" s="1"/>
  <c r="K372" i="14"/>
  <c r="Q372" i="14" s="1"/>
  <c r="K371" i="14"/>
  <c r="K369" i="14"/>
  <c r="Q369" i="14" s="1"/>
  <c r="K368" i="14"/>
  <c r="Q368" i="14" s="1"/>
  <c r="K367" i="14"/>
  <c r="Q367" i="14" s="1"/>
  <c r="K366" i="14"/>
  <c r="Q366" i="14" s="1"/>
  <c r="K365" i="14"/>
  <c r="Q365" i="14" s="1"/>
  <c r="K364" i="14"/>
  <c r="Q364" i="14" s="1"/>
  <c r="K363" i="14"/>
  <c r="Q363" i="14" s="1"/>
  <c r="K362" i="14"/>
  <c r="Q362" i="14" s="1"/>
  <c r="K361" i="14"/>
  <c r="Q361" i="14" s="1"/>
  <c r="K360" i="14"/>
  <c r="Q360" i="14" s="1"/>
  <c r="K359" i="14"/>
  <c r="Q359" i="14" s="1"/>
  <c r="K358" i="14"/>
  <c r="Q358" i="14" s="1"/>
  <c r="K357" i="14"/>
  <c r="Q357" i="14" s="1"/>
  <c r="K322" i="14"/>
  <c r="Q322" i="14" s="1"/>
  <c r="K321" i="14"/>
  <c r="Q321" i="14" s="1"/>
  <c r="K319" i="14"/>
  <c r="Q319" i="14" s="1"/>
  <c r="K318" i="14"/>
  <c r="Q318" i="14" s="1"/>
  <c r="K317" i="14"/>
  <c r="Q317" i="14" s="1"/>
  <c r="K316" i="14"/>
  <c r="Q316" i="14" s="1"/>
  <c r="K315" i="14"/>
  <c r="K314" i="14"/>
  <c r="Q314" i="14" s="1"/>
  <c r="K313" i="14"/>
  <c r="Q313" i="14" s="1"/>
  <c r="K312" i="14"/>
  <c r="Q312" i="14" s="1"/>
  <c r="K311" i="14"/>
  <c r="Q311" i="14" s="1"/>
  <c r="K310" i="14"/>
  <c r="Q310" i="14" s="1"/>
  <c r="K309" i="14"/>
  <c r="Q309" i="14" s="1"/>
  <c r="K308" i="14"/>
  <c r="Q308" i="14" s="1"/>
  <c r="K307" i="14"/>
  <c r="Q307" i="14" s="1"/>
  <c r="K306" i="14"/>
  <c r="Q306" i="14" s="1"/>
  <c r="K305" i="14"/>
  <c r="Q305" i="14" s="1"/>
  <c r="K304" i="14"/>
  <c r="Q304" i="14" s="1"/>
  <c r="K303" i="14"/>
  <c r="Q303" i="14" s="1"/>
  <c r="K302" i="14"/>
  <c r="Q302" i="14" s="1"/>
  <c r="K301" i="14"/>
  <c r="Q301" i="14" s="1"/>
  <c r="K300" i="14"/>
  <c r="Q300" i="14" s="1"/>
  <c r="K299" i="14"/>
  <c r="Q299" i="14" s="1"/>
  <c r="K298" i="14"/>
  <c r="Q298" i="14" s="1"/>
  <c r="K297" i="14"/>
  <c r="Q297" i="14" s="1"/>
  <c r="K296" i="14"/>
  <c r="Q296" i="14" s="1"/>
  <c r="K295" i="14"/>
  <c r="Q295" i="14" s="1"/>
  <c r="K294" i="14"/>
  <c r="Q294" i="14" s="1"/>
  <c r="K293" i="14"/>
  <c r="Q293" i="14" s="1"/>
  <c r="K292" i="14"/>
  <c r="Q292" i="14" s="1"/>
  <c r="K291" i="14"/>
  <c r="Q291" i="14" s="1"/>
  <c r="K290" i="14"/>
  <c r="Q290" i="14" s="1"/>
  <c r="K289" i="14"/>
  <c r="Q289" i="14" s="1"/>
  <c r="K288" i="14"/>
  <c r="Q288" i="14" s="1"/>
  <c r="K287" i="14"/>
  <c r="Q287" i="14" s="1"/>
  <c r="K286" i="14"/>
  <c r="Q286" i="14" s="1"/>
  <c r="K285" i="14"/>
  <c r="Q285" i="14" s="1"/>
  <c r="K284" i="14"/>
  <c r="Q284" i="14" s="1"/>
  <c r="K283" i="14"/>
  <c r="Q283" i="14" s="1"/>
  <c r="K282" i="14"/>
  <c r="Q282" i="14" s="1"/>
  <c r="K281" i="14"/>
  <c r="Q281" i="14" s="1"/>
  <c r="K280" i="14"/>
  <c r="K279" i="14"/>
  <c r="Q279" i="14" s="1"/>
  <c r="K278" i="14"/>
  <c r="Q278" i="14" s="1"/>
  <c r="M783" i="14" l="1"/>
  <c r="O1165" i="14"/>
  <c r="M580" i="14"/>
  <c r="Q580" i="14" s="1"/>
  <c r="N780" i="14"/>
  <c r="M780" i="14"/>
  <c r="O780" i="14"/>
  <c r="O781" i="14"/>
  <c r="O782" i="14"/>
  <c r="N782" i="14"/>
  <c r="O783" i="14"/>
  <c r="N783" i="14"/>
  <c r="N781" i="14"/>
  <c r="Q782" i="14" l="1"/>
  <c r="Q781" i="14"/>
  <c r="Q783" i="14"/>
  <c r="Q780" i="14"/>
  <c r="Q1165" i="14"/>
  <c r="K649" i="14"/>
  <c r="K650" i="14"/>
  <c r="K651" i="14"/>
  <c r="K652" i="14"/>
  <c r="K653" i="14"/>
  <c r="K654" i="14"/>
  <c r="K655" i="14"/>
  <c r="K656" i="14"/>
  <c r="K681" i="14"/>
  <c r="Q681" i="14" s="1"/>
  <c r="M651" i="14" l="1"/>
  <c r="Q651" i="14" s="1"/>
  <c r="M654" i="14"/>
  <c r="Q654" i="14" s="1"/>
  <c r="M656" i="14"/>
  <c r="Q656" i="14" s="1"/>
  <c r="M652" i="14"/>
  <c r="Q652" i="14" s="1"/>
  <c r="M655" i="14"/>
  <c r="Q655" i="14" s="1"/>
  <c r="M650" i="14"/>
  <c r="Q650" i="14" s="1"/>
  <c r="M653" i="14"/>
  <c r="Q653" i="14" s="1"/>
  <c r="M649" i="14"/>
  <c r="Q649" i="14" s="1"/>
  <c r="K716" i="14"/>
  <c r="N716" i="14" l="1"/>
  <c r="O716" i="14"/>
  <c r="K648" i="14"/>
  <c r="Q648" i="14" s="1"/>
  <c r="D256" i="36"/>
  <c r="O171" i="36"/>
  <c r="P171" i="36" s="1"/>
  <c r="O170" i="36"/>
  <c r="P170" i="36" s="1"/>
  <c r="O169" i="36"/>
  <c r="O168" i="36"/>
  <c r="P168" i="36" s="1"/>
  <c r="O167" i="36"/>
  <c r="P167" i="36" s="1"/>
  <c r="L206" i="36"/>
  <c r="L203" i="36"/>
  <c r="L200" i="36"/>
  <c r="L197" i="36"/>
  <c r="L194" i="36"/>
  <c r="L191" i="36"/>
  <c r="L188" i="36"/>
  <c r="L185" i="36"/>
  <c r="L182" i="36"/>
  <c r="L179" i="36"/>
  <c r="L176" i="36"/>
  <c r="L173" i="36"/>
  <c r="L170" i="36"/>
  <c r="L167" i="36"/>
  <c r="L256" i="36" l="1"/>
  <c r="Q716" i="14"/>
  <c r="K687" i="14"/>
  <c r="K688" i="14"/>
  <c r="K689" i="14"/>
  <c r="K690" i="14"/>
  <c r="K691" i="14"/>
  <c r="K692" i="14"/>
  <c r="K693" i="14"/>
  <c r="K694" i="14"/>
  <c r="K695" i="14"/>
  <c r="K696" i="14"/>
  <c r="K698" i="14"/>
  <c r="K699" i="14"/>
  <c r="K700" i="14"/>
  <c r="K701" i="14"/>
  <c r="K702" i="14"/>
  <c r="K703" i="14"/>
  <c r="K704" i="14"/>
  <c r="K705" i="14"/>
  <c r="K706" i="14"/>
  <c r="K707" i="14"/>
  <c r="K708" i="14"/>
  <c r="K709" i="14"/>
  <c r="K710" i="14"/>
  <c r="K711" i="14"/>
  <c r="K712" i="14"/>
  <c r="K775" i="14"/>
  <c r="K776" i="14"/>
  <c r="K777" i="14"/>
  <c r="K778" i="14"/>
  <c r="K779" i="14"/>
  <c r="O778" i="14" l="1"/>
  <c r="O712" i="14"/>
  <c r="O704" i="14"/>
  <c r="O695" i="14"/>
  <c r="O706" i="14"/>
  <c r="O702" i="14"/>
  <c r="O705" i="14"/>
  <c r="O701" i="14"/>
  <c r="O703" i="14"/>
  <c r="M690" i="14"/>
  <c r="D160" i="36"/>
  <c r="L158" i="36"/>
  <c r="L155" i="36"/>
  <c r="L152" i="36"/>
  <c r="L149" i="36"/>
  <c r="L146" i="36"/>
  <c r="L143" i="36"/>
  <c r="L140" i="36"/>
  <c r="L137" i="36"/>
  <c r="L134" i="36"/>
  <c r="L131" i="36"/>
  <c r="L128" i="36"/>
  <c r="Q126" i="36"/>
  <c r="R126" i="36" s="1"/>
  <c r="Q125" i="36"/>
  <c r="R125" i="36" s="1"/>
  <c r="L125" i="36"/>
  <c r="Q124" i="36"/>
  <c r="R124" i="36" s="1"/>
  <c r="Q123" i="36"/>
  <c r="R123" i="36" s="1"/>
  <c r="Q122" i="36"/>
  <c r="R122" i="36" s="1"/>
  <c r="L122" i="36"/>
  <c r="Q121" i="36"/>
  <c r="R121" i="36" s="1"/>
  <c r="Q120" i="36"/>
  <c r="R120" i="36" s="1"/>
  <c r="Q119" i="36"/>
  <c r="R119" i="36" s="1"/>
  <c r="L119" i="36"/>
  <c r="Q118" i="36"/>
  <c r="R118" i="36" s="1"/>
  <c r="Q117" i="36"/>
  <c r="R117" i="36" s="1"/>
  <c r="D112" i="36"/>
  <c r="L110" i="36"/>
  <c r="L107" i="36"/>
  <c r="L104" i="36"/>
  <c r="L101" i="36"/>
  <c r="L98" i="36"/>
  <c r="L95" i="36"/>
  <c r="L92" i="36"/>
  <c r="O89" i="36"/>
  <c r="L89" i="36"/>
  <c r="O88" i="36"/>
  <c r="L86" i="36"/>
  <c r="L83" i="36"/>
  <c r="L80" i="36"/>
  <c r="L77" i="36"/>
  <c r="D71" i="36"/>
  <c r="L68" i="36"/>
  <c r="L65" i="36"/>
  <c r="L62" i="36"/>
  <c r="L59" i="36"/>
  <c r="L56" i="36"/>
  <c r="L53" i="36"/>
  <c r="C44" i="36"/>
  <c r="G42" i="36"/>
  <c r="G39" i="36"/>
  <c r="G36" i="36"/>
  <c r="G33" i="36"/>
  <c r="G30" i="36"/>
  <c r="G27" i="36"/>
  <c r="Q20" i="36"/>
  <c r="C20" i="36"/>
  <c r="Q19" i="36"/>
  <c r="P18" i="36"/>
  <c r="Q18" i="36" s="1"/>
  <c r="K18" i="36"/>
  <c r="P17" i="36"/>
  <c r="Q17" i="36" s="1"/>
  <c r="P16" i="36"/>
  <c r="Q16" i="36" s="1"/>
  <c r="P15" i="36"/>
  <c r="Q15" i="36" s="1"/>
  <c r="K15" i="36"/>
  <c r="P14" i="36"/>
  <c r="Q14" i="36" s="1"/>
  <c r="P13" i="36"/>
  <c r="Q13" i="36" s="1"/>
  <c r="P12" i="36"/>
  <c r="Q12" i="36" s="1"/>
  <c r="K12" i="36"/>
  <c r="P11" i="36"/>
  <c r="Q11" i="36" s="1"/>
  <c r="P10" i="36"/>
  <c r="Q10" i="36" s="1"/>
  <c r="P9" i="36"/>
  <c r="Q9" i="36" s="1"/>
  <c r="K9" i="36"/>
  <c r="P8" i="36"/>
  <c r="Q8" i="36" s="1"/>
  <c r="P7" i="36"/>
  <c r="Q7" i="36" s="1"/>
  <c r="P6" i="36"/>
  <c r="Q6" i="36" s="1"/>
  <c r="K6" i="36"/>
  <c r="P5" i="36"/>
  <c r="Q5" i="36" s="1"/>
  <c r="P4" i="36"/>
  <c r="Q4" i="36" s="1"/>
  <c r="G44" i="36" l="1"/>
  <c r="L160" i="36"/>
  <c r="K162" i="36" s="1"/>
  <c r="L71" i="36"/>
  <c r="L112" i="36"/>
  <c r="O90" i="36"/>
  <c r="K114" i="36" l="1"/>
  <c r="A776" i="14" l="1"/>
  <c r="A777" i="14" s="1"/>
  <c r="A778" i="14" s="1"/>
  <c r="A779" i="14" s="1"/>
  <c r="A780" i="14" s="1"/>
  <c r="A781" i="14" s="1"/>
  <c r="A782" i="14" s="1"/>
  <c r="A783" i="14" s="1"/>
  <c r="A784" i="14" s="1"/>
  <c r="A785" i="14" s="1"/>
  <c r="A786" i="14" s="1"/>
  <c r="A787" i="14" s="1"/>
  <c r="A788" i="14" s="1"/>
  <c r="A789" i="14" s="1"/>
  <c r="A790" i="14" s="1"/>
  <c r="A791" i="14" s="1"/>
  <c r="A792" i="14" s="1"/>
  <c r="A793" i="14" s="1"/>
  <c r="A794" i="14" s="1"/>
  <c r="A795" i="14" s="1"/>
  <c r="A796" i="14" s="1"/>
  <c r="A797" i="14" s="1"/>
  <c r="A798" i="14" s="1"/>
  <c r="A799" i="14" s="1"/>
  <c r="A800" i="14" s="1"/>
  <c r="A801" i="14" s="1"/>
  <c r="A802" i="14" s="1"/>
  <c r="A803" i="14" s="1"/>
  <c r="A804" i="14" s="1"/>
  <c r="A805" i="14" s="1"/>
  <c r="A806" i="14" s="1"/>
  <c r="A807" i="14" s="1"/>
  <c r="A808" i="14" s="1"/>
  <c r="A809" i="14" s="1"/>
  <c r="A810" i="14" s="1"/>
  <c r="A811" i="14" s="1"/>
  <c r="A812" i="14" s="1"/>
  <c r="A813" i="14" s="1"/>
  <c r="A814" i="14" s="1"/>
  <c r="A815" i="14" s="1"/>
  <c r="A816" i="14" s="1"/>
  <c r="A817" i="14" s="1"/>
  <c r="A818" i="14" s="1"/>
  <c r="A819" i="14" s="1"/>
  <c r="A820" i="14" s="1"/>
  <c r="A823" i="14" s="1"/>
  <c r="A824" i="14" s="1"/>
  <c r="A825" i="14" s="1"/>
  <c r="A826" i="14" s="1"/>
  <c r="A827" i="14" s="1"/>
  <c r="A828" i="14" s="1"/>
  <c r="A829" i="14" s="1"/>
  <c r="A830" i="14" s="1"/>
  <c r="A831" i="14" s="1"/>
  <c r="A832" i="14" s="1"/>
  <c r="A833" i="14" s="1"/>
  <c r="A834" i="14" s="1"/>
  <c r="A835" i="14" s="1"/>
  <c r="A836" i="14" s="1"/>
  <c r="A837" i="14" s="1"/>
  <c r="A838" i="14" s="1"/>
  <c r="A839" i="14" s="1"/>
  <c r="A840" i="14" s="1"/>
  <c r="A841" i="14" s="1"/>
  <c r="A842" i="14" s="1"/>
  <c r="A843" i="14" s="1"/>
  <c r="A844" i="14" s="1"/>
  <c r="A845" i="14" s="1"/>
  <c r="A846" i="14" s="1"/>
  <c r="A847" i="14" s="1"/>
  <c r="A848" i="14" s="1"/>
  <c r="A849" i="14" s="1"/>
  <c r="A850" i="14" s="1"/>
  <c r="A851" i="14" s="1"/>
  <c r="A852" i="14" s="1"/>
  <c r="A853" i="14" s="1"/>
  <c r="A854" i="14" s="1"/>
  <c r="A855" i="14" s="1"/>
  <c r="A856" i="14" s="1"/>
  <c r="A857" i="14" s="1"/>
  <c r="A858" i="14" s="1"/>
  <c r="A859" i="14" s="1"/>
  <c r="A860" i="14" s="1"/>
  <c r="A861" i="14" s="1"/>
  <c r="A862" i="14" s="1"/>
  <c r="A863" i="14" s="1"/>
  <c r="A864" i="14" s="1"/>
  <c r="A865" i="14" s="1"/>
  <c r="A866" i="14" s="1"/>
  <c r="A867" i="14" s="1"/>
  <c r="A868" i="14" s="1"/>
  <c r="A869" i="14" s="1"/>
  <c r="A870" i="14" s="1"/>
  <c r="A871" i="14" s="1"/>
  <c r="A872" i="14" s="1"/>
  <c r="A873" i="14" s="1"/>
  <c r="A874" i="14" s="1"/>
  <c r="A875" i="14" s="1"/>
  <c r="A876" i="14" s="1"/>
  <c r="A877" i="14" s="1"/>
  <c r="A878" i="14" s="1"/>
  <c r="A879" i="14" s="1"/>
  <c r="A880" i="14" s="1"/>
  <c r="N776" i="14" l="1"/>
  <c r="O775" i="14"/>
  <c r="O776" i="14"/>
  <c r="N775" i="14"/>
  <c r="Q776" i="14" l="1"/>
  <c r="Q775" i="14"/>
  <c r="N706" i="14"/>
  <c r="Q706" i="14" s="1"/>
  <c r="N702" i="14"/>
  <c r="Q702" i="14" s="1"/>
  <c r="N705" i="14"/>
  <c r="Q705" i="14" s="1"/>
  <c r="N701" i="14"/>
  <c r="Q701" i="14" s="1"/>
  <c r="N704" i="14"/>
  <c r="Q704" i="14" s="1"/>
  <c r="N700" i="14"/>
  <c r="O700" i="14"/>
  <c r="N703" i="14"/>
  <c r="Q703" i="14" s="1"/>
  <c r="O699" i="14"/>
  <c r="N699" i="14"/>
  <c r="N698" i="14"/>
  <c r="O698" i="14"/>
  <c r="K596" i="14"/>
  <c r="K597" i="14"/>
  <c r="Q700" i="14" l="1"/>
  <c r="Q699" i="14"/>
  <c r="Q698" i="14"/>
  <c r="Q1161" i="14" s="1"/>
  <c r="O596" i="14"/>
  <c r="N596" i="14"/>
  <c r="Q596" i="14" l="1"/>
  <c r="O623" i="14"/>
  <c r="N623" i="14"/>
  <c r="M622" i="14" l="1"/>
  <c r="K614" i="14" l="1"/>
  <c r="N708" i="14" l="1"/>
  <c r="N712" i="14"/>
  <c r="Q712" i="14" s="1"/>
  <c r="N709" i="14"/>
  <c r="N777" i="14"/>
  <c r="N778" i="14"/>
  <c r="Q778" i="14" s="1"/>
  <c r="N710" i="14"/>
  <c r="N779" i="14"/>
  <c r="O708" i="14"/>
  <c r="O709" i="14"/>
  <c r="O777" i="14"/>
  <c r="N707" i="14"/>
  <c r="O710" i="14"/>
  <c r="N711" i="14"/>
  <c r="O779" i="14"/>
  <c r="O707" i="14"/>
  <c r="O711" i="14"/>
  <c r="Q707" i="14" l="1"/>
  <c r="Q708" i="14"/>
  <c r="Q777" i="14"/>
  <c r="Q709" i="14"/>
  <c r="Q779" i="14"/>
  <c r="Q711" i="14"/>
  <c r="Q710" i="14"/>
  <c r="M725" i="14"/>
  <c r="Q725" i="14" s="1"/>
  <c r="Q881" i="14" l="1"/>
  <c r="L19" i="35"/>
  <c r="K645" i="14"/>
  <c r="K644" i="14"/>
  <c r="K643" i="14"/>
  <c r="K635" i="14"/>
  <c r="K636" i="14"/>
  <c r="K637" i="14"/>
  <c r="K638" i="14"/>
  <c r="K639" i="14"/>
  <c r="K640" i="14"/>
  <c r="K641" i="14"/>
  <c r="K642" i="14"/>
  <c r="O638" i="14" l="1"/>
  <c r="O637" i="14"/>
  <c r="O644" i="14"/>
  <c r="O645" i="14"/>
  <c r="O636" i="14"/>
  <c r="O639" i="14"/>
  <c r="O635" i="14"/>
  <c r="M642" i="14"/>
  <c r="N642" i="14" s="1"/>
  <c r="M641" i="14"/>
  <c r="O641" i="14" s="1"/>
  <c r="N640" i="14"/>
  <c r="N645" i="14"/>
  <c r="O643" i="14"/>
  <c r="N643" i="14"/>
  <c r="N636" i="14"/>
  <c r="N638" i="14"/>
  <c r="N644" i="14"/>
  <c r="N635" i="14"/>
  <c r="N637" i="14"/>
  <c r="N639" i="14"/>
  <c r="O640" i="14"/>
  <c r="Q644" i="14" l="1"/>
  <c r="Q640" i="14"/>
  <c r="Q638" i="14"/>
  <c r="Q635" i="14"/>
  <c r="Q636" i="14"/>
  <c r="Q645" i="14"/>
  <c r="Q639" i="14"/>
  <c r="Q643" i="14"/>
  <c r="Q637" i="14"/>
  <c r="N641" i="14"/>
  <c r="Q641" i="14" s="1"/>
  <c r="O642" i="14"/>
  <c r="Q642" i="14" s="1"/>
  <c r="K633" i="14"/>
  <c r="K634" i="14"/>
  <c r="K631" i="14"/>
  <c r="K632" i="14"/>
  <c r="K630" i="14"/>
  <c r="K646" i="14"/>
  <c r="K647" i="14"/>
  <c r="O631" i="14" l="1"/>
  <c r="O634" i="14"/>
  <c r="O632" i="14"/>
  <c r="O646" i="14"/>
  <c r="O633" i="14"/>
  <c r="O647" i="14"/>
  <c r="N647" i="14"/>
  <c r="O696" i="14"/>
  <c r="N696" i="14"/>
  <c r="N691" i="14"/>
  <c r="O692" i="14"/>
  <c r="O690" i="14"/>
  <c r="O689" i="14"/>
  <c r="N646" i="14"/>
  <c r="O687" i="14"/>
  <c r="N688" i="14"/>
  <c r="N693" i="14"/>
  <c r="M630" i="14"/>
  <c r="O630" i="14" s="1"/>
  <c r="O693" i="14"/>
  <c r="N632" i="14"/>
  <c r="N695" i="14"/>
  <c r="Q695" i="14" s="1"/>
  <c r="N631" i="14"/>
  <c r="N634" i="14"/>
  <c r="N633" i="14"/>
  <c r="O691" i="14"/>
  <c r="N692" i="14"/>
  <c r="O694" i="14"/>
  <c r="N687" i="14"/>
  <c r="O688" i="14"/>
  <c r="N694" i="14"/>
  <c r="N690" i="14"/>
  <c r="N689" i="14"/>
  <c r="Q631" i="14" l="1"/>
  <c r="Q688" i="14"/>
  <c r="Q633" i="14"/>
  <c r="Q647" i="14"/>
  <c r="Q689" i="14"/>
  <c r="Q634" i="14"/>
  <c r="Q632" i="14"/>
  <c r="Q690" i="14"/>
  <c r="Q691" i="14"/>
  <c r="Q694" i="14"/>
  <c r="Q646" i="14"/>
  <c r="Q693" i="14"/>
  <c r="Q692" i="14"/>
  <c r="Q696" i="14"/>
  <c r="Q687" i="14"/>
  <c r="N630" i="14"/>
  <c r="Q630" i="14" s="1"/>
  <c r="Q774" i="14" l="1"/>
  <c r="K353" i="14"/>
  <c r="J14" i="35" l="1"/>
  <c r="L14" i="35" s="1"/>
  <c r="L12" i="35"/>
  <c r="J11" i="35"/>
  <c r="L11" i="35" s="1"/>
  <c r="J5" i="35" l="1"/>
  <c r="J4" i="35"/>
  <c r="J21" i="35" l="1"/>
  <c r="L4" i="35"/>
  <c r="I5" i="21"/>
  <c r="L21" i="35" l="1"/>
  <c r="J31" i="35"/>
  <c r="J12" i="16"/>
  <c r="J4" i="16" l="1"/>
  <c r="O16" i="34" l="1"/>
  <c r="M18" i="34"/>
  <c r="L18" i="34"/>
  <c r="M17" i="34"/>
  <c r="L17" i="34"/>
  <c r="O15" i="34"/>
  <c r="O11" i="34"/>
  <c r="O7" i="34"/>
  <c r="G139" i="34"/>
  <c r="G133" i="34"/>
  <c r="G132" i="34"/>
  <c r="E129" i="34"/>
  <c r="K46" i="34"/>
  <c r="O14" i="34"/>
  <c r="O13" i="34"/>
  <c r="O12" i="34"/>
  <c r="O10" i="34"/>
  <c r="O9" i="34"/>
  <c r="O8" i="34"/>
  <c r="O6" i="34"/>
  <c r="O5" i="34"/>
  <c r="O4" i="34"/>
  <c r="J46" i="34"/>
  <c r="G134" i="34" l="1"/>
  <c r="G140" i="34" s="1"/>
  <c r="O3" i="34"/>
  <c r="O46" i="34" s="1"/>
  <c r="F117" i="33" l="1"/>
  <c r="F111" i="33"/>
  <c r="F110" i="33"/>
  <c r="E107" i="33"/>
  <c r="J24" i="33"/>
  <c r="K23" i="32"/>
  <c r="I12" i="32"/>
  <c r="L12" i="32" s="1"/>
  <c r="I4" i="32"/>
  <c r="L4" i="32" s="1"/>
  <c r="I5" i="32"/>
  <c r="L5" i="32" s="1"/>
  <c r="I6" i="32"/>
  <c r="L6" i="32" s="1"/>
  <c r="I7" i="32"/>
  <c r="L7" i="32" s="1"/>
  <c r="I8" i="32"/>
  <c r="L8" i="32" s="1"/>
  <c r="I9" i="32"/>
  <c r="L9" i="32" s="1"/>
  <c r="I10" i="32"/>
  <c r="L10" i="32" s="1"/>
  <c r="I11" i="32"/>
  <c r="L11" i="32" s="1"/>
  <c r="I13" i="32"/>
  <c r="L13" i="32" s="1"/>
  <c r="I14" i="32"/>
  <c r="L14" i="32" s="1"/>
  <c r="I15" i="32"/>
  <c r="L15" i="32" s="1"/>
  <c r="I16" i="32"/>
  <c r="L16" i="32" s="1"/>
  <c r="I17" i="32"/>
  <c r="L17" i="32" s="1"/>
  <c r="I18" i="32"/>
  <c r="L18" i="32" s="1"/>
  <c r="I19" i="32"/>
  <c r="L19" i="32" s="1"/>
  <c r="I20" i="32"/>
  <c r="L20" i="32" s="1"/>
  <c r="I21" i="32"/>
  <c r="L21" i="32" s="1"/>
  <c r="I22" i="32"/>
  <c r="L22" i="32" s="1"/>
  <c r="I3" i="32"/>
  <c r="L3" i="32" s="1"/>
  <c r="F116" i="32"/>
  <c r="F110" i="32"/>
  <c r="F109" i="32"/>
  <c r="E106" i="32"/>
  <c r="L23" i="32" l="1"/>
  <c r="I23" i="32"/>
  <c r="F112" i="33"/>
  <c r="F118" i="33" s="1"/>
  <c r="I24" i="33"/>
  <c r="F111" i="32"/>
  <c r="F117" i="32" s="1"/>
  <c r="O568" i="14" l="1"/>
  <c r="Q568" i="14" s="1"/>
  <c r="B682" i="14" l="1" a="1"/>
  <c r="B682" i="14" s="1"/>
  <c r="K626" i="14" l="1"/>
  <c r="K627" i="14"/>
  <c r="K628" i="14"/>
  <c r="K629" i="14"/>
  <c r="O629" i="14" l="1"/>
  <c r="N629" i="14"/>
  <c r="O626" i="14"/>
  <c r="N626" i="14"/>
  <c r="M628" i="14"/>
  <c r="O628" i="14" s="1"/>
  <c r="O627" i="14"/>
  <c r="Q627" i="14" s="1"/>
  <c r="O678" i="14"/>
  <c r="Q678" i="14" s="1"/>
  <c r="Q626" i="14" l="1"/>
  <c r="Q629" i="14"/>
  <c r="N628" i="14"/>
  <c r="Q628" i="14" s="1"/>
  <c r="N594" i="14"/>
  <c r="N595" i="14"/>
  <c r="N597" i="14"/>
  <c r="O599" i="14"/>
  <c r="N599" i="14"/>
  <c r="O597" i="14"/>
  <c r="O595" i="14"/>
  <c r="O594" i="14"/>
  <c r="Q597" i="14" l="1"/>
  <c r="K613" i="14"/>
  <c r="M613" i="14" l="1"/>
  <c r="N613" i="14"/>
  <c r="O613" i="14"/>
  <c r="O614" i="14"/>
  <c r="Q614" i="14" s="1"/>
  <c r="K595" i="14"/>
  <c r="Q595" i="14" s="1"/>
  <c r="Q613" i="14" l="1"/>
  <c r="K625" i="14"/>
  <c r="N625" i="14" l="1"/>
  <c r="O625" i="14"/>
  <c r="Q625" i="14" l="1"/>
  <c r="M481" i="14"/>
  <c r="M482" i="14"/>
  <c r="M506" i="14"/>
  <c r="M610" i="14"/>
  <c r="M615" i="14"/>
  <c r="M468" i="14"/>
  <c r="M344" i="14"/>
  <c r="M398" i="14"/>
  <c r="O398" i="14"/>
  <c r="N398" i="14"/>
  <c r="M479" i="14"/>
  <c r="L615" i="14"/>
  <c r="M478" i="14"/>
  <c r="L478" i="14"/>
  <c r="M475" i="14"/>
  <c r="L610" i="14"/>
  <c r="L486" i="14"/>
  <c r="L499" i="14"/>
  <c r="A609" i="14" l="1"/>
  <c r="A610" i="14" s="1"/>
  <c r="A611" i="14" s="1"/>
  <c r="A612" i="14" s="1"/>
  <c r="A613" i="14" s="1"/>
  <c r="A614" i="14" s="1"/>
  <c r="A615" i="14" s="1"/>
  <c r="A616" i="14" s="1"/>
  <c r="A617" i="14" s="1"/>
  <c r="A618" i="14" s="1"/>
  <c r="A619" i="14" s="1"/>
  <c r="A620" i="14" s="1"/>
  <c r="A621" i="14" s="1"/>
  <c r="A622" i="14" s="1"/>
  <c r="A623" i="14" s="1"/>
  <c r="A624" i="14" s="1"/>
  <c r="A625" i="14" s="1"/>
  <c r="A626" i="14" s="1"/>
  <c r="A627" i="14" s="1"/>
  <c r="A628" i="14" s="1"/>
  <c r="A629" i="14" s="1"/>
  <c r="A630" i="14" s="1"/>
  <c r="A631" i="14" s="1"/>
  <c r="A632" i="14" s="1"/>
  <c r="A633" i="14" s="1"/>
  <c r="A634" i="14" s="1"/>
  <c r="A635" i="14" s="1"/>
  <c r="A636" i="14" s="1"/>
  <c r="A637" i="14" s="1"/>
  <c r="A638" i="14" s="1"/>
  <c r="A639" i="14" s="1"/>
  <c r="A640" i="14" s="1"/>
  <c r="A641" i="14" s="1"/>
  <c r="A642" i="14" s="1"/>
  <c r="A643" i="14" s="1"/>
  <c r="A644" i="14" s="1"/>
  <c r="A645" i="14" s="1"/>
  <c r="A646" i="14" s="1"/>
  <c r="A647" i="14" s="1"/>
  <c r="A648" i="14" s="1"/>
  <c r="A649" i="14" s="1"/>
  <c r="A650" i="14" s="1"/>
  <c r="A651" i="14" s="1"/>
  <c r="A652" i="14" s="1"/>
  <c r="A653" i="14" s="1"/>
  <c r="A654" i="14" s="1"/>
  <c r="A655" i="14" s="1"/>
  <c r="A656" i="14" s="1"/>
  <c r="A657" i="14" s="1"/>
  <c r="A658" i="14" s="1"/>
  <c r="A659" i="14" s="1"/>
  <c r="A660" i="14" s="1"/>
  <c r="A661" i="14" s="1"/>
  <c r="A662" i="14" s="1"/>
  <c r="A663" i="14" s="1"/>
  <c r="A664" i="14" s="1"/>
  <c r="A665" i="14" s="1"/>
  <c r="A666" i="14" s="1"/>
  <c r="A667" i="14" s="1"/>
  <c r="A668" i="14" s="1"/>
  <c r="A669" i="14" s="1"/>
  <c r="A670" i="14" s="1"/>
  <c r="A671" i="14" s="1"/>
  <c r="A672" i="14" s="1"/>
  <c r="A673" i="14" s="1"/>
  <c r="A674" i="14" s="1"/>
  <c r="A675" i="14" s="1"/>
  <c r="A676" i="14" s="1"/>
  <c r="A677" i="14" s="1"/>
  <c r="A678" i="14" s="1"/>
  <c r="A679" i="14" s="1"/>
  <c r="A680" i="14" s="1"/>
  <c r="A681" i="14" s="1"/>
  <c r="A682" i="14" s="1"/>
  <c r="A683" i="14" s="1"/>
  <c r="A684" i="14" s="1"/>
  <c r="A685" i="14" s="1"/>
  <c r="H6" i="31" l="1"/>
  <c r="M6" i="31" s="1"/>
  <c r="H5" i="31"/>
  <c r="M5" i="31" s="1"/>
  <c r="E84" i="31"/>
  <c r="E78" i="31"/>
  <c r="E77" i="31"/>
  <c r="D74" i="31"/>
  <c r="H4" i="31"/>
  <c r="M4" i="31" s="1"/>
  <c r="H3" i="31"/>
  <c r="M3" i="31" s="1"/>
  <c r="M7" i="31" l="1"/>
  <c r="E79" i="31"/>
  <c r="E85" i="31" s="1"/>
  <c r="K78" i="18" l="1"/>
  <c r="L78" i="18"/>
  <c r="L77" i="18"/>
  <c r="N78" i="18" l="1"/>
  <c r="K77" i="18"/>
  <c r="N77" i="18" s="1"/>
  <c r="K599" i="14"/>
  <c r="Q599" i="14" s="1"/>
  <c r="K589" i="14"/>
  <c r="K592" i="14"/>
  <c r="K594" i="14"/>
  <c r="Q594" i="14" s="1"/>
  <c r="O592" i="14" l="1"/>
  <c r="N592" i="14"/>
  <c r="O589" i="14"/>
  <c r="N589" i="14"/>
  <c r="Q592" i="14" l="1"/>
  <c r="Q589" i="14"/>
  <c r="K615" i="14"/>
  <c r="K616" i="14"/>
  <c r="K617" i="14"/>
  <c r="K618" i="14"/>
  <c r="K619" i="14"/>
  <c r="K620" i="14"/>
  <c r="K621" i="14"/>
  <c r="K622" i="14"/>
  <c r="Q622" i="14" s="1"/>
  <c r="K623" i="14"/>
  <c r="Q623" i="14" s="1"/>
  <c r="K624" i="14"/>
  <c r="K508" i="14"/>
  <c r="O508" i="14" s="1"/>
  <c r="K507" i="14"/>
  <c r="K612" i="14"/>
  <c r="O618" i="14" l="1"/>
  <c r="N618" i="14"/>
  <c r="N612" i="14"/>
  <c r="O507" i="14"/>
  <c r="O621" i="14"/>
  <c r="N621" i="14"/>
  <c r="O617" i="14"/>
  <c r="N617" i="14"/>
  <c r="O624" i="14"/>
  <c r="N624" i="14"/>
  <c r="O620" i="14"/>
  <c r="N620" i="14"/>
  <c r="O616" i="14"/>
  <c r="N616" i="14"/>
  <c r="O619" i="14"/>
  <c r="N619" i="14"/>
  <c r="O615" i="14"/>
  <c r="N615" i="14"/>
  <c r="O612" i="14"/>
  <c r="N508" i="14"/>
  <c r="N507" i="14"/>
  <c r="G6" i="29"/>
  <c r="G8" i="29" s="1"/>
  <c r="Q612" i="14" l="1"/>
  <c r="Q619" i="14"/>
  <c r="Q617" i="14"/>
  <c r="Q615" i="14"/>
  <c r="Q624" i="14"/>
  <c r="Q618" i="14"/>
  <c r="Q616" i="14"/>
  <c r="Q621" i="14"/>
  <c r="Q507" i="14"/>
  <c r="Q620" i="14"/>
  <c r="L370" i="14"/>
  <c r="L335" i="14"/>
  <c r="O523" i="14" l="1"/>
  <c r="Q523" i="14" s="1"/>
  <c r="K611" i="14" l="1"/>
  <c r="K610" i="14"/>
  <c r="K609" i="14"/>
  <c r="K608" i="14"/>
  <c r="K506" i="14"/>
  <c r="K505" i="14"/>
  <c r="K504" i="14"/>
  <c r="K503" i="14"/>
  <c r="K502" i="14"/>
  <c r="K501" i="14"/>
  <c r="K500" i="14"/>
  <c r="K499" i="14"/>
  <c r="K498" i="14"/>
  <c r="K497" i="14"/>
  <c r="K496" i="14"/>
  <c r="K495" i="14"/>
  <c r="K494" i="14"/>
  <c r="K493" i="14"/>
  <c r="K492" i="14"/>
  <c r="K491" i="14"/>
  <c r="K490" i="14"/>
  <c r="K489" i="14"/>
  <c r="K488" i="14"/>
  <c r="K487" i="14"/>
  <c r="K486" i="14"/>
  <c r="K485" i="14"/>
  <c r="K484" i="14"/>
  <c r="K483" i="14"/>
  <c r="K482" i="14"/>
  <c r="K481" i="14"/>
  <c r="K480" i="14"/>
  <c r="K479" i="14"/>
  <c r="K478" i="14"/>
  <c r="K477" i="14"/>
  <c r="K476" i="14"/>
  <c r="K475" i="14"/>
  <c r="K474" i="14"/>
  <c r="K473" i="14"/>
  <c r="K472" i="14"/>
  <c r="K471" i="14"/>
  <c r="K470" i="14"/>
  <c r="K469" i="14"/>
  <c r="K468" i="14"/>
  <c r="K467" i="14"/>
  <c r="K466" i="14"/>
  <c r="K465" i="14"/>
  <c r="K463" i="14"/>
  <c r="K462" i="14"/>
  <c r="K461" i="14"/>
  <c r="K460" i="14"/>
  <c r="K458" i="14"/>
  <c r="K457" i="14"/>
  <c r="K456" i="14"/>
  <c r="K455" i="14"/>
  <c r="K454" i="14"/>
  <c r="K453" i="14"/>
  <c r="K452" i="14"/>
  <c r="K451" i="14"/>
  <c r="K450" i="14"/>
  <c r="K449" i="14"/>
  <c r="K448" i="14"/>
  <c r="K447" i="14"/>
  <c r="K446" i="14"/>
  <c r="K445" i="14"/>
  <c r="K444" i="14"/>
  <c r="K443" i="14"/>
  <c r="K442" i="14"/>
  <c r="K441" i="14"/>
  <c r="K440" i="14"/>
  <c r="K439" i="14"/>
  <c r="K438" i="14"/>
  <c r="K437" i="14"/>
  <c r="K435" i="14"/>
  <c r="K434" i="14"/>
  <c r="K433" i="14"/>
  <c r="K432" i="14"/>
  <c r="K430" i="14"/>
  <c r="K429" i="14"/>
  <c r="K428" i="14"/>
  <c r="K427" i="14"/>
  <c r="K426" i="14"/>
  <c r="K425" i="14"/>
  <c r="K424" i="14"/>
  <c r="K423" i="14"/>
  <c r="K422" i="14"/>
  <c r="K421" i="14"/>
  <c r="K420" i="14"/>
  <c r="K419" i="14"/>
  <c r="K418" i="14"/>
  <c r="K417" i="14"/>
  <c r="K416" i="14"/>
  <c r="K415" i="14"/>
  <c r="K414" i="14"/>
  <c r="K413" i="14"/>
  <c r="K412" i="14"/>
  <c r="K411" i="14"/>
  <c r="K410" i="14"/>
  <c r="K409" i="14"/>
  <c r="K408" i="14"/>
  <c r="K401" i="14"/>
  <c r="K400" i="14"/>
  <c r="K397" i="14"/>
  <c r="K395" i="14"/>
  <c r="K356" i="14"/>
  <c r="K355" i="14"/>
  <c r="K354" i="14"/>
  <c r="O353" i="14"/>
  <c r="K352" i="14"/>
  <c r="K351" i="14"/>
  <c r="K350" i="14"/>
  <c r="K349" i="14"/>
  <c r="K348" i="14"/>
  <c r="K347" i="14"/>
  <c r="K346" i="14"/>
  <c r="K345" i="14"/>
  <c r="K344" i="14"/>
  <c r="K343" i="14"/>
  <c r="K342" i="14"/>
  <c r="K341" i="14"/>
  <c r="K340" i="14"/>
  <c r="K339" i="14"/>
  <c r="K338" i="14"/>
  <c r="K337" i="14"/>
  <c r="K336" i="14"/>
  <c r="K335" i="14"/>
  <c r="K334" i="14"/>
  <c r="K333" i="14"/>
  <c r="K332" i="14"/>
  <c r="K331" i="14"/>
  <c r="K330" i="14"/>
  <c r="K329" i="14"/>
  <c r="K328" i="14"/>
  <c r="K327" i="14"/>
  <c r="K326" i="14"/>
  <c r="K324" i="14"/>
  <c r="K323" i="14"/>
  <c r="K260" i="14"/>
  <c r="K259" i="14"/>
  <c r="K258" i="14"/>
  <c r="K257" i="14"/>
  <c r="K256" i="14"/>
  <c r="K255" i="14"/>
  <c r="K254" i="14"/>
  <c r="K253" i="14"/>
  <c r="K252" i="14"/>
  <c r="K251" i="14"/>
  <c r="K250" i="14"/>
  <c r="K249" i="14"/>
  <c r="K248" i="14"/>
  <c r="K247" i="14"/>
  <c r="K246" i="14"/>
  <c r="K245" i="14"/>
  <c r="K244" i="14"/>
  <c r="K243" i="14"/>
  <c r="K242" i="14"/>
  <c r="K241" i="14"/>
  <c r="K240" i="14"/>
  <c r="K239" i="14"/>
  <c r="K238" i="14"/>
  <c r="K237" i="14"/>
  <c r="K236" i="14"/>
  <c r="K235" i="14"/>
  <c r="K234" i="14"/>
  <c r="K233" i="14"/>
  <c r="K232" i="14"/>
  <c r="K231" i="14"/>
  <c r="K230" i="14"/>
  <c r="K229" i="14"/>
  <c r="K228" i="14"/>
  <c r="K227" i="14"/>
  <c r="K226" i="14"/>
  <c r="K225" i="14"/>
  <c r="K224" i="14"/>
  <c r="K223" i="14"/>
  <c r="K222" i="14"/>
  <c r="K221" i="14"/>
  <c r="K179" i="14"/>
  <c r="K178" i="14"/>
  <c r="K177" i="14"/>
  <c r="K176" i="14"/>
  <c r="K175" i="14"/>
  <c r="K174" i="14"/>
  <c r="K173" i="14"/>
  <c r="K172" i="14"/>
  <c r="K171" i="14"/>
  <c r="K170" i="14"/>
  <c r="K169" i="14"/>
  <c r="K168" i="14"/>
  <c r="K167" i="14"/>
  <c r="K166" i="14"/>
  <c r="K165" i="14"/>
  <c r="K164" i="14"/>
  <c r="K163" i="14"/>
  <c r="K162" i="14"/>
  <c r="K161" i="14"/>
  <c r="K160" i="14"/>
  <c r="K159" i="14"/>
  <c r="K158" i="14"/>
  <c r="K157" i="14"/>
  <c r="K153" i="14"/>
  <c r="K111" i="14"/>
  <c r="K110" i="14"/>
  <c r="K109" i="14"/>
  <c r="K108" i="14"/>
  <c r="K107" i="14"/>
  <c r="K106" i="14"/>
  <c r="K105" i="14"/>
  <c r="K104" i="14"/>
  <c r="K103" i="14"/>
  <c r="K102" i="14"/>
  <c r="K101" i="14"/>
  <c r="K100" i="14"/>
  <c r="K99" i="14"/>
  <c r="K98" i="14"/>
  <c r="K97" i="14"/>
  <c r="K96" i="14"/>
  <c r="K95" i="14"/>
  <c r="K94" i="14"/>
  <c r="K93" i="14"/>
  <c r="K87" i="14"/>
  <c r="K80" i="14"/>
  <c r="K46" i="14"/>
  <c r="K44" i="14"/>
  <c r="K43" i="14"/>
  <c r="K40" i="14"/>
  <c r="K34" i="14"/>
  <c r="Q34" i="14" s="1"/>
  <c r="K33" i="14"/>
  <c r="K10" i="14"/>
  <c r="K7" i="14"/>
  <c r="O400" i="14" l="1"/>
  <c r="M487" i="14"/>
  <c r="O485" i="14"/>
  <c r="M499" i="14"/>
  <c r="M488" i="14"/>
  <c r="M474" i="14"/>
  <c r="M486" i="14"/>
  <c r="M490" i="14"/>
  <c r="O505" i="14"/>
  <c r="M502" i="14"/>
  <c r="M503" i="14"/>
  <c r="O33" i="14"/>
  <c r="O44" i="14"/>
  <c r="O93" i="14"/>
  <c r="O97" i="14"/>
  <c r="N101" i="14"/>
  <c r="O105" i="14"/>
  <c r="O109" i="14"/>
  <c r="O157" i="14"/>
  <c r="O161" i="14"/>
  <c r="O165" i="14"/>
  <c r="O169" i="14"/>
  <c r="N173" i="14"/>
  <c r="O177" i="14"/>
  <c r="O230" i="14"/>
  <c r="O234" i="14"/>
  <c r="O238" i="14"/>
  <c r="O242" i="14"/>
  <c r="O246" i="14"/>
  <c r="O250" i="14"/>
  <c r="O254" i="14"/>
  <c r="O258" i="14"/>
  <c r="N323" i="14"/>
  <c r="N336" i="14"/>
  <c r="N340" i="14"/>
  <c r="N352" i="14"/>
  <c r="N356" i="14"/>
  <c r="Q356" i="14" s="1"/>
  <c r="N415" i="14"/>
  <c r="N419" i="14"/>
  <c r="N432" i="14"/>
  <c r="N445" i="14"/>
  <c r="N449" i="14"/>
  <c r="N487" i="14"/>
  <c r="O503" i="14"/>
  <c r="N46" i="14"/>
  <c r="N98" i="14"/>
  <c r="O102" i="14"/>
  <c r="O106" i="14"/>
  <c r="O110" i="14"/>
  <c r="O158" i="14"/>
  <c r="O162" i="14"/>
  <c r="O166" i="14"/>
  <c r="O170" i="14"/>
  <c r="O174" i="14"/>
  <c r="O178" i="14"/>
  <c r="O223" i="14"/>
  <c r="O227" i="14"/>
  <c r="O231" i="14"/>
  <c r="O235" i="14"/>
  <c r="O239" i="14"/>
  <c r="O243" i="14"/>
  <c r="N247" i="14"/>
  <c r="N251" i="14"/>
  <c r="N255" i="14"/>
  <c r="O259" i="14"/>
  <c r="N324" i="14"/>
  <c r="N329" i="14"/>
  <c r="N333" i="14"/>
  <c r="O337" i="14"/>
  <c r="O341" i="14"/>
  <c r="O345" i="14"/>
  <c r="N349" i="14"/>
  <c r="O408" i="14"/>
  <c r="N412" i="14"/>
  <c r="O416" i="14"/>
  <c r="O420" i="14"/>
  <c r="O424" i="14"/>
  <c r="N428" i="14"/>
  <c r="O433" i="14"/>
  <c r="N438" i="14"/>
  <c r="O442" i="14"/>
  <c r="O446" i="14"/>
  <c r="O450" i="14"/>
  <c r="N454" i="14"/>
  <c r="O458" i="14"/>
  <c r="N609" i="14"/>
  <c r="Q609" i="14" s="1"/>
  <c r="O40" i="14"/>
  <c r="N80" i="14"/>
  <c r="O95" i="14"/>
  <c r="O99" i="14"/>
  <c r="N103" i="14"/>
  <c r="O107" i="14"/>
  <c r="N111" i="14"/>
  <c r="N159" i="14"/>
  <c r="N163" i="14"/>
  <c r="O167" i="14"/>
  <c r="N171" i="14"/>
  <c r="N175" i="14"/>
  <c r="N179" i="14"/>
  <c r="N224" i="14"/>
  <c r="O228" i="14"/>
  <c r="O232" i="14"/>
  <c r="O236" i="14"/>
  <c r="O240" i="14"/>
  <c r="O244" i="14"/>
  <c r="O248" i="14"/>
  <c r="N252" i="14"/>
  <c r="O256" i="14"/>
  <c r="N260" i="14"/>
  <c r="O326" i="14"/>
  <c r="O330" i="14"/>
  <c r="N334" i="14"/>
  <c r="O338" i="14"/>
  <c r="O342" i="14"/>
  <c r="N350" i="14"/>
  <c r="N354" i="14"/>
  <c r="O397" i="14"/>
  <c r="O409" i="14"/>
  <c r="O413" i="14"/>
  <c r="O417" i="14"/>
  <c r="O421" i="14"/>
  <c r="N425" i="14"/>
  <c r="N429" i="14"/>
  <c r="N434" i="14"/>
  <c r="N439" i="14"/>
  <c r="N443" i="14"/>
  <c r="N447" i="14"/>
  <c r="N451" i="14"/>
  <c r="N455" i="14"/>
  <c r="O10" i="14"/>
  <c r="N43" i="14"/>
  <c r="O87" i="14"/>
  <c r="N96" i="14"/>
  <c r="O100" i="14"/>
  <c r="O104" i="14"/>
  <c r="O108" i="14"/>
  <c r="O153" i="14"/>
  <c r="O160" i="14"/>
  <c r="O164" i="14"/>
  <c r="O168" i="14"/>
  <c r="O172" i="14"/>
  <c r="O176" i="14"/>
  <c r="O221" i="14"/>
  <c r="N225" i="14"/>
  <c r="O233" i="14"/>
  <c r="O237" i="14"/>
  <c r="O241" i="14"/>
  <c r="O245" i="14"/>
  <c r="O253" i="14"/>
  <c r="O257" i="14"/>
  <c r="O327" i="14"/>
  <c r="N331" i="14"/>
  <c r="N335" i="14"/>
  <c r="O343" i="14"/>
  <c r="N347" i="14"/>
  <c r="N351" i="14"/>
  <c r="N410" i="14"/>
  <c r="N414" i="14"/>
  <c r="O422" i="14"/>
  <c r="N426" i="14"/>
  <c r="N430" i="14"/>
  <c r="O448" i="14"/>
  <c r="O452" i="14"/>
  <c r="O506" i="14"/>
  <c r="O474" i="14"/>
  <c r="N474" i="14"/>
  <c r="O395" i="14"/>
  <c r="O493" i="14"/>
  <c r="N493" i="14"/>
  <c r="O346" i="14"/>
  <c r="O401" i="14"/>
  <c r="N401" i="14"/>
  <c r="O471" i="14"/>
  <c r="N471" i="14"/>
  <c r="N482" i="14"/>
  <c r="O482" i="14"/>
  <c r="N466" i="14"/>
  <c r="O466" i="14"/>
  <c r="N610" i="14"/>
  <c r="N611" i="14"/>
  <c r="Q611" i="14" s="1"/>
  <c r="N463" i="14"/>
  <c r="O479" i="14"/>
  <c r="O483" i="14"/>
  <c r="O495" i="14"/>
  <c r="O499" i="14"/>
  <c r="N476" i="14"/>
  <c r="N492" i="14"/>
  <c r="N496" i="14"/>
  <c r="N461" i="14"/>
  <c r="N470" i="14"/>
  <c r="N477" i="14"/>
  <c r="O481" i="14"/>
  <c r="N485" i="14"/>
  <c r="N489" i="14"/>
  <c r="O497" i="14"/>
  <c r="N501" i="14"/>
  <c r="O468" i="14"/>
  <c r="N465" i="14"/>
  <c r="N480" i="14"/>
  <c r="N462" i="14"/>
  <c r="N467" i="14"/>
  <c r="N478" i="14"/>
  <c r="N486" i="14"/>
  <c r="N490" i="14"/>
  <c r="N494" i="14"/>
  <c r="N498" i="14"/>
  <c r="N502" i="14"/>
  <c r="O352" i="14"/>
  <c r="N506" i="14"/>
  <c r="O173" i="14"/>
  <c r="O486" i="14"/>
  <c r="N177" i="14"/>
  <c r="N105" i="14"/>
  <c r="O432" i="14"/>
  <c r="N109" i="14"/>
  <c r="N93" i="14"/>
  <c r="N161" i="14"/>
  <c r="N97" i="14"/>
  <c r="N165" i="14"/>
  <c r="O451" i="14"/>
  <c r="N157" i="14"/>
  <c r="N169" i="14"/>
  <c r="O498" i="14"/>
  <c r="N33" i="14"/>
  <c r="O101" i="14"/>
  <c r="O340" i="14"/>
  <c r="O462" i="14"/>
  <c r="N409" i="14"/>
  <c r="O225" i="14"/>
  <c r="N240" i="14"/>
  <c r="N342" i="14"/>
  <c r="O425" i="14"/>
  <c r="N256" i="14"/>
  <c r="O470" i="14"/>
  <c r="N221" i="14"/>
  <c r="O323" i="14"/>
  <c r="O445" i="14"/>
  <c r="Q445" i="14" s="1"/>
  <c r="O350" i="14"/>
  <c r="O434" i="14"/>
  <c r="O329" i="14"/>
  <c r="O224" i="14"/>
  <c r="O252" i="14"/>
  <c r="N330" i="14"/>
  <c r="O439" i="14"/>
  <c r="O163" i="14"/>
  <c r="O179" i="14"/>
  <c r="N232" i="14"/>
  <c r="N248" i="14"/>
  <c r="O260" i="14"/>
  <c r="Q260" i="14" s="1"/>
  <c r="O334" i="14"/>
  <c r="O354" i="14"/>
  <c r="N417" i="14"/>
  <c r="O429" i="14"/>
  <c r="O492" i="14"/>
  <c r="O159" i="14"/>
  <c r="N338" i="14"/>
  <c r="O447" i="14"/>
  <c r="O103" i="14"/>
  <c r="O175" i="14"/>
  <c r="N228" i="14"/>
  <c r="N236" i="14"/>
  <c r="N244" i="14"/>
  <c r="O251" i="14"/>
  <c r="N326" i="14"/>
  <c r="N346" i="14"/>
  <c r="N397" i="14"/>
  <c r="N413" i="14"/>
  <c r="N421" i="14"/>
  <c r="O428" i="14"/>
  <c r="N433" i="14"/>
  <c r="O443" i="14"/>
  <c r="O455" i="14"/>
  <c r="N99" i="14"/>
  <c r="N104" i="14"/>
  <c r="O480" i="14"/>
  <c r="N505" i="14"/>
  <c r="O247" i="14"/>
  <c r="O324" i="14"/>
  <c r="N424" i="14"/>
  <c r="N166" i="14"/>
  <c r="N420" i="14"/>
  <c r="N458" i="14"/>
  <c r="O255" i="14"/>
  <c r="N450" i="14"/>
  <c r="N158" i="14"/>
  <c r="N162" i="14"/>
  <c r="N223" i="14"/>
  <c r="N227" i="14"/>
  <c r="N231" i="14"/>
  <c r="N235" i="14"/>
  <c r="N239" i="14"/>
  <c r="N243" i="14"/>
  <c r="N416" i="14"/>
  <c r="N442" i="14"/>
  <c r="N446" i="14"/>
  <c r="N110" i="14"/>
  <c r="N174" i="14"/>
  <c r="N178" i="14"/>
  <c r="N337" i="14"/>
  <c r="N341" i="14"/>
  <c r="N345" i="14"/>
  <c r="O349" i="14"/>
  <c r="N353" i="14"/>
  <c r="Q353" i="14" s="1"/>
  <c r="N395" i="14"/>
  <c r="N408" i="14"/>
  <c r="O412" i="14"/>
  <c r="Q412" i="14" s="1"/>
  <c r="O454" i="14"/>
  <c r="O46" i="14"/>
  <c r="O98" i="14"/>
  <c r="N102" i="14"/>
  <c r="N106" i="14"/>
  <c r="N170" i="14"/>
  <c r="N259" i="14"/>
  <c r="O333" i="14"/>
  <c r="O438" i="14"/>
  <c r="O463" i="14"/>
  <c r="O610" i="14"/>
  <c r="N164" i="14"/>
  <c r="N497" i="14"/>
  <c r="O415" i="14"/>
  <c r="O419" i="14"/>
  <c r="O449" i="14"/>
  <c r="O461" i="14"/>
  <c r="O477" i="14"/>
  <c r="O489" i="14"/>
  <c r="O501" i="14"/>
  <c r="N87" i="14"/>
  <c r="O331" i="14"/>
  <c r="Q331" i="14" s="1"/>
  <c r="O335" i="14"/>
  <c r="Q335" i="14" s="1"/>
  <c r="O410" i="14"/>
  <c r="O414" i="14"/>
  <c r="N448" i="14"/>
  <c r="N452" i="14"/>
  <c r="N481" i="14"/>
  <c r="N44" i="14"/>
  <c r="O336" i="14"/>
  <c r="O96" i="14"/>
  <c r="N153" i="14"/>
  <c r="N172" i="14"/>
  <c r="N257" i="14"/>
  <c r="O347" i="14"/>
  <c r="O351" i="14"/>
  <c r="O426" i="14"/>
  <c r="O430" i="14"/>
  <c r="O467" i="14"/>
  <c r="Q467" i="14" s="1"/>
  <c r="O478" i="14"/>
  <c r="O490" i="14"/>
  <c r="O494" i="14"/>
  <c r="O502" i="14"/>
  <c r="O460" i="14"/>
  <c r="N460" i="14"/>
  <c r="O472" i="14"/>
  <c r="N472" i="14"/>
  <c r="O475" i="14"/>
  <c r="N475" i="14"/>
  <c r="O487" i="14"/>
  <c r="O491" i="14"/>
  <c r="N491" i="14"/>
  <c r="N503" i="14"/>
  <c r="O608" i="14"/>
  <c r="N608" i="14"/>
  <c r="N107" i="14"/>
  <c r="N167" i="14"/>
  <c r="N468" i="14"/>
  <c r="N495" i="14"/>
  <c r="N499" i="14"/>
  <c r="O249" i="14"/>
  <c r="N249" i="14"/>
  <c r="O339" i="14"/>
  <c r="N339" i="14"/>
  <c r="O355" i="14"/>
  <c r="N355" i="14"/>
  <c r="O418" i="14"/>
  <c r="N418" i="14"/>
  <c r="O435" i="14"/>
  <c r="N435" i="14"/>
  <c r="O440" i="14"/>
  <c r="N440" i="14"/>
  <c r="O444" i="14"/>
  <c r="N444" i="14"/>
  <c r="O456" i="14"/>
  <c r="N456" i="14"/>
  <c r="N469" i="14"/>
  <c r="O469" i="14"/>
  <c r="N473" i="14"/>
  <c r="O473" i="14"/>
  <c r="N484" i="14"/>
  <c r="O484" i="14"/>
  <c r="N488" i="14"/>
  <c r="O488" i="14"/>
  <c r="N500" i="14"/>
  <c r="O500" i="14"/>
  <c r="N504" i="14"/>
  <c r="O504" i="14"/>
  <c r="N40" i="14"/>
  <c r="N95" i="14"/>
  <c r="O111" i="14"/>
  <c r="Q111" i="14" s="1"/>
  <c r="O171" i="14"/>
  <c r="N237" i="14"/>
  <c r="N327" i="14"/>
  <c r="N343" i="14"/>
  <c r="N400" i="14"/>
  <c r="N422" i="14"/>
  <c r="O465" i="14"/>
  <c r="O496" i="14"/>
  <c r="O222" i="14"/>
  <c r="N222" i="14"/>
  <c r="N226" i="14"/>
  <c r="O226" i="14"/>
  <c r="N328" i="14"/>
  <c r="O328" i="14"/>
  <c r="N332" i="14"/>
  <c r="O332" i="14"/>
  <c r="N344" i="14"/>
  <c r="O344" i="14"/>
  <c r="N348" i="14"/>
  <c r="O348" i="14"/>
  <c r="N411" i="14"/>
  <c r="O411" i="14"/>
  <c r="N423" i="14"/>
  <c r="O423" i="14"/>
  <c r="N427" i="14"/>
  <c r="O427" i="14"/>
  <c r="N437" i="14"/>
  <c r="O437" i="14"/>
  <c r="N441" i="14"/>
  <c r="O441" i="14"/>
  <c r="N453" i="14"/>
  <c r="O453" i="14"/>
  <c r="N457" i="14"/>
  <c r="O457" i="14"/>
  <c r="O80" i="14"/>
  <c r="Q80" i="14" s="1"/>
  <c r="N241" i="14"/>
  <c r="N245" i="14"/>
  <c r="N253" i="14"/>
  <c r="O476" i="14"/>
  <c r="N479" i="14"/>
  <c r="N483" i="14"/>
  <c r="O94" i="14"/>
  <c r="N94" i="14"/>
  <c r="O43" i="14"/>
  <c r="N108" i="14"/>
  <c r="N160" i="14"/>
  <c r="N168" i="14"/>
  <c r="N176" i="14"/>
  <c r="N233" i="14"/>
  <c r="N238" i="14"/>
  <c r="N242" i="14"/>
  <c r="N246" i="14"/>
  <c r="N250" i="14"/>
  <c r="N254" i="14"/>
  <c r="N258" i="14"/>
  <c r="N230" i="14"/>
  <c r="N234" i="14"/>
  <c r="N100" i="14"/>
  <c r="N10" i="14"/>
  <c r="Q480" i="14" l="1"/>
  <c r="Q352" i="14"/>
  <c r="Q470" i="14"/>
  <c r="Q478" i="14"/>
  <c r="Q96" i="14"/>
  <c r="Q451" i="14"/>
  <c r="Q400" i="14"/>
  <c r="Q171" i="14"/>
  <c r="Q410" i="14"/>
  <c r="Q442" i="14"/>
  <c r="Q244" i="14"/>
  <c r="Q477" i="14"/>
  <c r="Q329" i="14"/>
  <c r="Q484" i="14"/>
  <c r="Q469" i="14"/>
  <c r="Q482" i="14"/>
  <c r="Q466" i="14"/>
  <c r="Q504" i="14"/>
  <c r="Q473" i="14"/>
  <c r="Q418" i="14"/>
  <c r="Q102" i="14"/>
  <c r="Q178" i="14"/>
  <c r="Q103" i="14"/>
  <c r="Q179" i="14"/>
  <c r="Q340" i="14"/>
  <c r="Q347" i="14"/>
  <c r="Q419" i="14"/>
  <c r="Q610" i="14"/>
  <c r="Q163" i="14"/>
  <c r="Q434" i="14"/>
  <c r="Q236" i="14"/>
  <c r="Q40" i="14"/>
  <c r="Q426" i="14"/>
  <c r="Q411" i="14"/>
  <c r="Q222" i="14"/>
  <c r="Q475" i="14"/>
  <c r="Q460" i="14"/>
  <c r="Q351" i="14"/>
  <c r="Q333" i="14"/>
  <c r="Q492" i="14"/>
  <c r="Q479" i="14"/>
  <c r="Q176" i="14"/>
  <c r="Q10" i="14"/>
  <c r="Q409" i="14"/>
  <c r="Q342" i="14"/>
  <c r="Q99" i="14"/>
  <c r="Q231" i="14"/>
  <c r="Q174" i="14"/>
  <c r="Q158" i="14"/>
  <c r="Q487" i="14"/>
  <c r="Q496" i="14"/>
  <c r="Q224" i="14"/>
  <c r="Q225" i="14"/>
  <c r="Q101" i="14"/>
  <c r="Q237" i="14"/>
  <c r="Q160" i="14"/>
  <c r="Q100" i="14"/>
  <c r="Q453" i="14"/>
  <c r="Q226" i="14"/>
  <c r="Q440" i="14"/>
  <c r="Q98" i="14"/>
  <c r="Q233" i="14"/>
  <c r="Q153" i="14"/>
  <c r="Q338" i="14"/>
  <c r="Q458" i="14"/>
  <c r="Q408" i="14"/>
  <c r="Q246" i="14"/>
  <c r="Q230" i="14"/>
  <c r="Q165" i="14"/>
  <c r="Q505" i="14"/>
  <c r="Q488" i="14"/>
  <c r="Q234" i="14"/>
  <c r="Q474" i="14"/>
  <c r="Q500" i="14"/>
  <c r="Q427" i="14"/>
  <c r="Q483" i="14"/>
  <c r="Q345" i="14"/>
  <c r="Q235" i="14"/>
  <c r="Q162" i="14"/>
  <c r="Q97" i="14"/>
  <c r="Q485" i="14"/>
  <c r="Q169" i="14"/>
  <c r="Q491" i="14"/>
  <c r="Q489" i="14"/>
  <c r="Q105" i="14"/>
  <c r="Q476" i="14"/>
  <c r="Q332" i="14"/>
  <c r="Q465" i="14"/>
  <c r="Q95" i="14"/>
  <c r="Q468" i="14"/>
  <c r="Q472" i="14"/>
  <c r="Q494" i="14"/>
  <c r="Q430" i="14"/>
  <c r="Q463" i="14"/>
  <c r="Q170" i="14"/>
  <c r="Q46" i="14"/>
  <c r="Q341" i="14"/>
  <c r="Q110" i="14"/>
  <c r="Q243" i="14"/>
  <c r="Q227" i="14"/>
  <c r="Q228" i="14"/>
  <c r="Q439" i="14"/>
  <c r="Q501" i="14"/>
  <c r="Q481" i="14"/>
  <c r="Q495" i="14"/>
  <c r="Q493" i="14"/>
  <c r="Q506" i="14"/>
  <c r="Q245" i="14"/>
  <c r="Q168" i="14"/>
  <c r="Q108" i="14"/>
  <c r="Q87" i="14"/>
  <c r="Q417" i="14"/>
  <c r="Q334" i="14"/>
  <c r="Q240" i="14"/>
  <c r="Q167" i="14"/>
  <c r="Q107" i="14"/>
  <c r="Q239" i="14"/>
  <c r="Q223" i="14"/>
  <c r="Q166" i="14"/>
  <c r="Q106" i="14"/>
  <c r="Q242" i="14"/>
  <c r="Q177" i="14"/>
  <c r="Q161" i="14"/>
  <c r="Q33" i="14"/>
  <c r="Q490" i="14"/>
  <c r="Q499" i="14"/>
  <c r="Q339" i="14"/>
  <c r="Q428" i="14"/>
  <c r="Q471" i="14"/>
  <c r="Q348" i="14"/>
  <c r="Q94" i="14"/>
  <c r="Q441" i="14"/>
  <c r="Q344" i="14"/>
  <c r="Q328" i="14"/>
  <c r="Q444" i="14"/>
  <c r="Q435" i="14"/>
  <c r="Q172" i="14"/>
  <c r="Q44" i="14"/>
  <c r="Q461" i="14"/>
  <c r="Q443" i="14"/>
  <c r="Q175" i="14"/>
  <c r="Q159" i="14"/>
  <c r="Q232" i="14"/>
  <c r="Q498" i="14"/>
  <c r="Q109" i="14"/>
  <c r="Q502" i="14"/>
  <c r="Q497" i="14"/>
  <c r="Q401" i="14"/>
  <c r="Q395" i="14"/>
  <c r="Q452" i="14"/>
  <c r="Q241" i="14"/>
  <c r="Q164" i="14"/>
  <c r="Q104" i="14"/>
  <c r="Q429" i="14"/>
  <c r="Q330" i="14"/>
  <c r="Q450" i="14"/>
  <c r="Q238" i="14"/>
  <c r="Q173" i="14"/>
  <c r="Q503" i="14"/>
  <c r="Q486" i="14"/>
  <c r="Q608" i="14"/>
  <c r="Q157" i="14"/>
  <c r="Q93" i="14"/>
  <c r="Q43" i="14"/>
  <c r="Q221" i="14"/>
  <c r="A433" i="14"/>
  <c r="A434" i="14" s="1"/>
  <c r="A435" i="14" s="1"/>
  <c r="A436" i="14" s="1"/>
  <c r="A437" i="14" s="1"/>
  <c r="A438" i="14" s="1"/>
  <c r="A439" i="14" s="1"/>
  <c r="A440" i="14" s="1"/>
  <c r="A441" i="14" s="1"/>
  <c r="A442" i="14" s="1"/>
  <c r="A443" i="14" s="1"/>
  <c r="A444" i="14" s="1"/>
  <c r="A445" i="14" s="1"/>
  <c r="A446" i="14" s="1"/>
  <c r="A447" i="14" s="1"/>
  <c r="A448" i="14" s="1"/>
  <c r="A449" i="14" s="1"/>
  <c r="A450" i="14" s="1"/>
  <c r="A451" i="14" s="1"/>
  <c r="A452" i="14" s="1"/>
  <c r="A453" i="14" s="1"/>
  <c r="A454" i="14" s="1"/>
  <c r="A455" i="14" s="1"/>
  <c r="A456" i="14" s="1"/>
  <c r="A457" i="14" s="1"/>
  <c r="A458" i="14" s="1"/>
  <c r="A459" i="14" s="1"/>
  <c r="A460" i="14" s="1"/>
  <c r="A461" i="14" s="1"/>
  <c r="A462" i="14" s="1"/>
  <c r="A463" i="14" s="1"/>
  <c r="A464" i="14" s="1"/>
  <c r="A465" i="14" s="1"/>
  <c r="A466" i="14" s="1"/>
  <c r="A467" i="14" s="1"/>
  <c r="A468" i="14" s="1"/>
  <c r="A469" i="14" s="1"/>
  <c r="A470" i="14" s="1"/>
  <c r="A471" i="14" s="1"/>
  <c r="A472" i="14" s="1"/>
  <c r="A473" i="14" s="1"/>
  <c r="A474" i="14" s="1"/>
  <c r="A475" i="14" s="1"/>
  <c r="A476" i="14" s="1"/>
  <c r="A477" i="14" s="1"/>
  <c r="A478" i="14" s="1"/>
  <c r="A479" i="14" s="1"/>
  <c r="A480" i="14" s="1"/>
  <c r="A481" i="14" s="1"/>
  <c r="A482" i="14" s="1"/>
  <c r="A483" i="14" s="1"/>
  <c r="A484" i="14" s="1"/>
  <c r="A485" i="14" s="1"/>
  <c r="A486" i="14" s="1"/>
  <c r="A487" i="14" s="1"/>
  <c r="A488" i="14" s="1"/>
  <c r="A489" i="14" s="1"/>
  <c r="A490" i="14" s="1"/>
  <c r="A491" i="14" s="1"/>
  <c r="A492" i="14" s="1"/>
  <c r="A493" i="14" s="1"/>
  <c r="A494" i="14" s="1"/>
  <c r="A495" i="14" s="1"/>
  <c r="A496" i="14" s="1"/>
  <c r="A497" i="14" s="1"/>
  <c r="A498" i="14" s="1"/>
  <c r="A499" i="14" s="1"/>
  <c r="A500" i="14" s="1"/>
  <c r="A501" i="14" s="1"/>
  <c r="A502" i="14" s="1"/>
  <c r="A503" i="14" s="1"/>
  <c r="A504" i="14" s="1"/>
  <c r="A505" i="14" s="1"/>
  <c r="A506" i="14" s="1"/>
  <c r="A507" i="14" s="1"/>
  <c r="A508" i="14" s="1"/>
  <c r="A509" i="14" s="1"/>
  <c r="A510" i="14" s="1"/>
  <c r="A511" i="14" s="1"/>
  <c r="A512" i="14" s="1"/>
  <c r="A513" i="14" s="1"/>
  <c r="A514" i="14" s="1"/>
  <c r="A515" i="14" s="1"/>
  <c r="A516" i="14" s="1"/>
  <c r="A517" i="14" s="1"/>
  <c r="A518" i="14" s="1"/>
  <c r="A519" i="14" s="1"/>
  <c r="A520" i="14" s="1"/>
  <c r="A521" i="14" s="1"/>
  <c r="A522" i="14" s="1"/>
  <c r="A523" i="14" s="1"/>
  <c r="A524" i="14" s="1"/>
  <c r="A525" i="14" s="1"/>
  <c r="A526" i="14" s="1"/>
  <c r="A527" i="14" s="1"/>
  <c r="A528" i="14" s="1"/>
  <c r="A529" i="14" s="1"/>
  <c r="A530" i="14" s="1"/>
  <c r="A531" i="14" s="1"/>
  <c r="A532" i="14" s="1"/>
  <c r="A533" i="14" s="1"/>
  <c r="A534" i="14" s="1"/>
  <c r="A535" i="14" s="1"/>
  <c r="A536" i="14" s="1"/>
  <c r="A537" i="14" s="1"/>
  <c r="A538" i="14" s="1"/>
  <c r="A539" i="14" s="1"/>
  <c r="A540" i="14" s="1"/>
  <c r="A541" i="14" s="1"/>
  <c r="A542" i="14" s="1"/>
  <c r="A543" i="14" s="1"/>
  <c r="A544" i="14" s="1"/>
  <c r="A545" i="14" s="1"/>
  <c r="A546" i="14" s="1"/>
  <c r="A547" i="14" s="1"/>
  <c r="A548" i="14" s="1"/>
  <c r="A549" i="14" s="1"/>
  <c r="A550" i="14" s="1"/>
  <c r="A551" i="14" s="1"/>
  <c r="A552" i="14" s="1"/>
  <c r="A553" i="14" s="1"/>
  <c r="A554" i="14" s="1"/>
  <c r="A555" i="14" s="1"/>
  <c r="A556" i="14" s="1"/>
  <c r="A557" i="14" s="1"/>
  <c r="A558" i="14" s="1"/>
  <c r="A559" i="14" s="1"/>
  <c r="A560" i="14" s="1"/>
  <c r="A561" i="14" s="1"/>
  <c r="A562" i="14" s="1"/>
  <c r="A563" i="14" s="1"/>
  <c r="A564" i="14" s="1"/>
  <c r="A565" i="14" s="1"/>
  <c r="A566" i="14" s="1"/>
  <c r="A567" i="14" s="1"/>
  <c r="A568" i="14" s="1"/>
  <c r="A569" i="14" s="1"/>
  <c r="A570" i="14" s="1"/>
  <c r="A571" i="14" s="1"/>
  <c r="A572" i="14" s="1"/>
  <c r="A573" i="14" s="1"/>
  <c r="A574" i="14" s="1"/>
  <c r="A575" i="14" s="1"/>
  <c r="A576" i="14" s="1"/>
  <c r="A577" i="14" s="1"/>
  <c r="A578" i="14" s="1"/>
  <c r="A579" i="14" s="1"/>
  <c r="A580" i="14" s="1"/>
  <c r="A581" i="14" s="1"/>
  <c r="A582" i="14" s="1"/>
  <c r="A583" i="14" s="1"/>
  <c r="A584" i="14" s="1"/>
  <c r="A585" i="14" s="1"/>
  <c r="A586" i="14" s="1"/>
  <c r="A587" i="14" s="1"/>
  <c r="A588" i="14" s="1"/>
  <c r="A589" i="14" s="1"/>
  <c r="A590" i="14" s="1"/>
  <c r="A591" i="14" s="1"/>
  <c r="A592" i="14" s="1"/>
  <c r="A593" i="14" s="1"/>
  <c r="A594" i="14" s="1"/>
  <c r="A595" i="14" s="1"/>
  <c r="A596" i="14" s="1"/>
  <c r="A597" i="14" s="1"/>
  <c r="A598" i="14" s="1"/>
  <c r="A599" i="14" s="1"/>
  <c r="A600" i="14" s="1"/>
  <c r="A601" i="14" s="1"/>
  <c r="A602" i="14" s="1"/>
  <c r="A603" i="14" s="1"/>
  <c r="A604" i="14" s="1"/>
  <c r="A605" i="14" s="1"/>
  <c r="A606" i="14" s="1"/>
  <c r="J2" i="28"/>
  <c r="M2" i="28" s="1"/>
  <c r="J3" i="28"/>
  <c r="M3" i="28" s="1"/>
  <c r="J4" i="28"/>
  <c r="M4" i="28" s="1"/>
  <c r="J5" i="28"/>
  <c r="M5" i="28" s="1"/>
  <c r="J6" i="28"/>
  <c r="M6" i="28" s="1"/>
  <c r="J7" i="28"/>
  <c r="M7" i="28" s="1"/>
  <c r="J8" i="28"/>
  <c r="M8" i="28" s="1"/>
  <c r="J9" i="28"/>
  <c r="M9" i="28" s="1"/>
  <c r="J10" i="28"/>
  <c r="M10" i="28" s="1"/>
  <c r="J12" i="28"/>
  <c r="M12" i="28" s="1"/>
  <c r="A6" i="28"/>
  <c r="A3" i="28"/>
  <c r="A7" i="28" s="1"/>
  <c r="G105" i="28"/>
  <c r="G99" i="28"/>
  <c r="G98" i="28"/>
  <c r="E95" i="28"/>
  <c r="J11" i="28"/>
  <c r="M11" i="28" s="1"/>
  <c r="Q686" i="14" l="1"/>
  <c r="M13" i="28"/>
  <c r="A4" i="28"/>
  <c r="A5" i="28" s="1"/>
  <c r="A9" i="28" s="1"/>
  <c r="A10" i="28" s="1"/>
  <c r="A11" i="28" s="1"/>
  <c r="A12" i="28" s="1"/>
  <c r="G100" i="28"/>
  <c r="G106" i="28" s="1"/>
  <c r="A8" i="28" l="1"/>
  <c r="M433" i="14" l="1"/>
  <c r="Q433" i="14" s="1"/>
  <c r="O371" i="14"/>
  <c r="Q371" i="14" s="1"/>
  <c r="M397" i="14" l="1"/>
  <c r="Q397" i="14" s="1"/>
  <c r="R57" i="18" l="1"/>
  <c r="S57" i="18"/>
  <c r="H464" i="14" l="1"/>
  <c r="M462" i="14"/>
  <c r="Q462" i="14" s="1"/>
  <c r="H459" i="14"/>
  <c r="K459" i="14" s="1"/>
  <c r="L5" i="21"/>
  <c r="N459" i="14" l="1"/>
  <c r="O459" i="14"/>
  <c r="B382" i="14"/>
  <c r="Q459" i="14" l="1"/>
  <c r="O464" i="14"/>
  <c r="N464" i="14"/>
  <c r="Q464" i="14" l="1"/>
  <c r="O545" i="14"/>
  <c r="Q545" i="14" s="1"/>
  <c r="O530" i="14" l="1"/>
  <c r="Q530" i="14" s="1"/>
  <c r="O514" i="14"/>
  <c r="O515" i="14"/>
  <c r="M424" i="14"/>
  <c r="Q424" i="14" s="1"/>
  <c r="M423" i="14"/>
  <c r="Q423" i="14" s="1"/>
  <c r="M422" i="14"/>
  <c r="Q422" i="14" s="1"/>
  <c r="M421" i="14"/>
  <c r="Q421" i="14" s="1"/>
  <c r="M420" i="14"/>
  <c r="Q420" i="14" s="1"/>
  <c r="M416" i="14"/>
  <c r="Q416" i="14" s="1"/>
  <c r="M415" i="14"/>
  <c r="Q415" i="14" s="1"/>
  <c r="M414" i="14"/>
  <c r="Q414" i="14" s="1"/>
  <c r="M413" i="14"/>
  <c r="Q413" i="14" s="1"/>
  <c r="M454" i="14"/>
  <c r="Q454" i="14" s="1"/>
  <c r="M455" i="14"/>
  <c r="Q455" i="14" s="1"/>
  <c r="M456" i="14"/>
  <c r="Q456" i="14" s="1"/>
  <c r="M457" i="14"/>
  <c r="Q457" i="14" s="1"/>
  <c r="M448" i="14"/>
  <c r="Q448" i="14" s="1"/>
  <c r="M437" i="14"/>
  <c r="Q437" i="14" s="1"/>
  <c r="M446" i="14"/>
  <c r="Q446" i="14" s="1"/>
  <c r="M447" i="14"/>
  <c r="Q447" i="14" s="1"/>
  <c r="M449" i="14"/>
  <c r="Q449" i="14" s="1"/>
  <c r="K436" i="14"/>
  <c r="P515" i="14" l="1"/>
  <c r="Q515" i="14" s="1"/>
  <c r="P514" i="14"/>
  <c r="Q514" i="14" s="1"/>
  <c r="M436" i="14"/>
  <c r="O436" i="14"/>
  <c r="N436" i="14"/>
  <c r="M438" i="14"/>
  <c r="Q438" i="14" s="1"/>
  <c r="M425" i="14"/>
  <c r="Q425" i="14" s="1"/>
  <c r="Q436" i="14" l="1"/>
  <c r="M432" i="14"/>
  <c r="Q432" i="14" l="1"/>
  <c r="J22" i="27"/>
  <c r="K22" i="27"/>
  <c r="I21" i="27" l="1"/>
  <c r="L21" i="27" s="1"/>
  <c r="I4" i="27"/>
  <c r="L4" i="27" s="1"/>
  <c r="I5" i="27"/>
  <c r="L5" i="27" s="1"/>
  <c r="I8" i="27"/>
  <c r="L8" i="27" s="1"/>
  <c r="I9" i="27"/>
  <c r="L9" i="27" s="1"/>
  <c r="I10" i="27"/>
  <c r="L10" i="27" s="1"/>
  <c r="I11" i="27"/>
  <c r="L11" i="27" s="1"/>
  <c r="I12" i="27"/>
  <c r="L12" i="27" s="1"/>
  <c r="I13" i="27"/>
  <c r="L13" i="27" s="1"/>
  <c r="I14" i="27"/>
  <c r="I15" i="27"/>
  <c r="L15" i="27" s="1"/>
  <c r="I16" i="27"/>
  <c r="L16" i="27" s="1"/>
  <c r="I17" i="27"/>
  <c r="L17" i="27" s="1"/>
  <c r="I18" i="27"/>
  <c r="L18" i="27" s="1"/>
  <c r="I19" i="27"/>
  <c r="L19" i="27" s="1"/>
  <c r="I20" i="27"/>
  <c r="L20" i="27" s="1"/>
  <c r="I3" i="27"/>
  <c r="L3" i="27" s="1"/>
  <c r="F115" i="27"/>
  <c r="F109" i="27"/>
  <c r="F108" i="27"/>
  <c r="E105" i="27"/>
  <c r="L14" i="27"/>
  <c r="A4" i="27"/>
  <c r="A5" i="27" s="1"/>
  <c r="A6" i="27" s="1"/>
  <c r="A7" i="27" s="1"/>
  <c r="A8" i="27" s="1"/>
  <c r="A9" i="27" s="1"/>
  <c r="A10" i="27" s="1"/>
  <c r="A11" i="27" s="1"/>
  <c r="A12" i="27" s="1"/>
  <c r="A13" i="27" s="1"/>
  <c r="A14" i="27" s="1"/>
  <c r="A15" i="27" s="1"/>
  <c r="A16" i="27" s="1"/>
  <c r="A17" i="27" s="1"/>
  <c r="A18" i="27" s="1"/>
  <c r="A19" i="27" s="1"/>
  <c r="A20" i="27" s="1"/>
  <c r="L22" i="27" l="1"/>
  <c r="F110" i="27"/>
  <c r="F116" i="27" s="1"/>
  <c r="I22" i="27"/>
  <c r="R4" i="18" l="1"/>
  <c r="A48" i="15" l="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M337" i="14" l="1"/>
  <c r="Q337" i="14" s="1"/>
  <c r="B383" i="14" l="1"/>
  <c r="H370" i="14" l="1"/>
  <c r="K370" i="14" s="1"/>
  <c r="Q370" i="14" s="1"/>
  <c r="M355" i="14" l="1"/>
  <c r="Q355" i="14" s="1"/>
  <c r="Q354" i="14" l="1"/>
  <c r="N13" i="23" l="1"/>
  <c r="L76" i="18" l="1"/>
  <c r="K76" i="18"/>
  <c r="L75" i="18"/>
  <c r="K75" i="18"/>
  <c r="L72" i="18"/>
  <c r="K72" i="18"/>
  <c r="L74" i="18"/>
  <c r="K74" i="18"/>
  <c r="L73" i="18"/>
  <c r="K73" i="18"/>
  <c r="L71" i="18"/>
  <c r="K71" i="18"/>
  <c r="L70" i="18"/>
  <c r="K70" i="18"/>
  <c r="L69" i="18"/>
  <c r="K69" i="18"/>
  <c r="L68" i="18"/>
  <c r="K68" i="18"/>
  <c r="L67" i="18"/>
  <c r="K67" i="18"/>
  <c r="L66" i="18"/>
  <c r="K66" i="18"/>
  <c r="L65" i="18"/>
  <c r="K65" i="18"/>
  <c r="L64" i="18"/>
  <c r="K64" i="18"/>
  <c r="L63" i="18"/>
  <c r="K63" i="18"/>
  <c r="L62" i="18"/>
  <c r="K62" i="18"/>
  <c r="L61" i="18"/>
  <c r="K61" i="18"/>
  <c r="L60" i="18"/>
  <c r="K60" i="18"/>
  <c r="L59" i="18"/>
  <c r="K59" i="18"/>
  <c r="R56" i="18"/>
  <c r="R46" i="18"/>
  <c r="S46" i="18"/>
  <c r="R47" i="18"/>
  <c r="S47" i="18"/>
  <c r="R48" i="18"/>
  <c r="S48" i="18"/>
  <c r="R49" i="18"/>
  <c r="S49" i="18"/>
  <c r="R50" i="18"/>
  <c r="S50" i="18"/>
  <c r="R51" i="18"/>
  <c r="S51" i="18"/>
  <c r="R52" i="18"/>
  <c r="S52" i="18"/>
  <c r="R53" i="18"/>
  <c r="S53" i="18"/>
  <c r="R54" i="18"/>
  <c r="S54" i="18"/>
  <c r="R55" i="18"/>
  <c r="S55" i="18"/>
  <c r="S56" i="18"/>
  <c r="N73" i="18" l="1"/>
  <c r="N72" i="18"/>
  <c r="N62" i="18"/>
  <c r="N64" i="18"/>
  <c r="N71" i="18"/>
  <c r="N74" i="18"/>
  <c r="N66" i="18"/>
  <c r="N70" i="18"/>
  <c r="N76" i="18"/>
  <c r="N59" i="18"/>
  <c r="N61" i="18"/>
  <c r="N68" i="18"/>
  <c r="N75" i="18"/>
  <c r="N63" i="18"/>
  <c r="N65" i="18"/>
  <c r="N60" i="18"/>
  <c r="N67" i="18"/>
  <c r="N69" i="18"/>
  <c r="I4" i="21"/>
  <c r="L4" i="21" s="1"/>
  <c r="L7" i="21" s="1"/>
  <c r="K398" i="14" l="1"/>
  <c r="Q398" i="14" s="1"/>
  <c r="K396" i="14"/>
  <c r="Q396" i="14" s="1"/>
  <c r="K394" i="14"/>
  <c r="K393" i="14"/>
  <c r="Q393" i="14" s="1"/>
  <c r="M350" i="14"/>
  <c r="Q350" i="14" s="1"/>
  <c r="M326" i="14"/>
  <c r="Q326" i="14" s="1"/>
  <c r="A222" i="14"/>
  <c r="A223" i="14" s="1"/>
  <c r="A224" i="14" s="1"/>
  <c r="A225" i="14" s="1"/>
  <c r="A226" i="14" s="1"/>
  <c r="A227" i="14" s="1"/>
  <c r="A228" i="14" s="1"/>
  <c r="A229" i="14" s="1"/>
  <c r="A230" i="14" s="1"/>
  <c r="A231" i="14" s="1"/>
  <c r="A232" i="14" s="1"/>
  <c r="A233" i="14" s="1"/>
  <c r="A234" i="14" s="1"/>
  <c r="A235" i="14" s="1"/>
  <c r="A236" i="14" s="1"/>
  <c r="A237" i="14" s="1"/>
  <c r="A238" i="14" s="1"/>
  <c r="A239" i="14" s="1"/>
  <c r="A240" i="14" s="1"/>
  <c r="A241" i="14" s="1"/>
  <c r="A242" i="14" s="1"/>
  <c r="A243" i="14" s="1"/>
  <c r="A244" i="14" s="1"/>
  <c r="A245" i="14" s="1"/>
  <c r="A246" i="14" s="1"/>
  <c r="A247" i="14" s="1"/>
  <c r="A248" i="14" s="1"/>
  <c r="A249" i="14" s="1"/>
  <c r="A250" i="14" s="1"/>
  <c r="A251" i="14" s="1"/>
  <c r="A252" i="14" s="1"/>
  <c r="A253" i="14" s="1"/>
  <c r="A254" i="14" s="1"/>
  <c r="A255" i="14" s="1"/>
  <c r="A256" i="14" s="1"/>
  <c r="A257" i="14" s="1"/>
  <c r="A258" i="14" s="1"/>
  <c r="A259" i="14" s="1"/>
  <c r="A260" i="14" s="1"/>
  <c r="A261" i="14" s="1"/>
  <c r="A262" i="14" s="1"/>
  <c r="A263" i="14" s="1"/>
  <c r="A264" i="14" s="1"/>
  <c r="A265" i="14" s="1"/>
  <c r="A266" i="14" s="1"/>
  <c r="A267" i="14" s="1"/>
  <c r="A268" i="14" s="1"/>
  <c r="A269" i="14" s="1"/>
  <c r="A270" i="14" s="1"/>
  <c r="A271" i="14" s="1"/>
  <c r="A272" i="14" s="1"/>
  <c r="A273" i="14" s="1"/>
  <c r="A274" i="14" s="1"/>
  <c r="A275" i="14" s="1"/>
  <c r="A276" i="14" s="1"/>
  <c r="A277" i="14" s="1"/>
  <c r="A278" i="14" s="1"/>
  <c r="A279" i="14" s="1"/>
  <c r="A280" i="14" s="1"/>
  <c r="A281" i="14" s="1"/>
  <c r="A282" i="14" s="1"/>
  <c r="A283" i="14" s="1"/>
  <c r="A284" i="14" s="1"/>
  <c r="A285" i="14" s="1"/>
  <c r="A286" i="14" s="1"/>
  <c r="A287" i="14" s="1"/>
  <c r="A288" i="14" s="1"/>
  <c r="A289" i="14" s="1"/>
  <c r="A290" i="14" s="1"/>
  <c r="A291" i="14" s="1"/>
  <c r="A292" i="14" s="1"/>
  <c r="A293" i="14" s="1"/>
  <c r="A294" i="14" s="1"/>
  <c r="A295" i="14" s="1"/>
  <c r="A296" i="14" s="1"/>
  <c r="A297" i="14" s="1"/>
  <c r="A298" i="14" s="1"/>
  <c r="A299" i="14" s="1"/>
  <c r="A300" i="14" s="1"/>
  <c r="A301" i="14" s="1"/>
  <c r="A302" i="14" s="1"/>
  <c r="A303" i="14" s="1"/>
  <c r="A304" i="14" s="1"/>
  <c r="A305" i="14" s="1"/>
  <c r="A306" i="14" s="1"/>
  <c r="A307" i="14" s="1"/>
  <c r="A308" i="14" s="1"/>
  <c r="A309" i="14" s="1"/>
  <c r="A310" i="14" s="1"/>
  <c r="A311" i="14" s="1"/>
  <c r="A312" i="14" s="1"/>
  <c r="A313" i="14" s="1"/>
  <c r="A314" i="14" s="1"/>
  <c r="A315" i="14" s="1"/>
  <c r="A316" i="14" s="1"/>
  <c r="A317" i="14" s="1"/>
  <c r="A318" i="14" s="1"/>
  <c r="A319" i="14" s="1"/>
  <c r="A320" i="14" s="1"/>
  <c r="A321" i="14" s="1"/>
  <c r="A322" i="14" s="1"/>
  <c r="A323" i="14" s="1"/>
  <c r="A324" i="14" s="1"/>
  <c r="O394" i="14" l="1"/>
  <c r="N394" i="14"/>
  <c r="M343" i="14"/>
  <c r="Q343" i="14" s="1"/>
  <c r="M346" i="14"/>
  <c r="Q346" i="14" s="1"/>
  <c r="M349" i="14"/>
  <c r="Q349" i="14" s="1"/>
  <c r="M327" i="14"/>
  <c r="Q327" i="14" s="1"/>
  <c r="M336" i="14"/>
  <c r="Q336" i="14" s="1"/>
  <c r="Q394" i="14" l="1"/>
  <c r="Q431" i="14" s="1"/>
  <c r="A327" i="14" l="1"/>
  <c r="A328" i="14" s="1"/>
  <c r="A329" i="14" s="1"/>
  <c r="A330" i="14" s="1"/>
  <c r="A331" i="14" s="1"/>
  <c r="A332" i="14" s="1"/>
  <c r="A333" i="14" s="1"/>
  <c r="A334" i="14" s="1"/>
  <c r="A335" i="14" s="1"/>
  <c r="A336" i="14" s="1"/>
  <c r="A337" i="14" s="1"/>
  <c r="A338" i="14" s="1"/>
  <c r="A339" i="14" s="1"/>
  <c r="A340" i="14" s="1"/>
  <c r="A341" i="14" s="1"/>
  <c r="A342" i="14" s="1"/>
  <c r="A343" i="14" s="1"/>
  <c r="A344" i="14" s="1"/>
  <c r="A345" i="14" s="1"/>
  <c r="A346" i="14" s="1"/>
  <c r="A347" i="14" s="1"/>
  <c r="A348" i="14" s="1"/>
  <c r="A349" i="14" s="1"/>
  <c r="A350" i="14" s="1"/>
  <c r="A351" i="14" s="1"/>
  <c r="A352" i="14" s="1"/>
  <c r="A353" i="14" s="1"/>
  <c r="A354" i="14" s="1"/>
  <c r="A355" i="14" s="1"/>
  <c r="A356" i="14" s="1"/>
  <c r="A357" i="14" s="1"/>
  <c r="A358" i="14" s="1"/>
  <c r="A359" i="14" s="1"/>
  <c r="A360" i="14" s="1"/>
  <c r="A361" i="14" s="1"/>
  <c r="A362" i="14" s="1"/>
  <c r="A363" i="14" s="1"/>
  <c r="A364" i="14" s="1"/>
  <c r="A365" i="14" s="1"/>
  <c r="A366" i="14" s="1"/>
  <c r="A367" i="14" s="1"/>
  <c r="A368" i="14" s="1"/>
  <c r="A369" i="14" s="1"/>
  <c r="A370" i="14" s="1"/>
  <c r="A371" i="14" s="1"/>
  <c r="A372" i="14" s="1"/>
  <c r="A373" i="14" s="1"/>
  <c r="A374" i="14" s="1"/>
  <c r="A375" i="14" s="1"/>
  <c r="A376" i="14" s="1"/>
  <c r="A377" i="14" s="1"/>
  <c r="A378" i="14" s="1"/>
  <c r="A379" i="14" s="1"/>
  <c r="A380" i="14" s="1"/>
  <c r="A381" i="14" s="1"/>
  <c r="A382" i="14" s="1"/>
  <c r="A383" i="14" s="1"/>
  <c r="A384" i="14" s="1"/>
  <c r="A385" i="14" s="1"/>
  <c r="A386" i="14" s="1"/>
  <c r="A387" i="14" s="1"/>
  <c r="A388" i="14" s="1"/>
  <c r="A389" i="14" s="1"/>
  <c r="A390" i="14" s="1"/>
  <c r="A391" i="14" s="1"/>
  <c r="A392" i="14" s="1"/>
  <c r="A393" i="14" s="1"/>
  <c r="A394" i="14" s="1"/>
  <c r="A395" i="14" s="1"/>
  <c r="A396" i="14" s="1"/>
  <c r="A397" i="14" s="1"/>
  <c r="A398" i="14" s="1"/>
  <c r="A399" i="14" s="1"/>
  <c r="A400" i="14" s="1"/>
  <c r="A401" i="14" s="1"/>
  <c r="A402" i="14" s="1"/>
  <c r="A403" i="14" s="1"/>
  <c r="A404" i="14" s="1"/>
  <c r="A405" i="14" s="1"/>
  <c r="A406" i="14" s="1"/>
  <c r="A407" i="14" s="1"/>
  <c r="A408" i="14" s="1"/>
  <c r="A409" i="14" s="1"/>
  <c r="A410" i="14" s="1"/>
  <c r="A411" i="14" s="1"/>
  <c r="A412" i="14" s="1"/>
  <c r="A413" i="14" s="1"/>
  <c r="A414" i="14" s="1"/>
  <c r="A415" i="14" s="1"/>
  <c r="A416" i="14" s="1"/>
  <c r="A417" i="14" s="1"/>
  <c r="A418" i="14" s="1"/>
  <c r="A419" i="14" s="1"/>
  <c r="A420" i="14" s="1"/>
  <c r="A421" i="14" s="1"/>
  <c r="A422" i="14" s="1"/>
  <c r="A423" i="14" s="1"/>
  <c r="A424" i="14" s="1"/>
  <c r="A425" i="14" s="1"/>
  <c r="A426" i="14" s="1"/>
  <c r="A427" i="14" s="1"/>
  <c r="A428" i="14" s="1"/>
  <c r="A429" i="14" s="1"/>
  <c r="A430" i="14" s="1"/>
  <c r="K275" i="14" l="1"/>
  <c r="Q275" i="14" s="1"/>
  <c r="K273" i="14"/>
  <c r="Q273" i="14" s="1"/>
  <c r="K272" i="14"/>
  <c r="Q272" i="14" s="1"/>
  <c r="M324" i="14" l="1"/>
  <c r="Q324" i="14" s="1"/>
  <c r="M323" i="14" l="1"/>
  <c r="Q323" i="14" s="1"/>
  <c r="M259" i="14"/>
  <c r="Q259" i="14" s="1"/>
  <c r="M253" i="14"/>
  <c r="Q253" i="14" s="1"/>
  <c r="M257" i="14"/>
  <c r="Q257" i="14" s="1"/>
  <c r="M258" i="14"/>
  <c r="Q258" i="14" s="1"/>
  <c r="M252" i="14"/>
  <c r="Q252" i="14" s="1"/>
  <c r="M256" i="14"/>
  <c r="Q256" i="14" s="1"/>
  <c r="M255" i="14"/>
  <c r="Q255" i="14" s="1"/>
  <c r="M251" i="14"/>
  <c r="Q251" i="14" s="1"/>
  <c r="M254" i="14"/>
  <c r="Q254" i="14" s="1"/>
  <c r="M250" i="14"/>
  <c r="Q250" i="14" s="1"/>
  <c r="M249" i="14"/>
  <c r="Q249" i="14" s="1"/>
  <c r="M247" i="14"/>
  <c r="Q247" i="14" s="1"/>
  <c r="M248" i="14"/>
  <c r="Q248" i="14" s="1"/>
  <c r="A158" i="14"/>
  <c r="A159" i="14" s="1"/>
  <c r="A160" i="14" s="1"/>
  <c r="A161" i="14" s="1"/>
  <c r="A162" i="14" s="1"/>
  <c r="A163" i="14" s="1"/>
  <c r="A164" i="14" s="1"/>
  <c r="A165" i="14" s="1"/>
  <c r="A166" i="14" s="1"/>
  <c r="A167" i="14" s="1"/>
  <c r="A168" i="14" s="1"/>
  <c r="A169" i="14" s="1"/>
  <c r="A170" i="14" s="1"/>
  <c r="A171" i="14" s="1"/>
  <c r="A172" i="14" s="1"/>
  <c r="A173" i="14" s="1"/>
  <c r="A174" i="14" s="1"/>
  <c r="A175" i="14" s="1"/>
  <c r="A176" i="14" s="1"/>
  <c r="A177" i="14" s="1"/>
  <c r="A178" i="14" s="1"/>
  <c r="A179" i="14" s="1"/>
  <c r="A180" i="14" s="1"/>
  <c r="A181" i="14" s="1"/>
  <c r="A182" i="14" s="1"/>
  <c r="A183" i="14" s="1"/>
  <c r="A184" i="14" s="1"/>
  <c r="A185" i="14" s="1"/>
  <c r="A186" i="14" s="1"/>
  <c r="A187" i="14" s="1"/>
  <c r="A188" i="14" s="1"/>
  <c r="A189" i="14" s="1"/>
  <c r="A190" i="14" s="1"/>
  <c r="A191" i="14" s="1"/>
  <c r="A192" i="14" s="1"/>
  <c r="A193" i="14" s="1"/>
  <c r="A194" i="14" s="1"/>
  <c r="A195" i="14" s="1"/>
  <c r="A196" i="14" s="1"/>
  <c r="A197" i="14" s="1"/>
  <c r="A198" i="14" s="1"/>
  <c r="A199" i="14" s="1"/>
  <c r="A200" i="14" s="1"/>
  <c r="A201" i="14" s="1"/>
  <c r="A202" i="14" s="1"/>
  <c r="A203" i="14" s="1"/>
  <c r="A204" i="14" s="1"/>
  <c r="A205" i="14" s="1"/>
  <c r="A206" i="14" s="1"/>
  <c r="A207" i="14" s="1"/>
  <c r="A208" i="14" s="1"/>
  <c r="A209" i="14" s="1"/>
  <c r="A210" i="14" s="1"/>
  <c r="A211" i="14" s="1"/>
  <c r="A212" i="14" s="1"/>
  <c r="A213" i="14" s="1"/>
  <c r="A214" i="14" s="1"/>
  <c r="A215" i="14" s="1"/>
  <c r="A216" i="14" s="1"/>
  <c r="A217" i="14" s="1"/>
  <c r="A218" i="14" s="1"/>
  <c r="A219" i="14" s="1"/>
  <c r="A94" i="14"/>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S4" i="18" l="1"/>
  <c r="S5" i="18"/>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S42" i="18"/>
  <c r="S43" i="18"/>
  <c r="S44" i="18"/>
  <c r="S45" i="18"/>
  <c r="R12" i="18"/>
  <c r="R13" i="18"/>
  <c r="R14" i="18"/>
  <c r="R15" i="18"/>
  <c r="R16" i="18"/>
  <c r="R17" i="18"/>
  <c r="R18" i="18"/>
  <c r="R19" i="18"/>
  <c r="R20" i="18"/>
  <c r="R21" i="18"/>
  <c r="R22" i="18"/>
  <c r="R23" i="18"/>
  <c r="R24" i="18"/>
  <c r="R25" i="18"/>
  <c r="R26" i="18"/>
  <c r="R27" i="18"/>
  <c r="R28" i="18"/>
  <c r="R29" i="18"/>
  <c r="R30" i="18"/>
  <c r="R31" i="18"/>
  <c r="R32" i="18"/>
  <c r="R33" i="18"/>
  <c r="R34" i="18"/>
  <c r="R35" i="18"/>
  <c r="R36" i="18"/>
  <c r="R37" i="18"/>
  <c r="R38" i="18"/>
  <c r="R39" i="18"/>
  <c r="R40" i="18"/>
  <c r="R41" i="18"/>
  <c r="R42" i="18"/>
  <c r="R43" i="18"/>
  <c r="R44" i="18"/>
  <c r="R45" i="18"/>
  <c r="R10" i="18"/>
  <c r="R11" i="18"/>
  <c r="R5" i="18"/>
  <c r="R6" i="18"/>
  <c r="R7" i="18"/>
  <c r="R8" i="18"/>
  <c r="S3" i="18"/>
  <c r="A4" i="24"/>
  <c r="A5" i="24" s="1"/>
  <c r="A6" i="24" s="1"/>
  <c r="A7" i="24" s="1"/>
  <c r="A8" i="24" s="1"/>
  <c r="A9" i="24" s="1"/>
  <c r="A10" i="24" s="1"/>
  <c r="A11" i="24" s="1"/>
  <c r="A12" i="24" s="1"/>
  <c r="A13" i="24" s="1"/>
  <c r="P4" i="24"/>
  <c r="P5" i="24"/>
  <c r="P6" i="24"/>
  <c r="P7" i="24"/>
  <c r="P8" i="24"/>
  <c r="P9" i="24"/>
  <c r="P10" i="24"/>
  <c r="P11" i="24"/>
  <c r="P12" i="24"/>
  <c r="P13" i="24"/>
  <c r="P3" i="24"/>
  <c r="I4" i="24"/>
  <c r="L4" i="24" s="1"/>
  <c r="I5" i="24"/>
  <c r="L5" i="24" s="1"/>
  <c r="I6" i="24"/>
  <c r="L6" i="24" s="1"/>
  <c r="I7" i="24"/>
  <c r="I8" i="24"/>
  <c r="L8" i="24" s="1"/>
  <c r="I9" i="24"/>
  <c r="L9" i="24" s="1"/>
  <c r="I10" i="24"/>
  <c r="L10" i="24" s="1"/>
  <c r="I11" i="24"/>
  <c r="I12" i="24"/>
  <c r="L12" i="24" s="1"/>
  <c r="I13" i="24"/>
  <c r="L13" i="24" s="1"/>
  <c r="I3" i="24"/>
  <c r="R3" i="18"/>
  <c r="K54" i="18"/>
  <c r="L54" i="18"/>
  <c r="K55" i="18"/>
  <c r="L55" i="18"/>
  <c r="K56" i="18"/>
  <c r="L56" i="18"/>
  <c r="K57" i="18"/>
  <c r="L57" i="18"/>
  <c r="K58" i="18"/>
  <c r="L58" i="18"/>
  <c r="M9" i="24" l="1"/>
  <c r="M5" i="24"/>
  <c r="M13" i="24"/>
  <c r="N57" i="18"/>
  <c r="L11" i="24"/>
  <c r="M11" i="24" s="1"/>
  <c r="L7" i="24"/>
  <c r="M7" i="24" s="1"/>
  <c r="M12" i="24"/>
  <c r="M8" i="24"/>
  <c r="M4" i="24"/>
  <c r="L3" i="24"/>
  <c r="M3" i="24" s="1"/>
  <c r="I14" i="24"/>
  <c r="M10" i="24"/>
  <c r="M6" i="24"/>
  <c r="N58" i="18"/>
  <c r="N54" i="18"/>
  <c r="N55" i="18"/>
  <c r="N56" i="18"/>
  <c r="K5" i="23" l="1"/>
  <c r="N5" i="23" s="1"/>
  <c r="K6" i="23"/>
  <c r="N6" i="23" s="1"/>
  <c r="K7" i="23"/>
  <c r="N7" i="23" s="1"/>
  <c r="K8" i="23"/>
  <c r="N8" i="23" s="1"/>
  <c r="K9" i="23"/>
  <c r="N9" i="23" s="1"/>
  <c r="K10" i="23"/>
  <c r="N10" i="23" s="1"/>
  <c r="K11" i="23"/>
  <c r="N11" i="23" s="1"/>
  <c r="K12" i="23"/>
  <c r="N12" i="23" s="1"/>
  <c r="F91" i="23"/>
  <c r="F85" i="23"/>
  <c r="F84" i="23"/>
  <c r="E81" i="23"/>
  <c r="K4" i="23"/>
  <c r="N4" i="23" s="1"/>
  <c r="N14" i="23" l="1"/>
  <c r="F86" i="23"/>
  <c r="F92" i="23" s="1"/>
  <c r="O315" i="14" l="1"/>
  <c r="Q315" i="14" s="1"/>
  <c r="F99" i="21" l="1"/>
  <c r="F93" i="21"/>
  <c r="F92" i="21"/>
  <c r="E89" i="21"/>
  <c r="F94" i="21" l="1"/>
  <c r="F100" i="21" s="1"/>
  <c r="K271" i="14" l="1"/>
  <c r="Q271" i="14" s="1"/>
  <c r="K274" i="14"/>
  <c r="Q274" i="14" s="1"/>
  <c r="K277" i="14"/>
  <c r="Q277" i="14" s="1"/>
  <c r="O280" i="14" l="1"/>
  <c r="Q280" i="14" s="1"/>
  <c r="I53" i="18" l="1"/>
  <c r="L53" i="18" s="1"/>
  <c r="I52" i="18"/>
  <c r="L52" i="18" s="1"/>
  <c r="I51" i="18"/>
  <c r="L51" i="18" s="1"/>
  <c r="I50" i="18"/>
  <c r="L50" i="18" s="1"/>
  <c r="I49" i="18"/>
  <c r="L49" i="18" s="1"/>
  <c r="I48" i="18"/>
  <c r="L48" i="18" s="1"/>
  <c r="I45" i="18"/>
  <c r="I44" i="18"/>
  <c r="I43" i="18"/>
  <c r="I42" i="18"/>
  <c r="I41" i="18"/>
  <c r="I46" i="18"/>
  <c r="L46" i="18" s="1"/>
  <c r="I40" i="18"/>
  <c r="N40" i="18" s="1"/>
  <c r="I39" i="18"/>
  <c r="N39" i="18" s="1"/>
  <c r="K48" i="18" l="1"/>
  <c r="N48" i="18" s="1"/>
  <c r="K49" i="18"/>
  <c r="N49" i="18" s="1"/>
  <c r="K50" i="18"/>
  <c r="N50" i="18" s="1"/>
  <c r="K51" i="18"/>
  <c r="N51" i="18" s="1"/>
  <c r="K52" i="18"/>
  <c r="N52" i="18" s="1"/>
  <c r="K53" i="18"/>
  <c r="N53" i="18" s="1"/>
  <c r="K42" i="18"/>
  <c r="K43" i="18"/>
  <c r="K44" i="18"/>
  <c r="K45" i="18"/>
  <c r="L42" i="18"/>
  <c r="L43" i="18"/>
  <c r="N43" i="18" s="1"/>
  <c r="L44" i="18"/>
  <c r="N44" i="18" s="1"/>
  <c r="L45" i="18"/>
  <c r="K46" i="18"/>
  <c r="K41" i="18"/>
  <c r="L41" i="18"/>
  <c r="N42" i="18" l="1"/>
  <c r="N45" i="18"/>
  <c r="N41" i="18"/>
  <c r="N46" i="18"/>
  <c r="K261" i="14" l="1"/>
  <c r="Q261" i="14" s="1"/>
  <c r="K262" i="14"/>
  <c r="Q262" i="14" s="1"/>
  <c r="K263" i="14"/>
  <c r="Q263" i="14" s="1"/>
  <c r="K264" i="14"/>
  <c r="Q264" i="14" s="1"/>
  <c r="K265" i="14"/>
  <c r="Q265" i="14" s="1"/>
  <c r="K266" i="14"/>
  <c r="Q266" i="14" s="1"/>
  <c r="K267" i="14"/>
  <c r="Q267" i="14" s="1"/>
  <c r="K268" i="14"/>
  <c r="Q268" i="14" s="1"/>
  <c r="K269" i="14"/>
  <c r="Q269" i="14" s="1"/>
  <c r="K270" i="14"/>
  <c r="Q270" i="14" s="1"/>
  <c r="N229" i="14" l="1"/>
  <c r="Q229" i="14" s="1"/>
  <c r="Q325" i="14" s="1"/>
  <c r="H183" i="14" l="1"/>
  <c r="K88" i="14" l="1"/>
  <c r="Q88" i="14" s="1"/>
  <c r="K219" i="14" l="1"/>
  <c r="Q219" i="14" s="1"/>
  <c r="K218" i="14"/>
  <c r="Q218" i="14" s="1"/>
  <c r="K217" i="14"/>
  <c r="Q217" i="14" s="1"/>
  <c r="K216" i="14"/>
  <c r="Q216" i="14" s="1"/>
  <c r="K215" i="14"/>
  <c r="Q215" i="14" s="1"/>
  <c r="K214" i="14"/>
  <c r="Q214" i="14" s="1"/>
  <c r="K213" i="14"/>
  <c r="Q213" i="14" s="1"/>
  <c r="K212" i="14"/>
  <c r="Q212" i="14" s="1"/>
  <c r="K211" i="14"/>
  <c r="Q211" i="14" s="1"/>
  <c r="K210" i="14"/>
  <c r="Q210" i="14" s="1"/>
  <c r="K209" i="14"/>
  <c r="Q209" i="14" s="1"/>
  <c r="K208" i="14"/>
  <c r="Q208" i="14" s="1"/>
  <c r="K207" i="14"/>
  <c r="Q207" i="14" s="1"/>
  <c r="K206" i="14"/>
  <c r="Q206" i="14" s="1"/>
  <c r="K205" i="14"/>
  <c r="Q205" i="14" s="1"/>
  <c r="K204" i="14"/>
  <c r="Q204" i="14" s="1"/>
  <c r="K203" i="14"/>
  <c r="Q203" i="14" s="1"/>
  <c r="K202" i="14"/>
  <c r="Q202" i="14" s="1"/>
  <c r="K201" i="14"/>
  <c r="Q201" i="14" s="1"/>
  <c r="K200" i="14"/>
  <c r="Q200" i="14" s="1"/>
  <c r="K199" i="14"/>
  <c r="Q199" i="14" s="1"/>
  <c r="K198" i="14"/>
  <c r="Q198" i="14" s="1"/>
  <c r="K197" i="14"/>
  <c r="Q197" i="14" s="1"/>
  <c r="K196" i="14"/>
  <c r="Q196" i="14" s="1"/>
  <c r="K195" i="14"/>
  <c r="Q195" i="14" s="1"/>
  <c r="K194" i="14"/>
  <c r="Q194" i="14" s="1"/>
  <c r="K193" i="14"/>
  <c r="Q193" i="14" s="1"/>
  <c r="K192" i="14"/>
  <c r="Q192" i="14" s="1"/>
  <c r="K191" i="14"/>
  <c r="Q191" i="14" s="1"/>
  <c r="K190" i="14"/>
  <c r="Q190" i="14" s="1"/>
  <c r="K189" i="14"/>
  <c r="Q189" i="14" s="1"/>
  <c r="K188" i="14"/>
  <c r="Q188" i="14" s="1"/>
  <c r="K187" i="14"/>
  <c r="Q187" i="14" s="1"/>
  <c r="K186" i="14"/>
  <c r="Q186" i="14" s="1"/>
  <c r="K185" i="14"/>
  <c r="Q185" i="14" s="1"/>
  <c r="K184" i="14"/>
  <c r="Q184" i="14" s="1"/>
  <c r="K183" i="14"/>
  <c r="Q183" i="14" s="1"/>
  <c r="K182" i="14"/>
  <c r="Q182" i="14" s="1"/>
  <c r="K181" i="14"/>
  <c r="Q181" i="14" s="1"/>
  <c r="K180" i="14"/>
  <c r="Q180" i="14" s="1"/>
  <c r="Q220" i="14" l="1"/>
  <c r="Q1170" i="14"/>
  <c r="L36" i="14" l="1"/>
  <c r="F181" i="18" l="1"/>
  <c r="F182" i="18"/>
  <c r="F188" i="18"/>
  <c r="F183" i="18" l="1"/>
  <c r="F189" i="18" s="1"/>
  <c r="I77" i="15"/>
  <c r="M77" i="15" s="1"/>
  <c r="O77" i="15" s="1"/>
  <c r="L60" i="14" l="1"/>
  <c r="J11" i="15" l="1"/>
  <c r="I22" i="18" l="1"/>
  <c r="I23" i="18"/>
  <c r="I24" i="18"/>
  <c r="I25" i="18"/>
  <c r="I26" i="18"/>
  <c r="L25" i="18" l="1"/>
  <c r="K24" i="18"/>
  <c r="L23" i="18"/>
  <c r="K25" i="18"/>
  <c r="K23" i="18"/>
  <c r="L24" i="18"/>
  <c r="L26" i="18"/>
  <c r="L22" i="18"/>
  <c r="K26" i="18"/>
  <c r="K22" i="18"/>
  <c r="K55" i="14"/>
  <c r="Q55" i="14" s="1"/>
  <c r="K54" i="14"/>
  <c r="Q54" i="14" s="1"/>
  <c r="K50" i="14"/>
  <c r="Q50" i="14" s="1"/>
  <c r="K49" i="14"/>
  <c r="Q49" i="14" s="1"/>
  <c r="K48" i="14"/>
  <c r="Q48" i="14" s="1"/>
  <c r="K26" i="14"/>
  <c r="K22" i="14"/>
  <c r="K15" i="14"/>
  <c r="K13" i="14"/>
  <c r="N24" i="18" l="1"/>
  <c r="N25" i="18"/>
  <c r="N22" i="18"/>
  <c r="N23" i="18"/>
  <c r="N26" i="18"/>
  <c r="I20" i="18"/>
  <c r="N19" i="18" l="1"/>
  <c r="N20" i="18"/>
  <c r="N21" i="18"/>
  <c r="I27" i="18"/>
  <c r="N27" i="18" s="1"/>
  <c r="I28" i="18"/>
  <c r="N28" i="18" s="1"/>
  <c r="I29" i="18"/>
  <c r="N29" i="18" s="1"/>
  <c r="I30" i="18"/>
  <c r="N30" i="18" s="1"/>
  <c r="I31" i="18"/>
  <c r="I32" i="18"/>
  <c r="K32" i="18" s="1"/>
  <c r="I33" i="18"/>
  <c r="I34" i="18"/>
  <c r="I35" i="18"/>
  <c r="I36" i="18"/>
  <c r="I37" i="18"/>
  <c r="L37" i="18" s="1"/>
  <c r="I38" i="18"/>
  <c r="L33" i="18" l="1"/>
  <c r="K31" i="18"/>
  <c r="K33" i="18"/>
  <c r="K35" i="18"/>
  <c r="K37" i="18"/>
  <c r="N37" i="18" s="1"/>
  <c r="L31" i="18"/>
  <c r="L35" i="18"/>
  <c r="K34" i="18"/>
  <c r="K36" i="18"/>
  <c r="K38" i="18"/>
  <c r="L32" i="18"/>
  <c r="N32" i="18" s="1"/>
  <c r="L34" i="18"/>
  <c r="N34" i="18" s="1"/>
  <c r="L36" i="18"/>
  <c r="N36" i="18" s="1"/>
  <c r="L38" i="18"/>
  <c r="N31" i="18" l="1"/>
  <c r="N33" i="18"/>
  <c r="N35" i="18"/>
  <c r="N38" i="18"/>
  <c r="K145" i="14"/>
  <c r="Q145" i="14" s="1"/>
  <c r="K146" i="14"/>
  <c r="Q146" i="14" s="1"/>
  <c r="K147" i="14"/>
  <c r="Q147" i="14" s="1"/>
  <c r="K148" i="14"/>
  <c r="Q148" i="14" s="1"/>
  <c r="K149" i="14"/>
  <c r="Q149" i="14" s="1"/>
  <c r="K150" i="14"/>
  <c r="Q150" i="14" s="1"/>
  <c r="K151" i="14"/>
  <c r="Q151" i="14" s="1"/>
  <c r="K152" i="14"/>
  <c r="Q152" i="14" s="1"/>
  <c r="K154" i="14"/>
  <c r="Q154" i="14" s="1"/>
  <c r="K155" i="14"/>
  <c r="Q155" i="14" s="1"/>
  <c r="K138" i="14" l="1"/>
  <c r="Q138" i="14" s="1"/>
  <c r="K141" i="14" l="1"/>
  <c r="Q141" i="14" s="1"/>
  <c r="K142" i="14"/>
  <c r="Q142" i="14" s="1"/>
  <c r="K143" i="14"/>
  <c r="Q143" i="14" s="1"/>
  <c r="K144" i="14"/>
  <c r="Q144" i="14" s="1"/>
  <c r="K41" i="14" l="1"/>
  <c r="H60" i="14"/>
  <c r="K60" i="14" s="1"/>
  <c r="Q60" i="14" s="1"/>
  <c r="O41" i="14" l="1"/>
  <c r="Q41" i="14" s="1"/>
  <c r="H139" i="14" l="1"/>
  <c r="H137" i="14"/>
  <c r="K122" i="14" l="1"/>
  <c r="Q122" i="14" s="1"/>
  <c r="K123" i="14"/>
  <c r="Q123" i="14" s="1"/>
  <c r="K124" i="14"/>
  <c r="K125" i="14"/>
  <c r="K126" i="14"/>
  <c r="Q126" i="14" s="1"/>
  <c r="K128" i="14"/>
  <c r="Q128" i="14" s="1"/>
  <c r="K129" i="14"/>
  <c r="Q129" i="14" s="1"/>
  <c r="K130" i="14"/>
  <c r="Q130" i="14" s="1"/>
  <c r="K132" i="14"/>
  <c r="K133" i="14"/>
  <c r="Q133" i="14" s="1"/>
  <c r="K134" i="14"/>
  <c r="Q134" i="14" s="1"/>
  <c r="K135" i="14"/>
  <c r="Q135" i="14" s="1"/>
  <c r="K136" i="14"/>
  <c r="Q136" i="14" s="1"/>
  <c r="K137" i="14"/>
  <c r="Q137" i="14" s="1"/>
  <c r="K139" i="14"/>
  <c r="Q139" i="14" s="1"/>
  <c r="K140" i="14"/>
  <c r="Q140" i="14" s="1"/>
  <c r="K119" i="14"/>
  <c r="K120" i="14"/>
  <c r="Q120" i="14" s="1"/>
  <c r="K121" i="14"/>
  <c r="Q121" i="14" s="1"/>
  <c r="K115" i="14"/>
  <c r="K116" i="14"/>
  <c r="K117" i="14"/>
  <c r="K118" i="14"/>
  <c r="K113" i="14"/>
  <c r="Q113" i="14" s="1"/>
  <c r="K86" i="14"/>
  <c r="Q86" i="14" s="1"/>
  <c r="K114" i="14"/>
  <c r="Q114" i="14" s="1"/>
  <c r="K112" i="14"/>
  <c r="Q112" i="14" s="1"/>
  <c r="O118" i="14" l="1"/>
  <c r="Q118" i="14" s="1"/>
  <c r="O125" i="14"/>
  <c r="Q125" i="14" s="1"/>
  <c r="O124" i="14"/>
  <c r="Q124" i="14" s="1"/>
  <c r="O117" i="14"/>
  <c r="Q117" i="14" s="1"/>
  <c r="O116" i="14"/>
  <c r="Q116" i="14" s="1"/>
  <c r="O115" i="14"/>
  <c r="Q115" i="14" s="1"/>
  <c r="O119" i="14"/>
  <c r="Q119" i="14" s="1"/>
  <c r="Q156" i="14" l="1"/>
  <c r="N6" i="18"/>
  <c r="J100" i="15" l="1"/>
  <c r="K53" i="14" l="1"/>
  <c r="Q53" i="14" s="1"/>
  <c r="L35" i="14" l="1"/>
  <c r="K36" i="14" l="1"/>
  <c r="Q36" i="14" s="1"/>
  <c r="K37" i="14"/>
  <c r="Q37" i="14" s="1"/>
  <c r="K38" i="14"/>
  <c r="Q38" i="14" s="1"/>
  <c r="H39" i="14"/>
  <c r="A4" i="18"/>
  <c r="A5" i="18" s="1"/>
  <c r="A6" i="18" s="1"/>
  <c r="A7" i="18" s="1"/>
  <c r="A8" i="18" s="1"/>
  <c r="A9" i="18" s="1"/>
  <c r="A10" i="18" s="1"/>
  <c r="A11" i="18" s="1"/>
  <c r="A12" i="18" s="1"/>
  <c r="A13" i="18" s="1"/>
  <c r="A14" i="18" s="1"/>
  <c r="A15" i="18" s="1"/>
  <c r="A16" i="18" s="1"/>
  <c r="A17" i="18" s="1"/>
  <c r="A18" i="18" s="1"/>
  <c r="A19" i="18" s="1"/>
  <c r="A20" i="18" s="1"/>
  <c r="A21" i="18" s="1"/>
  <c r="N4" i="18"/>
  <c r="N5" i="18"/>
  <c r="N7" i="18"/>
  <c r="N8" i="18"/>
  <c r="N9" i="18"/>
  <c r="N10" i="18"/>
  <c r="N11" i="18"/>
  <c r="N12" i="18"/>
  <c r="N13" i="18"/>
  <c r="N14" i="18"/>
  <c r="N15" i="18"/>
  <c r="N16" i="18"/>
  <c r="N17" i="18"/>
  <c r="N18" i="18"/>
  <c r="E178" i="18"/>
  <c r="N3" i="18"/>
  <c r="A22" i="18" l="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L32" i="16"/>
  <c r="L31" i="16"/>
  <c r="L30" i="16"/>
  <c r="L29" i="16"/>
  <c r="L28" i="16"/>
  <c r="L36" i="16" l="1"/>
  <c r="K78" i="14"/>
  <c r="Q78" i="14" s="1"/>
  <c r="K79" i="14"/>
  <c r="Q79" i="14" s="1"/>
  <c r="K81" i="14"/>
  <c r="Q81" i="14" s="1"/>
  <c r="K82" i="14"/>
  <c r="Q82" i="14" s="1"/>
  <c r="K83" i="14"/>
  <c r="Q83" i="14" s="1"/>
  <c r="K84" i="14"/>
  <c r="Q84" i="14" s="1"/>
  <c r="K85" i="14"/>
  <c r="Q85" i="14" s="1"/>
  <c r="K89" i="14"/>
  <c r="Q89" i="14" s="1"/>
  <c r="K77" i="14" l="1"/>
  <c r="Q77" i="14" s="1"/>
  <c r="K76" i="14"/>
  <c r="Q76" i="14" s="1"/>
  <c r="K75" i="14"/>
  <c r="Q75" i="14" s="1"/>
  <c r="K74" i="14"/>
  <c r="Q74" i="14" s="1"/>
  <c r="K73" i="14"/>
  <c r="Q73" i="14" s="1"/>
  <c r="K68" i="14"/>
  <c r="Q68" i="14" s="1"/>
  <c r="K67" i="14"/>
  <c r="Q67" i="14" s="1"/>
  <c r="K66" i="14"/>
  <c r="Q66" i="14" s="1"/>
  <c r="K65" i="14"/>
  <c r="Q65" i="14" s="1"/>
  <c r="K56" i="14"/>
  <c r="Q56" i="14" s="1"/>
  <c r="K57" i="14"/>
  <c r="Q57" i="14" s="1"/>
  <c r="K58" i="14"/>
  <c r="Q58" i="14" s="1"/>
  <c r="K59" i="14"/>
  <c r="Q59" i="14" s="1"/>
  <c r="K61" i="14"/>
  <c r="Q61" i="14" s="1"/>
  <c r="K62" i="14"/>
  <c r="Q62" i="14" s="1"/>
  <c r="K64" i="14"/>
  <c r="Q64" i="14" s="1"/>
  <c r="K45" i="14"/>
  <c r="K47" i="14"/>
  <c r="Q47" i="14" s="1"/>
  <c r="Q1155" i="14"/>
  <c r="K52" i="14"/>
  <c r="Q52" i="14" s="1"/>
  <c r="K70" i="14"/>
  <c r="K71" i="14"/>
  <c r="K72" i="14"/>
  <c r="A44" i="14"/>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I25" i="16"/>
  <c r="L25" i="16" s="1"/>
  <c r="I24" i="16"/>
  <c r="L24" i="16" s="1"/>
  <c r="I23" i="16"/>
  <c r="L23" i="16" s="1"/>
  <c r="I22" i="16"/>
  <c r="L22" i="16" s="1"/>
  <c r="I21" i="16"/>
  <c r="L21" i="16" s="1"/>
  <c r="I19" i="16"/>
  <c r="J19" i="16" s="1"/>
  <c r="I18" i="16"/>
  <c r="I17" i="16"/>
  <c r="A17" i="16"/>
  <c r="A18" i="16" s="1"/>
  <c r="I16" i="16"/>
  <c r="I15" i="16"/>
  <c r="A15" i="16"/>
  <c r="I14" i="16"/>
  <c r="I12" i="16"/>
  <c r="A12" i="16"/>
  <c r="I11" i="16"/>
  <c r="L11" i="16" s="1"/>
  <c r="I8" i="16"/>
  <c r="A8" i="16"/>
  <c r="A9" i="16" s="1"/>
  <c r="A10" i="16" s="1"/>
  <c r="I7" i="16"/>
  <c r="I5" i="16"/>
  <c r="L5" i="16" s="1"/>
  <c r="I4" i="16"/>
  <c r="L4" i="16" s="1"/>
  <c r="F204" i="15"/>
  <c r="F198" i="15"/>
  <c r="E194" i="15"/>
  <c r="I107" i="15"/>
  <c r="I106" i="15"/>
  <c r="O106" i="15" s="1"/>
  <c r="I105" i="15"/>
  <c r="O105" i="15" s="1"/>
  <c r="I103" i="15"/>
  <c r="O103" i="15" s="1"/>
  <c r="I102" i="15"/>
  <c r="O102" i="15" s="1"/>
  <c r="I101" i="15"/>
  <c r="O101" i="15" s="1"/>
  <c r="I100" i="15"/>
  <c r="O100" i="15" s="1"/>
  <c r="I99" i="15"/>
  <c r="O99" i="15" s="1"/>
  <c r="I98" i="15"/>
  <c r="O98" i="15" s="1"/>
  <c r="I97" i="15"/>
  <c r="O97" i="15" s="1"/>
  <c r="I96" i="15"/>
  <c r="O96" i="15" s="1"/>
  <c r="I95" i="15"/>
  <c r="O95" i="15" s="1"/>
  <c r="I94" i="15"/>
  <c r="O94" i="15" s="1"/>
  <c r="I93" i="15"/>
  <c r="I92" i="15"/>
  <c r="O92" i="15" s="1"/>
  <c r="I91" i="15"/>
  <c r="O91" i="15" s="1"/>
  <c r="I90" i="15"/>
  <c r="O90" i="15" s="1"/>
  <c r="I89" i="15"/>
  <c r="O89" i="15" s="1"/>
  <c r="M88" i="15"/>
  <c r="L88" i="15"/>
  <c r="I88" i="15"/>
  <c r="I87" i="15"/>
  <c r="A87" i="15"/>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I86" i="15"/>
  <c r="O86" i="15" s="1"/>
  <c r="I80" i="15"/>
  <c r="I79" i="15"/>
  <c r="M79" i="15" s="1"/>
  <c r="I78" i="15"/>
  <c r="I76" i="15"/>
  <c r="L76" i="15" s="1"/>
  <c r="I75" i="15"/>
  <c r="J75" i="15" s="1"/>
  <c r="O75" i="15" s="1"/>
  <c r="I74" i="15"/>
  <c r="O74" i="15" s="1"/>
  <c r="I73" i="15"/>
  <c r="I72" i="15"/>
  <c r="I71" i="15"/>
  <c r="I70" i="15"/>
  <c r="O70" i="15" s="1"/>
  <c r="F69" i="15"/>
  <c r="I69" i="15" s="1"/>
  <c r="O69" i="15" s="1"/>
  <c r="I68" i="15"/>
  <c r="I67" i="15"/>
  <c r="I66" i="15"/>
  <c r="O66" i="15" s="1"/>
  <c r="O65" i="15"/>
  <c r="F65" i="15"/>
  <c r="I64" i="15"/>
  <c r="O64" i="15" s="1"/>
  <c r="I63" i="15"/>
  <c r="O63" i="15" s="1"/>
  <c r="I62" i="15"/>
  <c r="O62" i="15" s="1"/>
  <c r="I61" i="15"/>
  <c r="O61" i="15" s="1"/>
  <c r="I60" i="15"/>
  <c r="M60" i="15" s="1"/>
  <c r="O60" i="15" s="1"/>
  <c r="I59" i="15"/>
  <c r="O59" i="15" s="1"/>
  <c r="I58" i="15"/>
  <c r="M58" i="15" s="1"/>
  <c r="O58" i="15" s="1"/>
  <c r="I57" i="15"/>
  <c r="O57" i="15" s="1"/>
  <c r="I56" i="15"/>
  <c r="O56" i="15" s="1"/>
  <c r="I55" i="15"/>
  <c r="O55" i="15" s="1"/>
  <c r="I54" i="15"/>
  <c r="O54" i="15" s="1"/>
  <c r="I53" i="15"/>
  <c r="M53" i="15" s="1"/>
  <c r="O53" i="15" s="1"/>
  <c r="I52" i="15"/>
  <c r="O52" i="15" s="1"/>
  <c r="I51" i="15"/>
  <c r="O51" i="15" s="1"/>
  <c r="I50" i="15"/>
  <c r="O50" i="15" s="1"/>
  <c r="I49" i="15"/>
  <c r="O49" i="15" s="1"/>
  <c r="I48" i="15"/>
  <c r="O48" i="15" s="1"/>
  <c r="I47" i="15"/>
  <c r="O47" i="15" s="1"/>
  <c r="I43" i="15"/>
  <c r="O43" i="15" s="1"/>
  <c r="I42" i="15"/>
  <c r="M42" i="15" s="1"/>
  <c r="O42" i="15" s="1"/>
  <c r="I41" i="15"/>
  <c r="O41" i="15" s="1"/>
  <c r="I40" i="15"/>
  <c r="O40" i="15" s="1"/>
  <c r="I39" i="15"/>
  <c r="O39" i="15" s="1"/>
  <c r="I36" i="15"/>
  <c r="I35" i="15"/>
  <c r="I34" i="15"/>
  <c r="I33" i="15"/>
  <c r="O33" i="15" s="1"/>
  <c r="I32" i="15"/>
  <c r="I31" i="15"/>
  <c r="O31" i="15" s="1"/>
  <c r="I30" i="15"/>
  <c r="O30" i="15" s="1"/>
  <c r="I29" i="15"/>
  <c r="O29" i="15" s="1"/>
  <c r="I28" i="15"/>
  <c r="O28" i="15" s="1"/>
  <c r="I27" i="15"/>
  <c r="I26" i="15"/>
  <c r="O26" i="15" s="1"/>
  <c r="I25" i="15"/>
  <c r="M25" i="15" s="1"/>
  <c r="O25" i="15" s="1"/>
  <c r="I24" i="15"/>
  <c r="M24" i="15" s="1"/>
  <c r="O24" i="15" s="1"/>
  <c r="I23" i="15"/>
  <c r="O23" i="15" s="1"/>
  <c r="A23" i="15"/>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I22" i="15"/>
  <c r="M22" i="15" s="1"/>
  <c r="O22" i="15" s="1"/>
  <c r="I18" i="15"/>
  <c r="O18" i="15" s="1"/>
  <c r="I17" i="15"/>
  <c r="O17" i="15" s="1"/>
  <c r="I16" i="15"/>
  <c r="O16" i="15" s="1"/>
  <c r="I15" i="15"/>
  <c r="O15" i="15" s="1"/>
  <c r="I14" i="15"/>
  <c r="O14" i="15" s="1"/>
  <c r="I13" i="15"/>
  <c r="O13" i="15" s="1"/>
  <c r="I12" i="15"/>
  <c r="O12" i="15" s="1"/>
  <c r="I11" i="15"/>
  <c r="O11" i="15" s="1"/>
  <c r="I10" i="15"/>
  <c r="O10" i="15" s="1"/>
  <c r="I9" i="15"/>
  <c r="O9" i="15" s="1"/>
  <c r="I8" i="15"/>
  <c r="O8" i="15" s="1"/>
  <c r="I7" i="15"/>
  <c r="O7" i="15" s="1"/>
  <c r="I6" i="15"/>
  <c r="O6" i="15" s="1"/>
  <c r="I5" i="15"/>
  <c r="O5" i="15" s="1"/>
  <c r="A5" i="15"/>
  <c r="A6" i="15" s="1"/>
  <c r="A7" i="15" s="1"/>
  <c r="A8" i="15" s="1"/>
  <c r="A9" i="15" s="1"/>
  <c r="A10" i="15" s="1"/>
  <c r="A11" i="15" s="1"/>
  <c r="A12" i="15" s="1"/>
  <c r="A13" i="15" s="1"/>
  <c r="A14" i="15" s="1"/>
  <c r="A15" i="15" s="1"/>
  <c r="A16" i="15" s="1"/>
  <c r="A17" i="15" s="1"/>
  <c r="A18" i="15" s="1"/>
  <c r="I4" i="15"/>
  <c r="O4" i="15" s="1"/>
  <c r="L26" i="16" l="1"/>
  <c r="L12" i="16"/>
  <c r="L15" i="16"/>
  <c r="J7" i="16"/>
  <c r="L7" i="16" s="1"/>
  <c r="L14" i="16"/>
  <c r="L19" i="16"/>
  <c r="O71" i="14"/>
  <c r="Q71" i="14" s="1"/>
  <c r="O72" i="14"/>
  <c r="Q72" i="14" s="1"/>
  <c r="O70" i="14"/>
  <c r="Q70" i="14" s="1"/>
  <c r="F197" i="15"/>
  <c r="F199" i="15" s="1"/>
  <c r="F205" i="15" s="1"/>
  <c r="M107" i="15"/>
  <c r="L107" i="15"/>
  <c r="O45" i="14"/>
  <c r="N45" i="14"/>
  <c r="J71" i="15"/>
  <c r="O71" i="15" s="1"/>
  <c r="J73" i="15"/>
  <c r="O73" i="15" s="1"/>
  <c r="O88" i="15"/>
  <c r="M76" i="15"/>
  <c r="O76" i="15" s="1"/>
  <c r="M78" i="15"/>
  <c r="O78" i="15" s="1"/>
  <c r="M80" i="15"/>
  <c r="O80" i="15" s="1"/>
  <c r="M87" i="15"/>
  <c r="O87" i="15" s="1"/>
  <c r="M34" i="15"/>
  <c r="Q34" i="15" s="1"/>
  <c r="J72" i="15"/>
  <c r="O72" i="15" s="1"/>
  <c r="O79" i="15"/>
  <c r="L6" i="16"/>
  <c r="J8" i="16"/>
  <c r="J16" i="16"/>
  <c r="L16" i="16" s="1"/>
  <c r="J17" i="16"/>
  <c r="J18" i="16"/>
  <c r="O19" i="15"/>
  <c r="M27" i="15"/>
  <c r="O27" i="15" s="1"/>
  <c r="M32" i="15"/>
  <c r="O32" i="15" s="1"/>
  <c r="J35" i="15"/>
  <c r="O35" i="15" s="1"/>
  <c r="J36" i="15"/>
  <c r="O36" i="15" s="1"/>
  <c r="O67" i="15"/>
  <c r="O68" i="15"/>
  <c r="M93" i="15"/>
  <c r="O93" i="15" s="1"/>
  <c r="Q45" i="14" l="1"/>
  <c r="Q92" i="14" s="1"/>
  <c r="L20" i="16"/>
  <c r="L13" i="16"/>
  <c r="O107" i="15"/>
  <c r="O109" i="15" s="1"/>
  <c r="O34" i="15"/>
  <c r="O44" i="15" s="1"/>
  <c r="O83" i="15"/>
  <c r="O110" i="15" l="1"/>
  <c r="Q745" i="42" s="1"/>
  <c r="L27" i="16"/>
  <c r="L37" i="16" s="1"/>
  <c r="O114" i="15" l="1"/>
  <c r="Q1152" i="14"/>
  <c r="K39" i="14"/>
  <c r="Q39" i="14" s="1"/>
  <c r="K35" i="14"/>
  <c r="Q35" i="14" s="1"/>
  <c r="K32" i="14"/>
  <c r="Q32" i="14" s="1"/>
  <c r="K31" i="14"/>
  <c r="Q31" i="14" s="1"/>
  <c r="K30" i="14"/>
  <c r="Q30" i="14" s="1"/>
  <c r="K29" i="14"/>
  <c r="Q29" i="14" s="1"/>
  <c r="K28" i="14"/>
  <c r="Q28" i="14" s="1"/>
  <c r="K27" i="14"/>
  <c r="Q27" i="14" s="1"/>
  <c r="K25" i="14"/>
  <c r="Q25" i="14" s="1"/>
  <c r="K24" i="14"/>
  <c r="Q24" i="14" s="1"/>
  <c r="K23" i="14"/>
  <c r="Q23" i="14" s="1"/>
  <c r="O22" i="14"/>
  <c r="K21" i="14"/>
  <c r="Q21" i="14" s="1"/>
  <c r="K20" i="14"/>
  <c r="Q20" i="14" s="1"/>
  <c r="K19" i="14"/>
  <c r="Q19" i="14" s="1"/>
  <c r="K18" i="14"/>
  <c r="Q18" i="14" s="1"/>
  <c r="K17" i="14"/>
  <c r="Q17" i="14" s="1"/>
  <c r="K16" i="14"/>
  <c r="Q16" i="14" s="1"/>
  <c r="K14" i="14"/>
  <c r="Q14" i="14" s="1"/>
  <c r="O13" i="14"/>
  <c r="Q13" i="14" s="1"/>
  <c r="K12" i="14"/>
  <c r="Q12" i="14" s="1"/>
  <c r="K11" i="14"/>
  <c r="K9" i="14"/>
  <c r="Q9" i="14" s="1"/>
  <c r="K8" i="14"/>
  <c r="Q8" i="14" s="1"/>
  <c r="O7" i="14"/>
  <c r="K6" i="14"/>
  <c r="K5" i="14"/>
  <c r="Q5" i="14" s="1"/>
  <c r="A5" i="14"/>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K4" i="14"/>
  <c r="Q4" i="14" s="1"/>
  <c r="O11" i="14" l="1"/>
  <c r="Q11" i="14" s="1"/>
  <c r="P22" i="14"/>
  <c r="Q22" i="14" s="1"/>
  <c r="O26" i="14"/>
  <c r="Q26" i="14" s="1"/>
  <c r="O6" i="14"/>
  <c r="N7" i="14"/>
  <c r="Q7" i="14" s="1"/>
  <c r="N6" i="14"/>
  <c r="O15" i="14"/>
  <c r="Q15" i="14" s="1"/>
  <c r="Q6" i="14" l="1"/>
  <c r="Q42" i="14" s="1"/>
  <c r="Q1164" i="14" l="1"/>
  <c r="Q1156" i="14"/>
  <c r="Q508" i="14" l="1"/>
  <c r="Q607" i="14" l="1"/>
  <c r="Q1153" i="14" s="1"/>
  <c r="Q1154" i="14" s="1"/>
  <c r="Q746" i="42" l="1"/>
  <c r="Q748" i="42" s="1"/>
  <c r="Q1157" i="14"/>
  <c r="Q1167" i="14" s="1"/>
  <c r="L5" i="35"/>
</calcChain>
</file>

<file path=xl/comments1.xml><?xml version="1.0" encoding="utf-8"?>
<comments xmlns="http://schemas.openxmlformats.org/spreadsheetml/2006/main">
  <authors>
    <author>PCI</author>
    <author>Windows User</author>
    <author>Author</author>
  </authors>
  <commentList>
    <comment ref="J41" authorId="0" shapeId="0">
      <text>
        <r>
          <rPr>
            <b/>
            <sz val="9"/>
            <color indexed="81"/>
            <rFont val="Tahoma"/>
            <family val="2"/>
          </rPr>
          <t>PCI:</t>
        </r>
        <r>
          <rPr>
            <sz val="9"/>
            <color indexed="81"/>
            <rFont val="Tahoma"/>
            <family val="2"/>
          </rPr>
          <t xml:space="preserve">
2jt transfer di tgl 07/07/21
</t>
        </r>
      </text>
    </comment>
    <comment ref="K49" authorId="1" shapeId="0">
      <text>
        <r>
          <rPr>
            <b/>
            <sz val="9"/>
            <color indexed="81"/>
            <rFont val="Tahoma"/>
            <family val="2"/>
          </rPr>
          <t>Windows User:</t>
        </r>
        <r>
          <rPr>
            <sz val="9"/>
            <color indexed="81"/>
            <rFont val="Tahoma"/>
            <family val="2"/>
          </rPr>
          <t xml:space="preserve">
Pot. Shipper/ Klem
</t>
        </r>
      </text>
    </comment>
    <comment ref="J68" authorId="0" shapeId="0">
      <text>
        <r>
          <rPr>
            <b/>
            <sz val="9"/>
            <color indexed="81"/>
            <rFont val="Tahoma"/>
            <family val="2"/>
          </rPr>
          <t>PCI:</t>
        </r>
        <r>
          <rPr>
            <sz val="9"/>
            <color indexed="81"/>
            <rFont val="Tahoma"/>
            <family val="2"/>
          </rPr>
          <t xml:space="preserve">
1000000 dari tgl 07/07/21</t>
        </r>
      </text>
    </comment>
    <comment ref="F94" authorId="2" shapeId="0">
      <text>
        <r>
          <rPr>
            <b/>
            <sz val="9"/>
            <color indexed="81"/>
            <rFont val="Tahoma"/>
            <family val="2"/>
          </rPr>
          <t>Author:</t>
        </r>
        <r>
          <rPr>
            <sz val="9"/>
            <color indexed="81"/>
            <rFont val="Tahoma"/>
            <family val="2"/>
          </rPr>
          <t xml:space="preserve">
Fee 4.560.000
Jual 15.060.000</t>
        </r>
      </text>
    </comment>
    <comment ref="J96" authorId="0" shapeId="0">
      <text>
        <r>
          <rPr>
            <b/>
            <sz val="9"/>
            <color indexed="81"/>
            <rFont val="Tahoma"/>
            <family val="2"/>
          </rPr>
          <t>PCI:</t>
        </r>
        <r>
          <rPr>
            <sz val="9"/>
            <color indexed="81"/>
            <rFont val="Tahoma"/>
            <family val="2"/>
          </rPr>
          <t xml:space="preserve">
pembayaran ke-2 tgl 01 maret 2022</t>
        </r>
      </text>
    </comment>
  </commentList>
</comments>
</file>

<file path=xl/comments2.xml><?xml version="1.0" encoding="utf-8"?>
<comments xmlns="http://schemas.openxmlformats.org/spreadsheetml/2006/main">
  <authors>
    <author>PCI</author>
    <author>Windows User</author>
    <author>lenovo</author>
    <author>ASUS</author>
  </authors>
  <commentList>
    <comment ref="L60" authorId="0" shapeId="0">
      <text>
        <r>
          <rPr>
            <b/>
            <sz val="9"/>
            <color indexed="81"/>
            <rFont val="Tahoma"/>
            <family val="2"/>
          </rPr>
          <t>PCI:</t>
        </r>
        <r>
          <rPr>
            <sz val="9"/>
            <color indexed="81"/>
            <rFont val="Tahoma"/>
            <family val="2"/>
          </rPr>
          <t xml:space="preserve">
9500000 (TGL 19/03/21)
10000000 (tgl 10/04/21)
</t>
        </r>
      </text>
    </comment>
    <comment ref="L80" authorId="0" shapeId="0">
      <text>
        <r>
          <rPr>
            <b/>
            <sz val="9"/>
            <color indexed="81"/>
            <rFont val="Tahoma"/>
            <family val="2"/>
          </rPr>
          <t>PCI:</t>
        </r>
        <r>
          <rPr>
            <sz val="9"/>
            <color indexed="81"/>
            <rFont val="Tahoma"/>
            <family val="2"/>
          </rPr>
          <t xml:space="preserve">
16/04/21
</t>
        </r>
      </text>
    </comment>
    <comment ref="P106" authorId="0" shapeId="0">
      <text>
        <r>
          <rPr>
            <b/>
            <sz val="9"/>
            <color indexed="81"/>
            <rFont val="Tahoma"/>
            <family val="2"/>
          </rPr>
          <t>PCI:</t>
        </r>
        <r>
          <rPr>
            <sz val="9"/>
            <color indexed="81"/>
            <rFont val="Tahoma"/>
            <family val="2"/>
          </rPr>
          <t xml:space="preserve">
Potongan 33.369  
potongan gabung dgn invoice no 054/pci/k1/21
</t>
        </r>
      </text>
    </comment>
    <comment ref="L130" authorId="0" shapeId="0">
      <text>
        <r>
          <rPr>
            <b/>
            <sz val="9"/>
            <color indexed="81"/>
            <rFont val="Tahoma"/>
            <family val="2"/>
          </rPr>
          <t>PCI:</t>
        </r>
        <r>
          <rPr>
            <sz val="9"/>
            <color indexed="81"/>
            <rFont val="Tahoma"/>
            <family val="2"/>
          </rPr>
          <t xml:space="preserve">
17/05/21
</t>
        </r>
      </text>
    </comment>
    <comment ref="L132" authorId="0" shapeId="0">
      <text>
        <r>
          <rPr>
            <b/>
            <sz val="9"/>
            <color indexed="81"/>
            <rFont val="Tahoma"/>
            <family val="2"/>
          </rPr>
          <t>PCI:</t>
        </r>
        <r>
          <rPr>
            <sz val="9"/>
            <color indexed="81"/>
            <rFont val="Tahoma"/>
            <family val="2"/>
          </rPr>
          <t xml:space="preserve">
17/05/21</t>
        </r>
      </text>
    </comment>
    <comment ref="P178" authorId="0" shapeId="0">
      <text>
        <r>
          <rPr>
            <b/>
            <sz val="9"/>
            <color indexed="81"/>
            <rFont val="Tahoma"/>
            <family val="2"/>
          </rPr>
          <t>PCI:</t>
        </r>
        <r>
          <rPr>
            <sz val="9"/>
            <color indexed="81"/>
            <rFont val="Tahoma"/>
            <family val="2"/>
          </rPr>
          <t xml:space="preserve">
ada potongan 99.050
potongan disatukan dengan invoice no. 071/pci/k1/21
</t>
        </r>
      </text>
    </comment>
    <comment ref="C193" authorId="0" shapeId="0">
      <text>
        <r>
          <rPr>
            <b/>
            <sz val="9"/>
            <color indexed="81"/>
            <rFont val="Tahoma"/>
            <family val="2"/>
          </rPr>
          <t>PCI:</t>
        </r>
        <r>
          <rPr>
            <sz val="9"/>
            <color indexed="81"/>
            <rFont val="Tahoma"/>
            <family val="2"/>
          </rPr>
          <t xml:space="preserve">
'BKI032210016907
BKI032210016915</t>
        </r>
      </text>
    </comment>
    <comment ref="C201" authorId="0" shapeId="0">
      <text>
        <r>
          <rPr>
            <b/>
            <sz val="9"/>
            <color indexed="81"/>
            <rFont val="Tahoma"/>
            <family val="2"/>
          </rPr>
          <t>PCI:</t>
        </r>
        <r>
          <rPr>
            <sz val="9"/>
            <color indexed="81"/>
            <rFont val="Tahoma"/>
            <family val="2"/>
          </rPr>
          <t xml:space="preserve">
BKI032210018259
BKI032210017699</t>
        </r>
      </text>
    </comment>
    <comment ref="C203" authorId="0" shapeId="0">
      <text>
        <r>
          <rPr>
            <b/>
            <sz val="9"/>
            <color indexed="81"/>
            <rFont val="Tahoma"/>
            <family val="2"/>
          </rPr>
          <t>PCI:</t>
        </r>
        <r>
          <rPr>
            <sz val="9"/>
            <color indexed="81"/>
            <rFont val="Tahoma"/>
            <family val="2"/>
          </rPr>
          <t xml:space="preserve">
BKI032210018424</t>
        </r>
      </text>
    </comment>
    <comment ref="M203" authorId="0" shapeId="0">
      <text>
        <r>
          <rPr>
            <b/>
            <sz val="9"/>
            <color indexed="81"/>
            <rFont val="Tahoma"/>
            <family val="2"/>
          </rPr>
          <t>PCI:</t>
        </r>
        <r>
          <rPr>
            <sz val="9"/>
            <color indexed="81"/>
            <rFont val="Tahoma"/>
            <family val="2"/>
          </rPr>
          <t xml:space="preserve">
Claim
</t>
        </r>
      </text>
    </comment>
    <comment ref="R218" authorId="0" shapeId="0">
      <text>
        <r>
          <rPr>
            <b/>
            <sz val="9"/>
            <color indexed="81"/>
            <rFont val="Tahoma"/>
            <family val="2"/>
          </rPr>
          <t>PCI:</t>
        </r>
        <r>
          <rPr>
            <sz val="9"/>
            <color indexed="81"/>
            <rFont val="Tahoma"/>
            <family val="2"/>
          </rPr>
          <t xml:space="preserve">
Cash
</t>
        </r>
      </text>
    </comment>
    <comment ref="S218" authorId="0" shapeId="0">
      <text>
        <r>
          <rPr>
            <b/>
            <sz val="9"/>
            <color indexed="81"/>
            <rFont val="Tahoma"/>
            <family val="2"/>
          </rPr>
          <t>PCI:</t>
        </r>
        <r>
          <rPr>
            <sz val="9"/>
            <color indexed="81"/>
            <rFont val="Tahoma"/>
            <family val="2"/>
          </rPr>
          <t xml:space="preserve">
Cash
</t>
        </r>
      </text>
    </comment>
    <comment ref="L219" authorId="0" shapeId="0">
      <text>
        <r>
          <rPr>
            <b/>
            <sz val="9"/>
            <color indexed="81"/>
            <rFont val="Tahoma"/>
            <family val="2"/>
          </rPr>
          <t>PCI:</t>
        </r>
        <r>
          <rPr>
            <sz val="9"/>
            <color indexed="81"/>
            <rFont val="Tahoma"/>
            <family val="2"/>
          </rPr>
          <t xml:space="preserve">
17/05/21
</t>
        </r>
      </text>
    </comment>
    <comment ref="C222" authorId="0" shapeId="0">
      <text>
        <r>
          <rPr>
            <b/>
            <sz val="9"/>
            <color indexed="81"/>
            <rFont val="Tahoma"/>
            <family val="2"/>
          </rPr>
          <t>PCI:</t>
        </r>
        <r>
          <rPr>
            <sz val="9"/>
            <color indexed="81"/>
            <rFont val="Tahoma"/>
            <family val="2"/>
          </rPr>
          <t xml:space="preserve">
BKI032210018440</t>
        </r>
      </text>
    </comment>
    <comment ref="C223" authorId="0" shapeId="0">
      <text>
        <r>
          <rPr>
            <b/>
            <sz val="9"/>
            <color indexed="81"/>
            <rFont val="Tahoma"/>
            <family val="2"/>
          </rPr>
          <t>PCI:</t>
        </r>
        <r>
          <rPr>
            <sz val="9"/>
            <color indexed="81"/>
            <rFont val="Tahoma"/>
            <family val="2"/>
          </rPr>
          <t xml:space="preserve">
BKI032210018382
BKI032210018374</t>
        </r>
      </text>
    </comment>
    <comment ref="C224" authorId="0" shapeId="0">
      <text>
        <r>
          <rPr>
            <b/>
            <sz val="9"/>
            <color indexed="81"/>
            <rFont val="Tahoma"/>
            <family val="2"/>
          </rPr>
          <t>PCI:</t>
        </r>
        <r>
          <rPr>
            <sz val="9"/>
            <color indexed="81"/>
            <rFont val="Tahoma"/>
            <family val="2"/>
          </rPr>
          <t xml:space="preserve">
BKI032210018630
BKI032210018606</t>
        </r>
      </text>
    </comment>
    <comment ref="C226" authorId="0" shapeId="0">
      <text>
        <r>
          <rPr>
            <b/>
            <sz val="9"/>
            <color indexed="81"/>
            <rFont val="Tahoma"/>
            <family val="2"/>
          </rPr>
          <t>PCI:</t>
        </r>
        <r>
          <rPr>
            <sz val="9"/>
            <color indexed="81"/>
            <rFont val="Tahoma"/>
            <family val="2"/>
          </rPr>
          <t xml:space="preserve">
BKI032210018689
BKI032210018697</t>
        </r>
      </text>
    </comment>
    <comment ref="C227" authorId="0" shapeId="0">
      <text>
        <r>
          <rPr>
            <b/>
            <sz val="9"/>
            <color indexed="81"/>
            <rFont val="Tahoma"/>
            <family val="2"/>
          </rPr>
          <t>PCI:</t>
        </r>
        <r>
          <rPr>
            <sz val="9"/>
            <color indexed="81"/>
            <rFont val="Tahoma"/>
            <family val="2"/>
          </rPr>
          <t xml:space="preserve">
400693
400691</t>
        </r>
      </text>
    </comment>
    <comment ref="C228" authorId="0" shapeId="0">
      <text>
        <r>
          <rPr>
            <b/>
            <sz val="9"/>
            <color indexed="81"/>
            <rFont val="Tahoma"/>
            <family val="2"/>
          </rPr>
          <t>PCI:</t>
        </r>
        <r>
          <rPr>
            <sz val="9"/>
            <color indexed="81"/>
            <rFont val="Tahoma"/>
            <family val="2"/>
          </rPr>
          <t xml:space="preserve">
400688
400689</t>
        </r>
      </text>
    </comment>
    <comment ref="C230" authorId="0" shapeId="0">
      <text>
        <r>
          <rPr>
            <b/>
            <sz val="9"/>
            <color indexed="81"/>
            <rFont val="Tahoma"/>
            <family val="2"/>
          </rPr>
          <t>PCI:</t>
        </r>
        <r>
          <rPr>
            <sz val="9"/>
            <color indexed="81"/>
            <rFont val="Tahoma"/>
            <family val="2"/>
          </rPr>
          <t xml:space="preserve">
9910416633</t>
        </r>
      </text>
    </comment>
    <comment ref="C231" authorId="0" shapeId="0">
      <text>
        <r>
          <rPr>
            <b/>
            <sz val="9"/>
            <color indexed="81"/>
            <rFont val="Tahoma"/>
            <family val="2"/>
          </rPr>
          <t>PCI:</t>
        </r>
        <r>
          <rPr>
            <sz val="9"/>
            <color indexed="81"/>
            <rFont val="Tahoma"/>
            <family val="2"/>
          </rPr>
          <t xml:space="preserve">
3254519240</t>
        </r>
      </text>
    </comment>
    <comment ref="C240" authorId="0" shapeId="0">
      <text>
        <r>
          <rPr>
            <b/>
            <sz val="9"/>
            <color indexed="81"/>
            <rFont val="Tahoma"/>
            <family val="2"/>
          </rPr>
          <t>PCI:</t>
        </r>
        <r>
          <rPr>
            <sz val="9"/>
            <color indexed="81"/>
            <rFont val="Tahoma"/>
            <family val="2"/>
          </rPr>
          <t xml:space="preserve">
402410
402408</t>
        </r>
      </text>
    </comment>
    <comment ref="M246" authorId="0" shapeId="0">
      <text>
        <r>
          <rPr>
            <b/>
            <sz val="9"/>
            <color indexed="81"/>
            <rFont val="Tahoma"/>
            <family val="2"/>
          </rPr>
          <t>PCI:</t>
        </r>
        <r>
          <rPr>
            <sz val="9"/>
            <color indexed="81"/>
            <rFont val="Tahoma"/>
            <family val="2"/>
          </rPr>
          <t xml:space="preserve">
LLG
</t>
        </r>
      </text>
    </comment>
    <comment ref="C267" authorId="0" shapeId="0">
      <text>
        <r>
          <rPr>
            <b/>
            <sz val="9"/>
            <color indexed="81"/>
            <rFont val="Tahoma"/>
            <family val="2"/>
          </rPr>
          <t>PCI:</t>
        </r>
        <r>
          <rPr>
            <sz val="9"/>
            <color indexed="81"/>
            <rFont val="Tahoma"/>
            <family val="2"/>
          </rPr>
          <t xml:space="preserve">
BKI032210018804
BKI032210018812
BKI032210018812
BKI032210018739
BKI032210018747
BK0322100187454
BKI032210018762
BKI032210018770
BKI032210018788
BKI032210018861
BKI032210018887
BKI032210018879
BKI032210018846
BKI032210018838
BKI032210018853</t>
        </r>
      </text>
    </comment>
    <comment ref="C270" authorId="0" shapeId="0">
      <text>
        <r>
          <rPr>
            <b/>
            <sz val="9"/>
            <color indexed="81"/>
            <rFont val="Tahoma"/>
            <family val="2"/>
          </rPr>
          <t>PCI:</t>
        </r>
        <r>
          <rPr>
            <sz val="9"/>
            <color indexed="81"/>
            <rFont val="Tahoma"/>
            <family val="2"/>
          </rPr>
          <t xml:space="preserve">
BKI032210019683
BKI03210019653
BKI032210019646
BKI032210019661</t>
        </r>
      </text>
    </comment>
    <comment ref="P275" authorId="0" shapeId="0">
      <text>
        <r>
          <rPr>
            <b/>
            <sz val="9"/>
            <color indexed="81"/>
            <rFont val="Tahoma"/>
            <family val="2"/>
          </rPr>
          <t>PCI:</t>
        </r>
        <r>
          <rPr>
            <sz val="9"/>
            <color indexed="81"/>
            <rFont val="Tahoma"/>
            <family val="2"/>
          </rPr>
          <t xml:space="preserve">
28/05/21
04/06/21
09/06/21
11/06/21
</t>
        </r>
      </text>
    </comment>
    <comment ref="P277" authorId="0" shapeId="0">
      <text>
        <r>
          <rPr>
            <b/>
            <sz val="9"/>
            <color indexed="81"/>
            <rFont val="Tahoma"/>
            <family val="2"/>
          </rPr>
          <t>PCI:</t>
        </r>
        <r>
          <rPr>
            <sz val="9"/>
            <color indexed="81"/>
            <rFont val="Tahoma"/>
            <family val="2"/>
          </rPr>
          <t xml:space="preserve">
11/06/21
10/06/21
22/06/21
</t>
        </r>
      </text>
    </comment>
    <comment ref="L286" authorId="0" shapeId="0">
      <text>
        <r>
          <rPr>
            <b/>
            <sz val="9"/>
            <color indexed="81"/>
            <rFont val="Tahoma"/>
            <family val="2"/>
          </rPr>
          <t>PCI:</t>
        </r>
        <r>
          <rPr>
            <sz val="9"/>
            <color indexed="81"/>
            <rFont val="Tahoma"/>
            <family val="2"/>
          </rPr>
          <t xml:space="preserve">
19/05/21
</t>
        </r>
      </text>
    </comment>
    <comment ref="R315" authorId="0" shapeId="0">
      <text>
        <r>
          <rPr>
            <b/>
            <sz val="9"/>
            <color indexed="81"/>
            <rFont val="Tahoma"/>
            <family val="2"/>
          </rPr>
          <t>PCI:</t>
        </r>
        <r>
          <rPr>
            <sz val="9"/>
            <color indexed="81"/>
            <rFont val="Tahoma"/>
            <family val="2"/>
          </rPr>
          <t xml:space="preserve">
cas
</t>
        </r>
      </text>
    </comment>
    <comment ref="S315" authorId="0" shapeId="0">
      <text>
        <r>
          <rPr>
            <b/>
            <sz val="9"/>
            <color indexed="81"/>
            <rFont val="Tahoma"/>
            <family val="2"/>
          </rPr>
          <t>PCI:</t>
        </r>
        <r>
          <rPr>
            <sz val="9"/>
            <color indexed="81"/>
            <rFont val="Tahoma"/>
            <family val="2"/>
          </rPr>
          <t xml:space="preserve">
cas
</t>
        </r>
      </text>
    </comment>
    <comment ref="C328" authorId="0" shapeId="0">
      <text>
        <r>
          <rPr>
            <b/>
            <sz val="9"/>
            <color indexed="81"/>
            <rFont val="Tahoma"/>
            <family val="2"/>
          </rPr>
          <t>PCI:</t>
        </r>
        <r>
          <rPr>
            <sz val="9"/>
            <color indexed="81"/>
            <rFont val="Tahoma"/>
            <family val="2"/>
          </rPr>
          <t xml:space="preserve">
BKI032210021170
BKI032210021188
BKI032210021196</t>
        </r>
      </text>
    </comment>
    <comment ref="C329" authorId="0" shapeId="0">
      <text>
        <r>
          <rPr>
            <b/>
            <sz val="9"/>
            <color indexed="81"/>
            <rFont val="Tahoma"/>
            <family val="2"/>
          </rPr>
          <t>PCI:</t>
        </r>
        <r>
          <rPr>
            <sz val="9"/>
            <color indexed="81"/>
            <rFont val="Tahoma"/>
            <family val="2"/>
          </rPr>
          <t xml:space="preserve">
BKI032210021139
BKI032210021105
BKI032210021162</t>
        </r>
      </text>
    </comment>
    <comment ref="C330" authorId="0" shapeId="0">
      <text>
        <r>
          <rPr>
            <b/>
            <sz val="9"/>
            <color indexed="81"/>
            <rFont val="Tahoma"/>
            <family val="2"/>
          </rPr>
          <t>PCI:</t>
        </r>
        <r>
          <rPr>
            <sz val="9"/>
            <color indexed="81"/>
            <rFont val="Tahoma"/>
            <family val="2"/>
          </rPr>
          <t xml:space="preserve">
BKI032210021147
BKI032210021154</t>
        </r>
      </text>
    </comment>
    <comment ref="C333" authorId="1" shapeId="0">
      <text>
        <r>
          <rPr>
            <b/>
            <sz val="9"/>
            <color indexed="81"/>
            <rFont val="Tahoma"/>
            <family val="2"/>
          </rPr>
          <t>Windows User:</t>
        </r>
        <r>
          <rPr>
            <sz val="9"/>
            <color indexed="81"/>
            <rFont val="Tahoma"/>
            <family val="2"/>
          </rPr>
          <t xml:space="preserve">
BKI032210020925
BKI032210020933</t>
        </r>
      </text>
    </comment>
    <comment ref="C334" authorId="1" shapeId="0">
      <text>
        <r>
          <rPr>
            <b/>
            <sz val="9"/>
            <color indexed="81"/>
            <rFont val="Tahoma"/>
            <family val="2"/>
          </rPr>
          <t>Windows User:</t>
        </r>
        <r>
          <rPr>
            <sz val="9"/>
            <color indexed="81"/>
            <rFont val="Tahoma"/>
            <family val="2"/>
          </rPr>
          <t xml:space="preserve">
BKI032210020941
BKI032210020966
BKI032210020958</t>
        </r>
      </text>
    </comment>
    <comment ref="C338" authorId="1" shapeId="0">
      <text>
        <r>
          <rPr>
            <b/>
            <sz val="9"/>
            <color indexed="81"/>
            <rFont val="Tahoma"/>
            <family val="2"/>
          </rPr>
          <t>Windows User:</t>
        </r>
        <r>
          <rPr>
            <sz val="9"/>
            <color indexed="81"/>
            <rFont val="Tahoma"/>
            <family val="2"/>
          </rPr>
          <t xml:space="preserve">
BKI032210021618
BKI032210021626</t>
        </r>
      </text>
    </comment>
    <comment ref="C339" authorId="1" shapeId="0">
      <text>
        <r>
          <rPr>
            <b/>
            <sz val="9"/>
            <color indexed="81"/>
            <rFont val="Tahoma"/>
            <family val="2"/>
          </rPr>
          <t>Windows User:</t>
        </r>
        <r>
          <rPr>
            <sz val="9"/>
            <color indexed="81"/>
            <rFont val="Tahoma"/>
            <family val="2"/>
          </rPr>
          <t xml:space="preserve">
BKI032210021865
BKI032210021873</t>
        </r>
      </text>
    </comment>
    <comment ref="C341" authorId="1" shapeId="0">
      <text>
        <r>
          <rPr>
            <b/>
            <sz val="9"/>
            <color indexed="81"/>
            <rFont val="Tahoma"/>
            <family val="2"/>
          </rPr>
          <t>Windows User:</t>
        </r>
        <r>
          <rPr>
            <sz val="9"/>
            <color indexed="81"/>
            <rFont val="Tahoma"/>
            <family val="2"/>
          </rPr>
          <t xml:space="preserve">
'BKI032210022020
'BKI032210022012
BKI032210022038</t>
        </r>
      </text>
    </comment>
    <comment ref="C342" authorId="1" shapeId="0">
      <text>
        <r>
          <rPr>
            <b/>
            <sz val="9"/>
            <color indexed="81"/>
            <rFont val="Tahoma"/>
            <family val="2"/>
          </rPr>
          <t>Windows User:</t>
        </r>
        <r>
          <rPr>
            <sz val="9"/>
            <color indexed="81"/>
            <rFont val="Tahoma"/>
            <family val="2"/>
          </rPr>
          <t xml:space="preserve">
BKI032210021980
BKI032210022004
BKI032210021998</t>
        </r>
      </text>
    </comment>
    <comment ref="C351" authorId="1" shapeId="0">
      <text>
        <r>
          <rPr>
            <b/>
            <sz val="9"/>
            <color indexed="81"/>
            <rFont val="Tahoma"/>
            <family val="2"/>
          </rPr>
          <t>Windows User:</t>
        </r>
        <r>
          <rPr>
            <sz val="9"/>
            <color indexed="81"/>
            <rFont val="Tahoma"/>
            <family val="2"/>
          </rPr>
          <t xml:space="preserve">
BKI032210022137
BKI032210022129</t>
        </r>
      </text>
    </comment>
    <comment ref="C352" authorId="1" shapeId="0">
      <text>
        <r>
          <rPr>
            <b/>
            <sz val="9"/>
            <color indexed="81"/>
            <rFont val="Tahoma"/>
            <family val="2"/>
          </rPr>
          <t>Windows User:</t>
        </r>
        <r>
          <rPr>
            <sz val="9"/>
            <color indexed="81"/>
            <rFont val="Tahoma"/>
            <family val="2"/>
          </rPr>
          <t xml:space="preserve">
BKI032210022111
'BKI032210022103</t>
        </r>
      </text>
    </comment>
    <comment ref="C354" authorId="0" shapeId="0">
      <text>
        <r>
          <rPr>
            <b/>
            <sz val="9"/>
            <color indexed="81"/>
            <rFont val="Tahoma"/>
            <family val="2"/>
          </rPr>
          <t>PCI:</t>
        </r>
        <r>
          <rPr>
            <sz val="9"/>
            <color indexed="81"/>
            <rFont val="Tahoma"/>
            <family val="2"/>
          </rPr>
          <t xml:space="preserve">
BKI032210023028</t>
        </r>
      </text>
    </comment>
    <comment ref="E354" authorId="0" shapeId="0">
      <text>
        <r>
          <rPr>
            <b/>
            <sz val="9"/>
            <color indexed="81"/>
            <rFont val="Tahoma"/>
            <family val="2"/>
          </rPr>
          <t>PCI:</t>
        </r>
        <r>
          <rPr>
            <sz val="9"/>
            <color indexed="81"/>
            <rFont val="Tahoma"/>
            <family val="2"/>
          </rPr>
          <t xml:space="preserve">
BKI032210023028</t>
        </r>
      </text>
    </comment>
    <comment ref="C356" authorId="0" shapeId="0">
      <text>
        <r>
          <rPr>
            <b/>
            <sz val="9"/>
            <color indexed="81"/>
            <rFont val="Tahoma"/>
            <family val="2"/>
          </rPr>
          <t>PCI:</t>
        </r>
        <r>
          <rPr>
            <sz val="9"/>
            <color indexed="81"/>
            <rFont val="Tahoma"/>
            <family val="2"/>
          </rPr>
          <t xml:space="preserve">
BKI032210023226
BKI032210023234</t>
        </r>
      </text>
    </comment>
    <comment ref="C362" authorId="1" shapeId="0">
      <text>
        <r>
          <rPr>
            <b/>
            <sz val="9"/>
            <color indexed="81"/>
            <rFont val="Tahoma"/>
            <family val="2"/>
          </rPr>
          <t>Windows User:</t>
        </r>
        <r>
          <rPr>
            <sz val="9"/>
            <color indexed="81"/>
            <rFont val="Tahoma"/>
            <family val="2"/>
          </rPr>
          <t xml:space="preserve">
'BKI032210021311
BKI032210021329</t>
        </r>
      </text>
    </comment>
    <comment ref="C368" authorId="1" shapeId="0">
      <text>
        <r>
          <rPr>
            <b/>
            <sz val="9"/>
            <color indexed="81"/>
            <rFont val="Tahoma"/>
            <family val="2"/>
          </rPr>
          <t>Windows User:</t>
        </r>
        <r>
          <rPr>
            <sz val="9"/>
            <color indexed="81"/>
            <rFont val="Tahoma"/>
            <family val="2"/>
          </rPr>
          <t xml:space="preserve">
BKI032210021667
BKI032210021675
BKI032210021683
BKI032210021881
BKI032210021907
BKI032210021915
BKI032210021923
</t>
        </r>
      </text>
    </comment>
    <comment ref="C370" authorId="1" shapeId="0">
      <text>
        <r>
          <rPr>
            <b/>
            <sz val="9"/>
            <color indexed="81"/>
            <rFont val="Tahoma"/>
            <family val="2"/>
          </rPr>
          <t>Windows User:</t>
        </r>
        <r>
          <rPr>
            <sz val="9"/>
            <color indexed="81"/>
            <rFont val="Tahoma"/>
            <family val="2"/>
          </rPr>
          <t xml:space="preserve">
BKI032210021840
BKI032210021246
BKI032210021741
BKI032210021758
BKI032210022046
</t>
        </r>
      </text>
    </comment>
    <comment ref="L370" authorId="0" shapeId="0">
      <text>
        <r>
          <rPr>
            <b/>
            <sz val="9"/>
            <color indexed="81"/>
            <rFont val="Tahoma"/>
            <family val="2"/>
          </rPr>
          <t>PCI:</t>
        </r>
        <r>
          <rPr>
            <sz val="9"/>
            <color indexed="81"/>
            <rFont val="Tahoma"/>
            <family val="2"/>
          </rPr>
          <t xml:space="preserve">
09/06/21
10/06/21
15/06/21
26/06/21
</t>
        </r>
      </text>
    </comment>
    <comment ref="C382" authorId="0" shapeId="0">
      <text>
        <r>
          <rPr>
            <b/>
            <sz val="9"/>
            <color indexed="81"/>
            <rFont val="Tahoma"/>
            <family val="2"/>
          </rPr>
          <t>PCI:</t>
        </r>
        <r>
          <rPr>
            <sz val="9"/>
            <color indexed="81"/>
            <rFont val="Tahoma"/>
            <family val="2"/>
          </rPr>
          <t xml:space="preserve">
BKI032210021592
BKI032210022194
BKI032210022186
BKI032210022814
BKI032210022939
BKI032210022947</t>
        </r>
      </text>
    </comment>
    <comment ref="C383" authorId="0" shapeId="0">
      <text>
        <r>
          <rPr>
            <b/>
            <sz val="9"/>
            <color indexed="81"/>
            <rFont val="Tahoma"/>
            <family val="2"/>
          </rPr>
          <t>PCI:</t>
        </r>
        <r>
          <rPr>
            <sz val="9"/>
            <color indexed="81"/>
            <rFont val="Tahoma"/>
            <family val="2"/>
          </rPr>
          <t xml:space="preserve">
BKI032210021592
BKI032210022194
BKI032210022186
BKI032210022814
BKI032210022939
BKI032210022947</t>
        </r>
      </text>
    </comment>
    <comment ref="C384" authorId="0" shapeId="0">
      <text>
        <r>
          <rPr>
            <b/>
            <sz val="9"/>
            <color indexed="81"/>
            <rFont val="Tahoma"/>
            <family val="2"/>
          </rPr>
          <t>PCI:</t>
        </r>
        <r>
          <rPr>
            <sz val="9"/>
            <color indexed="81"/>
            <rFont val="Tahoma"/>
            <family val="2"/>
          </rPr>
          <t xml:space="preserve">
BKI032210023051</t>
        </r>
      </text>
    </comment>
    <comment ref="C385" authorId="0" shapeId="0">
      <text>
        <r>
          <rPr>
            <b/>
            <sz val="9"/>
            <color indexed="81"/>
            <rFont val="Tahoma"/>
            <family val="2"/>
          </rPr>
          <t>PCI:</t>
        </r>
        <r>
          <rPr>
            <sz val="9"/>
            <color indexed="81"/>
            <rFont val="Tahoma"/>
            <family val="2"/>
          </rPr>
          <t xml:space="preserve">
BKI032210021717
BKI032210021709</t>
        </r>
      </text>
    </comment>
    <comment ref="C388" authorId="0" shapeId="0">
      <text>
        <r>
          <rPr>
            <b/>
            <sz val="9"/>
            <color indexed="81"/>
            <rFont val="Tahoma"/>
            <family val="2"/>
          </rPr>
          <t>PCI:</t>
        </r>
        <r>
          <rPr>
            <sz val="9"/>
            <color indexed="81"/>
            <rFont val="Tahoma"/>
            <family val="2"/>
          </rPr>
          <t xml:space="preserve">
BKI032210023101
'BKI032210023093</t>
        </r>
      </text>
    </comment>
    <comment ref="C390" authorId="0" shapeId="0">
      <text>
        <r>
          <rPr>
            <b/>
            <sz val="9"/>
            <color indexed="81"/>
            <rFont val="Tahoma"/>
            <family val="2"/>
          </rPr>
          <t>PCI:</t>
        </r>
        <r>
          <rPr>
            <sz val="9"/>
            <color indexed="81"/>
            <rFont val="Tahoma"/>
            <family val="2"/>
          </rPr>
          <t xml:space="preserve">
BKI032210021113
BKI032210021337
BKI032210021410
BKI032210021899
BKI032210021121</t>
        </r>
      </text>
    </comment>
    <comment ref="C394" authorId="0" shapeId="0">
      <text>
        <r>
          <rPr>
            <b/>
            <sz val="9"/>
            <color indexed="81"/>
            <rFont val="Tahoma"/>
            <family val="2"/>
          </rPr>
          <t>PCI:</t>
        </r>
        <r>
          <rPr>
            <sz val="9"/>
            <color indexed="81"/>
            <rFont val="Tahoma"/>
            <family val="2"/>
          </rPr>
          <t xml:space="preserve">
BKI032210030973</t>
        </r>
      </text>
    </comment>
    <comment ref="C397" authorId="0" shapeId="0">
      <text>
        <r>
          <rPr>
            <b/>
            <sz val="9"/>
            <color indexed="81"/>
            <rFont val="Tahoma"/>
            <family val="2"/>
          </rPr>
          <t>PCI:</t>
        </r>
        <r>
          <rPr>
            <sz val="9"/>
            <color indexed="81"/>
            <rFont val="Tahoma"/>
            <family val="2"/>
          </rPr>
          <t xml:space="preserve">
BKI032210021600</t>
        </r>
      </text>
    </comment>
    <comment ref="E397" authorId="0" shapeId="0">
      <text>
        <r>
          <rPr>
            <b/>
            <sz val="9"/>
            <color indexed="81"/>
            <rFont val="Tahoma"/>
            <family val="2"/>
          </rPr>
          <t>PCI:</t>
        </r>
        <r>
          <rPr>
            <sz val="9"/>
            <color indexed="81"/>
            <rFont val="Tahoma"/>
            <family val="2"/>
          </rPr>
          <t xml:space="preserve">
BKI032210021600</t>
        </r>
      </text>
    </comment>
    <comment ref="C398" authorId="0" shapeId="0">
      <text>
        <r>
          <rPr>
            <b/>
            <sz val="9"/>
            <color indexed="81"/>
            <rFont val="Tahoma"/>
            <family val="2"/>
          </rPr>
          <t>PCI:</t>
        </r>
        <r>
          <rPr>
            <sz val="9"/>
            <color indexed="81"/>
            <rFont val="Tahoma"/>
            <family val="2"/>
          </rPr>
          <t xml:space="preserve">
BKI032210021949</t>
        </r>
      </text>
    </comment>
    <comment ref="E398" authorId="0" shapeId="0">
      <text>
        <r>
          <rPr>
            <b/>
            <sz val="9"/>
            <color indexed="81"/>
            <rFont val="Tahoma"/>
            <family val="2"/>
          </rPr>
          <t>PCI:</t>
        </r>
        <r>
          <rPr>
            <sz val="9"/>
            <color indexed="81"/>
            <rFont val="Tahoma"/>
            <family val="2"/>
          </rPr>
          <t xml:space="preserve">
BKI032210021949</t>
        </r>
      </text>
    </comment>
    <comment ref="C401" authorId="0" shapeId="0">
      <text>
        <r>
          <rPr>
            <b/>
            <sz val="9"/>
            <color indexed="81"/>
            <rFont val="Tahoma"/>
            <family val="2"/>
          </rPr>
          <t>PCI:</t>
        </r>
        <r>
          <rPr>
            <sz val="9"/>
            <color indexed="81"/>
            <rFont val="Tahoma"/>
            <family val="2"/>
          </rPr>
          <t xml:space="preserve">
BKI032210023481</t>
        </r>
      </text>
    </comment>
    <comment ref="E401" authorId="0" shapeId="0">
      <text>
        <r>
          <rPr>
            <b/>
            <sz val="9"/>
            <color indexed="81"/>
            <rFont val="Tahoma"/>
            <family val="2"/>
          </rPr>
          <t>PCI:</t>
        </r>
        <r>
          <rPr>
            <sz val="9"/>
            <color indexed="81"/>
            <rFont val="Tahoma"/>
            <family val="2"/>
          </rPr>
          <t xml:space="preserve">
BKI032210023481</t>
        </r>
      </text>
    </comment>
    <comment ref="C402" authorId="2" shapeId="0">
      <text>
        <r>
          <rPr>
            <b/>
            <sz val="9"/>
            <color indexed="81"/>
            <rFont val="Tahoma"/>
            <family val="2"/>
          </rPr>
          <t>lenovo:</t>
        </r>
        <r>
          <rPr>
            <sz val="9"/>
            <color indexed="81"/>
            <rFont val="Tahoma"/>
            <family val="2"/>
          </rPr>
          <t xml:space="preserve">
BKI032210020982
BKI032210021022
BKI032210021030
BKI032210021048
BKI032210021055
BKI032210021824
</t>
        </r>
      </text>
    </comment>
    <comment ref="G402" authorId="2" shapeId="0">
      <text>
        <r>
          <rPr>
            <b/>
            <sz val="9"/>
            <color indexed="81"/>
            <rFont val="Tahoma"/>
            <family val="2"/>
          </rPr>
          <t>lenovo:</t>
        </r>
        <r>
          <rPr>
            <sz val="9"/>
            <color indexed="81"/>
            <rFont val="Tahoma"/>
            <family val="2"/>
          </rPr>
          <t xml:space="preserve">
Banjarmasin
Semarang 
Tegal
Yogyakarta
Pekanbaru
Bukit Tinggi</t>
        </r>
      </text>
    </comment>
    <comment ref="C413" authorId="2" shapeId="0">
      <text>
        <r>
          <rPr>
            <b/>
            <sz val="9"/>
            <color indexed="81"/>
            <rFont val="Tahoma"/>
            <family val="2"/>
          </rPr>
          <t>lenovo:</t>
        </r>
        <r>
          <rPr>
            <sz val="9"/>
            <color indexed="81"/>
            <rFont val="Tahoma"/>
            <family val="2"/>
          </rPr>
          <t xml:space="preserve">
BKI032210023168
BKI032210023176
BKI032210023184
BKI032210023192
BKI032210023200
BKI032210023499</t>
        </r>
      </text>
    </comment>
    <comment ref="B419" authorId="2" shapeId="0">
      <text>
        <r>
          <rPr>
            <b/>
            <sz val="9"/>
            <color indexed="81"/>
            <rFont val="Tahoma"/>
            <family val="2"/>
          </rPr>
          <t>lenovo:</t>
        </r>
        <r>
          <rPr>
            <sz val="9"/>
            <color indexed="81"/>
            <rFont val="Tahoma"/>
            <family val="2"/>
          </rPr>
          <t xml:space="preserve">
04/06/2021
03/06/2021</t>
        </r>
      </text>
    </comment>
    <comment ref="C419" authorId="2" shapeId="0">
      <text>
        <r>
          <rPr>
            <b/>
            <sz val="9"/>
            <color indexed="81"/>
            <rFont val="Tahoma"/>
            <family val="2"/>
          </rPr>
          <t>lenovo:</t>
        </r>
        <r>
          <rPr>
            <sz val="9"/>
            <color indexed="81"/>
            <rFont val="Tahoma"/>
            <family val="2"/>
          </rPr>
          <t xml:space="preserve">
BKI032210021519
BKI032210021535</t>
        </r>
      </text>
    </comment>
    <comment ref="C422" authorId="2" shapeId="0">
      <text>
        <r>
          <rPr>
            <b/>
            <sz val="9"/>
            <color indexed="81"/>
            <rFont val="Tahoma"/>
            <family val="2"/>
          </rPr>
          <t>lenovo:</t>
        </r>
        <r>
          <rPr>
            <sz val="9"/>
            <color indexed="81"/>
            <rFont val="Tahoma"/>
            <family val="2"/>
          </rPr>
          <t xml:space="preserve">
BKI032210023069
BKI032210023036</t>
        </r>
      </text>
    </comment>
    <comment ref="B435" authorId="2" shapeId="0">
      <text>
        <r>
          <rPr>
            <b/>
            <sz val="9"/>
            <color indexed="81"/>
            <rFont val="Tahoma"/>
            <family val="2"/>
          </rPr>
          <t>lenovo:</t>
        </r>
        <r>
          <rPr>
            <sz val="9"/>
            <color indexed="81"/>
            <rFont val="Tahoma"/>
            <family val="2"/>
          </rPr>
          <t xml:space="preserve">
05/07/2021
05/07/2021
06/07/2021
06/07/2021
07/07/2021</t>
        </r>
      </text>
    </comment>
    <comment ref="C435" authorId="2" shapeId="0">
      <text>
        <r>
          <rPr>
            <b/>
            <sz val="9"/>
            <color indexed="81"/>
            <rFont val="Tahoma"/>
            <family val="2"/>
          </rPr>
          <t>lenovo:</t>
        </r>
        <r>
          <rPr>
            <sz val="9"/>
            <color indexed="81"/>
            <rFont val="Tahoma"/>
            <family val="2"/>
          </rPr>
          <t xml:space="preserve">
BKI032210023804
BKI032210023812
BKI032210024224
BKI032210024232
BKI032210024778
</t>
        </r>
      </text>
    </comment>
    <comment ref="C439" authorId="2" shapeId="0">
      <text>
        <r>
          <rPr>
            <b/>
            <sz val="9"/>
            <color indexed="81"/>
            <rFont val="Tahoma"/>
            <family val="2"/>
          </rPr>
          <t>lenovo:</t>
        </r>
        <r>
          <rPr>
            <sz val="9"/>
            <color indexed="81"/>
            <rFont val="Tahoma"/>
            <family val="2"/>
          </rPr>
          <t xml:space="preserve">
BKI032210024737
'BKI032210024745</t>
        </r>
      </text>
    </comment>
    <comment ref="C471" authorId="0" shapeId="0">
      <text>
        <r>
          <rPr>
            <b/>
            <sz val="9"/>
            <color indexed="81"/>
            <rFont val="Tahoma"/>
            <family val="2"/>
          </rPr>
          <t>PCI:</t>
        </r>
        <r>
          <rPr>
            <sz val="9"/>
            <color indexed="81"/>
            <rFont val="Tahoma"/>
            <family val="2"/>
          </rPr>
          <t xml:space="preserve">
BKI032210025189
BKI032210025254
BKI032210025353
BKI032210025437
'BKI032210025593
BKI032210025486
BKI032210025627
BKI032210026047
'BKI032210026195
BKI032210026377
</t>
        </r>
      </text>
    </comment>
    <comment ref="C484" authorId="0" shapeId="0">
      <text>
        <r>
          <rPr>
            <b/>
            <sz val="9"/>
            <color indexed="81"/>
            <rFont val="Tahoma"/>
            <family val="2"/>
          </rPr>
          <t>PCI:</t>
        </r>
        <r>
          <rPr>
            <sz val="9"/>
            <color indexed="81"/>
            <rFont val="Tahoma"/>
            <family val="2"/>
          </rPr>
          <t xml:space="preserve">
BKI032210026658
BKI32210026625</t>
        </r>
      </text>
    </comment>
    <comment ref="C485" authorId="0" shapeId="0">
      <text>
        <r>
          <rPr>
            <b/>
            <sz val="9"/>
            <color indexed="81"/>
            <rFont val="Tahoma"/>
            <family val="2"/>
          </rPr>
          <t>PCI:</t>
        </r>
        <r>
          <rPr>
            <sz val="9"/>
            <color indexed="81"/>
            <rFont val="Tahoma"/>
            <family val="2"/>
          </rPr>
          <t xml:space="preserve">
BKI032210026674
BKI032210026781</t>
        </r>
      </text>
    </comment>
    <comment ref="C487" authorId="0" shapeId="0">
      <text>
        <r>
          <rPr>
            <b/>
            <sz val="9"/>
            <color indexed="81"/>
            <rFont val="Tahoma"/>
            <family val="2"/>
          </rPr>
          <t>PCI:</t>
        </r>
        <r>
          <rPr>
            <sz val="9"/>
            <color indexed="81"/>
            <rFont val="Tahoma"/>
            <family val="2"/>
          </rPr>
          <t xml:space="preserve">
BKI032210028530</t>
        </r>
      </text>
    </comment>
    <comment ref="C490" authorId="0" shapeId="0">
      <text>
        <r>
          <rPr>
            <b/>
            <sz val="9"/>
            <color indexed="81"/>
            <rFont val="Tahoma"/>
            <family val="2"/>
          </rPr>
          <t>PCI:</t>
        </r>
        <r>
          <rPr>
            <sz val="9"/>
            <color indexed="81"/>
            <rFont val="Tahoma"/>
            <family val="2"/>
          </rPr>
          <t xml:space="preserve">
BKI032210028183</t>
        </r>
      </text>
    </comment>
    <comment ref="C504" authorId="0" shapeId="0">
      <text>
        <r>
          <rPr>
            <b/>
            <sz val="9"/>
            <color indexed="81"/>
            <rFont val="Tahoma"/>
            <family val="2"/>
          </rPr>
          <t>PCI:</t>
        </r>
        <r>
          <rPr>
            <sz val="9"/>
            <color indexed="81"/>
            <rFont val="Tahoma"/>
            <family val="2"/>
          </rPr>
          <t xml:space="preserve">
BKI032210028167</t>
        </r>
      </text>
    </comment>
    <comment ref="C505" authorId="0" shapeId="0">
      <text>
        <r>
          <rPr>
            <b/>
            <sz val="9"/>
            <color indexed="81"/>
            <rFont val="Tahoma"/>
            <family val="2"/>
          </rPr>
          <t>PCI:</t>
        </r>
        <r>
          <rPr>
            <sz val="9"/>
            <color indexed="81"/>
            <rFont val="Tahoma"/>
            <family val="2"/>
          </rPr>
          <t xml:space="preserve">
BKI032210027326
BKI032210027102
BKI032210027268
BKI032210027276
BKI032210027755
BKI032210027763
'BKI032210027987
BKI032210028795
BKI032210028308
BKI032210028415</t>
        </r>
      </text>
    </comment>
    <comment ref="C506" authorId="2" shapeId="0">
      <text>
        <r>
          <rPr>
            <b/>
            <sz val="9"/>
            <color indexed="81"/>
            <rFont val="Tahoma"/>
            <family val="2"/>
          </rPr>
          <t>lenovo:</t>
        </r>
        <r>
          <rPr>
            <sz val="9"/>
            <color indexed="81"/>
            <rFont val="Tahoma"/>
            <family val="2"/>
          </rPr>
          <t xml:space="preserve">
BKI032210028498
</t>
        </r>
      </text>
    </comment>
    <comment ref="B514" authorId="2" shapeId="0">
      <text>
        <r>
          <rPr>
            <b/>
            <sz val="9"/>
            <color indexed="81"/>
            <rFont val="Tahoma"/>
            <family val="2"/>
          </rPr>
          <t>lenovo:</t>
        </r>
        <r>
          <rPr>
            <sz val="9"/>
            <color indexed="81"/>
            <rFont val="Tahoma"/>
            <family val="2"/>
          </rPr>
          <t xml:space="preserve">
19-06-2021
19-06-2021
19-06-2021
19-06-2021
19-06-2021
21-06-2021
21-06-2021
21-06-2021
21-06-2021
21-06-2021</t>
        </r>
      </text>
    </comment>
    <comment ref="C514" authorId="2" shapeId="0">
      <text>
        <r>
          <rPr>
            <b/>
            <sz val="9"/>
            <color indexed="81"/>
            <rFont val="Tahoma"/>
            <family val="2"/>
          </rPr>
          <t>lenovo:</t>
        </r>
        <r>
          <rPr>
            <sz val="9"/>
            <color indexed="81"/>
            <rFont val="Tahoma"/>
            <family val="2"/>
          </rPr>
          <t xml:space="preserve">
BKI032210022483
BKI032210022236
'BKI032210022228
BKI032210022210
BKI032210022293
BKI032210022533
'BKI032210022541
BKI032210022574
BKI032210022558
BKI032210022509
</t>
        </r>
      </text>
    </comment>
    <comment ref="G514" authorId="2" shapeId="0">
      <text>
        <r>
          <rPr>
            <b/>
            <sz val="9"/>
            <color indexed="81"/>
            <rFont val="Tahoma"/>
            <family val="2"/>
          </rPr>
          <t>lenovo:</t>
        </r>
        <r>
          <rPr>
            <sz val="9"/>
            <color indexed="81"/>
            <rFont val="Tahoma"/>
            <family val="2"/>
          </rPr>
          <t xml:space="preserve">
Palu
Banjarmasin
Kota Baru 
Barabai 
Medan
Bandung
Bandung 
Sumedang
Padalarang
Bandung
</t>
        </r>
      </text>
    </comment>
    <comment ref="B515" authorId="2" shapeId="0">
      <text>
        <r>
          <rPr>
            <b/>
            <sz val="9"/>
            <color indexed="81"/>
            <rFont val="Tahoma"/>
            <family val="2"/>
          </rPr>
          <t>lenovo:</t>
        </r>
        <r>
          <rPr>
            <sz val="9"/>
            <color indexed="81"/>
            <rFont val="Tahoma"/>
            <family val="2"/>
          </rPr>
          <t xml:space="preserve">
21/06/2021
21/06/2021
21/06/2021
23-06-2021
</t>
        </r>
      </text>
    </comment>
    <comment ref="C515" authorId="2" shapeId="0">
      <text>
        <r>
          <rPr>
            <b/>
            <sz val="9"/>
            <color indexed="81"/>
            <rFont val="Tahoma"/>
            <family val="2"/>
          </rPr>
          <t>lenovo:</t>
        </r>
        <r>
          <rPr>
            <sz val="9"/>
            <color indexed="81"/>
            <rFont val="Tahoma"/>
            <family val="2"/>
          </rPr>
          <t xml:space="preserve">
BKI032210022699
BKI032210022707
BKI032210022723
BKI032210022756</t>
        </r>
      </text>
    </comment>
    <comment ref="G515" authorId="2" shapeId="0">
      <text>
        <r>
          <rPr>
            <b/>
            <sz val="9"/>
            <color indexed="81"/>
            <rFont val="Tahoma"/>
            <family val="2"/>
          </rPr>
          <t>lenovo:</t>
        </r>
        <r>
          <rPr>
            <sz val="9"/>
            <color indexed="81"/>
            <rFont val="Tahoma"/>
            <family val="2"/>
          </rPr>
          <t xml:space="preserve">
Serang
Karawang
Bogor
 Rangkasbelitung</t>
        </r>
      </text>
    </comment>
    <comment ref="C523" authorId="2" shapeId="0">
      <text>
        <r>
          <rPr>
            <b/>
            <sz val="9"/>
            <color indexed="81"/>
            <rFont val="Tahoma"/>
            <family val="2"/>
          </rPr>
          <t>lenovo:</t>
        </r>
        <r>
          <rPr>
            <sz val="9"/>
            <color indexed="81"/>
            <rFont val="Tahoma"/>
            <family val="2"/>
          </rPr>
          <t xml:space="preserve">
BKI032210022244
BKI032210022251
BKI032210022368
BKI032210022376
BKI032210022350
BKI032210022335
BKI032210022327
BKI032210022491
BKI032210022442
BKI032210022418
BKI032210022434
BKI032210022459
</t>
        </r>
      </text>
    </comment>
    <comment ref="G523" authorId="2" shapeId="0">
      <text>
        <r>
          <rPr>
            <b/>
            <sz val="9"/>
            <color indexed="81"/>
            <rFont val="Tahoma"/>
            <family val="2"/>
          </rPr>
          <t>lenovo:</t>
        </r>
        <r>
          <rPr>
            <sz val="9"/>
            <color indexed="81"/>
            <rFont val="Tahoma"/>
            <family val="2"/>
          </rPr>
          <t xml:space="preserve">
Tual
Ambon
Senggata
Nunukan
Sales Point Tanjung Redeb
Samarinda
Balikpapan
Sales Point Timaka
Sorong 
Merauke 
Jayapura</t>
        </r>
      </text>
    </comment>
    <comment ref="C531" authorId="2" shapeId="0">
      <text>
        <r>
          <rPr>
            <b/>
            <sz val="9"/>
            <color indexed="81"/>
            <rFont val="Tahoma"/>
            <family val="2"/>
          </rPr>
          <t>lenovo:</t>
        </r>
        <r>
          <rPr>
            <sz val="9"/>
            <color indexed="81"/>
            <rFont val="Tahoma"/>
            <family val="2"/>
          </rPr>
          <t xml:space="preserve">
BKI032210025783
BKI032210025791</t>
        </r>
      </text>
    </comment>
    <comment ref="B534" authorId="2" shapeId="0">
      <text>
        <r>
          <rPr>
            <b/>
            <sz val="9"/>
            <color indexed="81"/>
            <rFont val="Tahoma"/>
            <family val="2"/>
          </rPr>
          <t>lenovo:</t>
        </r>
        <r>
          <rPr>
            <sz val="9"/>
            <color indexed="81"/>
            <rFont val="Tahoma"/>
            <family val="2"/>
          </rPr>
          <t xml:space="preserve">
02/05/2021
03/05/2021
07/05/2021
07/05/2021
24/05/2021</t>
        </r>
      </text>
    </comment>
    <comment ref="C534" authorId="2" shapeId="0">
      <text>
        <r>
          <rPr>
            <b/>
            <sz val="9"/>
            <color indexed="81"/>
            <rFont val="Tahoma"/>
            <family val="2"/>
          </rPr>
          <t>lenovo:</t>
        </r>
        <r>
          <rPr>
            <sz val="9"/>
            <color indexed="81"/>
            <rFont val="Tahoma"/>
            <family val="2"/>
          </rPr>
          <t xml:space="preserve">
BKI032210018705
BKI032210019257
BKI032210019265
BKI032210020545</t>
        </r>
      </text>
    </comment>
    <comment ref="G534" authorId="2" shapeId="0">
      <text>
        <r>
          <rPr>
            <b/>
            <sz val="9"/>
            <color indexed="81"/>
            <rFont val="Tahoma"/>
            <family val="2"/>
          </rPr>
          <t>lenovo:</t>
        </r>
        <r>
          <rPr>
            <sz val="9"/>
            <color indexed="81"/>
            <rFont val="Tahoma"/>
            <family val="2"/>
          </rPr>
          <t xml:space="preserve">
Lampung
Prambulih
Medan
Pekan Baru
Tanjung Karang</t>
        </r>
      </text>
    </comment>
    <comment ref="B542" authorId="2" shapeId="0">
      <text>
        <r>
          <rPr>
            <b/>
            <sz val="9"/>
            <color indexed="81"/>
            <rFont val="Tahoma"/>
            <family val="2"/>
          </rPr>
          <t>lenovo:</t>
        </r>
        <r>
          <rPr>
            <sz val="9"/>
            <color indexed="81"/>
            <rFont val="Tahoma"/>
            <family val="2"/>
          </rPr>
          <t xml:space="preserve">
21/06/2021
21/06/2021
21/06/2021
23/06/2021</t>
        </r>
      </text>
    </comment>
    <comment ref="C542" authorId="2" shapeId="0">
      <text>
        <r>
          <rPr>
            <b/>
            <sz val="9"/>
            <color indexed="81"/>
            <rFont val="Tahoma"/>
            <family val="2"/>
          </rPr>
          <t>lenovo:</t>
        </r>
        <r>
          <rPr>
            <sz val="9"/>
            <color indexed="81"/>
            <rFont val="Tahoma"/>
            <family val="2"/>
          </rPr>
          <t xml:space="preserve">
BKI032210022269
BKI032210022277
BKI032210022285
BKI032210022319</t>
        </r>
      </text>
    </comment>
    <comment ref="G542" authorId="2" shapeId="0">
      <text>
        <r>
          <rPr>
            <b/>
            <sz val="9"/>
            <color indexed="81"/>
            <rFont val="Tahoma"/>
            <family val="2"/>
          </rPr>
          <t>lenovo:</t>
        </r>
        <r>
          <rPr>
            <sz val="9"/>
            <color indexed="81"/>
            <rFont val="Tahoma"/>
            <family val="2"/>
          </rPr>
          <t xml:space="preserve">
Pare Pare
Palopo
Lubuk Linggau
Manado</t>
        </r>
      </text>
    </comment>
    <comment ref="C547" authorId="2" shapeId="0">
      <text>
        <r>
          <rPr>
            <b/>
            <sz val="9"/>
            <color indexed="81"/>
            <rFont val="Tahoma"/>
            <family val="2"/>
          </rPr>
          <t>lenovo:</t>
        </r>
        <r>
          <rPr>
            <sz val="9"/>
            <color indexed="81"/>
            <rFont val="Tahoma"/>
            <family val="2"/>
          </rPr>
          <t xml:space="preserve">
BKI032210022384
BKI032210022392
BKI032210022400
BKI032210022426
BKI032210022467</t>
        </r>
      </text>
    </comment>
    <comment ref="G547" authorId="2" shapeId="0">
      <text>
        <r>
          <rPr>
            <b/>
            <sz val="9"/>
            <color indexed="81"/>
            <rFont val="Tahoma"/>
            <family val="2"/>
          </rPr>
          <t>lenovo:</t>
        </r>
        <r>
          <rPr>
            <sz val="9"/>
            <color indexed="81"/>
            <rFont val="Tahoma"/>
            <family val="2"/>
          </rPr>
          <t xml:space="preserve">
Nabire
Biak
Serui
Fak Fak
Manokwari</t>
        </r>
      </text>
    </comment>
    <comment ref="C548" authorId="2" shapeId="0">
      <text>
        <r>
          <rPr>
            <b/>
            <sz val="9"/>
            <color indexed="81"/>
            <rFont val="Tahoma"/>
            <family val="2"/>
          </rPr>
          <t>lenovo:</t>
        </r>
        <r>
          <rPr>
            <sz val="9"/>
            <color indexed="81"/>
            <rFont val="Tahoma"/>
            <family val="2"/>
          </rPr>
          <t xml:space="preserve">
BKI032210023598
BKI032210023614
BKI032210023622</t>
        </r>
      </text>
    </comment>
    <comment ref="G548" authorId="2" shapeId="0">
      <text>
        <r>
          <rPr>
            <b/>
            <sz val="9"/>
            <color indexed="81"/>
            <rFont val="Tahoma"/>
            <family val="2"/>
          </rPr>
          <t>lenovo:</t>
        </r>
        <r>
          <rPr>
            <sz val="9"/>
            <color indexed="81"/>
            <rFont val="Tahoma"/>
            <family val="2"/>
          </rPr>
          <t xml:space="preserve">
Sukabumi
Cianjur
Tasikmalaya</t>
        </r>
      </text>
    </comment>
    <comment ref="B549" authorId="2" shapeId="0">
      <text>
        <r>
          <rPr>
            <b/>
            <sz val="9"/>
            <color indexed="81"/>
            <rFont val="Tahoma"/>
            <family val="2"/>
          </rPr>
          <t>lenovo:</t>
        </r>
        <r>
          <rPr>
            <sz val="9"/>
            <color indexed="81"/>
            <rFont val="Tahoma"/>
            <family val="2"/>
          </rPr>
          <t xml:space="preserve">
21/07/2021
21/07/2021
19/07/2021
16/07/2021</t>
        </r>
      </text>
    </comment>
    <comment ref="C549" authorId="2" shapeId="0">
      <text>
        <r>
          <rPr>
            <b/>
            <sz val="9"/>
            <color indexed="81"/>
            <rFont val="Tahoma"/>
            <family val="2"/>
          </rPr>
          <t>lenovo:</t>
        </r>
        <r>
          <rPr>
            <sz val="9"/>
            <color indexed="81"/>
            <rFont val="Tahoma"/>
            <family val="2"/>
          </rPr>
          <t xml:space="preserve">
403311
403312
403303
BKI032210026351</t>
        </r>
      </text>
    </comment>
    <comment ref="G549" authorId="2" shapeId="0">
      <text>
        <r>
          <rPr>
            <b/>
            <sz val="9"/>
            <color indexed="81"/>
            <rFont val="Tahoma"/>
            <family val="2"/>
          </rPr>
          <t>lenovo:</t>
        </r>
        <r>
          <rPr>
            <sz val="9"/>
            <color indexed="81"/>
            <rFont val="Tahoma"/>
            <family val="2"/>
          </rPr>
          <t xml:space="preserve">
Jakarta Barat
Ancol
Bandung
Pulo Gadung</t>
        </r>
      </text>
    </comment>
    <comment ref="B550" authorId="2" shapeId="0">
      <text>
        <r>
          <rPr>
            <b/>
            <sz val="9"/>
            <color indexed="81"/>
            <rFont val="Tahoma"/>
            <family val="2"/>
          </rPr>
          <t>lenovo:</t>
        </r>
        <r>
          <rPr>
            <sz val="9"/>
            <color indexed="81"/>
            <rFont val="Tahoma"/>
            <family val="2"/>
          </rPr>
          <t xml:space="preserve">
15/07/2021
21/07/2021</t>
        </r>
      </text>
    </comment>
    <comment ref="C550" authorId="2" shapeId="0">
      <text>
        <r>
          <rPr>
            <b/>
            <sz val="9"/>
            <color indexed="81"/>
            <rFont val="Tahoma"/>
            <family val="2"/>
          </rPr>
          <t>lenovo:</t>
        </r>
        <r>
          <rPr>
            <sz val="9"/>
            <color indexed="81"/>
            <rFont val="Tahoma"/>
            <family val="2"/>
          </rPr>
          <t xml:space="preserve">
BKI032210026070
BKI032210027474
</t>
        </r>
      </text>
    </comment>
    <comment ref="C567" authorId="0" shapeId="0">
      <text>
        <r>
          <rPr>
            <b/>
            <sz val="9"/>
            <color indexed="81"/>
            <rFont val="Tahoma"/>
            <family val="2"/>
          </rPr>
          <t>PCI:</t>
        </r>
        <r>
          <rPr>
            <sz val="9"/>
            <color indexed="81"/>
            <rFont val="Tahoma"/>
            <family val="2"/>
          </rPr>
          <t xml:space="preserve">
BKI032210027169
BKI032210027151</t>
        </r>
      </text>
    </comment>
    <comment ref="C568" authorId="0" shapeId="0">
      <text>
        <r>
          <rPr>
            <b/>
            <sz val="9"/>
            <color indexed="81"/>
            <rFont val="Tahoma"/>
            <family val="2"/>
          </rPr>
          <t>PCI:</t>
        </r>
        <r>
          <rPr>
            <sz val="9"/>
            <color indexed="81"/>
            <rFont val="Tahoma"/>
            <family val="2"/>
          </rPr>
          <t xml:space="preserve">
BKI032210027342
BKI032210027359
BKI032210027367
BKI032210027706
BKI032210027680
BKI032210027698
BKI032210027599
BKI032210027631
BKI032210027615
BKI032210027649
BKI032210027581
BKI032210027607
BKI032210027656</t>
        </r>
      </text>
    </comment>
    <comment ref="C575" authorId="0" shapeId="0">
      <text>
        <r>
          <rPr>
            <b/>
            <sz val="9"/>
            <color indexed="81"/>
            <rFont val="Tahoma"/>
            <family val="2"/>
          </rPr>
          <t>PCI:</t>
        </r>
        <r>
          <rPr>
            <sz val="9"/>
            <color indexed="81"/>
            <rFont val="Tahoma"/>
            <family val="2"/>
          </rPr>
          <t xml:space="preserve">
BKI032210023655
BKI032210023648</t>
        </r>
      </text>
    </comment>
    <comment ref="C576" authorId="0" shapeId="0">
      <text>
        <r>
          <rPr>
            <b/>
            <sz val="9"/>
            <color indexed="81"/>
            <rFont val="Tahoma"/>
            <family val="2"/>
          </rPr>
          <t>PCI:</t>
        </r>
        <r>
          <rPr>
            <sz val="9"/>
            <color indexed="81"/>
            <rFont val="Tahoma"/>
            <family val="2"/>
          </rPr>
          <t xml:space="preserve">
BKI032210027896
BKI032210027920
BKI032210028068</t>
        </r>
      </text>
    </comment>
    <comment ref="C577" authorId="0" shapeId="0">
      <text>
        <r>
          <rPr>
            <b/>
            <sz val="9"/>
            <color indexed="81"/>
            <rFont val="Tahoma"/>
            <family val="2"/>
          </rPr>
          <t>PCI:</t>
        </r>
        <r>
          <rPr>
            <sz val="9"/>
            <color indexed="81"/>
            <rFont val="Tahoma"/>
            <family val="2"/>
          </rPr>
          <t xml:space="preserve">
BKI032210027011</t>
        </r>
      </text>
    </comment>
    <comment ref="C578" authorId="0" shapeId="0">
      <text>
        <r>
          <rPr>
            <b/>
            <sz val="9"/>
            <color indexed="81"/>
            <rFont val="Tahoma"/>
            <family val="2"/>
          </rPr>
          <t>PCI:</t>
        </r>
        <r>
          <rPr>
            <sz val="9"/>
            <color indexed="81"/>
            <rFont val="Tahoma"/>
            <family val="2"/>
          </rPr>
          <t xml:space="preserve">
'BKI032210028209</t>
        </r>
      </text>
    </comment>
    <comment ref="C594" authorId="0" shapeId="0">
      <text>
        <r>
          <rPr>
            <b/>
            <sz val="9"/>
            <color indexed="81"/>
            <rFont val="Tahoma"/>
            <family val="2"/>
          </rPr>
          <t>PCI:</t>
        </r>
        <r>
          <rPr>
            <sz val="9"/>
            <color indexed="81"/>
            <rFont val="Tahoma"/>
            <family val="2"/>
          </rPr>
          <t xml:space="preserve">
BKI032210028126
BKI032210028118
BKI032210028076
BKI032210028274
BKI032210028084
BKI032210026831
BKI032210026815
BKI032210028126
BKI032210026971</t>
        </r>
      </text>
    </comment>
    <comment ref="C596" authorId="2" shapeId="0">
      <text>
        <r>
          <rPr>
            <b/>
            <sz val="9"/>
            <color indexed="81"/>
            <rFont val="Tahoma"/>
            <family val="2"/>
          </rPr>
          <t>lenovo:</t>
        </r>
        <r>
          <rPr>
            <sz val="9"/>
            <color indexed="81"/>
            <rFont val="Tahoma"/>
            <family val="2"/>
          </rPr>
          <t xml:space="preserve">
BKI032210026914
BKI032210026930
BKI032210026955
BKI032210027300
BKI032210027318
BKI032210027334
BKI032210027417
BKI032210027425
BKI032210027433
BKI032210027771
BKI032210027789
BKI032210027912
BKI032210028100
BKI032210028134
BKI032210028266
BKI032210028282
BKI032210028290
BKI032210029371
BKI032210029389
BKI032210027441</t>
        </r>
      </text>
    </comment>
    <comment ref="C597" authorId="0" shapeId="0">
      <text>
        <r>
          <rPr>
            <b/>
            <sz val="9"/>
            <color indexed="81"/>
            <rFont val="Tahoma"/>
            <family val="2"/>
          </rPr>
          <t>PCI:</t>
        </r>
        <r>
          <rPr>
            <sz val="9"/>
            <color indexed="81"/>
            <rFont val="Tahoma"/>
            <family val="2"/>
          </rPr>
          <t xml:space="preserve">
BKI032210027375
BKI032210026922</t>
        </r>
      </text>
    </comment>
    <comment ref="C599" authorId="0" shapeId="0">
      <text>
        <r>
          <rPr>
            <b/>
            <sz val="9"/>
            <color indexed="81"/>
            <rFont val="Tahoma"/>
            <family val="2"/>
          </rPr>
          <t>PCI:</t>
        </r>
        <r>
          <rPr>
            <sz val="9"/>
            <color indexed="81"/>
            <rFont val="Tahoma"/>
            <family val="2"/>
          </rPr>
          <t xml:space="preserve">
BKI032210027797
BKI032210028084
BKI032210028092
BKI032210028225
BKI032210026112
BKI032210023127
BKI032210028233
</t>
        </r>
      </text>
    </comment>
    <comment ref="C603" authorId="2" shapeId="0">
      <text>
        <r>
          <rPr>
            <sz val="10"/>
            <color indexed="81"/>
            <rFont val="Tahoma"/>
            <family val="2"/>
          </rPr>
          <t>BKI032210028449
BKI032210028456
BKI032210028464
BKI032210028431</t>
        </r>
      </text>
    </comment>
    <comment ref="R603" authorId="0" shapeId="0">
      <text>
        <r>
          <rPr>
            <b/>
            <sz val="9"/>
            <color indexed="81"/>
            <rFont val="Tahoma"/>
            <family val="2"/>
          </rPr>
          <t>PCI:</t>
        </r>
        <r>
          <rPr>
            <sz val="9"/>
            <color indexed="81"/>
            <rFont val="Tahoma"/>
            <family val="2"/>
          </rPr>
          <t xml:space="preserve">
cas Mas Rian
</t>
        </r>
      </text>
    </comment>
    <comment ref="C611" authorId="0" shapeId="0">
      <text>
        <r>
          <rPr>
            <b/>
            <sz val="9"/>
            <color indexed="81"/>
            <rFont val="Tahoma"/>
            <family val="2"/>
          </rPr>
          <t>PCI:</t>
        </r>
        <r>
          <rPr>
            <sz val="9"/>
            <color indexed="81"/>
            <rFont val="Tahoma"/>
            <family val="2"/>
          </rPr>
          <t xml:space="preserve">
'BKI032210028977
BKI032210028969</t>
        </r>
      </text>
    </comment>
    <comment ref="C612" authorId="0" shapeId="0">
      <text>
        <r>
          <rPr>
            <b/>
            <sz val="9"/>
            <color indexed="81"/>
            <rFont val="Tahoma"/>
            <family val="2"/>
          </rPr>
          <t>PCI:</t>
        </r>
        <r>
          <rPr>
            <sz val="9"/>
            <color indexed="81"/>
            <rFont val="Tahoma"/>
            <family val="2"/>
          </rPr>
          <t xml:space="preserve">
'BKI032210026948
BKI032210027623
BKI032210027664
BKI032210027672
'BKI032210027714
BKI032210027722
BKI032210027805
BKI032210027813
BKI032210027821
BKI032210027839
BKI032210027847
BKI032210027862
BKI032210027870
 BKI032210027888
BKI032210027904
BKI032210027946</t>
        </r>
      </text>
    </comment>
    <comment ref="C614" authorId="0" shapeId="0">
      <text>
        <r>
          <rPr>
            <b/>
            <sz val="9"/>
            <color indexed="81"/>
            <rFont val="Tahoma"/>
            <family val="2"/>
          </rPr>
          <t>PCI:</t>
        </r>
        <r>
          <rPr>
            <sz val="9"/>
            <color indexed="81"/>
            <rFont val="Tahoma"/>
            <family val="2"/>
          </rPr>
          <t xml:space="preserve">
BKI032210028704</t>
        </r>
      </text>
    </comment>
    <comment ref="C617" authorId="0" shapeId="0">
      <text>
        <r>
          <rPr>
            <b/>
            <sz val="9"/>
            <color indexed="81"/>
            <rFont val="Tahoma"/>
            <family val="2"/>
          </rPr>
          <t>PCI:</t>
        </r>
        <r>
          <rPr>
            <sz val="9"/>
            <color indexed="81"/>
            <rFont val="Tahoma"/>
            <family val="2"/>
          </rPr>
          <t xml:space="preserve">
BKI032210029439
BKI032210029447
BKI032210029736
BKI032210029744</t>
        </r>
      </text>
    </comment>
    <comment ref="E617" authorId="0" shapeId="0">
      <text>
        <r>
          <rPr>
            <b/>
            <sz val="9"/>
            <color indexed="81"/>
            <rFont val="Tahoma"/>
            <family val="2"/>
          </rPr>
          <t>PCI:</t>
        </r>
        <r>
          <rPr>
            <sz val="9"/>
            <color indexed="81"/>
            <rFont val="Tahoma"/>
            <family val="2"/>
          </rPr>
          <t xml:space="preserve">
AWB No. 1654581821
AWB No. 7808307205
AWB No. 2100636823
AWB No. 7151187120</t>
        </r>
      </text>
    </comment>
    <comment ref="C618" authorId="0" shapeId="0">
      <text>
        <r>
          <rPr>
            <b/>
            <sz val="9"/>
            <color indexed="81"/>
            <rFont val="Tahoma"/>
            <family val="2"/>
          </rPr>
          <t>PCI:</t>
        </r>
        <r>
          <rPr>
            <sz val="9"/>
            <color indexed="81"/>
            <rFont val="Tahoma"/>
            <family val="2"/>
          </rPr>
          <t xml:space="preserve">
BKI032210028878</t>
        </r>
      </text>
    </comment>
    <comment ref="C619" authorId="0" shapeId="0">
      <text>
        <r>
          <rPr>
            <b/>
            <sz val="9"/>
            <color indexed="81"/>
            <rFont val="Tahoma"/>
            <family val="2"/>
          </rPr>
          <t>PCI:</t>
        </r>
        <r>
          <rPr>
            <sz val="9"/>
            <color indexed="81"/>
            <rFont val="Tahoma"/>
            <family val="2"/>
          </rPr>
          <t xml:space="preserve">
BKI032210028803
BKI032210028787
BKI032210028928
BKI032210028894
BKI032210028944
BKI032210029579
BKI032210029231
BKI032210029603
</t>
        </r>
      </text>
    </comment>
    <comment ref="C620" authorId="0" shapeId="0">
      <text>
        <r>
          <rPr>
            <b/>
            <sz val="9"/>
            <color indexed="81"/>
            <rFont val="Tahoma"/>
            <family val="2"/>
          </rPr>
          <t>PCI:</t>
        </r>
        <r>
          <rPr>
            <sz val="9"/>
            <color indexed="81"/>
            <rFont val="Tahoma"/>
            <family val="2"/>
          </rPr>
          <t xml:space="preserve">
BKI032210029793
'BKI03221002987
'BKI032210029868
BKI032210029785
BKI032210029876
BKI032210029751
BKI032210029884
BKI032210029819
BKI032210029777
BKI032210029843
BKI032210029769
BKI032210029850
</t>
        </r>
      </text>
    </comment>
    <comment ref="C622" authorId="0" shapeId="0">
      <text>
        <r>
          <rPr>
            <b/>
            <sz val="9"/>
            <color indexed="81"/>
            <rFont val="Tahoma"/>
            <family val="2"/>
          </rPr>
          <t>PCI:</t>
        </r>
        <r>
          <rPr>
            <sz val="9"/>
            <color indexed="81"/>
            <rFont val="Tahoma"/>
            <family val="2"/>
          </rPr>
          <t xml:space="preserve">
BKI032210029553
BKI032210029256
BKI032210029660
BKI032210029918
BKI032210029926
BKI032210029959
BKI032210029934
BKI032210029900
BKI032210029942
BKI032210030403
BKI032210030353
BKI032210030395
BKI032210030346
BKI032210030387
BKI032210029892
BKI032210030379
BKI032210030338
BKI032210030361
BKI032210030809
BKI032210030866</t>
        </r>
      </text>
    </comment>
    <comment ref="C623" authorId="0" shapeId="0">
      <text>
        <r>
          <rPr>
            <b/>
            <sz val="9"/>
            <color indexed="81"/>
            <rFont val="Tahoma"/>
            <family val="2"/>
          </rPr>
          <t>PCI:</t>
        </r>
        <r>
          <rPr>
            <sz val="9"/>
            <color indexed="81"/>
            <rFont val="Tahoma"/>
            <family val="2"/>
          </rPr>
          <t xml:space="preserve">
BKI032210029124
BKI032210031021</t>
        </r>
      </text>
    </comment>
    <comment ref="C627" authorId="0" shapeId="0">
      <text>
        <r>
          <rPr>
            <b/>
            <sz val="9"/>
            <color indexed="81"/>
            <rFont val="Tahoma"/>
            <family val="2"/>
          </rPr>
          <t>PCI:</t>
        </r>
        <r>
          <rPr>
            <sz val="9"/>
            <color indexed="81"/>
            <rFont val="Tahoma"/>
            <family val="2"/>
          </rPr>
          <t xml:space="preserve">
BKI032210029678
BKI032210029686
BKI032210029595
BKI032210029587
BKI032210029991
BKI032210030007
BKI032210030247
BKI032210030015
BKI032210030270
BKI032210030262
BKI032210030023
BKI032210030221
BKI032210029975
BKI032210029983
BKI032210030213
BKI032210030254
BKI032210029967
BKI032210030239
BKI032210030916
BKI032210030536
BKI032210030544
BKI032210030502
BKI032210030205
BKI032210030288
BKI032210031039
BKI032210030304
BKI032210030494
BKI032210030197
BKI032210030528
BKI032210031005
BKI032210030833
BKI032210030817
BKI032210030841
BKI032210031013
</t>
        </r>
      </text>
    </comment>
    <comment ref="C628" authorId="0" shapeId="0">
      <text>
        <r>
          <rPr>
            <b/>
            <sz val="9"/>
            <color indexed="81"/>
            <rFont val="Tahoma"/>
            <family val="2"/>
          </rPr>
          <t>PCI:</t>
        </r>
        <r>
          <rPr>
            <sz val="9"/>
            <color indexed="81"/>
            <rFont val="Tahoma"/>
            <family val="2"/>
          </rPr>
          <t xml:space="preserve">
BKI032210029207
BKI032210029215
BKI032210029645
'BKI032210029652
BKI032210029611
BKI032210030080
BKI032210030130
BKI032210030148
BKI032210030106
BKI032210030155
BKI032210030163
BKI032210030098
BKI032210030122
BKI032210030072
BKI032210030171
BKI032210030189
BKI032210030114
BKI032210030593
BKI032210030700
BKI032210030627
BKI032210030650
BKI032210030585
BKI032210030718
BKI032210030692
BKI032210030635
BKI032210030668
BKI032210030676
BKI032210030601
BKI032210030643
BKI032210030684
BKI032210030619
BKI032210030577</t>
        </r>
      </text>
    </comment>
    <comment ref="C629" authorId="0" shapeId="0">
      <text>
        <r>
          <rPr>
            <b/>
            <sz val="9"/>
            <color indexed="81"/>
            <rFont val="Tahoma"/>
            <family val="2"/>
          </rPr>
          <t>PCI:</t>
        </r>
        <r>
          <rPr>
            <sz val="9"/>
            <color indexed="81"/>
            <rFont val="Tahoma"/>
            <family val="2"/>
          </rPr>
          <t xml:space="preserve">
BKI032210028662</t>
        </r>
      </text>
    </comment>
    <comment ref="C630" authorId="0" shapeId="0">
      <text>
        <r>
          <rPr>
            <b/>
            <sz val="9"/>
            <color indexed="81"/>
            <rFont val="Tahoma"/>
            <family val="2"/>
          </rPr>
          <t>PCI:</t>
        </r>
        <r>
          <rPr>
            <sz val="9"/>
            <color indexed="81"/>
            <rFont val="Tahoma"/>
            <family val="2"/>
          </rPr>
          <t xml:space="preserve">
BKI032210029520
BKI032210031849
BKI032210029629
BKI032210029637
BKI032210030064
BKI032210030056
BKI032210030742
BKI032210030031
BKI032210030049
BKI032210030783
BKI032210030775
BKI032210030759
BKI032210031856
BKI032210031864
BKI032210031872
BKI032210031880
BKI032210031898
BKI032210032128
BKI032210031906
BKI032210031914
BKI032210031922
BKI032210031930
BKI032210031948
BKI032210031963
BKI032210031971
BKI032210031989
BKI032210031997
BKI032210032003
BKI032210032011
BKI032210032029
BKI032210032037
BKI032210032102
BKI032210032045
</t>
        </r>
      </text>
    </comment>
    <comment ref="C640" authorId="0" shapeId="0">
      <text>
        <r>
          <rPr>
            <b/>
            <sz val="9"/>
            <color indexed="81"/>
            <rFont val="Tahoma"/>
            <family val="2"/>
          </rPr>
          <t>PCI:</t>
        </r>
        <r>
          <rPr>
            <sz val="9"/>
            <color indexed="81"/>
            <rFont val="Tahoma"/>
            <family val="2"/>
          </rPr>
          <t xml:space="preserve">
BKI032210032375
BKI032210032367
BKI032210030858
BKI032210032409
BKI032210032425
BKI032210032474
BKI032210032490
BKI032210032763
BKI032210032771
BKI032210032805
BKI032210032789
BKI032210032797
BKI032210032813
BKI032210032821
BKI032210032839
BKI032210032847
BKI032210032854
BKI032210032870
BKI032210032862
</t>
        </r>
      </text>
    </comment>
    <comment ref="C641" authorId="0" shapeId="0">
      <text>
        <r>
          <rPr>
            <b/>
            <sz val="9"/>
            <color indexed="81"/>
            <rFont val="Tahoma"/>
            <family val="2"/>
          </rPr>
          <t>PCI:</t>
        </r>
        <r>
          <rPr>
            <sz val="9"/>
            <color indexed="81"/>
            <rFont val="Tahoma"/>
            <family val="2"/>
          </rPr>
          <t xml:space="preserve">
BKI032210032946
BKI032210032904
BKI032210032912
BKI032210032920
BKI032210032953
BKI032210032938
BKI032210032979
BKI032210033035
BKI032210033043
BKI032210033050
BKI032210033068
BKI032210033092
BKI032210033084
BKI032210033076
BKI032210033100
BKI032210033118
BKI032210033126
BKI032210033134
BKI032210033142
BKI032210033159
BKI032210033167
BKI032210033175
BKI032210033183
BKI032210033217
BKI032210033191
BKI032210033209
BKI032210033274
'BKI032210032961
BKI032210033027
BKI032210033225
BKI032210033233
BKI032210033241
BKI032210033258
BKI032210032995
BKI032210032987
</t>
        </r>
      </text>
    </comment>
    <comment ref="C642" authorId="0" shapeId="0">
      <text>
        <r>
          <rPr>
            <b/>
            <sz val="9"/>
            <color indexed="81"/>
            <rFont val="Tahoma"/>
            <family val="2"/>
          </rPr>
          <t>PCI:</t>
        </r>
        <r>
          <rPr>
            <sz val="9"/>
            <color indexed="81"/>
            <rFont val="Tahoma"/>
            <family val="2"/>
          </rPr>
          <t xml:space="preserve">
BKI032210032888
BKI032210032060
BKI032210032078
BKI032210033266
BKI032210032110
BKI032210033282</t>
        </r>
      </text>
    </comment>
    <comment ref="C643" authorId="0" shapeId="0">
      <text>
        <r>
          <rPr>
            <b/>
            <sz val="9"/>
            <color indexed="81"/>
            <rFont val="Tahoma"/>
            <family val="2"/>
          </rPr>
          <t>PCI:</t>
        </r>
        <r>
          <rPr>
            <sz val="9"/>
            <color indexed="81"/>
            <rFont val="Tahoma"/>
            <family val="2"/>
          </rPr>
          <t xml:space="preserve">
BKI032210030874
BKI032210033894
BKI032210033886
BKI032210030890
BKI032210030882
BKI032210033902
BKI032210033688
BKI032210033696
BKI032210033704
BKI032210033993
BKI032210033712
BKI032210033985
BKI032210033720
BKI032210033738
BKI032210033746
BKI032210033753
BKI032210033761
BKI032210033779
BKI032210033787
BKI032210033795
BKI032210033803
BKI032210033811
BKI032210033829
BKI032210033837
BKI032210033845
BKI032210033852
BKI032210033860
BKI032210033878</t>
        </r>
      </text>
    </comment>
    <comment ref="C647" authorId="0" shapeId="0">
      <text>
        <r>
          <rPr>
            <b/>
            <sz val="9"/>
            <color indexed="81"/>
            <rFont val="Tahoma"/>
            <family val="2"/>
          </rPr>
          <t>PCI:</t>
        </r>
        <r>
          <rPr>
            <sz val="9"/>
            <color indexed="81"/>
            <rFont val="Tahoma"/>
            <family val="2"/>
          </rPr>
          <t xml:space="preserve">
BKI032210034108
BKI032210034116
BKI032210034124
BKI032210034132
BKI032210034140
BKI032210034157
BKI032210034173
BKI032210034181
BKI032210034215
BKI032210034223
BKI032210035048
BKI032210034249
BKI032210034256
BKI032210034264
BKI032210034272
BKI032210034280
BKI032210034298
BKI032210034306
BKI032210034314
BKI032210034330
BKI032210034348
BKI03221003455
BKI032210034363
BKI032210034371
BKI032210034397</t>
        </r>
      </text>
    </comment>
    <comment ref="C648" authorId="0" shapeId="0">
      <text>
        <r>
          <rPr>
            <b/>
            <sz val="9"/>
            <color indexed="81"/>
            <rFont val="Tahoma"/>
            <family val="2"/>
          </rPr>
          <t>PCI:</t>
        </r>
        <r>
          <rPr>
            <sz val="9"/>
            <color indexed="81"/>
            <rFont val="Tahoma"/>
            <family val="2"/>
          </rPr>
          <t xml:space="preserve">
BKI032210035204
BKI032210035212
BKI032210035220
BKI032210035238
BKI032210035246
BKI032210035253
BKI032210035261
BKI032210035279
BKI032210035287
BKI032210035303
BKI032210035311
BKI032210036103
BKI032210035329
BKI032210035345
BKI032210035352
BKI032210035360
BKI032210035386
BKI032210035394
BKI032210036095
BKI032210035410
BKI032210035428
BKI032210035436
BKI032210035451
BKI032210035469
BKI032210036087
BKI032210035493
BKI032210035501
BKI032210035527
BKI032110035535
BKI032210035543
BKI032210035550
BKI032210035576
BKI032210036079
BKI032210035584
BKI032210035592
BKI032210035626
BKI032210035634
BKI032210035659
BKI032210035667
BKI032210036053
BKI032210035675
BKI032210036186
BKI032210035691
BKI032210035709
BKI032210036046
BKI032210035717
BKI032210035402
BKI032210036194
BKI032210035733
BKI032210035741
BKI032210035881
BKI032210035899
BKI032210035931
BKI032210035956
BKI032210035964</t>
        </r>
      </text>
    </comment>
    <comment ref="C658" authorId="0" shapeId="0">
      <text>
        <r>
          <rPr>
            <b/>
            <sz val="9"/>
            <color indexed="81"/>
            <rFont val="Tahoma"/>
            <family val="2"/>
          </rPr>
          <t>PCI:</t>
        </r>
        <r>
          <rPr>
            <sz val="9"/>
            <color indexed="81"/>
            <rFont val="Tahoma"/>
            <family val="2"/>
          </rPr>
          <t xml:space="preserve">
BKI032210028860
BKI032210028860</t>
        </r>
      </text>
    </comment>
    <comment ref="C660" authorId="0" shapeId="0">
      <text>
        <r>
          <rPr>
            <b/>
            <sz val="9"/>
            <color indexed="81"/>
            <rFont val="Tahoma"/>
            <family val="2"/>
          </rPr>
          <t>PCI:</t>
        </r>
        <r>
          <rPr>
            <sz val="9"/>
            <color indexed="81"/>
            <rFont val="Tahoma"/>
            <family val="2"/>
          </rPr>
          <t xml:space="preserve">
BKI032210028712
BKI032210028720
BKI03221002873
8BKI032210028746</t>
        </r>
      </text>
    </comment>
    <comment ref="C668" authorId="0" shapeId="0">
      <text>
        <r>
          <rPr>
            <b/>
            <sz val="9"/>
            <color indexed="81"/>
            <rFont val="Tahoma"/>
            <family val="2"/>
          </rPr>
          <t>PCI:</t>
        </r>
        <r>
          <rPr>
            <sz val="9"/>
            <color indexed="81"/>
            <rFont val="Tahoma"/>
            <family val="2"/>
          </rPr>
          <t xml:space="preserve">
BKI032210029280</t>
        </r>
      </text>
    </comment>
    <comment ref="C672" authorId="2" shapeId="0">
      <text>
        <r>
          <rPr>
            <b/>
            <sz val="9"/>
            <color indexed="81"/>
            <rFont val="Tahoma"/>
            <family val="2"/>
          </rPr>
          <t>lenovo:</t>
        </r>
        <r>
          <rPr>
            <sz val="9"/>
            <color indexed="81"/>
            <rFont val="Tahoma"/>
            <family val="2"/>
          </rPr>
          <t xml:space="preserve">
BKI032210029322
</t>
        </r>
      </text>
    </comment>
    <comment ref="C677" authorId="0" shapeId="0">
      <text>
        <r>
          <rPr>
            <b/>
            <sz val="9"/>
            <color indexed="81"/>
            <rFont val="Tahoma"/>
            <family val="2"/>
          </rPr>
          <t>PCI:</t>
        </r>
        <r>
          <rPr>
            <sz val="9"/>
            <color indexed="81"/>
            <rFont val="Tahoma"/>
            <family val="2"/>
          </rPr>
          <t xml:space="preserve">
BKI032210030478
BKI032210030460</t>
        </r>
      </text>
    </comment>
    <comment ref="C678" authorId="0" shapeId="0">
      <text>
        <r>
          <rPr>
            <b/>
            <sz val="9"/>
            <color indexed="81"/>
            <rFont val="Tahoma"/>
            <family val="2"/>
          </rPr>
          <t>PCI:</t>
        </r>
        <r>
          <rPr>
            <sz val="9"/>
            <color indexed="81"/>
            <rFont val="Tahoma"/>
            <family val="2"/>
          </rPr>
          <t xml:space="preserve">
BKI032210029025
BKI032210029033
BKI032210029041</t>
        </r>
      </text>
    </comment>
    <comment ref="L683" authorId="0" shapeId="0">
      <text>
        <r>
          <rPr>
            <b/>
            <sz val="9"/>
            <color indexed="81"/>
            <rFont val="Tahoma"/>
            <family val="2"/>
          </rPr>
          <t>PCI:</t>
        </r>
        <r>
          <rPr>
            <sz val="9"/>
            <color indexed="81"/>
            <rFont val="Tahoma"/>
            <family val="2"/>
          </rPr>
          <t xml:space="preserve">
19/08/21 10Jt
04/09/21 15Jt
19/09/21 20Jt
01/10/21 10Jt</t>
        </r>
      </text>
    </comment>
    <comment ref="C684" authorId="0" shapeId="0">
      <text>
        <r>
          <rPr>
            <b/>
            <sz val="9"/>
            <color indexed="81"/>
            <rFont val="Tahoma"/>
            <family val="2"/>
          </rPr>
          <t>PCI:</t>
        </r>
        <r>
          <rPr>
            <sz val="9"/>
            <color indexed="81"/>
            <rFont val="Tahoma"/>
            <family val="2"/>
          </rPr>
          <t xml:space="preserve">
BKI032210029413</t>
        </r>
      </text>
    </comment>
    <comment ref="C687" authorId="0" shapeId="0">
      <text>
        <r>
          <rPr>
            <b/>
            <sz val="9"/>
            <color indexed="81"/>
            <rFont val="Tahoma"/>
            <family val="2"/>
          </rPr>
          <t>PCI:</t>
        </r>
        <r>
          <rPr>
            <sz val="9"/>
            <color indexed="81"/>
            <rFont val="Tahoma"/>
            <family val="2"/>
          </rPr>
          <t xml:space="preserve">
BKI032210033647
BKI032210033654
BKI032210033662
</t>
        </r>
      </text>
    </comment>
    <comment ref="C707" authorId="0" shapeId="0">
      <text>
        <r>
          <rPr>
            <b/>
            <sz val="9"/>
            <color indexed="81"/>
            <rFont val="Tahoma"/>
            <family val="2"/>
          </rPr>
          <t>PCI:</t>
        </r>
        <r>
          <rPr>
            <sz val="9"/>
            <color indexed="81"/>
            <rFont val="Tahoma"/>
            <family val="2"/>
          </rPr>
          <t xml:space="preserve">
BKI032210036913
BKI032210035089
BKI032210035071
BKI032210036889</t>
        </r>
      </text>
    </comment>
    <comment ref="C734" authorId="0" shapeId="0">
      <text>
        <r>
          <rPr>
            <b/>
            <sz val="9"/>
            <color indexed="81"/>
            <rFont val="Tahoma"/>
            <family val="2"/>
          </rPr>
          <t>PCI:</t>
        </r>
        <r>
          <rPr>
            <sz val="9"/>
            <color indexed="81"/>
            <rFont val="Tahoma"/>
            <family val="2"/>
          </rPr>
          <t xml:space="preserve">
BKI032210032227</t>
        </r>
      </text>
    </comment>
    <comment ref="C741" authorId="0" shapeId="0">
      <text>
        <r>
          <rPr>
            <b/>
            <sz val="9"/>
            <color indexed="81"/>
            <rFont val="Tahoma"/>
            <family val="2"/>
          </rPr>
          <t>PCI:</t>
        </r>
        <r>
          <rPr>
            <sz val="9"/>
            <color indexed="81"/>
            <rFont val="Tahoma"/>
            <family val="2"/>
          </rPr>
          <t xml:space="preserve">
BKI032210034082
BKI032210034090
BKI032210034165
BKI032210034207
BKI032210034322
BKI032210034405
BKI032210034413
</t>
        </r>
      </text>
    </comment>
    <comment ref="C748" authorId="0" shapeId="0">
      <text>
        <r>
          <rPr>
            <b/>
            <sz val="9"/>
            <color indexed="81"/>
            <rFont val="Tahoma"/>
            <family val="2"/>
          </rPr>
          <t>PCI:</t>
        </r>
        <r>
          <rPr>
            <sz val="9"/>
            <color indexed="81"/>
            <rFont val="Tahoma"/>
            <family val="2"/>
          </rPr>
          <t xml:space="preserve">
BKI032210033308
BKI032210033316
BKI032210033357
BKI032210033365
BKI032210033373
BKI032210033399
BKI032210033407
BKI032210033415
BKI032210033423
BKI032210033431
BKI032210033449
BKI032210033456
BKI032210033464
BKI032210033472
BKI032210033480
BKI032210033498
BKI032210033506
BKI032210033514
BKI032210033522
BKI032210033530
BKI032210033548
BKI032210033555
BKI032210033563
BKI032210033571
BKI032210033589
BKI032210033597
BKI032210033605
</t>
        </r>
      </text>
    </comment>
    <comment ref="C749" authorId="0" shapeId="0">
      <text>
        <r>
          <rPr>
            <b/>
            <sz val="9"/>
            <color indexed="81"/>
            <rFont val="Tahoma"/>
            <family val="2"/>
          </rPr>
          <t>PCI:</t>
        </r>
        <r>
          <rPr>
            <sz val="9"/>
            <color indexed="81"/>
            <rFont val="Tahoma"/>
            <family val="2"/>
          </rPr>
          <t xml:space="preserve">
BKI032210032276
BKI032210032284
BKI032210032292
BKI032210032300
BKI032210032318
BKI032210032326
BKI032210032383
BKI032210032391
BKI032210032417
BKI032210032433
BKI032210032458
BKI032210032466
BKI032210032482
BKI032210032516
BKI032210032524
BKI032210032532
BKI032210032540
BKI032210032557
BKI032210032565
BKI032210032573
BKI032210032581
BKI032210032599
BKI032210032664
BKI032210032672
BKI032210032680
BKI032210032698
BKI032210032706
BKI032210032714
BKI032210032722
BKI032210032730
BKI032210032748
</t>
        </r>
      </text>
    </comment>
    <comment ref="C750" authorId="0" shapeId="0">
      <text>
        <r>
          <rPr>
            <b/>
            <sz val="9"/>
            <color indexed="81"/>
            <rFont val="Tahoma"/>
            <family val="2"/>
          </rPr>
          <t>PCI:</t>
        </r>
        <r>
          <rPr>
            <sz val="9"/>
            <color indexed="81"/>
            <rFont val="Tahoma"/>
            <family val="2"/>
          </rPr>
          <t xml:space="preserve">
BKI032210031237
BKI032210031245
BKI032210031427
BKI032210031435</t>
        </r>
      </text>
    </comment>
    <comment ref="C751" authorId="0" shapeId="0">
      <text>
        <r>
          <rPr>
            <b/>
            <sz val="9"/>
            <color indexed="81"/>
            <rFont val="Tahoma"/>
            <family val="2"/>
          </rPr>
          <t>PCI:</t>
        </r>
        <r>
          <rPr>
            <sz val="9"/>
            <color indexed="81"/>
            <rFont val="Tahoma"/>
            <family val="2"/>
          </rPr>
          <t xml:space="preserve">
BKI032210031781
BKI032210031799
BKI032210031807
BKI032210031823
BKI032210032144
BKI032210032151
BKI032210032169</t>
        </r>
      </text>
    </comment>
    <comment ref="C752" authorId="0" shapeId="0">
      <text>
        <r>
          <rPr>
            <b/>
            <sz val="9"/>
            <color indexed="81"/>
            <rFont val="Tahoma"/>
            <family val="2"/>
          </rPr>
          <t>PCI:</t>
        </r>
        <r>
          <rPr>
            <sz val="9"/>
            <color indexed="81"/>
            <rFont val="Tahoma"/>
            <family val="2"/>
          </rPr>
          <t xml:space="preserve">
BKI032210031260
BKI032210031278
BKI032210031286</t>
        </r>
      </text>
    </comment>
    <comment ref="C753" authorId="0" shapeId="0">
      <text>
        <r>
          <rPr>
            <b/>
            <sz val="9"/>
            <color indexed="81"/>
            <rFont val="Tahoma"/>
            <family val="2"/>
          </rPr>
          <t>PCI:</t>
        </r>
        <r>
          <rPr>
            <sz val="9"/>
            <color indexed="81"/>
            <rFont val="Tahoma"/>
            <family val="2"/>
          </rPr>
          <t xml:space="preserve">
BKI032210031682
BKI032210031690
BKI032210031708
BKI032210031716
BKI032210031724
BKI032210031732
BKI032210031740
BKI032210031757
BKI032210031765
</t>
        </r>
      </text>
    </comment>
    <comment ref="C754" authorId="0" shapeId="0">
      <text>
        <r>
          <rPr>
            <b/>
            <sz val="9"/>
            <color indexed="81"/>
            <rFont val="Tahoma"/>
            <family val="2"/>
          </rPr>
          <t>PCI:</t>
        </r>
        <r>
          <rPr>
            <sz val="9"/>
            <color indexed="81"/>
            <rFont val="Tahoma"/>
            <family val="2"/>
          </rPr>
          <t xml:space="preserve">
BKI032210031138
BKI032210031302
BKI032210031328</t>
        </r>
      </text>
    </comment>
    <comment ref="C758" authorId="0" shapeId="0">
      <text>
        <r>
          <rPr>
            <b/>
            <sz val="9"/>
            <color indexed="81"/>
            <rFont val="Tahoma"/>
            <family val="2"/>
          </rPr>
          <t>PCI:</t>
        </r>
        <r>
          <rPr>
            <sz val="9"/>
            <color indexed="81"/>
            <rFont val="Tahoma"/>
            <family val="2"/>
          </rPr>
          <t xml:space="preserve">
BKI032210034496
BKI032210034504
BKI032210034512
BKI032210036640
BKI032210036657
'BKI032210036665</t>
        </r>
      </text>
    </comment>
    <comment ref="C763" authorId="0" shapeId="0">
      <text>
        <r>
          <rPr>
            <b/>
            <sz val="9"/>
            <color indexed="81"/>
            <rFont val="Tahoma"/>
            <family val="2"/>
          </rPr>
          <t>PCI:</t>
        </r>
        <r>
          <rPr>
            <sz val="9"/>
            <color indexed="81"/>
            <rFont val="Tahoma"/>
            <family val="2"/>
          </rPr>
          <t xml:space="preserve">
BKI032210032607
BKI032210032623</t>
        </r>
      </text>
    </comment>
    <comment ref="C766" authorId="0" shapeId="0">
      <text>
        <r>
          <rPr>
            <b/>
            <sz val="9"/>
            <color indexed="81"/>
            <rFont val="Tahoma"/>
            <family val="2"/>
          </rPr>
          <t>PCI:</t>
        </r>
        <r>
          <rPr>
            <sz val="9"/>
            <color indexed="81"/>
            <rFont val="Tahoma"/>
            <family val="2"/>
          </rPr>
          <t xml:space="preserve">
BKI032210031104
BKI032210031120
BKI032210031146</t>
        </r>
      </text>
    </comment>
    <comment ref="C767" authorId="0" shapeId="0">
      <text>
        <r>
          <rPr>
            <b/>
            <sz val="9"/>
            <color indexed="81"/>
            <rFont val="Tahoma"/>
            <family val="2"/>
          </rPr>
          <t>PCI:</t>
        </r>
        <r>
          <rPr>
            <sz val="9"/>
            <color indexed="81"/>
            <rFont val="Tahoma"/>
            <family val="2"/>
          </rPr>
          <t xml:space="preserve">
BKI032210031476
BKI032210031484</t>
        </r>
      </text>
    </comment>
    <comment ref="C768" authorId="0" shapeId="0">
      <text>
        <r>
          <rPr>
            <b/>
            <sz val="9"/>
            <color indexed="81"/>
            <rFont val="Tahoma"/>
            <family val="2"/>
          </rPr>
          <t>PCI:</t>
        </r>
        <r>
          <rPr>
            <sz val="9"/>
            <color indexed="81"/>
            <rFont val="Tahoma"/>
            <family val="2"/>
          </rPr>
          <t xml:space="preserve">
BKI032210034587
BKI032210034694
BKI032210034702
BKI032210034710
BKI032210034728
BKI032210034736
BKI032210034744
BKI032210034751
BKI032210034769
BKI032210034777
BKI032210034785
BKI032210034793
BKI032210034801
BKI032210034819
BKI032210034827
603200001980
BKI032210034850
BKI032210034876
BKI032210034884
BKI032210034892
BKI032210034900
BKI032210034918
BKI032210034926
BKI032210034934
BKI032210034520</t>
        </r>
      </text>
    </comment>
    <comment ref="C769" authorId="0" shapeId="0">
      <text>
        <r>
          <rPr>
            <b/>
            <sz val="9"/>
            <color indexed="81"/>
            <rFont val="Tahoma"/>
            <family val="2"/>
          </rPr>
          <t>PCI:</t>
        </r>
        <r>
          <rPr>
            <sz val="9"/>
            <color indexed="81"/>
            <rFont val="Tahoma"/>
            <family val="2"/>
          </rPr>
          <t xml:space="preserve">
BKI032210034546
BKI032210034561
BKI032210034603
BKI032210034611
BKI032210034629
BKI032210034637
6032000001947
6032000001948
6032000001946
6032000001942
BKI032210035006
</t>
        </r>
      </text>
    </comment>
    <comment ref="C776" authorId="0" shapeId="0">
      <text>
        <r>
          <rPr>
            <b/>
            <sz val="9"/>
            <color indexed="81"/>
            <rFont val="Tahoma"/>
            <family val="2"/>
          </rPr>
          <t>PCI:</t>
        </r>
        <r>
          <rPr>
            <sz val="9"/>
            <color indexed="81"/>
            <rFont val="Tahoma"/>
            <family val="2"/>
          </rPr>
          <t xml:space="preserve">
BKI032210036129
BKI032210036111</t>
        </r>
      </text>
    </comment>
    <comment ref="C777" authorId="0" shapeId="0">
      <text>
        <r>
          <rPr>
            <b/>
            <sz val="9"/>
            <color indexed="81"/>
            <rFont val="Tahoma"/>
            <family val="2"/>
          </rPr>
          <t>PCI:</t>
        </r>
        <r>
          <rPr>
            <sz val="9"/>
            <color indexed="81"/>
            <rFont val="Tahoma"/>
            <family val="2"/>
          </rPr>
          <t xml:space="preserve">
BKI032210037234
BKI032210037218</t>
        </r>
      </text>
    </comment>
    <comment ref="P787" authorId="0" shapeId="0">
      <text>
        <r>
          <rPr>
            <b/>
            <sz val="9"/>
            <color indexed="81"/>
            <rFont val="Tahoma"/>
            <family val="2"/>
          </rPr>
          <t>PCI:</t>
        </r>
        <r>
          <rPr>
            <sz val="9"/>
            <color indexed="81"/>
            <rFont val="Tahoma"/>
            <family val="2"/>
          </rPr>
          <t xml:space="preserve">
ditanggal 23/12/21
</t>
        </r>
      </text>
    </comment>
    <comment ref="C832" authorId="0" shapeId="0">
      <text>
        <r>
          <rPr>
            <b/>
            <sz val="9"/>
            <color indexed="81"/>
            <rFont val="Tahoma"/>
            <family val="2"/>
          </rPr>
          <t>PCI:</t>
        </r>
        <r>
          <rPr>
            <sz val="9"/>
            <color indexed="81"/>
            <rFont val="Tahoma"/>
            <family val="2"/>
          </rPr>
          <t xml:space="preserve">
BKI032210037630</t>
        </r>
      </text>
    </comment>
    <comment ref="C840" authorId="0" shapeId="0">
      <text>
        <r>
          <rPr>
            <b/>
            <sz val="9"/>
            <color indexed="81"/>
            <rFont val="Tahoma"/>
            <family val="2"/>
          </rPr>
          <t>PCI:</t>
        </r>
        <r>
          <rPr>
            <sz val="9"/>
            <color indexed="81"/>
            <rFont val="Tahoma"/>
            <family val="2"/>
          </rPr>
          <t xml:space="preserve">
BKI032210036657
BKI032210036665</t>
        </r>
      </text>
    </comment>
    <comment ref="C844" authorId="0" shapeId="0">
      <text>
        <r>
          <rPr>
            <b/>
            <sz val="9"/>
            <color indexed="81"/>
            <rFont val="Tahoma"/>
            <family val="2"/>
          </rPr>
          <t>PCI:</t>
        </r>
        <r>
          <rPr>
            <sz val="9"/>
            <color indexed="81"/>
            <rFont val="Tahoma"/>
            <family val="2"/>
          </rPr>
          <t xml:space="preserve">
BKI032210039198
'BKI032210039206
BKI032210039214
BKI032210039222</t>
        </r>
      </text>
    </comment>
    <comment ref="H855" authorId="0" shapeId="0">
      <text>
        <r>
          <rPr>
            <b/>
            <sz val="9"/>
            <color indexed="81"/>
            <rFont val="Tahoma"/>
            <family val="2"/>
          </rPr>
          <t>PCI:</t>
        </r>
        <r>
          <rPr>
            <sz val="9"/>
            <color indexed="81"/>
            <rFont val="Tahoma"/>
            <family val="2"/>
          </rPr>
          <t xml:space="preserve">
HARGA ASLI 29JT</t>
        </r>
      </text>
    </comment>
    <comment ref="K855" authorId="0" shapeId="0">
      <text>
        <r>
          <rPr>
            <b/>
            <sz val="9"/>
            <color indexed="81"/>
            <rFont val="Tahoma"/>
            <family val="2"/>
          </rPr>
          <t>PCI:</t>
        </r>
        <r>
          <rPr>
            <sz val="9"/>
            <color indexed="81"/>
            <rFont val="Tahoma"/>
            <family val="2"/>
          </rPr>
          <t xml:space="preserve">
HARGA ASLI 29JT</t>
        </r>
      </text>
    </comment>
    <comment ref="H856" authorId="0" shapeId="0">
      <text>
        <r>
          <rPr>
            <b/>
            <sz val="9"/>
            <color indexed="81"/>
            <rFont val="Tahoma"/>
            <family val="2"/>
          </rPr>
          <t>PCI:</t>
        </r>
        <r>
          <rPr>
            <sz val="9"/>
            <color indexed="81"/>
            <rFont val="Tahoma"/>
            <family val="2"/>
          </rPr>
          <t xml:space="preserve">
HARGA ASLI 6JT</t>
        </r>
      </text>
    </comment>
    <comment ref="K856" authorId="0" shapeId="0">
      <text>
        <r>
          <rPr>
            <b/>
            <sz val="9"/>
            <color indexed="81"/>
            <rFont val="Tahoma"/>
            <family val="2"/>
          </rPr>
          <t>PCI:</t>
        </r>
        <r>
          <rPr>
            <sz val="9"/>
            <color indexed="81"/>
            <rFont val="Tahoma"/>
            <family val="2"/>
          </rPr>
          <t xml:space="preserve">
HARGA ASLI 6JT</t>
        </r>
      </text>
    </comment>
    <comment ref="H857" authorId="0" shapeId="0">
      <text>
        <r>
          <rPr>
            <b/>
            <sz val="9"/>
            <color indexed="81"/>
            <rFont val="Tahoma"/>
            <family val="2"/>
          </rPr>
          <t>PCI:</t>
        </r>
        <r>
          <rPr>
            <sz val="9"/>
            <color indexed="81"/>
            <rFont val="Tahoma"/>
            <family val="2"/>
          </rPr>
          <t xml:space="preserve">
HARGA ASLI 12JT</t>
        </r>
      </text>
    </comment>
    <comment ref="K857" authorId="0" shapeId="0">
      <text>
        <r>
          <rPr>
            <b/>
            <sz val="9"/>
            <color indexed="81"/>
            <rFont val="Tahoma"/>
            <family val="2"/>
          </rPr>
          <t>PCI:</t>
        </r>
        <r>
          <rPr>
            <sz val="9"/>
            <color indexed="81"/>
            <rFont val="Tahoma"/>
            <family val="2"/>
          </rPr>
          <t xml:space="preserve">
HARGA ASLI 12JT</t>
        </r>
      </text>
    </comment>
    <comment ref="H858" authorId="0" shapeId="0">
      <text>
        <r>
          <rPr>
            <b/>
            <sz val="9"/>
            <color indexed="81"/>
            <rFont val="Tahoma"/>
            <family val="2"/>
          </rPr>
          <t>PCI:</t>
        </r>
        <r>
          <rPr>
            <sz val="9"/>
            <color indexed="81"/>
            <rFont val="Tahoma"/>
            <family val="2"/>
          </rPr>
          <t xml:space="preserve">
HARGA ASLI 41JT</t>
        </r>
      </text>
    </comment>
    <comment ref="K858" authorId="0" shapeId="0">
      <text>
        <r>
          <rPr>
            <b/>
            <sz val="9"/>
            <color indexed="81"/>
            <rFont val="Tahoma"/>
            <family val="2"/>
          </rPr>
          <t>PCI:</t>
        </r>
        <r>
          <rPr>
            <sz val="9"/>
            <color indexed="81"/>
            <rFont val="Tahoma"/>
            <family val="2"/>
          </rPr>
          <t xml:space="preserve">
HARGA ASLI 41JT</t>
        </r>
      </text>
    </comment>
    <comment ref="M878" authorId="0" shapeId="0">
      <text>
        <r>
          <rPr>
            <b/>
            <sz val="9"/>
            <color indexed="81"/>
            <rFont val="Tahoma"/>
            <family val="2"/>
          </rPr>
          <t>PCI:</t>
        </r>
        <r>
          <rPr>
            <sz val="9"/>
            <color indexed="81"/>
            <rFont val="Tahoma"/>
            <family val="2"/>
          </rPr>
          <t xml:space="preserve">
claim
</t>
        </r>
      </text>
    </comment>
    <comment ref="M982" authorId="3" shapeId="0">
      <text>
        <r>
          <rPr>
            <b/>
            <sz val="9"/>
            <color indexed="81"/>
            <rFont val="Tahoma"/>
            <family val="2"/>
          </rPr>
          <t>ASUS:</t>
        </r>
        <r>
          <rPr>
            <sz val="9"/>
            <color indexed="81"/>
            <rFont val="Tahoma"/>
            <family val="2"/>
          </rPr>
          <t xml:space="preserve">
kerugian piutang
</t>
        </r>
      </text>
    </comment>
    <comment ref="M984" authorId="3" shapeId="0">
      <text>
        <r>
          <rPr>
            <b/>
            <sz val="9"/>
            <color indexed="81"/>
            <rFont val="Tahoma"/>
            <family val="2"/>
          </rPr>
          <t>ASUS:</t>
        </r>
        <r>
          <rPr>
            <sz val="9"/>
            <color indexed="81"/>
            <rFont val="Tahoma"/>
            <family val="2"/>
          </rPr>
          <t xml:space="preserve">
kerugian piutang
</t>
        </r>
      </text>
    </comment>
    <comment ref="M1000" authorId="0" shapeId="0">
      <text>
        <r>
          <rPr>
            <b/>
            <sz val="9"/>
            <color indexed="81"/>
            <rFont val="Tahoma"/>
            <family val="2"/>
          </rPr>
          <t>PCI:</t>
        </r>
        <r>
          <rPr>
            <sz val="9"/>
            <color indexed="81"/>
            <rFont val="Tahoma"/>
            <family val="2"/>
          </rPr>
          <t xml:space="preserve">
4.149.090 Fee Pa Fuad
</t>
        </r>
      </text>
    </comment>
    <comment ref="M1018" authorId="0" shapeId="0">
      <text>
        <r>
          <rPr>
            <b/>
            <sz val="9"/>
            <color indexed="81"/>
            <rFont val="Tahoma"/>
            <family val="2"/>
          </rPr>
          <t>PCI:</t>
        </r>
        <r>
          <rPr>
            <sz val="9"/>
            <color indexed="81"/>
            <rFont val="Tahoma"/>
            <family val="2"/>
          </rPr>
          <t xml:space="preserve">
FEE 681.030</t>
        </r>
      </text>
    </comment>
    <comment ref="M1086" authorId="0" shapeId="0">
      <text>
        <r>
          <rPr>
            <b/>
            <sz val="9"/>
            <color indexed="81"/>
            <rFont val="Tahoma"/>
            <family val="2"/>
          </rPr>
          <t>PCI:</t>
        </r>
        <r>
          <rPr>
            <sz val="9"/>
            <color indexed="81"/>
            <rFont val="Tahoma"/>
            <family val="2"/>
          </rPr>
          <t xml:space="preserve">
Fee 336.000
</t>
        </r>
      </text>
    </comment>
  </commentList>
</comments>
</file>

<file path=xl/comments3.xml><?xml version="1.0" encoding="utf-8"?>
<comments xmlns="http://schemas.openxmlformats.org/spreadsheetml/2006/main">
  <authors>
    <author>ASUS</author>
    <author>PCI</author>
  </authors>
  <commentList>
    <comment ref="L197" authorId="0" shapeId="0">
      <text>
        <r>
          <rPr>
            <b/>
            <sz val="9"/>
            <color indexed="81"/>
            <rFont val="Tahoma"/>
            <family val="2"/>
          </rPr>
          <t>ASUS:</t>
        </r>
        <r>
          <rPr>
            <sz val="9"/>
            <color indexed="81"/>
            <rFont val="Tahoma"/>
            <family val="2"/>
          </rPr>
          <t xml:space="preserve">
KELEBIHAN TF
</t>
        </r>
      </text>
    </comment>
    <comment ref="M301" authorId="1" shapeId="0">
      <text>
        <r>
          <rPr>
            <b/>
            <sz val="9"/>
            <color indexed="81"/>
            <rFont val="Tahoma"/>
            <family val="2"/>
          </rPr>
          <t xml:space="preserve">PCI:
Biaya Claim Kerusakan Barang
</t>
        </r>
      </text>
    </comment>
  </commentList>
</comments>
</file>

<file path=xl/comments4.xml><?xml version="1.0" encoding="utf-8"?>
<comments xmlns="http://schemas.openxmlformats.org/spreadsheetml/2006/main">
  <authors>
    <author>PCI</author>
  </authors>
  <commentList>
    <comment ref="K22" authorId="0" shapeId="0">
      <text>
        <r>
          <rPr>
            <b/>
            <sz val="9"/>
            <color indexed="81"/>
            <rFont val="Tahoma"/>
            <family val="2"/>
          </rPr>
          <t>PCI:</t>
        </r>
        <r>
          <rPr>
            <sz val="9"/>
            <color indexed="81"/>
            <rFont val="Tahoma"/>
            <family val="2"/>
          </rPr>
          <t xml:space="preserve">
pembayaran tagl 01 maret 2022
</t>
        </r>
      </text>
    </comment>
  </commentList>
</comments>
</file>

<file path=xl/comments5.xml><?xml version="1.0" encoding="utf-8"?>
<comments xmlns="http://schemas.openxmlformats.org/spreadsheetml/2006/main">
  <authors>
    <author>PCI</author>
  </authors>
  <commentList>
    <comment ref="C48" authorId="0" shapeId="0">
      <text>
        <r>
          <rPr>
            <b/>
            <sz val="9"/>
            <color indexed="81"/>
            <rFont val="Tahoma"/>
            <family val="2"/>
          </rPr>
          <t>PCI:</t>
        </r>
        <r>
          <rPr>
            <sz val="9"/>
            <color indexed="81"/>
            <rFont val="Tahoma"/>
            <family val="2"/>
          </rPr>
          <t xml:space="preserve">
'BKI032210018382
BKI032210018374</t>
        </r>
      </text>
    </comment>
    <comment ref="C49" authorId="0" shapeId="0">
      <text>
        <r>
          <rPr>
            <b/>
            <sz val="9"/>
            <color indexed="81"/>
            <rFont val="Tahoma"/>
            <family val="2"/>
          </rPr>
          <t>PCI:</t>
        </r>
        <r>
          <rPr>
            <sz val="9"/>
            <color indexed="81"/>
            <rFont val="Tahoma"/>
            <family val="2"/>
          </rPr>
          <t xml:space="preserve">
BKI032210018630
'BKI032210018606</t>
        </r>
      </text>
    </comment>
    <comment ref="C51" authorId="0" shapeId="0">
      <text>
        <r>
          <rPr>
            <b/>
            <sz val="9"/>
            <color indexed="81"/>
            <rFont val="Tahoma"/>
            <family val="2"/>
          </rPr>
          <t>PCI:</t>
        </r>
        <r>
          <rPr>
            <sz val="9"/>
            <color indexed="81"/>
            <rFont val="Tahoma"/>
            <family val="2"/>
          </rPr>
          <t xml:space="preserve">
BKI032210018689
BKI032210018697</t>
        </r>
      </text>
    </comment>
    <comment ref="C52" authorId="0" shapeId="0">
      <text>
        <r>
          <rPr>
            <b/>
            <sz val="9"/>
            <color indexed="81"/>
            <rFont val="Tahoma"/>
            <family val="2"/>
          </rPr>
          <t>PCI:</t>
        </r>
        <r>
          <rPr>
            <sz val="9"/>
            <color indexed="81"/>
            <rFont val="Tahoma"/>
            <family val="2"/>
          </rPr>
          <t xml:space="preserve">
400693
400691</t>
        </r>
      </text>
    </comment>
    <comment ref="C53" authorId="0" shapeId="0">
      <text>
        <r>
          <rPr>
            <b/>
            <sz val="9"/>
            <color indexed="81"/>
            <rFont val="Tahoma"/>
            <family val="2"/>
          </rPr>
          <t>PCI:</t>
        </r>
        <r>
          <rPr>
            <sz val="9"/>
            <color indexed="81"/>
            <rFont val="Tahoma"/>
            <family val="2"/>
          </rPr>
          <t xml:space="preserve">
400688
400689</t>
        </r>
      </text>
    </comment>
  </commentList>
</comments>
</file>

<file path=xl/comments6.xml><?xml version="1.0" encoding="utf-8"?>
<comments xmlns="http://schemas.openxmlformats.org/spreadsheetml/2006/main">
  <authors>
    <author>PCI</author>
  </authors>
  <commentList>
    <comment ref="C3" authorId="0" shapeId="0">
      <text>
        <r>
          <rPr>
            <b/>
            <sz val="9"/>
            <color indexed="81"/>
            <rFont val="Tahoma"/>
            <family val="2"/>
          </rPr>
          <t>PCI:</t>
        </r>
        <r>
          <rPr>
            <sz val="9"/>
            <color indexed="81"/>
            <rFont val="Tahoma"/>
            <family val="2"/>
          </rPr>
          <t xml:space="preserve">
'BKI032210016907
BKI032210016915</t>
        </r>
      </text>
    </comment>
    <comment ref="C4" authorId="0" shapeId="0">
      <text>
        <r>
          <rPr>
            <b/>
            <sz val="9"/>
            <color indexed="81"/>
            <rFont val="Tahoma"/>
            <family val="2"/>
          </rPr>
          <t>PCI:</t>
        </r>
        <r>
          <rPr>
            <sz val="9"/>
            <color indexed="81"/>
            <rFont val="Tahoma"/>
            <family val="2"/>
          </rPr>
          <t xml:space="preserve">
BKI032210018259
BKI032210017699</t>
        </r>
      </text>
    </comment>
    <comment ref="C5" authorId="0" shapeId="0">
      <text>
        <r>
          <rPr>
            <b/>
            <sz val="9"/>
            <color indexed="81"/>
            <rFont val="Tahoma"/>
            <family val="2"/>
          </rPr>
          <t>PCI:</t>
        </r>
        <r>
          <rPr>
            <sz val="9"/>
            <color indexed="81"/>
            <rFont val="Tahoma"/>
            <family val="2"/>
          </rPr>
          <t xml:space="preserve">
BKI032210018424</t>
        </r>
      </text>
    </comment>
  </commentList>
</comments>
</file>

<file path=xl/sharedStrings.xml><?xml version="1.0" encoding="utf-8"?>
<sst xmlns="http://schemas.openxmlformats.org/spreadsheetml/2006/main" count="10143" uniqueCount="5182">
  <si>
    <t>Tanggal</t>
  </si>
  <si>
    <t>DP</t>
  </si>
  <si>
    <t>Sisa Piutang</t>
  </si>
  <si>
    <t>Transfer</t>
  </si>
  <si>
    <t>PT. Tensindo Kreasi Nusantara</t>
  </si>
  <si>
    <t>PT. Fokus Indo Lighting</t>
  </si>
  <si>
    <t>NO</t>
  </si>
  <si>
    <t>Airwaybil</t>
  </si>
  <si>
    <t>PENGIRIM</t>
  </si>
  <si>
    <t>TUJUAN</t>
  </si>
  <si>
    <t>JUAL</t>
  </si>
  <si>
    <t>NO. INVOICE</t>
  </si>
  <si>
    <t>MAKASAR</t>
  </si>
  <si>
    <t>PALEMBANG</t>
  </si>
  <si>
    <t>MEDAN</t>
  </si>
  <si>
    <t>PEKANBARU</t>
  </si>
  <si>
    <t>JAKARTA</t>
  </si>
  <si>
    <t>TANGGERANG</t>
  </si>
  <si>
    <t>PT. MENARA WARNA INDONESIA</t>
  </si>
  <si>
    <t>TIMIKA</t>
  </si>
  <si>
    <t>SIDOARJO</t>
  </si>
  <si>
    <t>BATAM</t>
  </si>
  <si>
    <t>BANGKA</t>
  </si>
  <si>
    <t>BUKIT TINGGI</t>
  </si>
  <si>
    <t>BENGKULU</t>
  </si>
  <si>
    <t>JAMBI</t>
  </si>
  <si>
    <t>LUBUK LINGGAU</t>
  </si>
  <si>
    <t>SURABAYA</t>
  </si>
  <si>
    <t>BANDAR LAMPUNG</t>
  </si>
  <si>
    <t>KARAWANG</t>
  </si>
  <si>
    <t>DENPASAR</t>
  </si>
  <si>
    <t>TEGAL</t>
  </si>
  <si>
    <t>BOGOR</t>
  </si>
  <si>
    <t>ACEH</t>
  </si>
  <si>
    <t>RIAU</t>
  </si>
  <si>
    <t>BANDUNG</t>
  </si>
  <si>
    <t>Total</t>
  </si>
  <si>
    <t>Phapros</t>
  </si>
  <si>
    <t>Piutang yg sdh di bayar</t>
  </si>
  <si>
    <t>Total Piutang</t>
  </si>
  <si>
    <t>Pelunasan</t>
  </si>
  <si>
    <t>BANJARMASIN</t>
  </si>
  <si>
    <t>Total bln Juni</t>
  </si>
  <si>
    <t>Total Piutang Keseluruhan</t>
  </si>
  <si>
    <t>DP   April s/d Juni</t>
  </si>
  <si>
    <t>Pelunasan  April s/d Juni</t>
  </si>
  <si>
    <t>Jumlah</t>
  </si>
  <si>
    <t>Disc</t>
  </si>
  <si>
    <t>POT. PPH 23</t>
  </si>
  <si>
    <t>Saldo Piutang/ DPP</t>
  </si>
  <si>
    <t>NILAI TF/ NILAI STLH PAJAK</t>
  </si>
  <si>
    <t>PT. UJP</t>
  </si>
  <si>
    <t xml:space="preserve"> 0223/PCI/IX/20</t>
  </si>
  <si>
    <t>CV. FASTINDO LOGISTIK</t>
  </si>
  <si>
    <t>0252/PCI/IX/20</t>
  </si>
  <si>
    <t xml:space="preserve"> ABX Trans Express Indonesia</t>
  </si>
  <si>
    <t>0258/PCI/X/20</t>
  </si>
  <si>
    <t>0264/PCI/X/20</t>
  </si>
  <si>
    <t>Bpk. Nurdin</t>
  </si>
  <si>
    <t>0267/PCI/X/20</t>
  </si>
  <si>
    <t>0274/PCI/X/20</t>
  </si>
  <si>
    <t>0276/PCI/X/20</t>
  </si>
  <si>
    <t>0218/PCI/XI/20</t>
  </si>
  <si>
    <t>0301/PCI/X/20</t>
  </si>
  <si>
    <t>DUTA NUSANTARA</t>
  </si>
  <si>
    <t>BINTANG BUNGSU</t>
  </si>
  <si>
    <t xml:space="preserve">CV. JASA ANDA </t>
  </si>
  <si>
    <t>LEHERI</t>
  </si>
  <si>
    <t>0340/PCI/XI/20</t>
  </si>
  <si>
    <t>0329/PCI/XI/20</t>
  </si>
  <si>
    <t>PT. NAFASTINDO</t>
  </si>
  <si>
    <t>PT. Surya Indo Baru</t>
  </si>
  <si>
    <t>0283/PCI/X/20</t>
  </si>
  <si>
    <t>PT. BANGGA  TEKNOLOGI INDONESIA</t>
  </si>
  <si>
    <t>0303/PCI/X/20</t>
  </si>
  <si>
    <t>PT. MEGA DUTA ARTHA MEGAH</t>
  </si>
  <si>
    <t xml:space="preserve"> 0304/PCI/X/20</t>
  </si>
  <si>
    <t>PAK ARI TIRTA</t>
  </si>
  <si>
    <t>SDM</t>
  </si>
  <si>
    <t>0343/PCI/XI/20</t>
  </si>
  <si>
    <t>0377/PCI/XI/20</t>
  </si>
  <si>
    <t>DINATA JAYA ( EDI)</t>
  </si>
  <si>
    <t>TPL SIDOARJO</t>
  </si>
  <si>
    <t>CV. JAYA SENTOSA</t>
  </si>
  <si>
    <t>JAKARTA MOVING</t>
  </si>
  <si>
    <t>CEVA LOGISTIK</t>
  </si>
  <si>
    <t>POTONGAN</t>
  </si>
  <si>
    <t xml:space="preserve">PT. CAHAYA MULTI TRANS </t>
  </si>
  <si>
    <t>0373/PCI/X/20</t>
  </si>
  <si>
    <t>0288/PCI/X/2020</t>
  </si>
  <si>
    <t>0461/PCI/XII/20</t>
  </si>
  <si>
    <t>0409/PCI/XII/20</t>
  </si>
  <si>
    <t>0348/PCI/XI/20</t>
  </si>
  <si>
    <t>0349/PCI/XI/20</t>
  </si>
  <si>
    <t>0428/PCI/XII/20</t>
  </si>
  <si>
    <t>0392/PCI/XI/20</t>
  </si>
  <si>
    <t>0414/PCI/XII/20</t>
  </si>
  <si>
    <t>0410/PCI/XII/20</t>
  </si>
  <si>
    <t>0391/PCI/XI/2020</t>
  </si>
  <si>
    <t>0429/PCI/XII/20</t>
  </si>
  <si>
    <t>0430/PCI/XII/20</t>
  </si>
  <si>
    <t>0431/PCI/XII/20</t>
  </si>
  <si>
    <t>0368/PCI/XI/20</t>
  </si>
  <si>
    <t>0472/PCI/XII/20</t>
  </si>
  <si>
    <t>003/PCI/K2/1/21</t>
  </si>
  <si>
    <t>0394/PCI/XI/20</t>
  </si>
  <si>
    <t>0381/PCI/XI/20</t>
  </si>
  <si>
    <t>0380/PCI/XI/20</t>
  </si>
  <si>
    <t>0415/PCI/XII/20</t>
  </si>
  <si>
    <t>0395/PCI/XI/20</t>
  </si>
  <si>
    <t>0484/PCI/XII/20</t>
  </si>
  <si>
    <t>0407/PCI/XII/20</t>
  </si>
  <si>
    <t>0463/PCI/XII/20</t>
  </si>
  <si>
    <t>0464/PCI/XII/20</t>
  </si>
  <si>
    <t>0460/PCI/XII/20</t>
  </si>
  <si>
    <t>PT. WINSON EXPRESS TRANSINDO</t>
  </si>
  <si>
    <t>0473/PCI/XII/20</t>
  </si>
  <si>
    <t xml:space="preserve">PT. ADYAWINSA ELECTRICAL AND POWER </t>
  </si>
  <si>
    <t>CV. FASATINDO</t>
  </si>
  <si>
    <t>0486/PCI/XII/20</t>
  </si>
  <si>
    <t>0454/PCI/XII/20</t>
  </si>
  <si>
    <t>0459/PCI/XII/20</t>
  </si>
  <si>
    <t>BAPA FAHRI</t>
  </si>
  <si>
    <t>0468/PCI/XII/20</t>
  </si>
  <si>
    <t>0469/PCI/XII/20</t>
  </si>
  <si>
    <t>0485/PCI/XII/20</t>
  </si>
  <si>
    <t>0470/PCI/XII/20</t>
  </si>
  <si>
    <t>0495/PCI/XII/20</t>
  </si>
  <si>
    <t>0498/PCI/XII/20</t>
  </si>
  <si>
    <t>LEN</t>
  </si>
  <si>
    <t>RISKI</t>
  </si>
  <si>
    <t xml:space="preserve">SURABAYA </t>
  </si>
  <si>
    <t>KOTA-KOTA</t>
  </si>
  <si>
    <t>SEMARANG</t>
  </si>
  <si>
    <t>jambi</t>
  </si>
  <si>
    <t xml:space="preserve">KARAWANG </t>
  </si>
  <si>
    <t>MIX</t>
  </si>
  <si>
    <t>RIAU, LHOKSEMAWE</t>
  </si>
  <si>
    <t>TANGGAL INVOICE</t>
  </si>
  <si>
    <t xml:space="preserve"> 05 Oktober 2020</t>
  </si>
  <si>
    <t>Jakarta - Kolaka</t>
  </si>
  <si>
    <t xml:space="preserve"> 0211/PCI/IX/20</t>
  </si>
  <si>
    <t>CIKARANG - TANGERANG</t>
  </si>
  <si>
    <t>CIKARANG - BOGOR</t>
  </si>
  <si>
    <t>CIKARANG - SERPONG</t>
  </si>
  <si>
    <t>0434/PCI/XII/20</t>
  </si>
  <si>
    <t>Karawang</t>
  </si>
  <si>
    <t>Cakung</t>
  </si>
  <si>
    <t>BUKITINGGI</t>
  </si>
  <si>
    <t>AWB00139</t>
  </si>
  <si>
    <t>AWB00143</t>
  </si>
  <si>
    <t>AWB00144</t>
  </si>
  <si>
    <t>KAB.NEGARA</t>
  </si>
  <si>
    <t xml:space="preserve">PEKANBARU </t>
  </si>
  <si>
    <t xml:space="preserve"> PT. PHAPROS SEMARANG </t>
  </si>
  <si>
    <t>Banjarmasin</t>
  </si>
  <si>
    <t>PT. Sumber Samudra Nusantra</t>
  </si>
  <si>
    <t>PT.Nafasido Trans Logistik</t>
  </si>
  <si>
    <t>LANGSIR BARANG PULO GADUNG - BINTARO</t>
  </si>
  <si>
    <t xml:space="preserve"> CV. Karya Mandiri</t>
  </si>
  <si>
    <t>000560</t>
  </si>
  <si>
    <t>Jakarta</t>
  </si>
  <si>
    <t>Pondok Labu</t>
  </si>
  <si>
    <t>Jambi</t>
  </si>
  <si>
    <t>0402/PCI/XI/20</t>
  </si>
  <si>
    <t>00191</t>
  </si>
  <si>
    <t>PULO GADUNG</t>
  </si>
  <si>
    <t>0403/PCI/XI/20</t>
  </si>
  <si>
    <t>MALIKU</t>
  </si>
  <si>
    <t>Semarang - Cilacap</t>
  </si>
  <si>
    <t>tanjung Pinang</t>
  </si>
  <si>
    <t>Sidoarjo</t>
  </si>
  <si>
    <t>PT. CMA Internasional</t>
  </si>
  <si>
    <t>400810&amp;400811</t>
  </si>
  <si>
    <t>0323/PCI/X/20</t>
  </si>
  <si>
    <t>MAMUJU</t>
  </si>
  <si>
    <t>TEGAL &amp; PORWODADI</t>
  </si>
  <si>
    <t>PURWOKERTO &amp; CILACAP</t>
  </si>
  <si>
    <t>400075 &amp; 400074</t>
  </si>
  <si>
    <t>010/PCI/KI/I/21</t>
  </si>
  <si>
    <t xml:space="preserve"> 0420/PCI/XII/2020</t>
  </si>
  <si>
    <t>AD Tek nologi</t>
  </si>
  <si>
    <t>PT. Indopintan Sukses Mandiri</t>
  </si>
  <si>
    <t>Sumut</t>
  </si>
  <si>
    <t xml:space="preserve"> 014/PCI/K1/I/21</t>
  </si>
  <si>
    <t>PPN</t>
  </si>
  <si>
    <t>Mamuju</t>
  </si>
  <si>
    <t>PT. Ayleen Afindo Internasional</t>
  </si>
  <si>
    <t>KARAWANG - PURWAKARTA</t>
  </si>
  <si>
    <t>017/PCI/K2/I/21</t>
  </si>
  <si>
    <t>Bekasi</t>
  </si>
  <si>
    <t xml:space="preserve"> PT. Duta Nusantara</t>
  </si>
  <si>
    <t>400033,34,35</t>
  </si>
  <si>
    <t>Kalimantan Aceh Sumatera</t>
  </si>
  <si>
    <t xml:space="preserve"> 002/PCI/K2/I/21</t>
  </si>
  <si>
    <t>CAKUNG</t>
  </si>
  <si>
    <t>PT. Expresindo Logistik Utama</t>
  </si>
  <si>
    <t>ZONE 2000 PT. RAMAYANA</t>
  </si>
  <si>
    <t xml:space="preserve"> 011/PCI/K2/I/21</t>
  </si>
  <si>
    <t>004</t>
  </si>
  <si>
    <t>TANJUNG PINANG</t>
  </si>
  <si>
    <t>Medan</t>
  </si>
  <si>
    <t>0494/PCI/XII/20</t>
  </si>
  <si>
    <t>0490/PCI/XII/20</t>
  </si>
  <si>
    <t>DESEMBER 2020</t>
  </si>
  <si>
    <t xml:space="preserve"> NOVEMBER 2020</t>
  </si>
  <si>
    <t xml:space="preserve"> OKTOBER 2020</t>
  </si>
  <si>
    <t>SEPTEMBER 2020</t>
  </si>
  <si>
    <t>GRAND TOTAL PIUTANG 2020</t>
  </si>
  <si>
    <t xml:space="preserve">BENGKULU </t>
  </si>
  <si>
    <t xml:space="preserve"> 0216/PCI/IX/20</t>
  </si>
  <si>
    <t>Karawang - Cakung</t>
  </si>
  <si>
    <t>0244/PCI/IX/20</t>
  </si>
  <si>
    <t>MAKASSAR - SIDOARJO</t>
  </si>
  <si>
    <t xml:space="preserve"> 0265/PCI/X/20</t>
  </si>
  <si>
    <t xml:space="preserve">PT.TIRTA (ARI TIRTA) </t>
  </si>
  <si>
    <t>006/PCI/K2/I/21</t>
  </si>
  <si>
    <t>007/PCI/K2/I/21</t>
  </si>
  <si>
    <t>JOGJA</t>
  </si>
  <si>
    <t>011/PCI/K1/I/21</t>
  </si>
  <si>
    <t>17/01/2021</t>
  </si>
  <si>
    <t>WN-11206</t>
  </si>
  <si>
    <t>012/PCI/K1/I/21</t>
  </si>
  <si>
    <t>013/PCI/K2/I/21</t>
  </si>
  <si>
    <t>400869</t>
  </si>
  <si>
    <t>BPK.  PURWOKO</t>
  </si>
  <si>
    <t>PT. GREAT GIANT PINEAPPLE</t>
  </si>
  <si>
    <t>014/PCI/K2/I/21</t>
  </si>
  <si>
    <t>016/PCI/K1/II/21</t>
  </si>
  <si>
    <t>016/PCI/K2/I/2021</t>
  </si>
  <si>
    <t>DAIKIN PALEMBANG</t>
  </si>
  <si>
    <t>018/PCI/K2/I/21</t>
  </si>
  <si>
    <t>TANGGERANG - BANDUNG</t>
  </si>
  <si>
    <t>019/PCI/K2/I/21</t>
  </si>
  <si>
    <t>PT. CMA INTERNASIONAL</t>
  </si>
  <si>
    <t>019A/PCI/K2/I/21</t>
  </si>
  <si>
    <t>020/PCI/K2/I/21</t>
  </si>
  <si>
    <t>021/PCI/K2/I/21</t>
  </si>
  <si>
    <t>022/PCI/K2/I/21</t>
  </si>
  <si>
    <t>BPK.  ALBERT</t>
  </si>
  <si>
    <t>SUMATERA SELATAN</t>
  </si>
  <si>
    <t>027/PCI/K2/I/21</t>
  </si>
  <si>
    <t>BBI CARG0</t>
  </si>
  <si>
    <t>028/PCI/K2/I/21</t>
  </si>
  <si>
    <t>402059</t>
  </si>
  <si>
    <t>CV. MKC EXPRESS</t>
  </si>
  <si>
    <t>029/PCI/K2/I/21</t>
  </si>
  <si>
    <t>PT. PANCA PRIMA MAJU BERSAMA</t>
  </si>
  <si>
    <t>SIBOLGA</t>
  </si>
  <si>
    <t>030/PCI/K2/I/21</t>
  </si>
  <si>
    <t>401574</t>
  </si>
  <si>
    <t>031/PCI/K2/I/21</t>
  </si>
  <si>
    <t>032/PCI/K2/I/21</t>
  </si>
  <si>
    <t>402058</t>
  </si>
  <si>
    <t>POLIWALIMANDAR</t>
  </si>
  <si>
    <t>033/PCI/K2/II/21</t>
  </si>
  <si>
    <t>034/PCI/K2/II/21</t>
  </si>
  <si>
    <t>035/PCI/K2/I/21</t>
  </si>
  <si>
    <t>037/PCI/K2/II/21</t>
  </si>
  <si>
    <t>040/PCI/K2/II/21</t>
  </si>
  <si>
    <t>PT. TENSINDO KREASI NUSANTARA</t>
  </si>
  <si>
    <t>BANDARA BARU KULON PROGO</t>
  </si>
  <si>
    <t>044/PCI/K2/II/21</t>
  </si>
  <si>
    <t>048/PCI/K2/II/21</t>
  </si>
  <si>
    <t>TEBING TINGGI</t>
  </si>
  <si>
    <t xml:space="preserve"> 049/PCI/K2/II/21</t>
  </si>
  <si>
    <t>PT. TIGA PERMATA EXPRESS (3PE)</t>
  </si>
  <si>
    <t>402104</t>
  </si>
  <si>
    <t>RSUD SERING SUMBAWA</t>
  </si>
  <si>
    <t>JANUARI 2021</t>
  </si>
  <si>
    <t>GRAND TOTAL PIUTANG 2021</t>
  </si>
  <si>
    <t>TOTAL PIUTANG</t>
  </si>
  <si>
    <t>TUKER2AN 24/02/21</t>
  </si>
  <si>
    <t>TUKER2AN 22/02/21</t>
  </si>
  <si>
    <t>018/PCI/K1/II/21</t>
  </si>
  <si>
    <t>534</t>
  </si>
  <si>
    <t>TANJUNG PINANG - KARAWANG</t>
  </si>
  <si>
    <t>078/PCI/K2/III/21</t>
  </si>
  <si>
    <t>29/01/21</t>
  </si>
  <si>
    <t>PT. SRIBOGA MARUGAME INDONESIA</t>
  </si>
  <si>
    <t>077/PCI/K2/III/21</t>
  </si>
  <si>
    <t>TANGERANG-BATAM</t>
  </si>
  <si>
    <t>047/PCI/K2/II/21</t>
  </si>
  <si>
    <t>TANGERANG-CIREBON</t>
  </si>
  <si>
    <t>056/PCI/K2/II/21</t>
  </si>
  <si>
    <t>TANGERANG-YOGYAKARTA</t>
  </si>
  <si>
    <t>055/PCI/K2/II/21</t>
  </si>
  <si>
    <t>045/PCI/K2/II/21</t>
  </si>
  <si>
    <t>042/PCI/K2/II/21</t>
  </si>
  <si>
    <t>402351</t>
  </si>
  <si>
    <t>PADANG</t>
  </si>
  <si>
    <t>402065</t>
  </si>
  <si>
    <t>050/PCI/K2/II/21</t>
  </si>
  <si>
    <t>023/PCI/K2/II/21</t>
  </si>
  <si>
    <t>16/02/21</t>
  </si>
  <si>
    <t>11324</t>
  </si>
  <si>
    <t>MARUDA-PONDOK UNGU</t>
  </si>
  <si>
    <t>020/PCI/K1/II/21</t>
  </si>
  <si>
    <t>18/02/21</t>
  </si>
  <si>
    <t>11325</t>
  </si>
  <si>
    <t>022/PCI/K1/II/21</t>
  </si>
  <si>
    <t>11490 &amp; 11493</t>
  </si>
  <si>
    <t>24/02/21</t>
  </si>
  <si>
    <t>MARUNDA-PONDOK UNGU</t>
  </si>
  <si>
    <t>024/PCI/K1/II/21</t>
  </si>
  <si>
    <t>402253</t>
  </si>
  <si>
    <t>TANGGERANG-BOGOR</t>
  </si>
  <si>
    <t>046/PCI/K2/II/21</t>
  </si>
  <si>
    <t>402402</t>
  </si>
  <si>
    <t>051/PCI/K2/II/21</t>
  </si>
  <si>
    <t>400256</t>
  </si>
  <si>
    <t>054/PCI/K2/II/21</t>
  </si>
  <si>
    <t>CIKARANG-CITEUREUP</t>
  </si>
  <si>
    <t>058/PCI/K2/II/21</t>
  </si>
  <si>
    <t>402260</t>
  </si>
  <si>
    <t>TANGERANG-BANDUNG</t>
  </si>
  <si>
    <t>059/PCI/K2/II/21</t>
  </si>
  <si>
    <t>15/02/21</t>
  </si>
  <si>
    <t>402257</t>
  </si>
  <si>
    <t>TANGERANG-BOGOR</t>
  </si>
  <si>
    <t>060/PCI/K2/II/21</t>
  </si>
  <si>
    <t>17/02/21</t>
  </si>
  <si>
    <t>402505</t>
  </si>
  <si>
    <t>062/PCI/K2/II/21</t>
  </si>
  <si>
    <t>19/02/21</t>
  </si>
  <si>
    <t>BAPAK FUAD</t>
  </si>
  <si>
    <t>YOGYAKARTA</t>
  </si>
  <si>
    <t>063/PCI/K2/II/21</t>
  </si>
  <si>
    <t>402356</t>
  </si>
  <si>
    <t>064/PCI/K2/II/21</t>
  </si>
  <si>
    <t>23/02/21</t>
  </si>
  <si>
    <t>402357</t>
  </si>
  <si>
    <t>065/PCI/K2/II/21</t>
  </si>
  <si>
    <t>BPK. DONI</t>
  </si>
  <si>
    <t>LAMPUNG</t>
  </si>
  <si>
    <t>066/PCI/K2/II/21</t>
  </si>
  <si>
    <t>068/PCI/K2/II/21</t>
  </si>
  <si>
    <t>069/PCI/K2/II/21</t>
  </si>
  <si>
    <t>402263</t>
  </si>
  <si>
    <t>070/PCI/K2/II/21</t>
  </si>
  <si>
    <t>402509</t>
  </si>
  <si>
    <t>KLATEN</t>
  </si>
  <si>
    <t>071/PCI/K2/II/21</t>
  </si>
  <si>
    <t>402364</t>
  </si>
  <si>
    <t>074/PCI/K2/II/21</t>
  </si>
  <si>
    <t>075/PCI/K2/III/21</t>
  </si>
  <si>
    <t>076/PCI/K2/III/21</t>
  </si>
  <si>
    <t>402366</t>
  </si>
  <si>
    <t>PT. SELERA HARUM INTI PANGAN</t>
  </si>
  <si>
    <t>BALIKPAPAN</t>
  </si>
  <si>
    <t>079/PCI/K2/III/21</t>
  </si>
  <si>
    <t>SINGAPORE</t>
  </si>
  <si>
    <t>082/PCI/K2/III/21</t>
  </si>
  <si>
    <t>402302</t>
  </si>
  <si>
    <t>CV. JASA ANDA EXPRESS</t>
  </si>
  <si>
    <t>PEKANBARU-TANGERANG</t>
  </si>
  <si>
    <t>20828</t>
  </si>
  <si>
    <t>PT. DEXSTER EXPRESS INDO</t>
  </si>
  <si>
    <t>400724</t>
  </si>
  <si>
    <t>PT. WIRYA KRENINDO PERKASA</t>
  </si>
  <si>
    <t>TANJUNG SELOR</t>
  </si>
  <si>
    <t>03192</t>
  </si>
  <si>
    <t>PEKANBARU-JAKARTA</t>
  </si>
  <si>
    <t>PEKANBARU-JAKARTA SELATAN</t>
  </si>
  <si>
    <t>PEKANBARU-JAKARTA BARAT</t>
  </si>
  <si>
    <t>400726</t>
  </si>
  <si>
    <t>PEKANBARU-DENPASAR</t>
  </si>
  <si>
    <t>401594</t>
  </si>
  <si>
    <t>400728</t>
  </si>
  <si>
    <t>402367</t>
  </si>
  <si>
    <t>402368</t>
  </si>
  <si>
    <t>LAMPUNG SELATAN</t>
  </si>
  <si>
    <t>FEBRUARI 2021</t>
  </si>
  <si>
    <t>027/PCI/K1/III/21</t>
  </si>
  <si>
    <t>Jatuh Tempo</t>
  </si>
  <si>
    <t>25/03/21</t>
  </si>
  <si>
    <t>11/03/21</t>
  </si>
  <si>
    <t>04/03/21</t>
  </si>
  <si>
    <t>18/03/21</t>
  </si>
  <si>
    <t>PT. GRATIA  JAYA MULYA</t>
  </si>
  <si>
    <t>084/PCI/K1/III/21</t>
  </si>
  <si>
    <t>ALL PROVINSI /HMS</t>
  </si>
  <si>
    <t>073/PCI/K2/II/21</t>
  </si>
  <si>
    <t>AREA JAWA / HMS</t>
  </si>
  <si>
    <t xml:space="preserve"> AML</t>
  </si>
  <si>
    <t>PEPSODENT</t>
  </si>
  <si>
    <t xml:space="preserve"> LIFEBUOY</t>
  </si>
  <si>
    <t>061/PCI/K2/II/21</t>
  </si>
  <si>
    <t>052/PCI/K2/II/21</t>
  </si>
  <si>
    <t xml:space="preserve">ADIDAYA LOGISTIK </t>
  </si>
  <si>
    <t>PERAWANG</t>
  </si>
  <si>
    <t>019/PCI/K1/II/21</t>
  </si>
  <si>
    <t>jambi,Bengkulu, bukittingi</t>
  </si>
  <si>
    <t>0355/PCI/XI/20</t>
  </si>
  <si>
    <t>KET</t>
  </si>
  <si>
    <t>JUMLAH</t>
  </si>
  <si>
    <t>LIFEBUOY</t>
  </si>
  <si>
    <t>AML</t>
  </si>
  <si>
    <t>SAMPOERNA</t>
  </si>
  <si>
    <t>TOTAL</t>
  </si>
  <si>
    <t>Februari 2021</t>
  </si>
  <si>
    <t>PT. Winson Express Transindo</t>
  </si>
  <si>
    <t>090/PCI/K2/III/21</t>
  </si>
  <si>
    <t>NO Faktur</t>
  </si>
  <si>
    <t>07259</t>
  </si>
  <si>
    <t>07053</t>
  </si>
  <si>
    <t>07474</t>
  </si>
  <si>
    <t>026/PCI/K1/III/21</t>
  </si>
  <si>
    <t>CIKARANG</t>
  </si>
  <si>
    <t>028/PCI/K1/III/21</t>
  </si>
  <si>
    <t xml:space="preserve"> 029/PCI/K1/III/21</t>
  </si>
  <si>
    <t>030/PCI/K1/III/21</t>
  </si>
  <si>
    <t>PT. Sriboga Marugame Indonesia</t>
  </si>
  <si>
    <t>Bandung, Karawang</t>
  </si>
  <si>
    <t>032/PCI/K1/III/21</t>
  </si>
  <si>
    <t>Solo Surakarta</t>
  </si>
  <si>
    <t>033/PCI/K1/III/21</t>
  </si>
  <si>
    <t>Bandung</t>
  </si>
  <si>
    <t>034/PCI/K1/III/21</t>
  </si>
  <si>
    <t>035/PCI/K1/III/21</t>
  </si>
  <si>
    <t>WN-11341</t>
  </si>
  <si>
    <t>Bogor</t>
  </si>
  <si>
    <t>Sentul</t>
  </si>
  <si>
    <t>036/PCI/K1/III/21</t>
  </si>
  <si>
    <t>PT. PUTRA MEGA PURNAMA</t>
  </si>
  <si>
    <t>Kudus</t>
  </si>
  <si>
    <t xml:space="preserve"> 037/PCI/K1/III/21</t>
  </si>
  <si>
    <t xml:space="preserve"> 038/PCI/K1/III/21</t>
  </si>
  <si>
    <t xml:space="preserve"> PT. LINI TRANS LOGISTIK</t>
  </si>
  <si>
    <t>402119, 21296</t>
  </si>
  <si>
    <t>Sintang, Jakarta dan Natuna</t>
  </si>
  <si>
    <t>039/PCI/K1/III/21</t>
  </si>
  <si>
    <t>PT. INCONCEPT SYNERGY</t>
  </si>
  <si>
    <t xml:space="preserve"> 080/PCI/K2/III/21</t>
  </si>
  <si>
    <t>Kelaoa Gading</t>
  </si>
  <si>
    <t>PT. MEGADUTA ARTHA MEGAH</t>
  </si>
  <si>
    <t>081/PCI/K2/III/21</t>
  </si>
  <si>
    <t>Kudus dan Subang</t>
  </si>
  <si>
    <t>402493,402491,402078</t>
  </si>
  <si>
    <t>PT. Dwi Rantau Persada</t>
  </si>
  <si>
    <t>Komering Ulu</t>
  </si>
  <si>
    <t>PT. Mega Arta Segaranusa</t>
  </si>
  <si>
    <t>083/PCI/K2/III/21</t>
  </si>
  <si>
    <t>085/PCI/K2/III/21</t>
  </si>
  <si>
    <t xml:space="preserve"> 086/PCI/K2/III/21</t>
  </si>
  <si>
    <t>087/PCI/K2/III/21</t>
  </si>
  <si>
    <t>088/PCI/K2/III/21</t>
  </si>
  <si>
    <t>Cirebon, Semarang</t>
  </si>
  <si>
    <t>089/PCI/K2/III/21</t>
  </si>
  <si>
    <t>091/PCI/K2/III/21</t>
  </si>
  <si>
    <t>092/PCI/K2/III/21</t>
  </si>
  <si>
    <t>India, Singapore, Jepang</t>
  </si>
  <si>
    <t xml:space="preserve"> 093/PCI/K2/III/21</t>
  </si>
  <si>
    <t>PT. Gagak Putih Logistik</t>
  </si>
  <si>
    <t>Gersik, Kediri</t>
  </si>
  <si>
    <t>400731, 400732,400733</t>
  </si>
  <si>
    <t>094/PCI/K2/III/21</t>
  </si>
  <si>
    <t>PT. KGP Cilegon</t>
  </si>
  <si>
    <t>Kupang</t>
  </si>
  <si>
    <t xml:space="preserve"> 095/PCI/K2/III/21</t>
  </si>
  <si>
    <t>096/PCI/K2/III/21</t>
  </si>
  <si>
    <t xml:space="preserve"> CV. FASTINDO LOGISTIK</t>
  </si>
  <si>
    <t>Tanggerang</t>
  </si>
  <si>
    <t xml:space="preserve"> 097/PCI/K2/III/21</t>
  </si>
  <si>
    <t>098/PCI/K2/III/21</t>
  </si>
  <si>
    <t>Brunai, Singapore, Malysia</t>
  </si>
  <si>
    <t>099/PCI/K2/III/21</t>
  </si>
  <si>
    <t>Palembang</t>
  </si>
  <si>
    <t>100/PCI/K2/III/21</t>
  </si>
  <si>
    <t>Bpk. Erwin</t>
  </si>
  <si>
    <t xml:space="preserve"> CV. MKC Express</t>
  </si>
  <si>
    <t xml:space="preserve"> 101/PCI/K2/III/21</t>
  </si>
  <si>
    <t>Jakarta Utara</t>
  </si>
  <si>
    <t>102/PCI/K2/III/21</t>
  </si>
  <si>
    <t>Bpk. Juanda</t>
  </si>
  <si>
    <t>103/PCI/K2/III/21</t>
  </si>
  <si>
    <t xml:space="preserve"> 104/PCI/K2/III/21</t>
  </si>
  <si>
    <t>Malang</t>
  </si>
  <si>
    <t>105/PCI/K2/III/21</t>
  </si>
  <si>
    <t xml:space="preserve"> PT. BST Logistik</t>
  </si>
  <si>
    <t>00353</t>
  </si>
  <si>
    <t xml:space="preserve">Claim Biaya Kehilangan </t>
  </si>
  <si>
    <t>106/PCI/K2/III/21</t>
  </si>
  <si>
    <t>107/PCI/K2/III/21</t>
  </si>
  <si>
    <t>Kebumen, Jogja</t>
  </si>
  <si>
    <t>400656, 400655</t>
  </si>
  <si>
    <t>108/PCI/K2/III/21</t>
  </si>
  <si>
    <t>Jepra, Kutoarjo</t>
  </si>
  <si>
    <t>13042 - 41913</t>
  </si>
  <si>
    <t>109/PCI/K2/III/21</t>
  </si>
  <si>
    <t>110/PCI/K2/III/21</t>
  </si>
  <si>
    <t>PT. Mahardika Telekomunikasi Indonesia</t>
  </si>
  <si>
    <t>Sumatera Selatan</t>
  </si>
  <si>
    <t>111/PCI/K2/III/21</t>
  </si>
  <si>
    <t>Ciracas Jakarta Timur</t>
  </si>
  <si>
    <t>112/PCI/K2/III/21</t>
  </si>
  <si>
    <t xml:space="preserve"> PT SEGORO INTAN PURAKA</t>
  </si>
  <si>
    <t>113/PCI/K2/III/21</t>
  </si>
  <si>
    <t xml:space="preserve"> 114/PCI/K2/III/21</t>
  </si>
  <si>
    <t xml:space="preserve"> Bpk. Asep Ruhiat</t>
  </si>
  <si>
    <t>Pekanbaru</t>
  </si>
  <si>
    <t xml:space="preserve"> 115/PCI/K2/III/21</t>
  </si>
  <si>
    <t>Ibu Yuni</t>
  </si>
  <si>
    <t>Pontianak</t>
  </si>
  <si>
    <t>Kelapa Gading</t>
  </si>
  <si>
    <t xml:space="preserve"> 040/PCI/K1/III/21</t>
  </si>
  <si>
    <t>041/PCI/K1/III/21</t>
  </si>
  <si>
    <t>Cirebin &amp; Semarang</t>
  </si>
  <si>
    <t>031/PCI/K1/III/21</t>
  </si>
  <si>
    <t>Singapore, Netherland, USA</t>
  </si>
  <si>
    <t>057/PCI/K2/II/21</t>
  </si>
  <si>
    <t>PT. TOTAL CHEMINDO LOKA (PCS)</t>
  </si>
  <si>
    <t>042/PCI/K1/III/21</t>
  </si>
  <si>
    <t>PT. LF SERVICE INDONESIA</t>
  </si>
  <si>
    <t>Serang</t>
  </si>
  <si>
    <t>042/PCI/K1/IV/21</t>
  </si>
  <si>
    <t>Solo</t>
  </si>
  <si>
    <t>043/PCI/K1/IV/21</t>
  </si>
  <si>
    <t>044/PCI/K1/IV/21</t>
  </si>
  <si>
    <t xml:space="preserve"> 045/PCI/K1/IV/21</t>
  </si>
  <si>
    <t xml:space="preserve"> 046/PCI/K1/IV/21</t>
  </si>
  <si>
    <t>Makassar</t>
  </si>
  <si>
    <t>116/PCI/K2/III/21</t>
  </si>
  <si>
    <t>Tanah Karo</t>
  </si>
  <si>
    <t xml:space="preserve"> 117/PCI/K2/III/21</t>
  </si>
  <si>
    <t>402816,17,18</t>
  </si>
  <si>
    <t>PALEMBANG 1,2 &amp; Pekanbaru</t>
  </si>
  <si>
    <t>118/PCI/K2/III/21</t>
  </si>
  <si>
    <t>401473, 4</t>
  </si>
  <si>
    <t>Bukittinggi &amp; Padang</t>
  </si>
  <si>
    <t>119/PCI/K2/III/21</t>
  </si>
  <si>
    <t>Bengkulu</t>
  </si>
  <si>
    <t>13042 - 074588</t>
  </si>
  <si>
    <t>Pemalang</t>
  </si>
  <si>
    <t>120/PCI/K2/IV/21</t>
  </si>
  <si>
    <t xml:space="preserve"> 121/PCI/K2/IV/21</t>
  </si>
  <si>
    <t>Bpk. Ari Tirta</t>
  </si>
  <si>
    <t>Cilacap &amp; Purwokerto</t>
  </si>
  <si>
    <t>Makassar 1</t>
  </si>
  <si>
    <t>GIANYAR BALI</t>
  </si>
  <si>
    <t>402535</t>
  </si>
  <si>
    <t>Lampung &amp; Kota Bumi</t>
  </si>
  <si>
    <t>Deliserdang, Kotabumi,Bengkulu Palembang &amp; Padang</t>
  </si>
  <si>
    <t>Metro</t>
  </si>
  <si>
    <t>Deli Serdang</t>
  </si>
  <si>
    <t>BKI032210009316</t>
  </si>
  <si>
    <t>BKI032210010447</t>
  </si>
  <si>
    <t>122/PCI/K2/IV/21</t>
  </si>
  <si>
    <t>PPH 23</t>
  </si>
  <si>
    <t>15/04/21</t>
  </si>
  <si>
    <t>08/04/21</t>
  </si>
  <si>
    <t>22/04/21</t>
  </si>
  <si>
    <t>MARET 2021</t>
  </si>
  <si>
    <t xml:space="preserve"> PT. Link Pasifik</t>
  </si>
  <si>
    <t>Duedate</t>
  </si>
  <si>
    <t>07475</t>
  </si>
  <si>
    <t>07476</t>
  </si>
  <si>
    <t>07477</t>
  </si>
  <si>
    <t>144/PCI/K2/IV/21</t>
  </si>
  <si>
    <t>0012259</t>
  </si>
  <si>
    <t>PAYMENT</t>
  </si>
  <si>
    <t>KLAIM</t>
  </si>
  <si>
    <t>047/PCI/K1/IV/21</t>
  </si>
  <si>
    <t>048/PCI/K1/IV/21</t>
  </si>
  <si>
    <t>049/PCI/K1/IV/21</t>
  </si>
  <si>
    <t>050/PCI/K1/IV/21</t>
  </si>
  <si>
    <t>PT. Total Mandiri Selaras</t>
  </si>
  <si>
    <t>'PO-TMS/2021/04/06-017</t>
  </si>
  <si>
    <t>051/PCI/K1/IV/21</t>
  </si>
  <si>
    <t>'MDN034210000018</t>
  </si>
  <si>
    <t xml:space="preserve"> 052/PCI/K1/IV/21</t>
  </si>
  <si>
    <t xml:space="preserve"> 053/PCI/K1/IV/21</t>
  </si>
  <si>
    <t>Jogja &amp; Surabaya</t>
  </si>
  <si>
    <t>054/PCI/K1/IV/21</t>
  </si>
  <si>
    <t xml:space="preserve"> PT. LF SERVICE INDONESIA</t>
  </si>
  <si>
    <t>Tanggerang &amp; Ciamis</t>
  </si>
  <si>
    <t xml:space="preserve"> 055/PCI/K1/IV/21</t>
  </si>
  <si>
    <t>MDN034210000018</t>
  </si>
  <si>
    <t>056/PCI/K1/IV/21</t>
  </si>
  <si>
    <t xml:space="preserve"> 22 April 2021</t>
  </si>
  <si>
    <t>057/PCI/K1/IV/21</t>
  </si>
  <si>
    <t>BKI032210017830</t>
  </si>
  <si>
    <t>Surabaya</t>
  </si>
  <si>
    <t>058/PCI/K1/IV/21</t>
  </si>
  <si>
    <t>Yogyakarta &amp; Surakarta</t>
  </si>
  <si>
    <t xml:space="preserve"> 059/PCI/K1/IV/21</t>
  </si>
  <si>
    <t>060/PCI/K1/IV/21</t>
  </si>
  <si>
    <t>061/PCI/K1/IV/21</t>
  </si>
  <si>
    <t>'BKI032210018127</t>
  </si>
  <si>
    <t xml:space="preserve"> 062/PCI/K1/IV/21</t>
  </si>
  <si>
    <t>PT. LINI TRANS LOGISTIK</t>
  </si>
  <si>
    <t>'BKI032210018101</t>
  </si>
  <si>
    <t>Maluku</t>
  </si>
  <si>
    <t xml:space="preserve"> 063/PCI/K1/IV/21</t>
  </si>
  <si>
    <t>Merauke</t>
  </si>
  <si>
    <t>BKI032210018119</t>
  </si>
  <si>
    <t xml:space="preserve"> 064/PCI/K1/IV/21</t>
  </si>
  <si>
    <t>BKI032210018226</t>
  </si>
  <si>
    <t>Nias</t>
  </si>
  <si>
    <t xml:space="preserve"> 065/PCI/K1/IV/21</t>
  </si>
  <si>
    <t>BKI032210018333</t>
  </si>
  <si>
    <t>Kranggan</t>
  </si>
  <si>
    <t>066/PCI/K1/IV/21</t>
  </si>
  <si>
    <t>067/PCI/K1/IV/21</t>
  </si>
  <si>
    <t>Singapore</t>
  </si>
  <si>
    <t>068/PCI/K1/IV/21</t>
  </si>
  <si>
    <t>Bengkulu &amp; Padang</t>
  </si>
  <si>
    <t xml:space="preserve"> 069/PCI/K1/IV/21</t>
  </si>
  <si>
    <t>Jakarta, Indramayu, Cirebon, Tanggerang</t>
  </si>
  <si>
    <t>070/PCI/K1/IV/21</t>
  </si>
  <si>
    <t>Surabaya &amp; Jogja</t>
  </si>
  <si>
    <t xml:space="preserve"> 123/PCI/K2/IV/21</t>
  </si>
  <si>
    <t>Bpk. Nurudin</t>
  </si>
  <si>
    <t>Bangka</t>
  </si>
  <si>
    <t>124/PCI/K2/IV/21</t>
  </si>
  <si>
    <t>125/PCI/K2/IV/21</t>
  </si>
  <si>
    <t>126/PCI/K2/IV/21</t>
  </si>
  <si>
    <t>127/PCI/K2/IV/21</t>
  </si>
  <si>
    <t xml:space="preserve"> PT. Total Mandiri Selaras</t>
  </si>
  <si>
    <t>PO-TMS/2021/04/06-017</t>
  </si>
  <si>
    <t>128/PCI/K2/IV/21</t>
  </si>
  <si>
    <t xml:space="preserve"> 129/PCI/K2/IV/21</t>
  </si>
  <si>
    <t>PT. Sentral Asia Cargo</t>
  </si>
  <si>
    <t>Austria</t>
  </si>
  <si>
    <t>130/PCI/K2/IV/21</t>
  </si>
  <si>
    <t xml:space="preserve"> 131/PCI/K2/IV/21</t>
  </si>
  <si>
    <t>Bandung &amp; Cirebon</t>
  </si>
  <si>
    <t>132/PCI/K2/IV/21</t>
  </si>
  <si>
    <t>133/PCI/K2/IV/21</t>
  </si>
  <si>
    <t>Bekasi &amp; Surabaya</t>
  </si>
  <si>
    <t>134/PCI/K2/IV/21</t>
  </si>
  <si>
    <t xml:space="preserve"> 135/PCI/K2/IV/21</t>
  </si>
  <si>
    <t>136/PCI/K2/IV/21</t>
  </si>
  <si>
    <t>137/PCI/K2/IV/21</t>
  </si>
  <si>
    <t>138/PCI/K2/IV/21</t>
  </si>
  <si>
    <t>BKI032210016493</t>
  </si>
  <si>
    <t xml:space="preserve"> 139/PCI/K2/IV/21</t>
  </si>
  <si>
    <t>Jogja, Kebumen, tanggerang</t>
  </si>
  <si>
    <t xml:space="preserve"> 140/PCI/K2/IV/21</t>
  </si>
  <si>
    <t>Bpk. Taufik</t>
  </si>
  <si>
    <t>141/PCI/K2/IV/21</t>
  </si>
  <si>
    <t>palembang, Lubuk Lingau, Batu Raja</t>
  </si>
  <si>
    <t xml:space="preserve"> 142/PCI/K2/IV/21</t>
  </si>
  <si>
    <t>BKI032210000380</t>
  </si>
  <si>
    <t>143/PCI/K2/IV/21</t>
  </si>
  <si>
    <t>Bondowoso</t>
  </si>
  <si>
    <t>Bpk. Alex</t>
  </si>
  <si>
    <t>Kabanjahe</t>
  </si>
  <si>
    <t xml:space="preserve"> 145/PCI/K2/IV/21</t>
  </si>
  <si>
    <t>146/PCI/K2/IV/21</t>
  </si>
  <si>
    <t>Bpk. Dwi Cahyo Purnomo</t>
  </si>
  <si>
    <t>147/PCI/K2/IV/21</t>
  </si>
  <si>
    <t xml:space="preserve"> PT. Bona Nusantara Raya Sakti</t>
  </si>
  <si>
    <t>Lampung</t>
  </si>
  <si>
    <t xml:space="preserve"> 148/PCI/K2/IV/21</t>
  </si>
  <si>
    <t>JKT, Tanggerang, Palembang</t>
  </si>
  <si>
    <t>149/PCI/K2/IV/21</t>
  </si>
  <si>
    <t>150/PCI/K2/IV/21</t>
  </si>
  <si>
    <t>Surabaya &amp; Tanggerang</t>
  </si>
  <si>
    <t>PT. Darma Cahaya Makmur</t>
  </si>
  <si>
    <t>151/PCI/K2/IV/21</t>
  </si>
  <si>
    <t xml:space="preserve"> 152/PCI/K2/IV/21</t>
  </si>
  <si>
    <t>ACT</t>
  </si>
  <si>
    <t>153/PCI/K2/IV/21</t>
  </si>
  <si>
    <t xml:space="preserve"> PT. TAMIANG LELEVATOR INDONESIA </t>
  </si>
  <si>
    <t>Aceh</t>
  </si>
  <si>
    <t>Nova Trans</t>
  </si>
  <si>
    <t>154/PCI/K2/IV/21</t>
  </si>
  <si>
    <t>Padang</t>
  </si>
  <si>
    <t>155/PCI/K2/IV/21</t>
  </si>
  <si>
    <t>Bpk. Mohamad Samba</t>
  </si>
  <si>
    <t>156/PCI/K2/IV/21</t>
  </si>
  <si>
    <t>157/PCI/K2/IV/21</t>
  </si>
  <si>
    <t>158/PCI/K2/IV/21</t>
  </si>
  <si>
    <t>Ibu Tari</t>
  </si>
  <si>
    <t>Grobongan</t>
  </si>
  <si>
    <t>159/PCI/K2/IV/21</t>
  </si>
  <si>
    <t>Banjarnegara</t>
  </si>
  <si>
    <t>160/PCI/K2/IV/21</t>
  </si>
  <si>
    <t xml:space="preserve"> 161/PCI/K2/IV/21</t>
  </si>
  <si>
    <t xml:space="preserve"> Bpk. Nugroho</t>
  </si>
  <si>
    <t>162/PCI/K2/IV/21</t>
  </si>
  <si>
    <t>Tanjung Karang Pusat</t>
  </si>
  <si>
    <t>BKI032210018655</t>
  </si>
  <si>
    <t>163/PCI/K2/IV/21</t>
  </si>
  <si>
    <t xml:space="preserve"> 164/PCI/K2/IV/21</t>
  </si>
  <si>
    <t>165/PCI/K2/IV/21</t>
  </si>
  <si>
    <t>166/PCI/K2/IV/21</t>
  </si>
  <si>
    <t>Riau</t>
  </si>
  <si>
    <t>PT. Dinamik</t>
  </si>
  <si>
    <t xml:space="preserve"> 167/PCI/K2/IV/21</t>
  </si>
  <si>
    <t>APRIL 2021</t>
  </si>
  <si>
    <t>INFO MAS RIAN SUDAH TF</t>
  </si>
  <si>
    <t>MATARAM</t>
  </si>
  <si>
    <t>Kupang, Lampung, Cirebon</t>
  </si>
  <si>
    <t>MEI 2021</t>
  </si>
  <si>
    <t>071/PCI/K1/V/21</t>
  </si>
  <si>
    <t>072/PCI/K1/V/21</t>
  </si>
  <si>
    <t xml:space="preserve"> 05 Mei 2021</t>
  </si>
  <si>
    <t xml:space="preserve"> PT. Sriboga Marugame Indonesia</t>
  </si>
  <si>
    <t>BKI032210018358</t>
  </si>
  <si>
    <t>BKI032210018440</t>
  </si>
  <si>
    <t>Cirebon</t>
  </si>
  <si>
    <t>073/PCI/K1/V/21</t>
  </si>
  <si>
    <t>BKI032210018366</t>
  </si>
  <si>
    <t xml:space="preserve"> 074/PCI/K1/V/21</t>
  </si>
  <si>
    <t>BKI032210018598</t>
  </si>
  <si>
    <t>075/PCI/K1/V/21</t>
  </si>
  <si>
    <t xml:space="preserve"> 076/PCI/K1/V/21</t>
  </si>
  <si>
    <t>BKI032210018671</t>
  </si>
  <si>
    <t>077/PCI/K1/V/21</t>
  </si>
  <si>
    <t xml:space="preserve"> 078/PCI/K1/V/21</t>
  </si>
  <si>
    <t>BKI032210018556</t>
  </si>
  <si>
    <t>NTT</t>
  </si>
  <si>
    <t>080/PCI/K1/V/21</t>
  </si>
  <si>
    <t>USA</t>
  </si>
  <si>
    <t>081/PCI/K1/V/21</t>
  </si>
  <si>
    <t>168/PCI/K2/V/21</t>
  </si>
  <si>
    <t>CV Arras Trans Nusantara (We Artrans)</t>
  </si>
  <si>
    <t xml:space="preserve">Pekanbaru </t>
  </si>
  <si>
    <t>169/PCI/K2/V/21</t>
  </si>
  <si>
    <t>BKI032210018713</t>
  </si>
  <si>
    <t>Mojokerto</t>
  </si>
  <si>
    <t>170/PCI/K2/V/21</t>
  </si>
  <si>
    <t>PT. Maramen Jaya Sentosa</t>
  </si>
  <si>
    <t>Jawa Timur</t>
  </si>
  <si>
    <t>BKI032210018093</t>
  </si>
  <si>
    <t>171/PCI/K2/V/21</t>
  </si>
  <si>
    <t>172/PCI/K2/V/21</t>
  </si>
  <si>
    <t>PT. Mitra Trans Logistik</t>
  </si>
  <si>
    <t>Semarang</t>
  </si>
  <si>
    <t>MES2104070051</t>
  </si>
  <si>
    <t>173/PCI/K2/V/21</t>
  </si>
  <si>
    <t xml:space="preserve"> 174/PCI/K2/V/21</t>
  </si>
  <si>
    <t>PT. Mitra Efektif Damai Lestari</t>
  </si>
  <si>
    <t>BKI032210018721</t>
  </si>
  <si>
    <t>BKI032210018028</t>
  </si>
  <si>
    <t xml:space="preserve"> 175/PCI/K2/V/21</t>
  </si>
  <si>
    <t xml:space="preserve"> 176/PCI/K2/V/21</t>
  </si>
  <si>
    <t xml:space="preserve"> 177/PCI/K2/V/21</t>
  </si>
  <si>
    <t>BKI032210019683</t>
  </si>
  <si>
    <t>DATA PIUTANG TOWER MEDIA BUKU DOGENG</t>
  </si>
  <si>
    <t>INVOICE</t>
  </si>
  <si>
    <t>SISA PIUTANG</t>
  </si>
  <si>
    <t>LUNAS</t>
  </si>
  <si>
    <t>DATA PIUTANG TOWER MEDIA DESEMBER - FEBRUARI</t>
  </si>
  <si>
    <t>178/PCI/K2/V/21</t>
  </si>
  <si>
    <t>JAWA</t>
  </si>
  <si>
    <t>179/PCI/K2/V/21</t>
  </si>
  <si>
    <t>REGULER</t>
  </si>
  <si>
    <t>DISCOUNT</t>
  </si>
  <si>
    <t>180/PCI/K2/V/21</t>
  </si>
  <si>
    <t>BY AIR</t>
  </si>
  <si>
    <t>181/PCI/K2/V/21</t>
  </si>
  <si>
    <t>175/PCI/K2/V/21</t>
  </si>
  <si>
    <t>13/05/21</t>
  </si>
  <si>
    <t>07161</t>
  </si>
  <si>
    <t>20/05/21</t>
  </si>
  <si>
    <t>0011625</t>
  </si>
  <si>
    <t>03/06/21</t>
  </si>
  <si>
    <t>0011735</t>
  </si>
  <si>
    <t>082/PCI/K1/V/21</t>
  </si>
  <si>
    <t>Bandung &amp; Karawang</t>
  </si>
  <si>
    <t>BKI032210019778</t>
  </si>
  <si>
    <t xml:space="preserve"> 083/PCI/K1/V/21</t>
  </si>
  <si>
    <t>BKI032210019802</t>
  </si>
  <si>
    <t>084/PCI/K1/V/21</t>
  </si>
  <si>
    <t>BKI032210020156</t>
  </si>
  <si>
    <t>085/PCI/K1/V/21</t>
  </si>
  <si>
    <t xml:space="preserve"> 086/PCI/K1/V/21</t>
  </si>
  <si>
    <t xml:space="preserve"> 087/PCI/K1/V/21</t>
  </si>
  <si>
    <t>MEDAN, Palembang, Lampung, Pekanbari, Aceh</t>
  </si>
  <si>
    <t>Cirebon &amp; Semarang</t>
  </si>
  <si>
    <t>BKI032210020081</t>
  </si>
  <si>
    <t>Bali</t>
  </si>
  <si>
    <t xml:space="preserve">Jawaan </t>
  </si>
  <si>
    <t>UDARA</t>
  </si>
  <si>
    <t>UDARA C2</t>
  </si>
  <si>
    <t>182/PCI/K2/V/21</t>
  </si>
  <si>
    <t>PT. MMSB / Bpk. Danu</t>
  </si>
  <si>
    <t>BKI032210020354</t>
  </si>
  <si>
    <t>31/04/2021</t>
  </si>
  <si>
    <t>Klaten</t>
  </si>
  <si>
    <t>183/PCI/K2/V/21</t>
  </si>
  <si>
    <t>BKI032210020172</t>
  </si>
  <si>
    <t>BKI03221001722</t>
  </si>
  <si>
    <t>BKI032210018242</t>
  </si>
  <si>
    <t>'BKI032210016923</t>
  </si>
  <si>
    <t>GRAND TOTAL PIUTANG</t>
  </si>
  <si>
    <t>184/PCI/K2/V/21</t>
  </si>
  <si>
    <t>NTB</t>
  </si>
  <si>
    <t>185/PCI/K2/V/21</t>
  </si>
  <si>
    <t>BKI032210019273</t>
  </si>
  <si>
    <t>Bukit Tinggi</t>
  </si>
  <si>
    <t>186/PCI/K2/V/21</t>
  </si>
  <si>
    <t xml:space="preserve"> 187/PCI/K2/V/21</t>
  </si>
  <si>
    <t>Dancow</t>
  </si>
  <si>
    <t>188/PCI/K2/V/21</t>
  </si>
  <si>
    <t>Kacamata</t>
  </si>
  <si>
    <t>189/PCI/K2/V/21</t>
  </si>
  <si>
    <t>Muara Enim</t>
  </si>
  <si>
    <t>BKI032210018168</t>
  </si>
  <si>
    <t>190/PCI/K2/V/21</t>
  </si>
  <si>
    <t>191/PCI/K2/V/21</t>
  </si>
  <si>
    <t>Cikarang &amp; Jakarta</t>
  </si>
  <si>
    <t xml:space="preserve"> 088/PCI/K1/V/21</t>
  </si>
  <si>
    <t>PO-2021-00482</t>
  </si>
  <si>
    <t>Tanjung Pinang</t>
  </si>
  <si>
    <t>089/PCI/K1/V/21</t>
  </si>
  <si>
    <t>Karawang &amp; Bandung</t>
  </si>
  <si>
    <t xml:space="preserve"> 090/PCI/K1/V/21</t>
  </si>
  <si>
    <t>Jogja</t>
  </si>
  <si>
    <t>178A/PCI/K2/V/21</t>
  </si>
  <si>
    <t>DATA PIUTANG TOWER MEDIA SAMPOERNA MARET - APRIL NEW</t>
  </si>
  <si>
    <t>179A/PCI/K2/V/21</t>
  </si>
  <si>
    <t>Pembayaran</t>
  </si>
  <si>
    <t>Masa Pembayaran</t>
  </si>
  <si>
    <t>Masa Pekerjaan</t>
  </si>
  <si>
    <t>ss</t>
  </si>
  <si>
    <t>0011737</t>
  </si>
  <si>
    <t>PT. PEERDANA CARGO SOLUTION</t>
  </si>
  <si>
    <t>BKI032210018705</t>
  </si>
  <si>
    <t>JAKARTA - LAMPUNG</t>
  </si>
  <si>
    <t>PLMPCI0988 - PRABUMULIH</t>
  </si>
  <si>
    <t>BKI032210019257</t>
  </si>
  <si>
    <t>BKI032210019265</t>
  </si>
  <si>
    <t>MESPCI1050 - MEDAN</t>
  </si>
  <si>
    <t>PKUPCI0752 - PEKANBARU KOTA</t>
  </si>
  <si>
    <t>PT. ACE OLDFILEDS</t>
  </si>
  <si>
    <t>Kudus, Surabaya</t>
  </si>
  <si>
    <t xml:space="preserve"> 219/PCI/K2/VI/21</t>
  </si>
  <si>
    <t>BKI032210020479</t>
  </si>
  <si>
    <t>MLGPCI0206 - MALANG</t>
  </si>
  <si>
    <t>BKI032210020545</t>
  </si>
  <si>
    <t>TKGPCI0526 - TANJUNG KARANG PUSAT</t>
  </si>
  <si>
    <t>BKI032210020628</t>
  </si>
  <si>
    <t>JOGPCI1096 - SLEMAN</t>
  </si>
  <si>
    <t>DPSPCI0078 - DENPASAR</t>
  </si>
  <si>
    <t>BDOPCI0132 - BANDUNG</t>
  </si>
  <si>
    <t>CGKPCI0225 - JAKARTA</t>
  </si>
  <si>
    <t>BKI032210016972</t>
  </si>
  <si>
    <t>PT. Lautan Jaya Kumala</t>
  </si>
  <si>
    <t>GORONTALO</t>
  </si>
  <si>
    <t>193/PCI/K2/VI/21</t>
  </si>
  <si>
    <t>BKI032210018820</t>
  </si>
  <si>
    <t>BDJPCI0417 - BANJARMASIN</t>
  </si>
  <si>
    <t>212/PCI/K2/VI/21</t>
  </si>
  <si>
    <t>BKI032210020164</t>
  </si>
  <si>
    <t>TANGERANG-SEMARANG</t>
  </si>
  <si>
    <t>SEMARANG &amp; CIREBON</t>
  </si>
  <si>
    <t>092/PCI/K1/VI/21</t>
  </si>
  <si>
    <t>400698</t>
  </si>
  <si>
    <t>093/PCI/K1/VI/21</t>
  </si>
  <si>
    <t>094/PCI/K1/VI/21</t>
  </si>
  <si>
    <t>403056</t>
  </si>
  <si>
    <t>112/PCI/K1/VI/21</t>
  </si>
  <si>
    <t>211/PCI/K2/VI/21</t>
  </si>
  <si>
    <t>BKI032210020495</t>
  </si>
  <si>
    <t>Denpasar &amp; YOGYAKARTA</t>
  </si>
  <si>
    <t>215/PCI/K2/VI/21</t>
  </si>
  <si>
    <t>217/PCI/K2/VI/21</t>
  </si>
  <si>
    <t>218/PCI/K2/VI/21</t>
  </si>
  <si>
    <t>BPK. HERMAN ARITONANG</t>
  </si>
  <si>
    <t>PT. MUTLTISARANA BAHTERA MANDIRI</t>
  </si>
  <si>
    <t>MOJOKERTO</t>
  </si>
  <si>
    <t>SUNTER</t>
  </si>
  <si>
    <t>DEPOK - PEKANBARU</t>
  </si>
  <si>
    <t>096/PCI/K1/VI/21</t>
  </si>
  <si>
    <t>BKI032210020511</t>
  </si>
  <si>
    <t>PT. JAPFA COMFEED INDONESIA TBK</t>
  </si>
  <si>
    <t>BPNPCI0333 - BANJAR BARU</t>
  </si>
  <si>
    <t>216/PCI/K2/VI/21</t>
  </si>
  <si>
    <t>192/PCI/K2/VI/21</t>
  </si>
  <si>
    <t>091/PCI/K1/VI/21</t>
  </si>
  <si>
    <t>210/PCI/K2/V/21</t>
  </si>
  <si>
    <t xml:space="preserve"> 09 Juni 2021</t>
  </si>
  <si>
    <t>BKI032210020552</t>
  </si>
  <si>
    <t>BKI032210020560</t>
  </si>
  <si>
    <t>BKI032210020578</t>
  </si>
  <si>
    <t>SRGPCI0266 - SEMARANG</t>
  </si>
  <si>
    <t>SUBPCI0221 - SURABAYA</t>
  </si>
  <si>
    <t>TANGERANG-SOLO</t>
  </si>
  <si>
    <t>095/PCI/K1/VI/21</t>
  </si>
  <si>
    <t>BKI032210020602</t>
  </si>
  <si>
    <t>214//PCI/K2/VI/21</t>
  </si>
  <si>
    <t>213/PCI/K2/VI/21</t>
  </si>
  <si>
    <t>110/PCI/K1/VI/21</t>
  </si>
  <si>
    <t>209/PCI/K2/VI/21</t>
  </si>
  <si>
    <t>103/PCI/K1/VI/21</t>
  </si>
  <si>
    <t>108/PCI/K1/VI/21</t>
  </si>
  <si>
    <t>206/PCI/K2/VI/21</t>
  </si>
  <si>
    <t>109/PCI/K1/VI/21</t>
  </si>
  <si>
    <t>207/PCI/K2/VI/21</t>
  </si>
  <si>
    <t>102/PCI/K1/VI/21</t>
  </si>
  <si>
    <t>107/PCI/K1/VI/21</t>
  </si>
  <si>
    <t>105/PCI/K1/VI/21</t>
  </si>
  <si>
    <t>208/PCI/K2/VI/21</t>
  </si>
  <si>
    <t>101/PCI/K1/VI/21</t>
  </si>
  <si>
    <t>203/PCI/K2/VI/21</t>
  </si>
  <si>
    <t>104/PCI/K1/VI/21</t>
  </si>
  <si>
    <t>204/PCI/K2/VI/21</t>
  </si>
  <si>
    <t>100/PCI/K1/VI/21</t>
  </si>
  <si>
    <t>202/PCI/K2/VI/21</t>
  </si>
  <si>
    <t>PT. TIBEKA LOGISTIK INDONESA</t>
  </si>
  <si>
    <t>SERANG BANTEN</t>
  </si>
  <si>
    <t>UNITED TRACTOR CAKUNG</t>
  </si>
  <si>
    <t>KAPUK</t>
  </si>
  <si>
    <t>SLEMAN</t>
  </si>
  <si>
    <t>CENGKARENG</t>
  </si>
  <si>
    <t>JAKARTA BARAT</t>
  </si>
  <si>
    <t>MAGELANG</t>
  </si>
  <si>
    <t>DO/W6/2021/05/00A32</t>
  </si>
  <si>
    <t>DO/W6/2021/05/00AD6</t>
  </si>
  <si>
    <t>DO/W6/2021/05/00A6E</t>
  </si>
  <si>
    <t>DO/W6/2021/05/00A6C</t>
  </si>
  <si>
    <t>DO/W6/2021/05/00B06</t>
  </si>
  <si>
    <t>DO/W6/2021/05/00AE1</t>
  </si>
  <si>
    <t>DO/W6/2021/05/00AE4/R/01</t>
  </si>
  <si>
    <t>DO/W6/2021/05/00B29</t>
  </si>
  <si>
    <t>DO/W6/2021/05/00B35</t>
  </si>
  <si>
    <t>DO/W6/2021/05/00B2A</t>
  </si>
  <si>
    <t>099/PCI/K1/VI/21</t>
  </si>
  <si>
    <t>097/PCI/K1/VI/21</t>
  </si>
  <si>
    <t>201/PCI/K2/VI/21</t>
  </si>
  <si>
    <t>098/PCI/K1/VI/21</t>
  </si>
  <si>
    <t>200/PCI/K2/VI/21</t>
  </si>
  <si>
    <t>402412</t>
  </si>
  <si>
    <t>BEKASI</t>
  </si>
  <si>
    <t>SERPONG</t>
  </si>
  <si>
    <t>DO/W6/2021/05/00BC4</t>
  </si>
  <si>
    <t>DO/W6/2021/05/00BF1</t>
  </si>
  <si>
    <t>Palembang, Airmolek, Dumai, Duri</t>
  </si>
  <si>
    <t>Lampung, Palembang, Padang, Pekanbaru, medan, aceh</t>
  </si>
  <si>
    <t>PT. Menara Warna Indonesia</t>
  </si>
  <si>
    <t>194/PCI/K2/VI/21</t>
  </si>
  <si>
    <t>195/PCI/K2/VI/21</t>
  </si>
  <si>
    <t>SUMATERA</t>
  </si>
  <si>
    <t>196/PCI/K2/VI/21</t>
  </si>
  <si>
    <t>BALI NT</t>
  </si>
  <si>
    <t>197/PCI/K2/VI/21</t>
  </si>
  <si>
    <t>KALIMANTAN</t>
  </si>
  <si>
    <t>198/PCI/K2/VI/21</t>
  </si>
  <si>
    <t>SULAWESI</t>
  </si>
  <si>
    <t>199/PCI/K2/VI/21</t>
  </si>
  <si>
    <t>ALL ZIGI</t>
  </si>
  <si>
    <t>PT. LIMA INTI SINERGI</t>
  </si>
  <si>
    <t>079a/PCI/K1/V/21</t>
  </si>
  <si>
    <t>178a/PCI/K2/V/21</t>
  </si>
  <si>
    <t>cas Mas Rian 12/06/21</t>
  </si>
  <si>
    <t>DATA PIUTANG TOWER MEDIA SAMPOERNA MEI</t>
  </si>
  <si>
    <t>DANCOW</t>
  </si>
  <si>
    <t>0011995</t>
  </si>
  <si>
    <t>106/PCI/K1/VI/21</t>
  </si>
  <si>
    <t>DO/W6/2021/05/00DD7</t>
  </si>
  <si>
    <t>Cilacap</t>
  </si>
  <si>
    <t>111/PCI/K1/VI/21</t>
  </si>
  <si>
    <t>DO/W6/2021/05/00DDD</t>
  </si>
  <si>
    <t>Cirebon, Semarang, Yogya dan Solo</t>
  </si>
  <si>
    <t>113/PCI/K1/VI/21</t>
  </si>
  <si>
    <t>09 Juni 2021</t>
  </si>
  <si>
    <t xml:space="preserve"> 114/PCI/K1/VI/21</t>
  </si>
  <si>
    <t>115/PCI/K1/VI/21</t>
  </si>
  <si>
    <t>Bandung&amp; Karawang</t>
  </si>
  <si>
    <t>116/PCI/K1/VI/21</t>
  </si>
  <si>
    <t xml:space="preserve"> PT. Smart Vending Nusantara</t>
  </si>
  <si>
    <t>BKI032210021550</t>
  </si>
  <si>
    <t xml:space="preserve"> 117/PCI/K1/VI/21</t>
  </si>
  <si>
    <t>118/PCI/K1/VI/21</t>
  </si>
  <si>
    <t>BKI032210020974</t>
  </si>
  <si>
    <t xml:space="preserve"> 119/PCI/K1/VI/21</t>
  </si>
  <si>
    <t xml:space="preserve"> 15 Juni 2021</t>
  </si>
  <si>
    <t xml:space="preserve"> 120/PCI/K1/VI/21</t>
  </si>
  <si>
    <t xml:space="preserve"> 121/PCI/K1/VI/21</t>
  </si>
  <si>
    <t>Surabaya, Malang, Denpasar</t>
  </si>
  <si>
    <t xml:space="preserve"> 122/PCI/K1/VI/21</t>
  </si>
  <si>
    <t>Lampung, Palembang, Padang, Pekanbaru, Medan, Aceh</t>
  </si>
  <si>
    <t xml:space="preserve"> 123/PCI/K1/VI/21</t>
  </si>
  <si>
    <t xml:space="preserve"> 124/PCI/K1/VI/21</t>
  </si>
  <si>
    <t xml:space="preserve"> 125/PCI/K1/VI/21</t>
  </si>
  <si>
    <t xml:space="preserve"> 126/PCI/K1/VI/21</t>
  </si>
  <si>
    <t xml:space="preserve"> 17 Juni 2021</t>
  </si>
  <si>
    <t xml:space="preserve"> Karawang &amp; Bandung</t>
  </si>
  <si>
    <t xml:space="preserve"> 127/PCI/K1/VI/21</t>
  </si>
  <si>
    <t>Surakarta &amp; Sukoharjo</t>
  </si>
  <si>
    <t xml:space="preserve"> 18 Juni 2021</t>
  </si>
  <si>
    <t xml:space="preserve"> 131/PCI/K1/VI/21</t>
  </si>
  <si>
    <t xml:space="preserve"> 130/PCI/K1/VI/21</t>
  </si>
  <si>
    <t>128/PCI/K1/VI/21</t>
  </si>
  <si>
    <t>Batam</t>
  </si>
  <si>
    <t xml:space="preserve"> 132/PCI/K1/VI/21</t>
  </si>
  <si>
    <t xml:space="preserve">Depok  </t>
  </si>
  <si>
    <t xml:space="preserve"> 133/PCI/K1/VI/21</t>
  </si>
  <si>
    <t xml:space="preserve">Surakarta  </t>
  </si>
  <si>
    <t xml:space="preserve"> 23 Juni 2021</t>
  </si>
  <si>
    <t>Jogka</t>
  </si>
  <si>
    <t xml:space="preserve"> 220/PCI/K2/VI/21</t>
  </si>
  <si>
    <t>Palembang, Airmolek, Duri, Dumai</t>
  </si>
  <si>
    <t>BKI03221002121568</t>
  </si>
  <si>
    <t>PT. Eqraa Mas Multiniaga</t>
  </si>
  <si>
    <t>PT. Pelni Logistik</t>
  </si>
  <si>
    <t>BKI032210021212</t>
  </si>
  <si>
    <t>BKI032210020917</t>
  </si>
  <si>
    <t xml:space="preserve"> PT. MEGADUTA ARTHA MEGAH</t>
  </si>
  <si>
    <t xml:space="preserve"> 129/PCI/K1/VI/21</t>
  </si>
  <si>
    <t xml:space="preserve"> 134/PCI/K1/VI/21</t>
  </si>
  <si>
    <t xml:space="preserve"> 135/PCI/K1/VI/21</t>
  </si>
  <si>
    <t xml:space="preserve"> 136/PCI/K1/VI/21</t>
  </si>
  <si>
    <t xml:space="preserve"> 137/PCI/K1/VI/21</t>
  </si>
  <si>
    <t xml:space="preserve"> 138/PCI/K1/VI/21</t>
  </si>
  <si>
    <t xml:space="preserve"> 139/PCI/K1/VI/21</t>
  </si>
  <si>
    <t xml:space="preserve"> 140/PCI/K1/VI/21</t>
  </si>
  <si>
    <t xml:space="preserve"> 221/PCI/K2/VI/21</t>
  </si>
  <si>
    <t>222/PCI/K2/VI/21</t>
  </si>
  <si>
    <t>223/PCI/K2/VI/21</t>
  </si>
  <si>
    <t>224/PCI/K2/VI/21</t>
  </si>
  <si>
    <t>225/PCI/K2/VI/21</t>
  </si>
  <si>
    <t>226/PCI/K2/VI/21</t>
  </si>
  <si>
    <t>BKI032210021691</t>
  </si>
  <si>
    <t>227/PCI/K2/VI/21</t>
  </si>
  <si>
    <t>228/PCI/K2/VI/21</t>
  </si>
  <si>
    <t>229/PCI/K2/VI/21</t>
  </si>
  <si>
    <t>230/PCI/K2/VI/21</t>
  </si>
  <si>
    <t>'BKI032210021857</t>
  </si>
  <si>
    <t>PT. Bona Nusantara Raya Sakti</t>
  </si>
  <si>
    <t>Lampung Selatan</t>
  </si>
  <si>
    <t>PT. Airwave</t>
  </si>
  <si>
    <t>231/PCI/K2/VI/21</t>
  </si>
  <si>
    <t>232/PCI/K2/VI/21</t>
  </si>
  <si>
    <t>BKI032210021238</t>
  </si>
  <si>
    <t>18 Juni 2021</t>
  </si>
  <si>
    <t>PLMPCI0984 - PALEMBANG KOTA</t>
  </si>
  <si>
    <t>233/PCI/K2/VI/21</t>
  </si>
  <si>
    <t>234/PCI/K2/VI/21</t>
  </si>
  <si>
    <t>Denpasar</t>
  </si>
  <si>
    <t>BKI032210021089</t>
  </si>
  <si>
    <t>235/PCI/K2/VI/21</t>
  </si>
  <si>
    <t>236/PCI/K2/VI/21</t>
  </si>
  <si>
    <t>Pekan baru</t>
  </si>
  <si>
    <t>Bpk. Bayu</t>
  </si>
  <si>
    <t>BKI032210022061</t>
  </si>
  <si>
    <t>Brebes &amp; Semarang</t>
  </si>
  <si>
    <t>237/PCI/K2/VI/21</t>
  </si>
  <si>
    <t>Bekasi samarinda</t>
  </si>
  <si>
    <t>Bpk. Johan</t>
  </si>
  <si>
    <t>'BKI032210021295</t>
  </si>
  <si>
    <t>238/PCI/K2/VI/21</t>
  </si>
  <si>
    <t>239/PCI/K2/VI/21</t>
  </si>
  <si>
    <t>240/PCI/K2/VI/21</t>
  </si>
  <si>
    <t>241/PCI/K2/VI/21</t>
  </si>
  <si>
    <t>242/PCI/K2/VI/21</t>
  </si>
  <si>
    <t>BKI032210021832</t>
  </si>
  <si>
    <t>243/PCI/K2/VI/21</t>
  </si>
  <si>
    <t>Monita G Brahmana</t>
  </si>
  <si>
    <t>BKI032210022921</t>
  </si>
  <si>
    <t>Tanggerang, Serang,Manggarai, Jakarta</t>
  </si>
  <si>
    <t>Palembangkota, Pemantangsiantar, Bandaaceh</t>
  </si>
  <si>
    <t>DO/W6/2021/05/00C05/R/01</t>
  </si>
  <si>
    <t>DO/W6/2021/06/00BA6</t>
  </si>
  <si>
    <t>DO/W6/2021/06/00B00</t>
  </si>
  <si>
    <t>DO/W6/2021/06/00D3C</t>
  </si>
  <si>
    <t>DO/W6/2021/06/00985</t>
  </si>
  <si>
    <t>DO/W6/2021/06/00039/1/R/04</t>
  </si>
  <si>
    <t>DO/W6/2021/06/0846</t>
  </si>
  <si>
    <t>DO/W6/2021/06/00C8C</t>
  </si>
  <si>
    <t>DO/W6/2021/06/009D5/R/01</t>
  </si>
  <si>
    <t>DO/W6/2021/05/00DE2</t>
  </si>
  <si>
    <t>DO/W6/2021/05/00DE0/R/02</t>
  </si>
  <si>
    <t>DO/W6/2021/06/008A8/R/02</t>
  </si>
  <si>
    <t>DO/W6/2021/05/00C6A</t>
  </si>
  <si>
    <t>DO/W6/2021/05/00C7BR/01</t>
  </si>
  <si>
    <t>PT.  Megajaya Solusi Transportindo</t>
  </si>
  <si>
    <t>244/PCI/K2/VI/21</t>
  </si>
  <si>
    <t>245/PCI/K2/VI/21</t>
  </si>
  <si>
    <t>Medan &amp; Lampung</t>
  </si>
  <si>
    <t>BKI032210021014</t>
  </si>
  <si>
    <t xml:space="preserve"> 247/PCI/K2/VI/21</t>
  </si>
  <si>
    <t>248/PCI/K2/VI/21</t>
  </si>
  <si>
    <t>CV. Adidaya Logistic</t>
  </si>
  <si>
    <t>Rantauprapat, Palembang</t>
  </si>
  <si>
    <t>cas sama mas rian</t>
  </si>
  <si>
    <t xml:space="preserve"> PT. Lunar Global Ekpresindo</t>
  </si>
  <si>
    <t xml:space="preserve"> 249/PCI/K2/VI/21</t>
  </si>
  <si>
    <t>BKI032210022160</t>
  </si>
  <si>
    <t>250/PCI/K2/VI/21</t>
  </si>
  <si>
    <t>BKI032210022145</t>
  </si>
  <si>
    <t>141/PCI/K1/VI/21</t>
  </si>
  <si>
    <t>BKI032210020487</t>
  </si>
  <si>
    <t xml:space="preserve"> 142/PCI/K1/VI/21</t>
  </si>
  <si>
    <t>DO/W6/2021/06/00E3D</t>
  </si>
  <si>
    <t xml:space="preserve"> 251/PCI/K2/VI/21</t>
  </si>
  <si>
    <t>Tanggerang &amp; Jakarta</t>
  </si>
  <si>
    <t xml:space="preserve"> 252/PCI/K2/VI/21</t>
  </si>
  <si>
    <t>Ibu Fitri</t>
  </si>
  <si>
    <t>BKI032210023507</t>
  </si>
  <si>
    <t>Yogyakarta</t>
  </si>
  <si>
    <t xml:space="preserve"> 253/PCI/K2/VI/21</t>
  </si>
  <si>
    <t>Bukittinggi, Kotabumi, Lampung,Metro&lt; padang</t>
  </si>
  <si>
    <t>254/PCI/K2/VI/21</t>
  </si>
  <si>
    <t>PT. POS Logistik Indonesia</t>
  </si>
  <si>
    <t>Cengkareng</t>
  </si>
  <si>
    <t>BKI032210023515</t>
  </si>
  <si>
    <t>143/PCI/K1/VI/21</t>
  </si>
  <si>
    <t>DO/W6/2021/06/00F65</t>
  </si>
  <si>
    <t>144/PCI/K1/VI/21</t>
  </si>
  <si>
    <t>PT. Ocean Medika Indonesia</t>
  </si>
  <si>
    <t xml:space="preserve"> 255/PCI/K2/VI/21</t>
  </si>
  <si>
    <t>BKI032210023523</t>
  </si>
  <si>
    <t xml:space="preserve">TOTAL </t>
  </si>
  <si>
    <t>PEMBAYARAN</t>
  </si>
  <si>
    <t>TANGGAL</t>
  </si>
  <si>
    <t>RP</t>
  </si>
  <si>
    <t xml:space="preserve"> </t>
  </si>
  <si>
    <t>PT. Abidin Global Mandiri</t>
  </si>
  <si>
    <t>BKI032210023044</t>
  </si>
  <si>
    <t>PT. CORA PURASANI SENTOSA</t>
  </si>
  <si>
    <t>Manado &amp; Kendari</t>
  </si>
  <si>
    <t>246/PCI/K2/VI/21</t>
  </si>
  <si>
    <t>Mix</t>
  </si>
  <si>
    <t>Pembayaran sama Pa Imam</t>
  </si>
  <si>
    <t>Pembayaran sama Mas Rian</t>
  </si>
  <si>
    <t>BKI032210021006</t>
  </si>
  <si>
    <t>AHMAD SYAHRONI</t>
  </si>
  <si>
    <t>CN001 - CHINA-I</t>
  </si>
  <si>
    <t>PT. JAVA BOOKS INDONESIA</t>
  </si>
  <si>
    <t>SURABAYA 7 JOGJA</t>
  </si>
  <si>
    <t>DO/W6/2021/06/0016E/R/01</t>
  </si>
  <si>
    <t>BKI032210021527</t>
  </si>
  <si>
    <t>JEMBER</t>
  </si>
  <si>
    <t>BKI032210021576</t>
  </si>
  <si>
    <t>TJHIE TIE FIE</t>
  </si>
  <si>
    <t>AU001 - AUSTRALIA</t>
  </si>
  <si>
    <t>DO/W6/2021/06/00926</t>
  </si>
  <si>
    <t>DO/W6/2021/06/0066D/R/02</t>
  </si>
  <si>
    <t>CV GRACEFUL GRANTIKA</t>
  </si>
  <si>
    <t>BKI032210022764</t>
  </si>
  <si>
    <t>BKI032210022806</t>
  </si>
  <si>
    <t>23-06-2021</t>
  </si>
  <si>
    <t>AMQPCI0568 - SAUMLAKI</t>
  </si>
  <si>
    <t>DO/W6/2021/06/01159</t>
  </si>
  <si>
    <t>DO/W6/2021/06/00DF4/R/01</t>
  </si>
  <si>
    <t>JUNI 2021</t>
  </si>
  <si>
    <t>discount</t>
  </si>
  <si>
    <t xml:space="preserve"> 282/PCI/K2/VII/21</t>
  </si>
  <si>
    <t xml:space="preserve"> 283/PCI/K2/VII/21</t>
  </si>
  <si>
    <t>Biaya Claim Barang Sampoerna Tujuan Palu</t>
  </si>
  <si>
    <t xml:space="preserve"> 286/PCI/K2/VII/21</t>
  </si>
  <si>
    <t xml:space="preserve"> 145/PCI/K1/VII/21</t>
  </si>
  <si>
    <t>BKI032210020990</t>
  </si>
  <si>
    <t>BKI032210021287</t>
  </si>
  <si>
    <t xml:space="preserve"> 146/PCI/K1/VII/21</t>
  </si>
  <si>
    <t>147/PCI/K1/VII/21</t>
  </si>
  <si>
    <t>BKI032210021642</t>
  </si>
  <si>
    <t>Papua</t>
  </si>
  <si>
    <t>BKI032210023580</t>
  </si>
  <si>
    <t>148/PCI/K1/VII/21</t>
  </si>
  <si>
    <t>BKI032210023077</t>
  </si>
  <si>
    <t>149/PCI/K1/VII/21</t>
  </si>
  <si>
    <t xml:space="preserve">PT. Dua Berlian </t>
  </si>
  <si>
    <t>150/PCI/K1/VII/21</t>
  </si>
  <si>
    <t>BKI032210023473</t>
  </si>
  <si>
    <t>151/PCI/K1/VII/21</t>
  </si>
  <si>
    <t>152/PCI/K1/VII/21</t>
  </si>
  <si>
    <t xml:space="preserve">Cirebon   </t>
  </si>
  <si>
    <t>BKI032210023465</t>
  </si>
  <si>
    <t>BKI032210023457</t>
  </si>
  <si>
    <t>153/PCI/K1/VII/21</t>
  </si>
  <si>
    <t>BKI032210023218</t>
  </si>
  <si>
    <t>154/PCI/K1/VII/21</t>
  </si>
  <si>
    <t>Sleman Jogja</t>
  </si>
  <si>
    <t>155/PCI/K1/VII/21</t>
  </si>
  <si>
    <t>156/PCI/K1/VII/21</t>
  </si>
  <si>
    <t>BKI032210021543</t>
  </si>
  <si>
    <t>Purwokerto</t>
  </si>
  <si>
    <t xml:space="preserve">Surabaya, Malang  </t>
  </si>
  <si>
    <t>157/PCI/K1/VII/21</t>
  </si>
  <si>
    <t>158/PCI/K1/VII/21</t>
  </si>
  <si>
    <t>BKI032210023721</t>
  </si>
  <si>
    <t>BKI032210023713</t>
  </si>
  <si>
    <t>159/PCI/K1/VII/21</t>
  </si>
  <si>
    <t>Cikarang</t>
  </si>
  <si>
    <t>160/PCI/K1/VII/21</t>
  </si>
  <si>
    <t>BKI032210024257</t>
  </si>
  <si>
    <t>161/PCI/K1/VII/21</t>
  </si>
  <si>
    <t>Pulogadung, Depok</t>
  </si>
  <si>
    <t>162/PCI/K1/VII/21</t>
  </si>
  <si>
    <t>BKI032210023739</t>
  </si>
  <si>
    <t>163/PCI/K1/VII/21</t>
  </si>
  <si>
    <t>164/PCI/K1/VII/21</t>
  </si>
  <si>
    <t>165/PCI/K1/VII/21</t>
  </si>
  <si>
    <t>BKI032210023747</t>
  </si>
  <si>
    <t>Bandar Lampung</t>
  </si>
  <si>
    <t>166/PCI/K1/VII/21</t>
  </si>
  <si>
    <t>BKI032210024182</t>
  </si>
  <si>
    <t>Jember</t>
  </si>
  <si>
    <t>167/PCI/K1/VII/21</t>
  </si>
  <si>
    <t>PT. Sicepat Express Indonesia</t>
  </si>
  <si>
    <t>168/PCI/K1/VII/21</t>
  </si>
  <si>
    <t>Batam Kota</t>
  </si>
  <si>
    <t>BKI03221002460</t>
  </si>
  <si>
    <t>169/PCI/K1/VII/21</t>
  </si>
  <si>
    <t>14 Juli 2021</t>
  </si>
  <si>
    <t>170/PCI/K1/VII/21</t>
  </si>
  <si>
    <t>BKI032210024570</t>
  </si>
  <si>
    <t>171/PCI/K1/VII/21</t>
  </si>
  <si>
    <t>172/PCI/K1/VII/21</t>
  </si>
  <si>
    <t>BKI032210024679</t>
  </si>
  <si>
    <t>Bandung, Semarang</t>
  </si>
  <si>
    <t>BKI032210025841</t>
  </si>
  <si>
    <t>173/PCI/K1/VII/21</t>
  </si>
  <si>
    <t>16 Juli 2021</t>
  </si>
  <si>
    <t>BKI032210023788</t>
  </si>
  <si>
    <t>174/PCI/K1/VII/21</t>
  </si>
  <si>
    <t>BKI032210024067</t>
  </si>
  <si>
    <t>175/PCI/K1/VII/21</t>
  </si>
  <si>
    <t>BKI032210024083</t>
  </si>
  <si>
    <t>176/PCI/K1/VII/21</t>
  </si>
  <si>
    <t>BKI032210024109</t>
  </si>
  <si>
    <t>177/PCI/K1/VII/21</t>
  </si>
  <si>
    <t>BKI032210024018</t>
  </si>
  <si>
    <t>178/PCI/K1/VII/21</t>
  </si>
  <si>
    <t>BKI032210026054</t>
  </si>
  <si>
    <t>Pulo Gadung</t>
  </si>
  <si>
    <t>179/PCI/K1/VII/21</t>
  </si>
  <si>
    <t>BKI032210023762</t>
  </si>
  <si>
    <t>180/PCI/K1/VII/21</t>
  </si>
  <si>
    <t>181/PCI/K1/VII/21</t>
  </si>
  <si>
    <t>BKI032210023770</t>
  </si>
  <si>
    <t>BKI032210023754</t>
  </si>
  <si>
    <t>182/PCI/K1/VII/21</t>
  </si>
  <si>
    <t>BKI032210023796</t>
  </si>
  <si>
    <t>183/PCI/K1/VII/21</t>
  </si>
  <si>
    <t>Pasanggrahan Meruya</t>
  </si>
  <si>
    <t>BKI032210026021</t>
  </si>
  <si>
    <t>184/PCI/K1/VII/21</t>
  </si>
  <si>
    <t>BKI032210026013</t>
  </si>
  <si>
    <t>Gading Serpong</t>
  </si>
  <si>
    <t>185/PCI/K1/VII/21</t>
  </si>
  <si>
    <t>186/PCI/K1/VII/21</t>
  </si>
  <si>
    <t>BKI032210025999</t>
  </si>
  <si>
    <t>Pamulang</t>
  </si>
  <si>
    <t>BKI032210026005</t>
  </si>
  <si>
    <t>Pasarbaru Tanggerang</t>
  </si>
  <si>
    <t>187/PCI/K1/VII/21</t>
  </si>
  <si>
    <t>188/PCI/K1/VII/21</t>
  </si>
  <si>
    <t>BKI032210025825</t>
  </si>
  <si>
    <t>BKI032210024091</t>
  </si>
  <si>
    <t>189/PCI/K1/VII/21</t>
  </si>
  <si>
    <t>190/PCI/K1/VII/21</t>
  </si>
  <si>
    <t>Ancol</t>
  </si>
  <si>
    <t>191/PCI/K1/VII/21</t>
  </si>
  <si>
    <t>192/PCI/K1/VII/21</t>
  </si>
  <si>
    <t>193/PCI/K1/VII/21</t>
  </si>
  <si>
    <t>Jakarta Selatan</t>
  </si>
  <si>
    <t>Gunung Sindur</t>
  </si>
  <si>
    <t>194/PCI/K1/VII/21</t>
  </si>
  <si>
    <t>195/PCI/K1/VII/21</t>
  </si>
  <si>
    <t>Serpong</t>
  </si>
  <si>
    <t>Kalimalang</t>
  </si>
  <si>
    <t>196/PCI/K1/VII/21</t>
  </si>
  <si>
    <t>Bpk. Daniel</t>
  </si>
  <si>
    <t>BKI032210023556</t>
  </si>
  <si>
    <t xml:space="preserve"> 256/PCI/K2/VII/21</t>
  </si>
  <si>
    <t>Palangkaraya</t>
  </si>
  <si>
    <t xml:space="preserve"> 257/PCI/K2/VII/21</t>
  </si>
  <si>
    <t>BKI032210022525</t>
  </si>
  <si>
    <t>BKI032210022087</t>
  </si>
  <si>
    <t>Tanjung Enim</t>
  </si>
  <si>
    <t xml:space="preserve"> 258/PCI/K2/VII/21</t>
  </si>
  <si>
    <t xml:space="preserve"> 255/PCI/K2/VII/21</t>
  </si>
  <si>
    <t xml:space="preserve"> PT. PATRA LOGISTIK</t>
  </si>
  <si>
    <t>Depok</t>
  </si>
  <si>
    <t xml:space="preserve"> 259/PCI/K2/VII/21</t>
  </si>
  <si>
    <t>PT Infratek Makmur Bersama</t>
  </si>
  <si>
    <t>BKI032210023697</t>
  </si>
  <si>
    <t xml:space="preserve"> 260/PCI/K2/VII/21</t>
  </si>
  <si>
    <t>05 Juli 2021</t>
  </si>
  <si>
    <t xml:space="preserve"> 261/PCI/K2/VII/21</t>
  </si>
  <si>
    <t xml:space="preserve"> 262/PCI/K2/VII/21</t>
  </si>
  <si>
    <t>BKI032210023705</t>
  </si>
  <si>
    <t>Ibu Mulia</t>
  </si>
  <si>
    <t>PT. Lunar Global Ekpresindo</t>
  </si>
  <si>
    <t xml:space="preserve"> 263/PCI/K2/VII/21</t>
  </si>
  <si>
    <t>Lampung Utara</t>
  </si>
  <si>
    <t>BKI032210025197</t>
  </si>
  <si>
    <t xml:space="preserve">Lampung   </t>
  </si>
  <si>
    <t xml:space="preserve"> 265/PCI/K2/VII/21</t>
  </si>
  <si>
    <t>08 Juli 2021</t>
  </si>
  <si>
    <t xml:space="preserve"> Ibu Catherin</t>
  </si>
  <si>
    <t xml:space="preserve"> 266/PCI/K2/VII/21</t>
  </si>
  <si>
    <t xml:space="preserve"> 267/PCI/K2/VII/21</t>
  </si>
  <si>
    <t xml:space="preserve"> 268/PCI/K2/VII/21</t>
  </si>
  <si>
    <t>PT. PATRA LOGISTIK</t>
  </si>
  <si>
    <t>BKI032210024760</t>
  </si>
  <si>
    <t xml:space="preserve"> 13 Juli 2021</t>
  </si>
  <si>
    <t>BKI032210025387</t>
  </si>
  <si>
    <t>Bpk. Sandro</t>
  </si>
  <si>
    <t xml:space="preserve"> 269/PCI/K2/VII/21</t>
  </si>
  <si>
    <t xml:space="preserve"> 270/PCI/K2/VII/21</t>
  </si>
  <si>
    <t>BKI032210025205</t>
  </si>
  <si>
    <t xml:space="preserve"> 271/PCI/K2/VII/21</t>
  </si>
  <si>
    <t>BKI032210023820</t>
  </si>
  <si>
    <t xml:space="preserve"> 272/PCI/K2/VII/21</t>
  </si>
  <si>
    <t xml:space="preserve"> 273/PCI/K2/VII/21</t>
  </si>
  <si>
    <t xml:space="preserve"> 274/PCI/K2/VII/21</t>
  </si>
  <si>
    <t xml:space="preserve"> 275/PCI/K2/VII/21</t>
  </si>
  <si>
    <t xml:space="preserve"> 276/PCI/K2/VII/21</t>
  </si>
  <si>
    <t xml:space="preserve"> 277/PCI/K2/VII/21</t>
  </si>
  <si>
    <t xml:space="preserve"> 278/PCI/K2/VII/21</t>
  </si>
  <si>
    <t xml:space="preserve"> PT. Gapura Fajar Langgeng</t>
  </si>
  <si>
    <t>BKI032210025544</t>
  </si>
  <si>
    <t xml:space="preserve">Lampung Selatan </t>
  </si>
  <si>
    <t>BKI032210023663</t>
  </si>
  <si>
    <t xml:space="preserve"> 279/PCI/K2/VII/21</t>
  </si>
  <si>
    <t>BKI032210025817</t>
  </si>
  <si>
    <t xml:space="preserve"> 280/PCI/K2/VII/21</t>
  </si>
  <si>
    <t>BKI032210026039</t>
  </si>
  <si>
    <t xml:space="preserve"> 281/PCI/K2/VII/21</t>
  </si>
  <si>
    <t>PT. PERDANA CARGO SOLUTION</t>
  </si>
  <si>
    <t>Palu</t>
  </si>
  <si>
    <t>19 Juli 2021</t>
  </si>
  <si>
    <t>IBU Tammy</t>
  </si>
  <si>
    <t>22 Juli 2021</t>
  </si>
  <si>
    <t xml:space="preserve"> 284/PCI/K2/VII/21</t>
  </si>
  <si>
    <t xml:space="preserve"> 285/PCI/K2/VII/21</t>
  </si>
  <si>
    <t>Bpk. Reza</t>
  </si>
  <si>
    <t>Makasar 1</t>
  </si>
  <si>
    <t>BKI032210026708</t>
  </si>
  <si>
    <t xml:space="preserve">Bpk. Taufik </t>
  </si>
  <si>
    <t xml:space="preserve"> 287/PCI/K2/VII/21</t>
  </si>
  <si>
    <t>PT. Padi Logistik</t>
  </si>
  <si>
    <t>21 Juli 2021</t>
  </si>
  <si>
    <t>BKI032210025247</t>
  </si>
  <si>
    <t xml:space="preserve"> 288/PCI/K2/VII/21</t>
  </si>
  <si>
    <t>BKI032210027045</t>
  </si>
  <si>
    <t>Kebumen</t>
  </si>
  <si>
    <t xml:space="preserve"> 289/PCI/K2/VII/21</t>
  </si>
  <si>
    <t>Bpk. Adi Purnomo</t>
  </si>
  <si>
    <t xml:space="preserve">23 Juli 2021 </t>
  </si>
  <si>
    <t xml:space="preserve"> 290/PCI/K2/VII/21</t>
  </si>
  <si>
    <t xml:space="preserve"> 291/PCI/K2/VII/21</t>
  </si>
  <si>
    <t xml:space="preserve"> 292/PCI/K2/VII/21</t>
  </si>
  <si>
    <t xml:space="preserve"> 293/PCI/K2/VII/21</t>
  </si>
  <si>
    <t xml:space="preserve"> 294/PCI/K2/VII/21</t>
  </si>
  <si>
    <t>26 Juli 2021</t>
  </si>
  <si>
    <t xml:space="preserve"> 295/PCI/K2/VII/21</t>
  </si>
  <si>
    <t xml:space="preserve"> 296/PCI/K2/VII/21</t>
  </si>
  <si>
    <t xml:space="preserve"> 297/PCI/K2/VII/21</t>
  </si>
  <si>
    <t xml:space="preserve"> 298/PCI/K2/VII/21</t>
  </si>
  <si>
    <t>Medan, Surabaya</t>
  </si>
  <si>
    <t>Biaya Claim Invoice No. 150/PCI/K2/IV/21</t>
  </si>
  <si>
    <t xml:space="preserve"> 247A/PCI/K2/VI/21</t>
  </si>
  <si>
    <t xml:space="preserve"> 299/PCI/K2/VII/21</t>
  </si>
  <si>
    <t xml:space="preserve"> 27 Juli 2021</t>
  </si>
  <si>
    <t xml:space="preserve"> 300/PCI/K2/VII/21</t>
  </si>
  <si>
    <t>BKI032210026344</t>
  </si>
  <si>
    <t xml:space="preserve"> 301/PCI/K2/VII/21</t>
  </si>
  <si>
    <t>Doma Studio</t>
  </si>
  <si>
    <t>BKI032210027482</t>
  </si>
  <si>
    <t xml:space="preserve"> 302/PCI/K2/VII/21</t>
  </si>
  <si>
    <t>Bpk. Iqbal</t>
  </si>
  <si>
    <t>BKI032210024240</t>
  </si>
  <si>
    <t>Pematang Siantar</t>
  </si>
  <si>
    <t xml:space="preserve"> 303/PCI/K2/VII/21</t>
  </si>
  <si>
    <t>BKI032210025809</t>
  </si>
  <si>
    <t xml:space="preserve"> PT. Menara Warna Indonesia</t>
  </si>
  <si>
    <t>13/07/21</t>
  </si>
  <si>
    <t xml:space="preserve"> 304/PCI/K2/VII/21</t>
  </si>
  <si>
    <t>BKI032210026773</t>
  </si>
  <si>
    <t xml:space="preserve"> 197/PCI/K1/VII/21</t>
  </si>
  <si>
    <t>Marunda</t>
  </si>
  <si>
    <t xml:space="preserve"> 198/PCI/K1/VII/21</t>
  </si>
  <si>
    <t>DO/W6/2021/07/00805</t>
  </si>
  <si>
    <t xml:space="preserve"> 199/PCI/K1/VII/21</t>
  </si>
  <si>
    <t>DO/W6/2021/07/00806</t>
  </si>
  <si>
    <t xml:space="preserve"> 200/PCI/K1/VII/21</t>
  </si>
  <si>
    <t>DO/W6/2021/07/0072F</t>
  </si>
  <si>
    <t xml:space="preserve"> 201/PCI/K1/VII/21</t>
  </si>
  <si>
    <t>DO/W6/2021/07/0072E</t>
  </si>
  <si>
    <t xml:space="preserve"> 202/PCI/K1/VII/21</t>
  </si>
  <si>
    <t>DO/W6/2021/07/0072D</t>
  </si>
  <si>
    <t xml:space="preserve"> 203/PCI/K1/VII/21</t>
  </si>
  <si>
    <t>DO/W6/2021/07/00731</t>
  </si>
  <si>
    <t xml:space="preserve"> 204/PCI/K1/VII/21</t>
  </si>
  <si>
    <t>DO/W6/2021/07/00A9A</t>
  </si>
  <si>
    <t>DO</t>
  </si>
  <si>
    <t xml:space="preserve"> 205/PCI/K1/VII/21</t>
  </si>
  <si>
    <t>DO/W6/2021/07/00A82</t>
  </si>
  <si>
    <t>DO/W6/2021/07/00864</t>
  </si>
  <si>
    <t>Depok,Depok,Ciracas</t>
  </si>
  <si>
    <t>DO/W6/2021/07/00889</t>
  </si>
  <si>
    <t>DO/W6/2021/07/006A8</t>
  </si>
  <si>
    <t xml:space="preserve"> 206/PCI/K1/VII/21</t>
  </si>
  <si>
    <t xml:space="preserve"> 207/PCI/K1/VII/21</t>
  </si>
  <si>
    <t xml:space="preserve"> 208/PCI/K1/VII/21</t>
  </si>
  <si>
    <t xml:space="preserve"> PT. Sicepat Express Indonesia</t>
  </si>
  <si>
    <t xml:space="preserve"> 209/PCI/K1/VII/21</t>
  </si>
  <si>
    <t>BKI032210027052</t>
  </si>
  <si>
    <t>PT. Maha Jaya Plastindo Indonesia</t>
  </si>
  <si>
    <t xml:space="preserve"> 210/PCI/K1/VII/21</t>
  </si>
  <si>
    <t xml:space="preserve"> 211/PCI/K1/VII/21</t>
  </si>
  <si>
    <t>BKI032210026369</t>
  </si>
  <si>
    <t xml:space="preserve"> 213/PCI/K1/VII/21</t>
  </si>
  <si>
    <t>DO/W6/2021/07/0007A</t>
  </si>
  <si>
    <t>DO/W6/2021/06/015F8</t>
  </si>
  <si>
    <t>DO/W6/2021/06/015E2/R/02</t>
  </si>
  <si>
    <t>DO/W6/2021/07/001DA</t>
  </si>
  <si>
    <t>DO/W6/2021/06/015FA</t>
  </si>
  <si>
    <t>DO/W6/2021/06/015F9</t>
  </si>
  <si>
    <t>DO/W6/2021/06/01681</t>
  </si>
  <si>
    <t>DO/W6/2021/07/0013F</t>
  </si>
  <si>
    <t>DO/W6/2021/07/001FF</t>
  </si>
  <si>
    <t>DO/W6/2021/07/00201</t>
  </si>
  <si>
    <t>DO/W6/2021/07/0022D</t>
  </si>
  <si>
    <t>DO/W6/2021/06/01685</t>
  </si>
  <si>
    <t>DO/W6/2021/07/0002C</t>
  </si>
  <si>
    <t>DO/W6/2021/07/0002B</t>
  </si>
  <si>
    <t>DO/W6/2021/07/0002A</t>
  </si>
  <si>
    <t>DO/W6/2021/07/0002D</t>
  </si>
  <si>
    <t>DO/W6/2021/07/006A1</t>
  </si>
  <si>
    <t>DO/W6/2021/06/01682</t>
  </si>
  <si>
    <t>DO/W6/2021/06/01683</t>
  </si>
  <si>
    <t>DO/W6/2021/06/01684</t>
  </si>
  <si>
    <t>DO/W6/2021/06/01686</t>
  </si>
  <si>
    <t>DO/W6/2021/07/005FC</t>
  </si>
  <si>
    <t>DO/W6/2021/07/005FB</t>
  </si>
  <si>
    <t>DO/W6/2021/07/005FA</t>
  </si>
  <si>
    <t>DO/W6/2021/07/005FD</t>
  </si>
  <si>
    <t>DO/W6/2021/07/004E9/R/01</t>
  </si>
  <si>
    <t>DO/W6/2021/07/0002E</t>
  </si>
  <si>
    <t>DO/W6/2021/07/0047D</t>
  </si>
  <si>
    <t>DO/W6/2021/07/0047C</t>
  </si>
  <si>
    <t>DO/W6/2021/07/0099B</t>
  </si>
  <si>
    <t>DO/W6/2021/07/0099E</t>
  </si>
  <si>
    <t>DO/W6/2021/07/0099F/R/01</t>
  </si>
  <si>
    <t>DO/W6/2021/07/0099C</t>
  </si>
  <si>
    <t>DO/W6/2021/07/00888</t>
  </si>
  <si>
    <t>DO/W6/2021/07/00804</t>
  </si>
  <si>
    <t>DSS REG &amp; FORZA</t>
  </si>
  <si>
    <t>C3 Java</t>
  </si>
  <si>
    <t>C3 Bali NT</t>
  </si>
  <si>
    <t>C3 Kalimantan</t>
  </si>
  <si>
    <t>C3 Sulawesi</t>
  </si>
  <si>
    <t>C3 Sumatera</t>
  </si>
  <si>
    <t>C3 V2 ADDITIONAL BATCH 1,2,3</t>
  </si>
  <si>
    <t>RK Trans</t>
  </si>
  <si>
    <t>BKI032210028019</t>
  </si>
  <si>
    <t xml:space="preserve"> 305/PCI/K2/VII/21</t>
  </si>
  <si>
    <t xml:space="preserve"> PT. Permana Putra Mandiri</t>
  </si>
  <si>
    <t xml:space="preserve"> 306/PCI/K2/VII/21</t>
  </si>
  <si>
    <t>BKI032210027458</t>
  </si>
  <si>
    <t>Bpk. Lukman</t>
  </si>
  <si>
    <t>PT. Venindo Jaya Abadi</t>
  </si>
  <si>
    <t xml:space="preserve"> 307/PCI/K2/VII/21</t>
  </si>
  <si>
    <t>Bpk. Ven Jemi</t>
  </si>
  <si>
    <t xml:space="preserve"> 308/PCI/K2/VII/21</t>
  </si>
  <si>
    <t>PT.Taichi Cargo</t>
  </si>
  <si>
    <t>JULI 2021</t>
  </si>
  <si>
    <t xml:space="preserve"> 309/PCI/K2/VII/21</t>
  </si>
  <si>
    <t xml:space="preserve"> 310/PCI/K2/VII/21</t>
  </si>
  <si>
    <t xml:space="preserve"> 311/PCI/K2/PI/VII/21</t>
  </si>
  <si>
    <t xml:space="preserve"> 312/PCI/K2/PI/VII/21</t>
  </si>
  <si>
    <t xml:space="preserve"> 313/PCI/K2/PI/VII/21</t>
  </si>
  <si>
    <t xml:space="preserve"> 314/PCI/K2/PI/VII/21</t>
  </si>
  <si>
    <t xml:space="preserve"> 315/PCI/K2/PI/VII/21</t>
  </si>
  <si>
    <t>DATA PIUTANG TOWER MEDIA SAMPOERNA JUNI &amp; JULI</t>
  </si>
  <si>
    <t>25-06-2021</t>
  </si>
  <si>
    <t>C3 Additional TTD</t>
  </si>
  <si>
    <t>CV.Tri Anugrah</t>
  </si>
  <si>
    <t>BKI032210027557</t>
  </si>
  <si>
    <t>MJKPCI0207 - MOJOKERTO</t>
  </si>
  <si>
    <t xml:space="preserve"> 30 Juli 2021</t>
  </si>
  <si>
    <t xml:space="preserve"> 317/PCI/K2/VII/21</t>
  </si>
  <si>
    <t>BKI032210027961</t>
  </si>
  <si>
    <t>Bpk. Albert</t>
  </si>
  <si>
    <t xml:space="preserve"> PT. Ashima Transindo / Albert</t>
  </si>
  <si>
    <t xml:space="preserve"> 318/PCI/K2/VII/21</t>
  </si>
  <si>
    <t>BKI032210027466</t>
  </si>
  <si>
    <t xml:space="preserve"> 319/PCI/K2/VII/21</t>
  </si>
  <si>
    <t>Pangkal Pinang</t>
  </si>
  <si>
    <t>BKI032210027979</t>
  </si>
  <si>
    <t>Ibu Ambar Risvi Nanda</t>
  </si>
  <si>
    <t>Bpk. Eko</t>
  </si>
  <si>
    <t>Ibu Yanti</t>
  </si>
  <si>
    <t>Ibu Ani JNE</t>
  </si>
  <si>
    <t>Bpk. Heri</t>
  </si>
  <si>
    <t>Mas Tresno</t>
  </si>
  <si>
    <t xml:space="preserve"> 205/PCI/K2/VI/21</t>
  </si>
  <si>
    <t>314/PCI/K2//VII/21</t>
  </si>
  <si>
    <t>315/PCI/K2//VII/21</t>
  </si>
  <si>
    <t>316/PCI/K2/VII/21</t>
  </si>
  <si>
    <t>BKI032210025445</t>
  </si>
  <si>
    <t xml:space="preserve"> 320/PCI/K2/VII/21</t>
  </si>
  <si>
    <t xml:space="preserve"> 321/PCI/K2/VII/21</t>
  </si>
  <si>
    <t>BKI032210027573</t>
  </si>
  <si>
    <t xml:space="preserve"> 322/PCI/K2/VII/21</t>
  </si>
  <si>
    <t>'BKI032210021303</t>
  </si>
  <si>
    <t>Cianjur</t>
  </si>
  <si>
    <t xml:space="preserve"> 323/PCI/K2/VII/21</t>
  </si>
  <si>
    <t>DO/W6/2021/07/00A81</t>
  </si>
  <si>
    <t>BKI032210027227</t>
  </si>
  <si>
    <t xml:space="preserve"> 324/PCI/K2/VII/21</t>
  </si>
  <si>
    <t>DO/W6/2021/07/00D83</t>
  </si>
  <si>
    <t>Pulogadung</t>
  </si>
  <si>
    <t xml:space="preserve"> 214/PCI/K1/VII/21</t>
  </si>
  <si>
    <t xml:space="preserve"> 215/PCI/K1/VII/21</t>
  </si>
  <si>
    <t>BKI032210021303</t>
  </si>
  <si>
    <t xml:space="preserve"> 216/PCI/K1/VII/21</t>
  </si>
  <si>
    <t xml:space="preserve"> 217/PCI/K1/VII/21</t>
  </si>
  <si>
    <t>DO/W6/2021/07/00A83</t>
  </si>
  <si>
    <t>BKI032210027201</t>
  </si>
  <si>
    <t xml:space="preserve"> 218/PCI/K1/VII/21</t>
  </si>
  <si>
    <t xml:space="preserve"> 219/PCI/K1/VII/21</t>
  </si>
  <si>
    <t>BOGOR &amp; BANDUNG</t>
  </si>
  <si>
    <t>DO/W6/2021/07/00B53</t>
  </si>
  <si>
    <t>BKI032210027250</t>
  </si>
  <si>
    <t>DO/W6/2021/06/01069</t>
  </si>
  <si>
    <t>DO/W6/2021/06/0115A</t>
  </si>
  <si>
    <t>DO/W6/2021/06/010DA</t>
  </si>
  <si>
    <t>DO/W6/2021/06/010D9</t>
  </si>
  <si>
    <t>DO/W6/2021/06/01011</t>
  </si>
  <si>
    <t>BKI032210022483</t>
  </si>
  <si>
    <t>BKI032210022699</t>
  </si>
  <si>
    <t>BKI032210022244</t>
  </si>
  <si>
    <t>BKI032210025783</t>
  </si>
  <si>
    <t>BKI032210022269</t>
  </si>
  <si>
    <t>BKI032210022384</t>
  </si>
  <si>
    <t>BKI032210023598</t>
  </si>
  <si>
    <t>Project</t>
  </si>
  <si>
    <t>DUEDATE</t>
  </si>
  <si>
    <t>STICKER FRAME</t>
  </si>
  <si>
    <t>C3MFB-2</t>
  </si>
  <si>
    <t>C3MFB-3</t>
  </si>
  <si>
    <t>C3MFB-4</t>
  </si>
  <si>
    <t>C3MFB-1</t>
  </si>
  <si>
    <t>C3S234-1</t>
  </si>
  <si>
    <t>C3S234-2</t>
  </si>
  <si>
    <t>C3SAH-1</t>
  </si>
  <si>
    <t>BKI032210023630</t>
  </si>
  <si>
    <t>328/PCI/K2/VIII/21</t>
  </si>
  <si>
    <t>BKI032210027938</t>
  </si>
  <si>
    <t>C3SAH-2</t>
  </si>
  <si>
    <t>329/PCI/K2/VIII/21</t>
  </si>
  <si>
    <t>STICKER</t>
  </si>
  <si>
    <t>BANNER</t>
  </si>
  <si>
    <t xml:space="preserve"> 220/PCI/K1/VIII/21</t>
  </si>
  <si>
    <t>DO/W6/2021/07/00C84/R/01</t>
  </si>
  <si>
    <t xml:space="preserve"> 221/PCI/K1/VIII/21</t>
  </si>
  <si>
    <t>DO/W6/2021/07/00DCC</t>
  </si>
  <si>
    <t>Harapan Indah</t>
  </si>
  <si>
    <t>DO/W6/2021/07/00C65</t>
  </si>
  <si>
    <t xml:space="preserve"> 222/PCI/K1/VIII/21</t>
  </si>
  <si>
    <t xml:space="preserve"> 223/PCI/K1/VIII/21</t>
  </si>
  <si>
    <t>BKI032210027243</t>
  </si>
  <si>
    <t>DO/W6/2021/07/00B0F/R/01</t>
  </si>
  <si>
    <t xml:space="preserve"> 224/PCI/K1/VIII/21</t>
  </si>
  <si>
    <t>BKI032210028399</t>
  </si>
  <si>
    <t>DO/W6/2021/07/01137</t>
  </si>
  <si>
    <t xml:space="preserve"> 225/PCI/K1/VIII/21</t>
  </si>
  <si>
    <t>BKI032210026633</t>
  </si>
  <si>
    <t>BATAM KOTA</t>
  </si>
  <si>
    <t xml:space="preserve"> 226/PCI/K1/VIII/21</t>
  </si>
  <si>
    <t>BKI032210025528</t>
  </si>
  <si>
    <t>MERAUKE</t>
  </si>
  <si>
    <t>DO/W6/2021/07/0124C</t>
  </si>
  <si>
    <t>BKI032210028621</t>
  </si>
  <si>
    <t xml:space="preserve"> 227/PCI/K1/VIII/21</t>
  </si>
  <si>
    <t xml:space="preserve"> 228/PCI/K1/VIII/21</t>
  </si>
  <si>
    <t>DO/W6/2021/08/0014E/R/01</t>
  </si>
  <si>
    <t xml:space="preserve"> 229/PCI/K1/VIII/21</t>
  </si>
  <si>
    <t>BKI032210028522</t>
  </si>
  <si>
    <t>DO/W6/2021/07/0122C</t>
  </si>
  <si>
    <t xml:space="preserve"> 230/PCI/K1/VIII/21</t>
  </si>
  <si>
    <t>BKI032210028639</t>
  </si>
  <si>
    <t>DO/W6/2021/07/012DA</t>
  </si>
  <si>
    <t xml:space="preserve"> 231/PCI/K1/VIII/21</t>
  </si>
  <si>
    <t>BKI032210027516</t>
  </si>
  <si>
    <t>DO/W6/2021/07/00BA0</t>
  </si>
  <si>
    <t xml:space="preserve"> 232/PCI/K1/VIII/21</t>
  </si>
  <si>
    <t>BKI032210028175</t>
  </si>
  <si>
    <t>DO/W6/2021/07/00FE1</t>
  </si>
  <si>
    <t>BKI032210028365</t>
  </si>
  <si>
    <t>DO/W6/2021/07/01126</t>
  </si>
  <si>
    <t xml:space="preserve"> 233/PCI/K1/VIII/21</t>
  </si>
  <si>
    <t>BKI032210028340</t>
  </si>
  <si>
    <t>DO/W6/2021/07/01128</t>
  </si>
  <si>
    <t xml:space="preserve"> 234/PCI/K1/VIII/21</t>
  </si>
  <si>
    <t xml:space="preserve"> 235/PCI/K1/VIII/21</t>
  </si>
  <si>
    <t>DO/W6/2021/07/01139</t>
  </si>
  <si>
    <t>BKI032210028357</t>
  </si>
  <si>
    <t>BKI032210028381</t>
  </si>
  <si>
    <t>DO/W6/2021/07/01138</t>
  </si>
  <si>
    <t xml:space="preserve"> 236/PCI/K1/VIII/21</t>
  </si>
  <si>
    <t xml:space="preserve"> 237/PCI/K1/VIII/21</t>
  </si>
  <si>
    <t>BKI032210028407</t>
  </si>
  <si>
    <t>DO/W6/2021/07/01135</t>
  </si>
  <si>
    <t xml:space="preserve"> 238/PCI/K1/VIII/21</t>
  </si>
  <si>
    <t>BKI032210028050</t>
  </si>
  <si>
    <t>DO/W6/2021/07/00F09</t>
  </si>
  <si>
    <t>Karawaci</t>
  </si>
  <si>
    <t xml:space="preserve"> 239/PCI/K1/VIII/21</t>
  </si>
  <si>
    <t>BKI032210028027</t>
  </si>
  <si>
    <t>DO/W6/2021/07/00F08</t>
  </si>
  <si>
    <t xml:space="preserve"> 240/PCI/K1/VIII/21</t>
  </si>
  <si>
    <t>BKI032210028613</t>
  </si>
  <si>
    <t>DO/W6/2021/07/0124D</t>
  </si>
  <si>
    <t xml:space="preserve"> 241/PCI/K1/VIII/21</t>
  </si>
  <si>
    <t>BKI032210028043</t>
  </si>
  <si>
    <t>DO/W6/2021/07/00F06</t>
  </si>
  <si>
    <t xml:space="preserve"> 242/PCI/K1/VIII/21</t>
  </si>
  <si>
    <t>BKI032210028373</t>
  </si>
  <si>
    <t>DO/W6/2021/07/01125</t>
  </si>
  <si>
    <t xml:space="preserve"> 243/PCI/K1/VIII/21</t>
  </si>
  <si>
    <t>BKI032210028506</t>
  </si>
  <si>
    <t>DO/W6/2021/07/0122D</t>
  </si>
  <si>
    <t xml:space="preserve"> 244/PCI/K1/VIII/21</t>
  </si>
  <si>
    <t xml:space="preserve"> 245/PCI/K1/VIII/21</t>
  </si>
  <si>
    <t>BKI032210028647</t>
  </si>
  <si>
    <t>DO/W6/2021/07/012DC</t>
  </si>
  <si>
    <t>BKI0322100028852</t>
  </si>
  <si>
    <t>PT. Rajawali Nusindo</t>
  </si>
  <si>
    <t xml:space="preserve"> 246/PCI/K1/VIII/21</t>
  </si>
  <si>
    <t>BKI032210027110</t>
  </si>
  <si>
    <t xml:space="preserve"> 247/PCI/K1/VIII/21</t>
  </si>
  <si>
    <t xml:space="preserve"> 248/PCI/K1/VIII/21</t>
  </si>
  <si>
    <t>249/PCI/K1/VIII/21</t>
  </si>
  <si>
    <t>BKI032210028159</t>
  </si>
  <si>
    <t xml:space="preserve"> 250/PCI/K1/VIII/21</t>
  </si>
  <si>
    <t>DO/W6/2021/08/00066</t>
  </si>
  <si>
    <t>BKI032210028654</t>
  </si>
  <si>
    <t xml:space="preserve"> 251/PCI/K1/VIII/21</t>
  </si>
  <si>
    <t>BKI032210028480</t>
  </si>
  <si>
    <t>DO/W6/2021/07/0122A/R/01</t>
  </si>
  <si>
    <t>MATARAM &amp; Lombok+F507</t>
  </si>
  <si>
    <t xml:space="preserve"> 325/PCI/K2/VIII/21</t>
  </si>
  <si>
    <t xml:space="preserve"> 326/PCI/K2/VIII/21</t>
  </si>
  <si>
    <t xml:space="preserve"> 327/PCI/K2/VIII/21</t>
  </si>
  <si>
    <t xml:space="preserve"> 328/PCI/K2/VII/21</t>
  </si>
  <si>
    <t>Palembang 2,Banda Aceh,Lhokseumawe</t>
  </si>
  <si>
    <t xml:space="preserve"> S234</t>
  </si>
  <si>
    <t xml:space="preserve"> 329/PCI/K2/VII/21</t>
  </si>
  <si>
    <t xml:space="preserve"> SAH</t>
  </si>
  <si>
    <t xml:space="preserve"> 330/PCI/K2/VIII/21</t>
  </si>
  <si>
    <t>Denpasar,Cirebon</t>
  </si>
  <si>
    <t>BKI032210027029</t>
  </si>
  <si>
    <t>BKI032210028035</t>
  </si>
  <si>
    <t xml:space="preserve"> 331/PCI/K2/VIII/21</t>
  </si>
  <si>
    <t xml:space="preserve"> 333/PCI/K2/VIII/21</t>
  </si>
  <si>
    <t xml:space="preserve"> 334/PCI/K2/VIII/21</t>
  </si>
  <si>
    <t xml:space="preserve"> 335/PCI/K2/VIII/21</t>
  </si>
  <si>
    <t xml:space="preserve"> 336/PCI/K2/VIII/21</t>
  </si>
  <si>
    <t xml:space="preserve"> 337/PCI/K2/VIII/21</t>
  </si>
  <si>
    <t xml:space="preserve"> 338/PCI/K2/VIII/21</t>
  </si>
  <si>
    <t xml:space="preserve"> 339/PCI/K2/VIII/21</t>
  </si>
  <si>
    <t>BKI032210027953</t>
  </si>
  <si>
    <t xml:space="preserve"> 340/PCI/K2/VIII/21</t>
  </si>
  <si>
    <t xml:space="preserve"> 341/PCI/K2/VIII/21</t>
  </si>
  <si>
    <t>BKI032210027185</t>
  </si>
  <si>
    <t xml:space="preserve"> 342/PCI/K2/VIII/21</t>
  </si>
  <si>
    <t>Tanggerang,Kelapa Gading,Tanggerang</t>
  </si>
  <si>
    <t>BKI032210028829</t>
  </si>
  <si>
    <t xml:space="preserve"> 343/PCI/K2/VIII/21</t>
  </si>
  <si>
    <t>Bpk. Samsul</t>
  </si>
  <si>
    <t xml:space="preserve"> 344/PCI/K2/VIII/21</t>
  </si>
  <si>
    <t>BKI032210028688</t>
  </si>
  <si>
    <t>PADANG, JAMBI, PEKANBARU</t>
  </si>
  <si>
    <t xml:space="preserve"> 345/PCI/K2/VIII/21</t>
  </si>
  <si>
    <t>KURIR</t>
  </si>
  <si>
    <t>JNE 073120016085221</t>
  </si>
  <si>
    <t>JNE073120016084321</t>
  </si>
  <si>
    <t xml:space="preserve"> 252/PCI/K1/VIII/21</t>
  </si>
  <si>
    <t>BKI032210028985</t>
  </si>
  <si>
    <t>Semarang, Denpasar dan Banjarmasin</t>
  </si>
  <si>
    <t>Bpk. Wayas</t>
  </si>
  <si>
    <t>PDF Invoice DP</t>
  </si>
  <si>
    <t>BKI032210021170</t>
  </si>
  <si>
    <t>BKI032210021139</t>
  </si>
  <si>
    <t>BKI032210021147</t>
  </si>
  <si>
    <t>BKI032210020925</t>
  </si>
  <si>
    <t>BKI032210020941</t>
  </si>
  <si>
    <t>BKI032210021618</t>
  </si>
  <si>
    <t>BKI032210021865</t>
  </si>
  <si>
    <t>'BKI032210022020</t>
  </si>
  <si>
    <t>BKI032210021980</t>
  </si>
  <si>
    <t>BKI032210022137</t>
  </si>
  <si>
    <t>BKI032210022111</t>
  </si>
  <si>
    <t>BKI032210023028</t>
  </si>
  <si>
    <t>BKI032210023226</t>
  </si>
  <si>
    <t>BKI032210025189</t>
  </si>
  <si>
    <t>BKI032210024737</t>
  </si>
  <si>
    <t>BKI032210023804</t>
  </si>
  <si>
    <t>BKI032210023069</t>
  </si>
  <si>
    <t>BKI032210021519</t>
  </si>
  <si>
    <t>BKI032210023168</t>
  </si>
  <si>
    <t>BKI032210023481</t>
  </si>
  <si>
    <t>BKI032210021600</t>
  </si>
  <si>
    <t>PT. Penerbitan dan Percetakan Balai Pustaka</t>
  </si>
  <si>
    <t>039/PCI/K2/II/21</t>
  </si>
  <si>
    <t>pembayaran DP sama Mas Rian</t>
  </si>
  <si>
    <t>PDF Ke mas rian</t>
  </si>
  <si>
    <t>PDF BPK DENI</t>
  </si>
  <si>
    <t>PDF BPK. NUGROHO TDK MAU BAYAR KARNA SJ TIDAK ADA</t>
  </si>
  <si>
    <t>Ibu Putri</t>
  </si>
  <si>
    <t>PERRHITUNGAN PT. PT. Rajawali Nusindo</t>
  </si>
  <si>
    <t>Invoice 246/PCI/K1/VIII/21</t>
  </si>
  <si>
    <t>Kasbon DP</t>
  </si>
  <si>
    <t>Total Penjualan</t>
  </si>
  <si>
    <t>total yang diterima</t>
  </si>
  <si>
    <t>( fee titipan 3jt , kasbon DP 3,5jt)</t>
  </si>
  <si>
    <t>BCA 1781358083 a. N zainal abidin..</t>
  </si>
  <si>
    <t xml:space="preserve"> 253/PCI/K1/VIII/21</t>
  </si>
  <si>
    <t>BKI032210026930</t>
  </si>
  <si>
    <t>27-07-2021</t>
  </si>
  <si>
    <t>C3 SAH 3</t>
  </si>
  <si>
    <t xml:space="preserve"> 254/PCI/K1/VIII/21</t>
  </si>
  <si>
    <t>BKI032210025452</t>
  </si>
  <si>
    <t xml:space="preserve"> 255/PCI/K1/VIII/21</t>
  </si>
  <si>
    <t>BKI032210025510</t>
  </si>
  <si>
    <t>Atambua Timor</t>
  </si>
  <si>
    <t xml:space="preserve"> 346/PCI/K2/VIII/21</t>
  </si>
  <si>
    <t>BKI032210022749</t>
  </si>
  <si>
    <t xml:space="preserve"> 347/PCI/K2/VIII/21</t>
  </si>
  <si>
    <t>Ibu Viona</t>
  </si>
  <si>
    <t>sudah sama bu sri</t>
  </si>
  <si>
    <t>JNE 073120016147821</t>
  </si>
  <si>
    <t xml:space="preserve"> 348/PCI/K2/VIII/21</t>
  </si>
  <si>
    <t>BKI032210028902</t>
  </si>
  <si>
    <t>pdf bpk samsul</t>
  </si>
  <si>
    <t xml:space="preserve"> PT. Pelayaran Lintas Harmoni</t>
  </si>
  <si>
    <t xml:space="preserve"> 349/PCI/K2/VIII/21</t>
  </si>
  <si>
    <t>BKI032210029173</t>
  </si>
  <si>
    <t xml:space="preserve"> 350/PCI/K2/VIII/21</t>
  </si>
  <si>
    <t>Kediri</t>
  </si>
  <si>
    <t>BKI032210028910</t>
  </si>
  <si>
    <t xml:space="preserve"> 351/PCI/K2/VIII/21</t>
  </si>
  <si>
    <t>PT. Permana Putra Mandiri</t>
  </si>
  <si>
    <t>Klungkung</t>
  </si>
  <si>
    <t>26-07-2021</t>
  </si>
  <si>
    <t xml:space="preserve"> 352/PCI/K2/VIII/21</t>
  </si>
  <si>
    <t>BKI032210029272</t>
  </si>
  <si>
    <t xml:space="preserve"> 353/PCI/K2/VIII/21</t>
  </si>
  <si>
    <t>BKI032210029140</t>
  </si>
  <si>
    <t>PT. ADYWINSA ELECTRICAL AND POWER</t>
  </si>
  <si>
    <t>BKI032210025320</t>
  </si>
  <si>
    <t>BKI032210025346</t>
  </si>
  <si>
    <t>PT. FOKUS INDO LIGHTING</t>
  </si>
  <si>
    <t>MESPCI1086 - TANJUNG MORAWA</t>
  </si>
  <si>
    <t>SRGPCI0281 - YOGYAKARTA</t>
  </si>
  <si>
    <t>BKI032210025460</t>
  </si>
  <si>
    <t>13-07-2021</t>
  </si>
  <si>
    <t>21-07-2021</t>
  </si>
  <si>
    <t>BKI032210026690</t>
  </si>
  <si>
    <t>PT. CAHAYA MULTI TRANS</t>
  </si>
  <si>
    <t>MDCPCI0785 - BOLAANG MONGONDOW TIMUR</t>
  </si>
  <si>
    <t>22-07-2021</t>
  </si>
  <si>
    <t>BKI032210026799</t>
  </si>
  <si>
    <t>BKI032210026864</t>
  </si>
  <si>
    <t>BKI032210026872</t>
  </si>
  <si>
    <t>BKI032210026898</t>
  </si>
  <si>
    <t>MESPCI1041 - KISARAN</t>
  </si>
  <si>
    <t>MESPCI1062 - PEMATANG SIANTAR</t>
  </si>
  <si>
    <t>PLMPCI0965 - KAYU AGUNG</t>
  </si>
  <si>
    <t>DJBPCI0107 - JAMBI</t>
  </si>
  <si>
    <t>BKI032210027128</t>
  </si>
  <si>
    <t>23-07-2021</t>
  </si>
  <si>
    <t>BKI032210027177</t>
  </si>
  <si>
    <t>PT. PETRA NUSA ELSHADA</t>
  </si>
  <si>
    <t>BKI032210027391</t>
  </si>
  <si>
    <t>BKI032210027490</t>
  </si>
  <si>
    <t>31-07-2021</t>
  </si>
  <si>
    <t>BKI032210028423</t>
  </si>
  <si>
    <t>BKI032210028472</t>
  </si>
  <si>
    <t>BKI032210028563</t>
  </si>
  <si>
    <t>ibu Riska</t>
  </si>
  <si>
    <t>di cancel punya central asia</t>
  </si>
  <si>
    <t>SJ di File</t>
  </si>
  <si>
    <t>sj langsung dikirim mas rizky atas persetujuan Pa Imam</t>
  </si>
  <si>
    <t xml:space="preserve"> 258/PCI/K1/VIII/21</t>
  </si>
  <si>
    <t xml:space="preserve"> 362/PCI/K2/VIII/21</t>
  </si>
  <si>
    <t>361/PCI/K2/VII/21</t>
  </si>
  <si>
    <t>355/PCI/K2/VIII/21</t>
  </si>
  <si>
    <t>356/PCI/K2/VIII/21</t>
  </si>
  <si>
    <t>BKI032210029298</t>
  </si>
  <si>
    <t>Bpk. Brian</t>
  </si>
  <si>
    <t>354/PCI/K2/VIII/21</t>
  </si>
  <si>
    <t>BKI032210029066</t>
  </si>
  <si>
    <t>DO/W6/2021/08/001EF</t>
  </si>
  <si>
    <t>Gresik</t>
  </si>
  <si>
    <t>BKI032210029397</t>
  </si>
  <si>
    <t>357/PCI/K2/VIII/21</t>
  </si>
  <si>
    <t>Banjarmasin - Sidoarjo</t>
  </si>
  <si>
    <t>BKI032210029314</t>
  </si>
  <si>
    <t>Jakarta - Bandung</t>
  </si>
  <si>
    <t>358/PCI/K2/VIII/21</t>
  </si>
  <si>
    <t>359/PCI/K2/VIII/21</t>
  </si>
  <si>
    <t>BKI032210029405</t>
  </si>
  <si>
    <t>PT. Pos Logistics</t>
  </si>
  <si>
    <t xml:space="preserve"> 363/PCI/K2/VII/21</t>
  </si>
  <si>
    <t>BKI032210029116</t>
  </si>
  <si>
    <t>DO/W6/2021/08/00425</t>
  </si>
  <si>
    <t xml:space="preserve"> YOGYAKARTA</t>
  </si>
  <si>
    <t xml:space="preserve"> 259/PCI/K1/VIII/21</t>
  </si>
  <si>
    <t xml:space="preserve"> 260/PCI/K1/VIII/21</t>
  </si>
  <si>
    <t>BKI032210028886</t>
  </si>
  <si>
    <t>GRESIK</t>
  </si>
  <si>
    <t xml:space="preserve"> 261/PCI/K1/VIII/21</t>
  </si>
  <si>
    <t xml:space="preserve"> 262/PCI/K1/VIII/21</t>
  </si>
  <si>
    <t>BKI032210029421</t>
  </si>
  <si>
    <t>AWB No. 3275218262</t>
  </si>
  <si>
    <t xml:space="preserve"> 263/PCI/K1/VIII/21</t>
  </si>
  <si>
    <t>BKI032210028936</t>
  </si>
  <si>
    <t>DMP PNK (PONTIANAK)</t>
  </si>
  <si>
    <t xml:space="preserve"> 264/PCI/K1/VIII/21</t>
  </si>
  <si>
    <t xml:space="preserve"> 265/PCI/K1/VIII/21</t>
  </si>
  <si>
    <t>BKI032210028605</t>
  </si>
  <si>
    <t xml:space="preserve"> 266/PCI/K1/VIII/21</t>
  </si>
  <si>
    <t>BKI032210029801</t>
  </si>
  <si>
    <t xml:space="preserve"> 267/PCI/K1/VIII/21</t>
  </si>
  <si>
    <t>BKI032210028845</t>
  </si>
  <si>
    <t>BKI032210030551</t>
  </si>
  <si>
    <t xml:space="preserve">Lampung </t>
  </si>
  <si>
    <t xml:space="preserve"> 364/PCI/K2/VIII/21</t>
  </si>
  <si>
    <t xml:space="preserve"> 365/PCI/K2/VIII/21</t>
  </si>
  <si>
    <t xml:space="preserve"> 366/PCI/K2/VIII/21</t>
  </si>
  <si>
    <t xml:space="preserve"> 367/PCI/K2/VIII/21</t>
  </si>
  <si>
    <t xml:space="preserve"> 368/PCI/K2/VIII/21</t>
  </si>
  <si>
    <t>PT. Cipta Amanah Persada</t>
  </si>
  <si>
    <t>BKI032210028449</t>
  </si>
  <si>
    <t>BKI032210029488</t>
  </si>
  <si>
    <t xml:space="preserve"> 369/PCI/K2/VIII/21</t>
  </si>
  <si>
    <t xml:space="preserve"> 370/PCI/K2/VIII/21</t>
  </si>
  <si>
    <t>BKI032210029348</t>
  </si>
  <si>
    <t xml:space="preserve"> 371/PCI/K2/VIII/21</t>
  </si>
  <si>
    <t>BKI032210029413</t>
  </si>
  <si>
    <t>Pasuruan</t>
  </si>
  <si>
    <t>BKI032210030486</t>
  </si>
  <si>
    <t xml:space="preserve"> 373/PCI/K2/VIII/21</t>
  </si>
  <si>
    <t>Cas 18/08/21</t>
  </si>
  <si>
    <t>Cas</t>
  </si>
  <si>
    <t>AGUSTUS 2021</t>
  </si>
  <si>
    <t xml:space="preserve"> 374/PCI/K2/IX/21</t>
  </si>
  <si>
    <t>PT. Duta Nusantara</t>
  </si>
  <si>
    <t>Kalimantan</t>
  </si>
  <si>
    <t xml:space="preserve"> 375/PCI/K2/IX/21</t>
  </si>
  <si>
    <t>BKI032210030999</t>
  </si>
  <si>
    <t>Tanggerang &amp; Tanggerang</t>
  </si>
  <si>
    <t>pdf Bpk. Momon</t>
  </si>
  <si>
    <t xml:space="preserve"> 376/PCI/K2/IX/21</t>
  </si>
  <si>
    <t>Bpk. Bhakti</t>
  </si>
  <si>
    <t>BKI032210029009</t>
  </si>
  <si>
    <t>PDF Bpk Bhakti</t>
  </si>
  <si>
    <t>377/PCI/K2/IX/21</t>
  </si>
  <si>
    <t>Banten</t>
  </si>
  <si>
    <t>Ibu Eva / Bpk. Zulbadi</t>
  </si>
  <si>
    <t xml:space="preserve"> 268/PCI/K1/IX/21</t>
  </si>
  <si>
    <t>BKI032210028951</t>
  </si>
  <si>
    <t xml:space="preserve"> 269/PCI/K1/IX/21</t>
  </si>
  <si>
    <t>DJJPCI0687 - MERAUKE</t>
  </si>
  <si>
    <t>BKI032210028217</t>
  </si>
  <si>
    <t xml:space="preserve"> 270/PCI/K1/IX/21</t>
  </si>
  <si>
    <t>BKI0322100965</t>
  </si>
  <si>
    <t xml:space="preserve"> 271/PCI/K1/IX/21</t>
  </si>
  <si>
    <t>Vietnam</t>
  </si>
  <si>
    <t>BKI032210031070</t>
  </si>
  <si>
    <t xml:space="preserve"> 272/PCI/K1/IX/21</t>
  </si>
  <si>
    <t>ITALY</t>
  </si>
  <si>
    <t xml:space="preserve"> 273/PCI/K1/IX/21</t>
  </si>
  <si>
    <t xml:space="preserve"> 274/PCI/K1/IX/21</t>
  </si>
  <si>
    <t>BKI032210029454</t>
  </si>
  <si>
    <t>tresno</t>
  </si>
  <si>
    <t xml:space="preserve"> 378/PCI/K2/IX/21</t>
  </si>
  <si>
    <t xml:space="preserve"> 275/PCI/K1/IX/21</t>
  </si>
  <si>
    <t xml:space="preserve"> 276/PCI/K1/IX/21</t>
  </si>
  <si>
    <t xml:space="preserve"> 277/PCI/K1/IX/21</t>
  </si>
  <si>
    <t>MAKASSAR</t>
  </si>
  <si>
    <t>BKI032210029249</t>
  </si>
  <si>
    <t xml:space="preserve"> 256/PCI/K1/VIII/21</t>
  </si>
  <si>
    <t>DO/W6/2021/08/002CA</t>
  </si>
  <si>
    <t xml:space="preserve"> 257/PCI/K1/VIII/21</t>
  </si>
  <si>
    <t>PT. PLN (Persero)</t>
  </si>
  <si>
    <t>BKI032210028696</t>
  </si>
  <si>
    <t>Pacitan</t>
  </si>
  <si>
    <t xml:space="preserve"> 279/PCI/K1/IX/21</t>
  </si>
  <si>
    <t xml:space="preserve"> 278/PCI/K1/IX/21</t>
  </si>
  <si>
    <t>BKI032210029561</t>
  </si>
  <si>
    <t>BKI032210028670</t>
  </si>
  <si>
    <t xml:space="preserve"> 379/PCI/K2/IX/21</t>
  </si>
  <si>
    <t xml:space="preserve"> 380/PCI/K2/IX/21</t>
  </si>
  <si>
    <t>Rokan Hilir</t>
  </si>
  <si>
    <t xml:space="preserve"> 381/PCI/K2/IX/21</t>
  </si>
  <si>
    <t>mas rian</t>
  </si>
  <si>
    <t>BAPAK AHIN</t>
  </si>
  <si>
    <t>BTHPCI0341 - BATAM KOTA</t>
  </si>
  <si>
    <t>BKI032210029058</t>
  </si>
  <si>
    <t xml:space="preserve"> 382/PCI/K2/IX/21</t>
  </si>
  <si>
    <t>DANID KARYA INDOTAMA</t>
  </si>
  <si>
    <t>BKI032210029363</t>
  </si>
  <si>
    <t>BKI032210029462</t>
  </si>
  <si>
    <t>PT. DANID KARYA INDOTAMA</t>
  </si>
  <si>
    <t xml:space="preserve"> Batam </t>
  </si>
  <si>
    <t>pembayaran di bulan agustus</t>
  </si>
  <si>
    <t xml:space="preserve"> 383/PCI/K2/IX/21</t>
  </si>
  <si>
    <t>BKI032210032250</t>
  </si>
  <si>
    <t>Bpk. Aris</t>
  </si>
  <si>
    <t xml:space="preserve"> Makassar </t>
  </si>
  <si>
    <t xml:space="preserve"> 384/PCI/K2/IX/21</t>
  </si>
  <si>
    <t>PT. Segoro Intan Puraka</t>
  </si>
  <si>
    <t>pdf Bu sri</t>
  </si>
  <si>
    <t xml:space="preserve"> 385/PCI/K2/IX/21</t>
  </si>
  <si>
    <t xml:space="preserve"> Ibu Reisa Palmina</t>
  </si>
  <si>
    <t>BKI032210032334</t>
  </si>
  <si>
    <t>pdf mia</t>
  </si>
  <si>
    <t xml:space="preserve"> 230/PCI/K1/IX/21</t>
  </si>
  <si>
    <t>BKI032210028761</t>
  </si>
  <si>
    <t>JNE Ibu Meida 07312008342721</t>
  </si>
  <si>
    <t>Info Mas Rian Lunas</t>
  </si>
  <si>
    <t>REKAP DATA PIUTANG BIAYA PENGIRIMAN</t>
  </si>
  <si>
    <t>PAYMENT DP</t>
  </si>
  <si>
    <t>PAYMENT PELUNASAN</t>
  </si>
  <si>
    <t xml:space="preserve"> 386/PCI/K2/IX/21</t>
  </si>
  <si>
    <t>Mandaka Mebel</t>
  </si>
  <si>
    <t>Sulawesi</t>
  </si>
  <si>
    <t>SEPTEMBER 2021</t>
  </si>
  <si>
    <t>PERIODE</t>
  </si>
  <si>
    <t>05 Juli 21 - 07 Juli 21</t>
  </si>
  <si>
    <t>01/06/2021</t>
  </si>
  <si>
    <t>07 Juli 21 -  16 Juli 2021</t>
  </si>
  <si>
    <t>17 Juli 21 - 19 Juli 2021</t>
  </si>
  <si>
    <t>13 Juli 21 - 22 Juli 21</t>
  </si>
  <si>
    <t>20 Juli 21 - 30 Juli 21</t>
  </si>
  <si>
    <t>02 Agustus - 03 Agustus 21</t>
  </si>
  <si>
    <t>31 Juli 21 -  07 Agustus 21</t>
  </si>
  <si>
    <t>08 Agustus - 16 Agustus 21</t>
  </si>
  <si>
    <t>04 Agustsu -  19 Agustus 21</t>
  </si>
  <si>
    <t>25 Juli - 08 Agustus 21</t>
  </si>
  <si>
    <t>06 Agustus 21 - 19 Agustus 21</t>
  </si>
  <si>
    <t>05 Agustus 21 - 17 Agustus 21</t>
  </si>
  <si>
    <t>01 Agustus 21 - 27 Agustus 21</t>
  </si>
  <si>
    <t>SAUMLAKI</t>
  </si>
  <si>
    <t>PONTIANAK</t>
  </si>
  <si>
    <t>PDF Pa koes to Pa imam</t>
  </si>
  <si>
    <t>GRAND TOTAL PIUTANG 2020 DAN 2021</t>
  </si>
  <si>
    <t xml:space="preserve"> PT. Venindo Jaya Abadi</t>
  </si>
  <si>
    <t>BKI0322210033613</t>
  </si>
  <si>
    <t xml:space="preserve"> 387/PCI/K2/IX/21</t>
  </si>
  <si>
    <t>pdf bpk jemi</t>
  </si>
  <si>
    <t xml:space="preserve"> 388/PCI/K2/IX/21</t>
  </si>
  <si>
    <t xml:space="preserve"> Bpk. Peter</t>
  </si>
  <si>
    <t>Ambon</t>
  </si>
  <si>
    <t>pdf bu sri</t>
  </si>
  <si>
    <t>Ibu Eni / PT. DEKA</t>
  </si>
  <si>
    <t>TANAH GROGOT</t>
  </si>
  <si>
    <t xml:space="preserve"> 389/PCI/K2/IX/21</t>
  </si>
  <si>
    <t xml:space="preserve"> 390/PCI/K2/IX/21</t>
  </si>
  <si>
    <t>Sukabumi</t>
  </si>
  <si>
    <t>BKI032210034058</t>
  </si>
  <si>
    <t>DO/W6/2021/08/OOCD6</t>
  </si>
  <si>
    <t>16/09/21</t>
  </si>
  <si>
    <t xml:space="preserve"> 391/PCI/K2/IX/21</t>
  </si>
  <si>
    <t>BKI032210032219</t>
  </si>
  <si>
    <t>Jakarta B 9294 KXT</t>
  </si>
  <si>
    <t xml:space="preserve"> 392/PCI/K2/IX/21</t>
  </si>
  <si>
    <t>393/PCI/K2/IX/21</t>
  </si>
  <si>
    <t>Bpk. Oentoeng</t>
  </si>
  <si>
    <t>BKI032210033340</t>
  </si>
  <si>
    <t>27/09/21 uang sama mas Rian info mas rian</t>
  </si>
  <si>
    <t xml:space="preserve"> 394/PCI/K2/IX/21</t>
  </si>
  <si>
    <t>BKI032210034652</t>
  </si>
  <si>
    <t xml:space="preserve"> Bpk. Aruan</t>
  </si>
  <si>
    <t xml:space="preserve"> 395/PCI/K2/IX/21</t>
  </si>
  <si>
    <t>PT. Nafast Indotrans Logistic</t>
  </si>
  <si>
    <t>pdf Pa barka</t>
  </si>
  <si>
    <t xml:space="preserve"> 396/PCI/K2/IX/21</t>
  </si>
  <si>
    <t xml:space="preserve"> 397/PCI/K2/IX/21</t>
  </si>
  <si>
    <t>Banarmasin-Jakarta</t>
  </si>
  <si>
    <t>Banjarmasin-Karawang</t>
  </si>
  <si>
    <t>PT. PCP / Feriyanti</t>
  </si>
  <si>
    <t>Tanah Grogot</t>
  </si>
  <si>
    <t>Pasuruan  ( 2Fuso)</t>
  </si>
  <si>
    <t xml:space="preserve"> 398/PCI/K2/IX/21</t>
  </si>
  <si>
    <t>Banjarmsin - Karawang</t>
  </si>
  <si>
    <t>BKI032210031294</t>
  </si>
  <si>
    <t>kirim JNE</t>
  </si>
  <si>
    <t xml:space="preserve"> 399/PCI/K2/IX/21</t>
  </si>
  <si>
    <t>KFTD PALEMBANG</t>
  </si>
  <si>
    <t>BKI032210033928</t>
  </si>
  <si>
    <t xml:space="preserve"> 400/PCI/K2/IX/21</t>
  </si>
  <si>
    <t>BKI032210034017</t>
  </si>
  <si>
    <t>Surabaya,Sukabumi, Ciamis,Kediri,Jepara dan Batang</t>
  </si>
  <si>
    <t xml:space="preserve"> 401/PCI/K2/IX/21</t>
  </si>
  <si>
    <t>Palembag</t>
  </si>
  <si>
    <t xml:space="preserve"> 402/PCI/K2/IX/21</t>
  </si>
  <si>
    <t>Ngawi</t>
  </si>
  <si>
    <t xml:space="preserve"> 403/PCI/K2/IX/21</t>
  </si>
  <si>
    <t xml:space="preserve"> 404/PCI/K2/IX/21</t>
  </si>
  <si>
    <t>PT. DGL Expedisi Indonesia / mama caca</t>
  </si>
  <si>
    <t>BKI032210035113</t>
  </si>
  <si>
    <t xml:space="preserve"> 280/PCI/K1/IX/21</t>
  </si>
  <si>
    <t>Balikpapan 1 -27 Agustus  2021</t>
  </si>
  <si>
    <t xml:space="preserve"> 281/PCI/K1/IX/21</t>
  </si>
  <si>
    <t>BKI032210033621</t>
  </si>
  <si>
    <t>Thailand, Jepang,Tahiland, Singapore</t>
  </si>
  <si>
    <t xml:space="preserve"> 282/PCI/K1/IX/21</t>
  </si>
  <si>
    <t xml:space="preserve"> 283/PCI/K1/IX/21</t>
  </si>
  <si>
    <t>BKI032210033944</t>
  </si>
  <si>
    <t xml:space="preserve"> 284/PCI/K1/IX/21</t>
  </si>
  <si>
    <t>Pondok Ungu</t>
  </si>
  <si>
    <t>DO/W6/2021/09/007DC</t>
  </si>
  <si>
    <t>DO/W6/2021/09/00ABE</t>
  </si>
  <si>
    <t>BKI032210034025</t>
  </si>
  <si>
    <t xml:space="preserve"> 285/PCI/K1/IX/21</t>
  </si>
  <si>
    <t>CAS Pulogadung</t>
  </si>
  <si>
    <t>BKI032210033977</t>
  </si>
  <si>
    <t xml:space="preserve"> 286/PCI/K1/IX/21</t>
  </si>
  <si>
    <t>BKI032210033969</t>
  </si>
  <si>
    <t xml:space="preserve"> 287/PCI/K1/IX/21</t>
  </si>
  <si>
    <t>Kebayoran Baru Jakarta</t>
  </si>
  <si>
    <t>BKI032210033936</t>
  </si>
  <si>
    <t xml:space="preserve"> 288/PCI/K1/IX/21</t>
  </si>
  <si>
    <t>Tasikmalaya</t>
  </si>
  <si>
    <t>DO/W6/2021/09/005C1</t>
  </si>
  <si>
    <t>BKI032210031641</t>
  </si>
  <si>
    <t xml:space="preserve"> 289/PCI/K1/IX/21</t>
  </si>
  <si>
    <t>DO/W6/2021/08/0117D</t>
  </si>
  <si>
    <t>KEMBANGAN JAKARTA</t>
  </si>
  <si>
    <t xml:space="preserve"> 290/PCI/K1/IX/21</t>
  </si>
  <si>
    <t>CIREBON</t>
  </si>
  <si>
    <t>DO/W6/2021/08/0149F</t>
  </si>
  <si>
    <t>BKI032210031617</t>
  </si>
  <si>
    <t>31/8/2021</t>
  </si>
  <si>
    <t xml:space="preserve"> 291/PCI/K1/IX/21</t>
  </si>
  <si>
    <t>DEPOK</t>
  </si>
  <si>
    <t>BKI032210031633</t>
  </si>
  <si>
    <t xml:space="preserve"> 292/PCI/K1/IX/21</t>
  </si>
  <si>
    <t>DO/W6/2021/08/01402</t>
  </si>
  <si>
    <t>BKI032210031609</t>
  </si>
  <si>
    <t>30/8/2021</t>
  </si>
  <si>
    <t xml:space="preserve"> 293/PCI/K1/IX/21</t>
  </si>
  <si>
    <t>Depo Bandung</t>
  </si>
  <si>
    <t>DO/W6/2021/08/0139E/R/01</t>
  </si>
  <si>
    <t>BKI032210031591</t>
  </si>
  <si>
    <t xml:space="preserve"> 294/PCI/K1/IX/21</t>
  </si>
  <si>
    <t>BKI032210031658</t>
  </si>
  <si>
    <t xml:space="preserve"> 295/PCI/K1/IX/21</t>
  </si>
  <si>
    <t>DO/W6/2021/08/0133E</t>
  </si>
  <si>
    <t>BKI032210031583</t>
  </si>
  <si>
    <t>29/8/2021</t>
  </si>
  <si>
    <t xml:space="preserve"> 296/PCI/K1/IX/21</t>
  </si>
  <si>
    <t>CIKUPA</t>
  </si>
  <si>
    <t>DO/W6/2021/08/0133B</t>
  </si>
  <si>
    <t>BKI032210031575</t>
  </si>
  <si>
    <t xml:space="preserve"> 297/PCI/K1/IX/21</t>
  </si>
  <si>
    <t>BKI032210031385</t>
  </si>
  <si>
    <t>DO/W6/2021/08/010C1</t>
  </si>
  <si>
    <t xml:space="preserve"> 298/PCI/K1/X/21</t>
  </si>
  <si>
    <t>DO/W6/2021/08/01253</t>
  </si>
  <si>
    <t>BKI032210031559</t>
  </si>
  <si>
    <t xml:space="preserve"> 299/PCI/K1/X/21</t>
  </si>
  <si>
    <t>CIBUBUR</t>
  </si>
  <si>
    <t>DO/W6/2021/08/01255</t>
  </si>
  <si>
    <t>BKI032210031401</t>
  </si>
  <si>
    <t xml:space="preserve"> 300/PCI/K1/X/21</t>
  </si>
  <si>
    <t>BANJARMASIN 19 -22 Agustus 21</t>
  </si>
  <si>
    <t>BKI032210032359</t>
  </si>
  <si>
    <t xml:space="preserve"> 301/PCI/K1/X/21</t>
  </si>
  <si>
    <t>BANJARMASIN 21 -31 Agustus 21</t>
  </si>
  <si>
    <t>BKI032210032896</t>
  </si>
  <si>
    <t xml:space="preserve"> 302/PCI/K1/X/21</t>
  </si>
  <si>
    <t>Balikpapan 28 -31 Agustus 21</t>
  </si>
  <si>
    <t>BKI032210032052</t>
  </si>
  <si>
    <t xml:space="preserve"> 303/PCI/K1/X/21</t>
  </si>
  <si>
    <t>Batam 17 - 31 Agustus 21</t>
  </si>
  <si>
    <t>BKI032210029835</t>
  </si>
  <si>
    <t>Kementrian Pendidikan Nasional</t>
  </si>
  <si>
    <t xml:space="preserve"> 304/PCI/K1/X/21</t>
  </si>
  <si>
    <t xml:space="preserve"> 305/PCI/K1/X/21</t>
  </si>
  <si>
    <t>DO/W6/2021/08/0124C/R/02</t>
  </si>
  <si>
    <t>BKI032210031567</t>
  </si>
  <si>
    <t xml:space="preserve"> 306/PCI/K1/X/21</t>
  </si>
  <si>
    <t>DO/W6/2021/08/0101A</t>
  </si>
  <si>
    <t>BKI032210031377</t>
  </si>
  <si>
    <t>MAN IC Pasuruan</t>
  </si>
  <si>
    <t>MAN 1 Pasuruan</t>
  </si>
  <si>
    <t xml:space="preserve">JNE tanggal </t>
  </si>
  <si>
    <t>JNE tanggal 04/10/21</t>
  </si>
  <si>
    <t xml:space="preserve"> 421/PCI/K2/X/21</t>
  </si>
  <si>
    <t>BKI032210037002</t>
  </si>
  <si>
    <t>OKTOBER 2021</t>
  </si>
  <si>
    <t xml:space="preserve"> 307/PCI/K1/X/21</t>
  </si>
  <si>
    <t>075</t>
  </si>
  <si>
    <t>PT. Makmur Berkat Solusi</t>
  </si>
  <si>
    <t>Sulawesi Utara</t>
  </si>
  <si>
    <t xml:space="preserve"> 308/PCI/K1/X/21</t>
  </si>
  <si>
    <t>PDF Pa rizqi</t>
  </si>
  <si>
    <t>BKI032210031351</t>
  </si>
  <si>
    <t>DO/W6/2021/08/00F2C</t>
  </si>
  <si>
    <t>KOSAMBI</t>
  </si>
  <si>
    <t xml:space="preserve"> 309/PCI/K1/X/21</t>
  </si>
  <si>
    <t xml:space="preserve"> 310/PCI/K1/X/21</t>
  </si>
  <si>
    <t>DO/W6/2021/10/000ID</t>
  </si>
  <si>
    <t>BKI032210035790</t>
  </si>
  <si>
    <t>BKI032210036202</t>
  </si>
  <si>
    <t xml:space="preserve"> 311/PCI/K1/X/21</t>
  </si>
  <si>
    <t xml:space="preserve"> 312/PCI/K1/X/21</t>
  </si>
  <si>
    <t>PONTIANAK 19 - 31 Agustus 21</t>
  </si>
  <si>
    <t>BKI032210030908</t>
  </si>
  <si>
    <t xml:space="preserve"> 313/PCI/K1/X/21</t>
  </si>
  <si>
    <t>SUKABUMI</t>
  </si>
  <si>
    <t>DO/W6/2021/09/008A8</t>
  </si>
  <si>
    <t>BKI032210033951</t>
  </si>
  <si>
    <t xml:space="preserve"> 314/PCI/K1/X/21</t>
  </si>
  <si>
    <t>BKI032210034033</t>
  </si>
  <si>
    <t>BKI032210035840</t>
  </si>
  <si>
    <t>DO/W6/2021/09/0177A</t>
  </si>
  <si>
    <t>PONDOK GEDE</t>
  </si>
  <si>
    <t xml:space="preserve"> 315/PCI/K1/X/21</t>
  </si>
  <si>
    <t xml:space="preserve"> 316/PCI/K1/X/21</t>
  </si>
  <si>
    <t>BKI032210034074</t>
  </si>
  <si>
    <t xml:space="preserve"> 317/PCI/K1/X/21</t>
  </si>
  <si>
    <t>DO/W6/2021/09/018F8</t>
  </si>
  <si>
    <t>BKI032210035816</t>
  </si>
  <si>
    <t>TANGERANG</t>
  </si>
  <si>
    <t xml:space="preserve"> 318/PCI/K1/X/21</t>
  </si>
  <si>
    <t>DO/W6/2021/09/01780</t>
  </si>
  <si>
    <t>BKI032210035832</t>
  </si>
  <si>
    <t xml:space="preserve"> 319/PCI/K1/X/21</t>
  </si>
  <si>
    <t>BKI032210036137</t>
  </si>
  <si>
    <t xml:space="preserve"> 320/PCI/K1/X/21</t>
  </si>
  <si>
    <t>BKI032210037234</t>
  </si>
  <si>
    <t xml:space="preserve"> 321/PCI/K1/X/21</t>
  </si>
  <si>
    <t>JAPAN, THAILAND, SINGAPOE, USA</t>
  </si>
  <si>
    <t>BKI032210036947</t>
  </si>
  <si>
    <t xml:space="preserve"> 405/PCI/K2/X/21</t>
  </si>
  <si>
    <t>BKI032210034447</t>
  </si>
  <si>
    <t xml:space="preserve"> 407/PCI/K2/X/21</t>
  </si>
  <si>
    <t>BKI032210031153</t>
  </si>
  <si>
    <t>Trucking Fuso 8M Karawang - Manggarai</t>
  </si>
  <si>
    <t xml:space="preserve"> 408/PCI/K2/X/21</t>
  </si>
  <si>
    <t>BKI032210033290</t>
  </si>
  <si>
    <t>JAWA C4</t>
  </si>
  <si>
    <t xml:space="preserve"> 409/PCI/K2/X/21</t>
  </si>
  <si>
    <t xml:space="preserve"> Sumatera C4</t>
  </si>
  <si>
    <t>17-09-2021</t>
  </si>
  <si>
    <t>BKI032210032268</t>
  </si>
  <si>
    <t xml:space="preserve"> 410/PCI/K2/X/21</t>
  </si>
  <si>
    <t xml:space="preserve"> 411/PCI/K2/X/21</t>
  </si>
  <si>
    <t>Sumatera Utara</t>
  </si>
  <si>
    <t>BKI032210037119</t>
  </si>
  <si>
    <t>CV. Riang Sarana Artha</t>
  </si>
  <si>
    <t>BKI032210037390</t>
  </si>
  <si>
    <t xml:space="preserve"> 412/PCI/K2/X/21</t>
  </si>
  <si>
    <t>PDF Bpk. Ridwan</t>
  </si>
  <si>
    <t xml:space="preserve"> 413/PCI/K2/X/21</t>
  </si>
  <si>
    <t>KALIMANTAN 2 C4</t>
  </si>
  <si>
    <t>BKI032210031229</t>
  </si>
  <si>
    <t xml:space="preserve"> 414/PCI/K2/X/21</t>
  </si>
  <si>
    <t>KALIMANTAN 1 C4</t>
  </si>
  <si>
    <t>BKI032210031773</t>
  </si>
  <si>
    <t xml:space="preserve"> 415/PCI/K2/X/21</t>
  </si>
  <si>
    <t>BALI NT C4</t>
  </si>
  <si>
    <t>BKI032210031252</t>
  </si>
  <si>
    <t xml:space="preserve"> 416/PCI/K2/X/21</t>
  </si>
  <si>
    <t>SULAWESI 1 C4</t>
  </si>
  <si>
    <t>BKI032210031674</t>
  </si>
  <si>
    <t xml:space="preserve"> 417/PCI/K2/X/21</t>
  </si>
  <si>
    <t>SULAWESI 2 C4</t>
  </si>
  <si>
    <t>BKI032210031112</t>
  </si>
  <si>
    <t xml:space="preserve"> 418/PCI/K2/X/21</t>
  </si>
  <si>
    <t>BKI032210036632</t>
  </si>
  <si>
    <t xml:space="preserve"> 419/PCI/K2/X/21</t>
  </si>
  <si>
    <t>BKI032210036962</t>
  </si>
  <si>
    <t>BANJARMASIN KARAWANG</t>
  </si>
  <si>
    <t xml:space="preserve"> 420/PCI/K2/X/21</t>
  </si>
  <si>
    <t>BKI032210036699</t>
  </si>
  <si>
    <t>MANGGARAI</t>
  </si>
  <si>
    <t>BKI032210037044</t>
  </si>
  <si>
    <t xml:space="preserve"> 422/PCI/K2/X/21</t>
  </si>
  <si>
    <t>BKI032210037648</t>
  </si>
  <si>
    <t xml:space="preserve"> Bpk. Ambar Jasuman</t>
  </si>
  <si>
    <t xml:space="preserve"> 423/PCI/K2/X/21</t>
  </si>
  <si>
    <t>Bpk. Xiu Liu</t>
  </si>
  <si>
    <t>BKI032210037655</t>
  </si>
  <si>
    <t xml:space="preserve"> 424/PCI/K2/X/21</t>
  </si>
  <si>
    <t>Bpk. Rahman</t>
  </si>
  <si>
    <t>Pulogebang</t>
  </si>
  <si>
    <t>402591</t>
  </si>
  <si>
    <t>PDF Bu Sri</t>
  </si>
  <si>
    <t>PDF Mia</t>
  </si>
  <si>
    <t xml:space="preserve"> 425/PCI/K2/X/21</t>
  </si>
  <si>
    <t>mix</t>
  </si>
  <si>
    <t>BKI032210034488</t>
  </si>
  <si>
    <t xml:space="preserve"> 426/PCI/K2/X/21</t>
  </si>
  <si>
    <t>Logistic Express Nusantara</t>
  </si>
  <si>
    <t xml:space="preserve"> 427/PCI/K2/IX/21</t>
  </si>
  <si>
    <t>BKI032210031666</t>
  </si>
  <si>
    <t>Malinau</t>
  </si>
  <si>
    <t xml:space="preserve"> 428/PCI/K2/IX/21</t>
  </si>
  <si>
    <t>PT. Surya Sejathera Transindo</t>
  </si>
  <si>
    <t>BKI032210036616</t>
  </si>
  <si>
    <t>Cas Mas Rizki</t>
  </si>
  <si>
    <t>BKI32210037713</t>
  </si>
  <si>
    <t xml:space="preserve"> 429/PCI/K2/IX/21</t>
  </si>
  <si>
    <t>BKI032210037275</t>
  </si>
  <si>
    <t>DO/W6/2021/10/00595</t>
  </si>
  <si>
    <t>DO/W6/2021/10/00447</t>
  </si>
  <si>
    <t xml:space="preserve"> 322/PCI/K1/X/21</t>
  </si>
  <si>
    <t xml:space="preserve"> 323/PCI/K1/X/21</t>
  </si>
  <si>
    <t>BKI032210034041</t>
  </si>
  <si>
    <t>14/09/2021</t>
  </si>
  <si>
    <t xml:space="preserve"> 324/PCI/K1/X/21</t>
  </si>
  <si>
    <t>SERANG</t>
  </si>
  <si>
    <t>BKI032210034066</t>
  </si>
  <si>
    <t>19/09/2021</t>
  </si>
  <si>
    <t xml:space="preserve"> 325/PCI/K1/X/21</t>
  </si>
  <si>
    <t>DO/W6/2021/10/00173/R/01</t>
  </si>
  <si>
    <t>BKI032210035865</t>
  </si>
  <si>
    <t xml:space="preserve"> 326/PCI/K1/X/21</t>
  </si>
  <si>
    <t>BKI032210035808</t>
  </si>
  <si>
    <t xml:space="preserve"> 327/PCI/K1/X/21</t>
  </si>
  <si>
    <t>BKI032210035782</t>
  </si>
  <si>
    <t>DO/W6/2021/10/00011</t>
  </si>
  <si>
    <t xml:space="preserve"> 328/PCI/K1/X/21</t>
  </si>
  <si>
    <t>MAKASSAR 18, 20-31 Agustus 21</t>
  </si>
  <si>
    <t>BKI032210035196</t>
  </si>
  <si>
    <t>BKI032210030965</t>
  </si>
  <si>
    <t>BKI032210030973</t>
  </si>
  <si>
    <t xml:space="preserve">CV. JASA ANDA EXPRESS </t>
  </si>
  <si>
    <t>BKI032210034439</t>
  </si>
  <si>
    <t>BKI032210032235</t>
  </si>
  <si>
    <t>TEMPO</t>
  </si>
  <si>
    <t>surat jalan hilang</t>
  </si>
  <si>
    <t xml:space="preserve">tidak mau bayar kesalahana da di PCI dan BST penerusan </t>
  </si>
  <si>
    <t>DO/W6/2021/08/0117E</t>
  </si>
  <si>
    <t>DO/W6/2021/08/0127E</t>
  </si>
  <si>
    <t>BKI032210031336</t>
  </si>
  <si>
    <t>BKI032210031393</t>
  </si>
  <si>
    <t xml:space="preserve"> 430/PCI/K2/X/21</t>
  </si>
  <si>
    <t xml:space="preserve"> 431/PCI/K2/X/21</t>
  </si>
  <si>
    <t xml:space="preserve"> Java C4 SAH 13</t>
  </si>
  <si>
    <t>BKI032210034579</t>
  </si>
  <si>
    <t xml:space="preserve"> Ibu Neneng</t>
  </si>
  <si>
    <t>'BKI032210037978</t>
  </si>
  <si>
    <t>BKI032210037671</t>
  </si>
  <si>
    <t>DO/W6/2021/10/00A71</t>
  </si>
  <si>
    <t>Kosambi</t>
  </si>
  <si>
    <t>BKI032210037705</t>
  </si>
  <si>
    <t xml:space="preserve"> 433/PCI/K2/X/21</t>
  </si>
  <si>
    <t>BKI032210032185</t>
  </si>
  <si>
    <t xml:space="preserve"> 434/PCI/K2/X/21</t>
  </si>
  <si>
    <t>BKI032210031443</t>
  </si>
  <si>
    <t xml:space="preserve"> 435/PCI/K2/X/21</t>
  </si>
  <si>
    <t>BKI032210031815</t>
  </si>
  <si>
    <t xml:space="preserve"> 436/PCI/K2/X/21</t>
  </si>
  <si>
    <t>BKI032210031096</t>
  </si>
  <si>
    <t xml:space="preserve"> 437/PCI/K2/X/21</t>
  </si>
  <si>
    <t>BKI032210031468</t>
  </si>
  <si>
    <t xml:space="preserve"> 438/PCI/K2/X/21</t>
  </si>
  <si>
    <t xml:space="preserve"> 439/PCI/K2/X/21</t>
  </si>
  <si>
    <t>SUMATERA C4 SAH 13</t>
  </si>
  <si>
    <t>BKI032210034538</t>
  </si>
  <si>
    <t xml:space="preserve"> 329/PCI/K1/X/21</t>
  </si>
  <si>
    <t xml:space="preserve"> BATAM 01-30 September 21</t>
  </si>
  <si>
    <t>BKI032210036228</t>
  </si>
  <si>
    <t xml:space="preserve"> 330/PCI/K1/X/21</t>
  </si>
  <si>
    <t xml:space="preserve"> 331/PCI/K1/X/21</t>
  </si>
  <si>
    <t>Tangerang</t>
  </si>
  <si>
    <t>BKI032210037663</t>
  </si>
  <si>
    <t xml:space="preserve"> 332/PCI/K1/X/21</t>
  </si>
  <si>
    <t>DO/W6/2021/10/00596</t>
  </si>
  <si>
    <t>BKI032210037283</t>
  </si>
  <si>
    <t xml:space="preserve"> 333/PCI/K1/X/21</t>
  </si>
  <si>
    <t>DO/W6/2021/10/002CD</t>
  </si>
  <si>
    <t>BKI032210037341</t>
  </si>
  <si>
    <t>BKI032210034462</t>
  </si>
  <si>
    <t>PT. BRAMA EXPRESINDO</t>
  </si>
  <si>
    <t>PNKPCI0296 - PONTIANAK</t>
  </si>
  <si>
    <t>BALIKPAPAN 01 - 04 Sept 2021</t>
  </si>
  <si>
    <t>MAKASSAR 01 - 04 Sept 2021</t>
  </si>
  <si>
    <t>BANJARMASIN 01 - 04 Sept 2021</t>
  </si>
  <si>
    <t>MANADO</t>
  </si>
  <si>
    <t>BKI032210029223</t>
  </si>
  <si>
    <t>AMBON</t>
  </si>
  <si>
    <t>JAYAPURA</t>
  </si>
  <si>
    <t>PALANGKARAYA</t>
  </si>
  <si>
    <t>SAMARINDA</t>
  </si>
  <si>
    <t>TERNATE</t>
  </si>
  <si>
    <t>DOBO &amp; SAUMLAKI</t>
  </si>
  <si>
    <t>PONTIANAK 01 - 31 September 2021</t>
  </si>
  <si>
    <t xml:space="preserve"> 440/PCI/K2/X/21</t>
  </si>
  <si>
    <t>Bpk. Henry</t>
  </si>
  <si>
    <t>Banyuwangi</t>
  </si>
  <si>
    <t>062/10/21</t>
  </si>
  <si>
    <t xml:space="preserve"> 441/PCI/K2/X/21</t>
  </si>
  <si>
    <t>BKI032210036640</t>
  </si>
  <si>
    <t>Rembang, Klaten, Kendal</t>
  </si>
  <si>
    <t xml:space="preserve"> 442/PCI/K2/X/21</t>
  </si>
  <si>
    <t xml:space="preserve"> PT. TIGA PUTRA LOGISTIK</t>
  </si>
  <si>
    <t xml:space="preserve"> 443/PCI/K2/X/21</t>
  </si>
  <si>
    <t>Karawang - Manggarai</t>
  </si>
  <si>
    <t>BKI032210037101</t>
  </si>
  <si>
    <t xml:space="preserve"> 444/PCI/K2/X/21</t>
  </si>
  <si>
    <t>Mandaka Mebel Jakarta</t>
  </si>
  <si>
    <t>BKI032210038851</t>
  </si>
  <si>
    <t>Pati</t>
  </si>
  <si>
    <t xml:space="preserve"> 334/PCI/K1/X/21</t>
  </si>
  <si>
    <t>BKI032210036707</t>
  </si>
  <si>
    <t xml:space="preserve"> 335/PCI/K1/X/21</t>
  </si>
  <si>
    <t>BKI032210037036</t>
  </si>
  <si>
    <t xml:space="preserve"> 336/PCI/K1/X/21</t>
  </si>
  <si>
    <t>Thailand, Cina &amp; USA</t>
  </si>
  <si>
    <t>BKI032210039172</t>
  </si>
  <si>
    <t xml:space="preserve"> PT. Mega Gloryoung Internasional</t>
  </si>
  <si>
    <t xml:space="preserve"> 445/PCI/K2/X/21</t>
  </si>
  <si>
    <t xml:space="preserve"> 446/PCI/K2/X/21</t>
  </si>
  <si>
    <t>BKI032210039180</t>
  </si>
  <si>
    <t xml:space="preserve"> 447/PCI/K2/X/21</t>
  </si>
  <si>
    <t>Bpk. Sandi Banawi</t>
  </si>
  <si>
    <t>BKI032210039453</t>
  </si>
  <si>
    <t>PT. PEERDANA CARGO SOLUTION (PCS)</t>
  </si>
  <si>
    <t>PDF bpk. Reza</t>
  </si>
  <si>
    <t>AGEENG OS</t>
  </si>
  <si>
    <t>sj ok</t>
  </si>
  <si>
    <t>ok sj</t>
  </si>
  <si>
    <t xml:space="preserve"> 448/PCI/K2/X/21</t>
  </si>
  <si>
    <t>BKI032210036178</t>
  </si>
  <si>
    <t>CV. Latansa Barokah Express</t>
  </si>
  <si>
    <t>BKI032210036673</t>
  </si>
  <si>
    <t xml:space="preserve"> 449/PCI/K2/XI/21</t>
  </si>
  <si>
    <t>BKI032210036160</t>
  </si>
  <si>
    <t>Jakarta Moving</t>
  </si>
  <si>
    <t xml:space="preserve"> 450/PCI/K2/XI/21</t>
  </si>
  <si>
    <t>Sulawesi Tenggara</t>
  </si>
  <si>
    <t>PDF PA Willy</t>
  </si>
  <si>
    <t>sudah sama Pa Imam</t>
  </si>
  <si>
    <t>PDF PA Sujono</t>
  </si>
  <si>
    <t>Ibu Yeni Laudia</t>
  </si>
  <si>
    <t xml:space="preserve"> 451/PCI/K2/XI/21</t>
  </si>
  <si>
    <t>BKI032210038802</t>
  </si>
  <si>
    <t xml:space="preserve"> 452/PCI/K2/XI/21</t>
  </si>
  <si>
    <t>BKI032210037564</t>
  </si>
  <si>
    <t xml:space="preserve"> 453/PCI/K2/XI/21</t>
  </si>
  <si>
    <t>403814</t>
  </si>
  <si>
    <t xml:space="preserve"> 454/PCI/K2/XI/21</t>
  </si>
  <si>
    <t xml:space="preserve"> 455/PCI/K2/XI/21</t>
  </si>
  <si>
    <t xml:space="preserve"> PT. Buana Mandiri Internusa</t>
  </si>
  <si>
    <t>BKI032210039578</t>
  </si>
  <si>
    <t xml:space="preserve"> 456/PCI/K2/XI/21</t>
  </si>
  <si>
    <t>Bpk. Sandro / Bpk. Edwin</t>
  </si>
  <si>
    <t>BKI032210039438</t>
  </si>
  <si>
    <t xml:space="preserve"> 457/PCI/K2/XI/21</t>
  </si>
  <si>
    <t>Bpk. Ragil / RBI</t>
  </si>
  <si>
    <t xml:space="preserve"> 458/PCI/K2/XI/21</t>
  </si>
  <si>
    <t>Bpk. Joe</t>
  </si>
  <si>
    <t xml:space="preserve"> 459/PCI/K2/XI/21</t>
  </si>
  <si>
    <t>Bpk. Madih</t>
  </si>
  <si>
    <t xml:space="preserve"> 460/PCI/K2/XI/21</t>
  </si>
  <si>
    <t>kirim tanggal  05/11/21</t>
  </si>
  <si>
    <t xml:space="preserve"> 461/PCI/K2/XI/21</t>
  </si>
  <si>
    <t>Bima</t>
  </si>
  <si>
    <t xml:space="preserve"> 462/PCI/K2/XI/21</t>
  </si>
  <si>
    <t>Pekanbaru &amp; Bengkulu</t>
  </si>
  <si>
    <t xml:space="preserve"> 463/PCI/K2/XI/21</t>
  </si>
  <si>
    <t>tanahtidung&amp;Sulawesi</t>
  </si>
  <si>
    <t xml:space="preserve"> 464/PCI/K2/XI/21</t>
  </si>
  <si>
    <t>CV. Jasa Anda Express</t>
  </si>
  <si>
    <t>tuker2an dan bayar kekurangan 03/11/21 Rp. 226.000</t>
  </si>
  <si>
    <t xml:space="preserve"> 465/PCI/K2/XI/21</t>
  </si>
  <si>
    <t>0196/11/2021</t>
  </si>
  <si>
    <t xml:space="preserve"> Bpk. Taufik Hidayat</t>
  </si>
  <si>
    <t xml:space="preserve"> 466/PCI/K2/XI/21</t>
  </si>
  <si>
    <t>Bpk. Agus Sumariyanto</t>
  </si>
  <si>
    <t>0186/11/2021</t>
  </si>
  <si>
    <t>Pare -Pare</t>
  </si>
  <si>
    <t xml:space="preserve"> 467/PCI/K2/XI/21</t>
  </si>
  <si>
    <t>Bpk. Ndoang Raharjo</t>
  </si>
  <si>
    <t xml:space="preserve"> 468/PCI/K2/XI/21</t>
  </si>
  <si>
    <t>BKI032210039602</t>
  </si>
  <si>
    <t>Pekanbaru &amp; Lampung</t>
  </si>
  <si>
    <t xml:space="preserve"> 469/PCI/K2/XI/21</t>
  </si>
  <si>
    <t>BKI032210031492</t>
  </si>
  <si>
    <t xml:space="preserve"> 470/PCI/K2/XI/21</t>
  </si>
  <si>
    <t>BKI032210031161</t>
  </si>
  <si>
    <t xml:space="preserve"> 471/PCI/K2/XI/21</t>
  </si>
  <si>
    <t>BKI032210034553</t>
  </si>
  <si>
    <t xml:space="preserve"> 472/PCI/K2/XI/21</t>
  </si>
  <si>
    <t>BALI NT C4 C4 SAH 13</t>
  </si>
  <si>
    <t>BKI032210034660</t>
  </si>
  <si>
    <t xml:space="preserve"> 473/PCI/K2/XI/21</t>
  </si>
  <si>
    <t>NOVEMBER 2021</t>
  </si>
  <si>
    <t xml:space="preserve"> 337/PCI/K1/XI/21</t>
  </si>
  <si>
    <t>BKI032210037077</t>
  </si>
  <si>
    <t xml:space="preserve"> 338/PCI/K1/XI/21</t>
  </si>
  <si>
    <t>bki032210038364</t>
  </si>
  <si>
    <t xml:space="preserve"> 339/PCI/K1/XI/21</t>
  </si>
  <si>
    <t>BKI032210037325</t>
  </si>
  <si>
    <t xml:space="preserve"> 340/PCI/K1/XI/21</t>
  </si>
  <si>
    <t>BKI032210037762</t>
  </si>
  <si>
    <t xml:space="preserve"> 341/PCI/K1/XI/21</t>
  </si>
  <si>
    <t>DO/W6/2021/10/0111D</t>
  </si>
  <si>
    <t>BKI032210038133</t>
  </si>
  <si>
    <t xml:space="preserve"> 342/PCI/K1/XI/21</t>
  </si>
  <si>
    <t>DO/W6/2021/10/0111E</t>
  </si>
  <si>
    <t>BKI032210038257</t>
  </si>
  <si>
    <t xml:space="preserve"> 343/PCI/K1/XI/21</t>
  </si>
  <si>
    <t>Pekayon</t>
  </si>
  <si>
    <t>DO/W6/2021/10/0111B</t>
  </si>
  <si>
    <t>BKI032210038265</t>
  </si>
  <si>
    <t xml:space="preserve"> 344/PCI/K1/XI/21</t>
  </si>
  <si>
    <t>BKI032210037689</t>
  </si>
  <si>
    <t>DO/W6/2021/10/00AB5</t>
  </si>
  <si>
    <t xml:space="preserve"> 345/PCI/K1/XI/21</t>
  </si>
  <si>
    <t>DO/W6/2021/10/00B9A</t>
  </si>
  <si>
    <t>BKI032210037697</t>
  </si>
  <si>
    <t xml:space="preserve"> 346/PCI/K1/XI/21</t>
  </si>
  <si>
    <t>Manado</t>
  </si>
  <si>
    <t>BKI032210038547</t>
  </si>
  <si>
    <t>025</t>
  </si>
  <si>
    <t xml:space="preserve"> 347/PCI/K1/XI/21</t>
  </si>
  <si>
    <t>BKI032210039727</t>
  </si>
  <si>
    <t xml:space="preserve"> 348/PCI/K1/XI/21</t>
  </si>
  <si>
    <t>Denpasar, Tegal &amp; Serang</t>
  </si>
  <si>
    <t>BKI032210038752</t>
  </si>
  <si>
    <t xml:space="preserve"> 432/PCI/K2/X/21</t>
  </si>
  <si>
    <t>potong2an sama uang jalan mas Rizki</t>
  </si>
  <si>
    <t>DO/W6/2021/10/0001D</t>
  </si>
  <si>
    <t>DO/W6/2021/09/00994</t>
  </si>
  <si>
    <t>DO/W6/2021/09/007A9</t>
  </si>
  <si>
    <t>DO/W6/2021/09/005B1</t>
  </si>
  <si>
    <t>DO/W6/2021/09/018F9</t>
  </si>
  <si>
    <t>DO/W6/2021/09/006E2</t>
  </si>
  <si>
    <t xml:space="preserve"> 349/PCI/K1/XI/21</t>
  </si>
  <si>
    <t>402592</t>
  </si>
  <si>
    <t>DO/W6/2021/11/00209/R/01</t>
  </si>
  <si>
    <t xml:space="preserve"> 350/PCI/K1/XI/21</t>
  </si>
  <si>
    <t>DO/W6/2021/10/01676</t>
  </si>
  <si>
    <t>BKI032210039420</t>
  </si>
  <si>
    <t xml:space="preserve"> 351/PCI/K1/XI/21</t>
  </si>
  <si>
    <t>DO/W6/2021/10/00F8C</t>
  </si>
  <si>
    <t>BKI032210037960</t>
  </si>
  <si>
    <t xml:space="preserve"> 352/PCI/K1/XI/21</t>
  </si>
  <si>
    <t>DO/W6/2021/10/01744</t>
  </si>
  <si>
    <t>BKI032210039545</t>
  </si>
  <si>
    <t xml:space="preserve"> 353/PCI/K1/XI/21</t>
  </si>
  <si>
    <t>DO/W6/2021/10/013FO/R/02</t>
  </si>
  <si>
    <t>BKI032210039339</t>
  </si>
  <si>
    <t xml:space="preserve"> 354/PCI/K1/XI/21</t>
  </si>
  <si>
    <t>DO/W6/2021/10/0130F</t>
  </si>
  <si>
    <t>BKI032210039321</t>
  </si>
  <si>
    <t xml:space="preserve"> 355/PCI/K1/XI/21</t>
  </si>
  <si>
    <t>DO/W6/2021/10/0144E</t>
  </si>
  <si>
    <t>BKI032210039347</t>
  </si>
  <si>
    <t xml:space="preserve"> 474/PCI/K2/XI/21</t>
  </si>
  <si>
    <t>Ibu Sisca Gafri</t>
  </si>
  <si>
    <t xml:space="preserve"> 475/PCI/K2/XI/21</t>
  </si>
  <si>
    <t>AO</t>
  </si>
  <si>
    <t>BKI032210039529</t>
  </si>
  <si>
    <t xml:space="preserve"> 476/PCI/K2/XI/21</t>
  </si>
  <si>
    <t>BKI032210038554</t>
  </si>
  <si>
    <t>PT FREYSINET TOTAL TECHNOLOGY</t>
  </si>
  <si>
    <t>BKI032210037085</t>
  </si>
  <si>
    <t>BKI032210037093</t>
  </si>
  <si>
    <t>KDIPCI0883 - KENDARI</t>
  </si>
  <si>
    <t>BPNPCI0322 - SAMARINDA</t>
  </si>
  <si>
    <t>BKI032210039537</t>
  </si>
  <si>
    <t>Potong2an</t>
  </si>
  <si>
    <t xml:space="preserve"> 360/PCI/K1/XI/21</t>
  </si>
  <si>
    <t xml:space="preserve"> 477/PCI/K2/XI/21</t>
  </si>
  <si>
    <t>BKI032210038406</t>
  </si>
  <si>
    <t xml:space="preserve"> 478/PCI/K2/XI/21</t>
  </si>
  <si>
    <t>POSM</t>
  </si>
  <si>
    <t>Bpk. Wahyu</t>
  </si>
  <si>
    <t xml:space="preserve"> 479/PCI/K2/XI/21</t>
  </si>
  <si>
    <t>Bpk Wahyu</t>
  </si>
  <si>
    <t xml:space="preserve"> 480/PCI/K2/XI/21</t>
  </si>
  <si>
    <t>Bpk. Muhamad Yopi Suganda</t>
  </si>
  <si>
    <t>CANCEL PENIPU</t>
  </si>
  <si>
    <t>BPK YOPI</t>
  </si>
  <si>
    <t xml:space="preserve"> 481/PCI/K2/XI/21</t>
  </si>
  <si>
    <t xml:space="preserve"> 482/PCI/K2/XI/21</t>
  </si>
  <si>
    <t xml:space="preserve"> 483/PCI/K2/XI/21</t>
  </si>
  <si>
    <t>Lamongan</t>
  </si>
  <si>
    <t xml:space="preserve"> 484/PCI/K2/XI/21</t>
  </si>
  <si>
    <t>Probolinggo</t>
  </si>
  <si>
    <t xml:space="preserve"> 485/PCI/K2/XI/21</t>
  </si>
  <si>
    <t xml:space="preserve"> 486/PCI/K2/XI/21</t>
  </si>
  <si>
    <t xml:space="preserve"> 487/PCI/K2/XI/21</t>
  </si>
  <si>
    <t>OGAN KOMERING ILIR,TEBO</t>
  </si>
  <si>
    <t>BKI032210039560</t>
  </si>
  <si>
    <t xml:space="preserve"> 488/PCI/K2/XI/21</t>
  </si>
  <si>
    <t>JAMBI,ROKAN HULU</t>
  </si>
  <si>
    <t xml:space="preserve"> 489/PCI/K2/XI/21</t>
  </si>
  <si>
    <t xml:space="preserve"> 361/PCI/K1/XI/21</t>
  </si>
  <si>
    <t>BKI032210039669</t>
  </si>
  <si>
    <t xml:space="preserve"> 362/PCI/K1/XI/21</t>
  </si>
  <si>
    <t xml:space="preserve"> 363/PCI/K1/XI/21</t>
  </si>
  <si>
    <t xml:space="preserve"> 364/PCI/K1/XI/21</t>
  </si>
  <si>
    <t>JO</t>
  </si>
  <si>
    <t>'037</t>
  </si>
  <si>
    <t xml:space="preserve"> PT. Indofarma Global Medika</t>
  </si>
  <si>
    <t>PT. DGL Expedisi Indonesia / Mama Caca</t>
  </si>
  <si>
    <t xml:space="preserve"> 490/PCI/K2/XI/21</t>
  </si>
  <si>
    <t xml:space="preserve"> Bpk. Rahman</t>
  </si>
  <si>
    <t xml:space="preserve"> 491/PCI/K2/XI/21</t>
  </si>
  <si>
    <t xml:space="preserve"> 492/PCI/K2/XI/21</t>
  </si>
  <si>
    <t>0276</t>
  </si>
  <si>
    <t>Pdf Ibu Jiya</t>
  </si>
  <si>
    <t>PT. Mutiara Hati / Bnag Ucok</t>
  </si>
  <si>
    <t xml:space="preserve"> 493/PCI/K2/XI/21</t>
  </si>
  <si>
    <t>0337</t>
  </si>
  <si>
    <t>BDJPCI0417 - WAIKABUBAK-SUMBA</t>
  </si>
  <si>
    <t xml:space="preserve"> 368/PCI/K1/XI/21</t>
  </si>
  <si>
    <t xml:space="preserve"> 367/PCI/K1/XI/21</t>
  </si>
  <si>
    <t xml:space="preserve"> 494/PCI/K2/XI/21</t>
  </si>
  <si>
    <t>Ibu Dian</t>
  </si>
  <si>
    <t>0350</t>
  </si>
  <si>
    <t xml:space="preserve"> 366/PCI/K1/XI/21</t>
  </si>
  <si>
    <t>056</t>
  </si>
  <si>
    <t>BKI032210036889</t>
  </si>
  <si>
    <t>0255,0317</t>
  </si>
  <si>
    <t>USA, JAPAN , MALAYSIA</t>
  </si>
  <si>
    <t xml:space="preserve"> 365/PCI/K1/XI/21</t>
  </si>
  <si>
    <t>No Invoice</t>
  </si>
  <si>
    <t>Tanggal Invoice</t>
  </si>
  <si>
    <t>Amount</t>
  </si>
  <si>
    <t>TOTAL TAGIHAN</t>
  </si>
  <si>
    <t xml:space="preserve"> 463A/PCI/K2/XI/21</t>
  </si>
  <si>
    <t xml:space="preserve"> 18 November 21</t>
  </si>
  <si>
    <t xml:space="preserve"> 463B/PCI/K2/XI/21</t>
  </si>
  <si>
    <t xml:space="preserve"> 463C/PCI/K2/XI/21</t>
  </si>
  <si>
    <t xml:space="preserve"> 463D/PCI/K2/XI/21</t>
  </si>
  <si>
    <t xml:space="preserve"> 461A/PCI/K2/XI/21</t>
  </si>
  <si>
    <t xml:space="preserve"> 461B/PCI/K2/XI/21</t>
  </si>
  <si>
    <t xml:space="preserve"> 461C/PCI/K2/XI/21</t>
  </si>
  <si>
    <t>Tanggal Pembayaran</t>
  </si>
  <si>
    <t>No Invoice Bayangan</t>
  </si>
  <si>
    <t>TOTAL TAGIHAN BAYANGAN</t>
  </si>
  <si>
    <t>TOTAL YANG HARUS DIKEMBALIKAN</t>
  </si>
  <si>
    <t>4 jt ke rek 1390016593554 an Fitri Aprilianti</t>
  </si>
  <si>
    <t>41 jt rek 164-000-243-7210 an Irawati</t>
  </si>
  <si>
    <t>Pasang Kayu</t>
  </si>
  <si>
    <t>5 jt ke rek 1390016593554 an Fitri Aprilianti</t>
  </si>
  <si>
    <t>16 jt rek 164-000-243-7210 an Irawati</t>
  </si>
  <si>
    <t>Kampar</t>
  </si>
  <si>
    <t>1 jt ke rek 1390016593554 an Fitri Aprilianti</t>
  </si>
  <si>
    <t>61 jt rek 164-000-243-7210 an Irawati</t>
  </si>
  <si>
    <t>6 jt ke rek 1390016593554 an Fitri Aprilianti</t>
  </si>
  <si>
    <t>9 jt rek 164-000-243-7210 an Irawati</t>
  </si>
  <si>
    <t>DATA YANG HARUS DITRANSFER</t>
  </si>
  <si>
    <t>12/10/2021</t>
  </si>
  <si>
    <t xml:space="preserve"> 400A/PCI/K2/IX/21</t>
  </si>
  <si>
    <t xml:space="preserve"> 400B/PCI/K2/IX/21</t>
  </si>
  <si>
    <t xml:space="preserve"> 400C/PCI/K2/IX/21</t>
  </si>
  <si>
    <t xml:space="preserve"> 400D/PCI/K2/IX/21</t>
  </si>
  <si>
    <t xml:space="preserve"> 400E/PCI/K2/IX/21</t>
  </si>
  <si>
    <t xml:space="preserve"> 400F/PCI/K2/IX/21</t>
  </si>
  <si>
    <t xml:space="preserve"> 400G/PCI/K2/IX/21</t>
  </si>
  <si>
    <t xml:space="preserve"> 400H/PCI/K2/IX/21</t>
  </si>
  <si>
    <t xml:space="preserve"> 400I/PCI/K2/IX/21</t>
  </si>
  <si>
    <t xml:space="preserve"> 401A/PCI/K2/IX/21</t>
  </si>
  <si>
    <t xml:space="preserve"> 401B/PCI/K2/IX/21</t>
  </si>
  <si>
    <t xml:space="preserve"> 402A/PCI/K2/IX/21</t>
  </si>
  <si>
    <t xml:space="preserve"> 403A/PCI/K2/IX/21</t>
  </si>
  <si>
    <t xml:space="preserve"> 403B/PCI/K2/IX/21</t>
  </si>
  <si>
    <t>Amount Invoice</t>
  </si>
  <si>
    <t>Jepara IPA</t>
  </si>
  <si>
    <t>Batang Biologi</t>
  </si>
  <si>
    <t>Batang Fisika</t>
  </si>
  <si>
    <t>Sukabumi Biologi</t>
  </si>
  <si>
    <t>Sukabumi Fisika</t>
  </si>
  <si>
    <t>Kediri Biologi</t>
  </si>
  <si>
    <t>Kediri Fisik</t>
  </si>
  <si>
    <t>Ciamis IPA</t>
  </si>
  <si>
    <t>Surabaya IPA</t>
  </si>
  <si>
    <t>Ogan Ilir Fisika</t>
  </si>
  <si>
    <t>Ogan Ilir Biologi</t>
  </si>
  <si>
    <t>Ngawi IPA</t>
  </si>
  <si>
    <t>Pacitan Fisika</t>
  </si>
  <si>
    <t>Pacitan Biologi</t>
  </si>
  <si>
    <t>DATA INVOICE UP</t>
  </si>
  <si>
    <t xml:space="preserve">INVOICE PT. PCI TO PT. DUTA NUSANTARA </t>
  </si>
  <si>
    <t>Tujuan</t>
  </si>
  <si>
    <t>DATA TRANSFERAN BPK. IMAM TO BPK. MOMON</t>
  </si>
  <si>
    <t>NAMA</t>
  </si>
  <si>
    <t>NILAI</t>
  </si>
  <si>
    <t>FITRI APRILIANTI</t>
  </si>
  <si>
    <t>OGAN ILIR</t>
  </si>
  <si>
    <t>TANGGAL TRANSFER</t>
  </si>
  <si>
    <t>TF KE- 2</t>
  </si>
  <si>
    <t>NGAWI</t>
  </si>
  <si>
    <t>IRAWATI</t>
  </si>
  <si>
    <t>BATANG</t>
  </si>
  <si>
    <t>KEDIRI</t>
  </si>
  <si>
    <t>CIAMIS</t>
  </si>
  <si>
    <t>JEPARA</t>
  </si>
  <si>
    <t>SUB</t>
  </si>
  <si>
    <t>TOATAL YANG SUDAH DITRANSFER</t>
  </si>
  <si>
    <t>NILAI YANG HARUS DIKEMBALIKAN</t>
  </si>
  <si>
    <t>SISA YANG HARUS DIKEMBALIKAN</t>
  </si>
  <si>
    <t>pakai kargotech</t>
  </si>
  <si>
    <t xml:space="preserve"> 369/PCI/K1/XI/21</t>
  </si>
  <si>
    <t>BKI032210038588</t>
  </si>
  <si>
    <t xml:space="preserve">DIMASUKKAN DI IVNOICE 485 </t>
  </si>
  <si>
    <t>CANCEL</t>
  </si>
  <si>
    <t>Binatan,Wonosobo,Bangka,Semarang,Pekalongan, Probolinggo</t>
  </si>
  <si>
    <t>KUANSING, Rokan Hulu, Tapanuli</t>
  </si>
  <si>
    <t>PAKAI REK PA IMAM</t>
  </si>
  <si>
    <t>PAKAI REK PCI</t>
  </si>
  <si>
    <t>SAMA MAS RIAN</t>
  </si>
  <si>
    <t>TRANSFER  TANGGAL 22/11/21</t>
  </si>
  <si>
    <t>info Pa Imam Sudah Bayar sama Pa Imam</t>
  </si>
  <si>
    <t>pandawa</t>
  </si>
  <si>
    <t xml:space="preserve"> 495/PCI/K2/XI/21</t>
  </si>
  <si>
    <t>Makasar</t>
  </si>
  <si>
    <t>PT. SIAGANG BERSAMA MACHINERY</t>
  </si>
  <si>
    <t>'0351</t>
  </si>
  <si>
    <t>pdf Mia</t>
  </si>
  <si>
    <t xml:space="preserve"> 496/PCI/K2/XI/21</t>
  </si>
  <si>
    <t>Mitraindo Flexitama</t>
  </si>
  <si>
    <t>0359</t>
  </si>
  <si>
    <t xml:space="preserve"> 497/PCI/K2/XI/21</t>
  </si>
  <si>
    <t xml:space="preserve"> Bengkel Terminal Per Bapak Robert</t>
  </si>
  <si>
    <t>0365</t>
  </si>
  <si>
    <t xml:space="preserve"> 498/PCI/K2/XI/21</t>
  </si>
  <si>
    <t xml:space="preserve"> Bpk. Jimy</t>
  </si>
  <si>
    <t>Kandangan</t>
  </si>
  <si>
    <t>0380</t>
  </si>
  <si>
    <t xml:space="preserve"> 499/PCI/K2/XI/21</t>
  </si>
  <si>
    <t>Cimahi, Karang Condong</t>
  </si>
  <si>
    <t>0343</t>
  </si>
  <si>
    <t xml:space="preserve"> 500/PCI/K2/XI/21</t>
  </si>
  <si>
    <t>Samarinda</t>
  </si>
  <si>
    <t>0341</t>
  </si>
  <si>
    <t xml:space="preserve"> 501/PCI/K2/XI/21</t>
  </si>
  <si>
    <t>SUBANG</t>
  </si>
  <si>
    <t>PT. Mega Agro Jaya</t>
  </si>
  <si>
    <t>0303</t>
  </si>
  <si>
    <t>Pdf Bpk. Agus</t>
  </si>
  <si>
    <t xml:space="preserve"> 502/PCI/K2/XI/21</t>
  </si>
  <si>
    <t>061</t>
  </si>
  <si>
    <t>BKI032210037739</t>
  </si>
  <si>
    <t>TARAKAN</t>
  </si>
  <si>
    <t>PT. Wirya Krenindo Perkasa</t>
  </si>
  <si>
    <t xml:space="preserve"> 503/PCI/K2/XI/21</t>
  </si>
  <si>
    <t xml:space="preserve"> Hosflt Alkesindo</t>
  </si>
  <si>
    <t>0409 - 04010</t>
  </si>
  <si>
    <t>404351 - 404352</t>
  </si>
  <si>
    <t xml:space="preserve"> 504/PCI/K2/XI/21</t>
  </si>
  <si>
    <t>0122 &amp; 036</t>
  </si>
  <si>
    <t xml:space="preserve"> Pandawa Accessories</t>
  </si>
  <si>
    <t>PALU &amp; KENDARI</t>
  </si>
  <si>
    <t>PDF PANDAWA</t>
  </si>
  <si>
    <t>TIDAK MAU BAYAR KARNA KLAIM</t>
  </si>
  <si>
    <t xml:space="preserve"> 505/PCI/K2/XI/21</t>
  </si>
  <si>
    <t>Sulawesi Selatan</t>
  </si>
  <si>
    <t>PDF PA WILLY</t>
  </si>
  <si>
    <t xml:space="preserve"> 506/PCI/K2/XI/21</t>
  </si>
  <si>
    <t>0407</t>
  </si>
  <si>
    <t>PDF PA ASSAD</t>
  </si>
  <si>
    <t xml:space="preserve"> 507/PCI/K2/XI/21</t>
  </si>
  <si>
    <t>0027 &amp; 0028</t>
  </si>
  <si>
    <t>BangkaTengah, Musi Rawas</t>
  </si>
  <si>
    <t>403453 &amp; '403452</t>
  </si>
  <si>
    <t xml:space="preserve"> 508/PCI/K2/XI/21</t>
  </si>
  <si>
    <t>319,320,321</t>
  </si>
  <si>
    <t>WONOGIRI</t>
  </si>
  <si>
    <t xml:space="preserve"> 509/PCI/K2/XI/21</t>
  </si>
  <si>
    <t>BKI032210039636</t>
  </si>
  <si>
    <t xml:space="preserve"> 510/PCI/K2/XI/21</t>
  </si>
  <si>
    <t>AO Bandung</t>
  </si>
  <si>
    <t>BKI032210038489</t>
  </si>
  <si>
    <t xml:space="preserve"> 511/PCI/K2/XI/21</t>
  </si>
  <si>
    <t>PDF BU SRI</t>
  </si>
  <si>
    <t>Cargo Trans</t>
  </si>
  <si>
    <t xml:space="preserve"> 512/PCI/K2/XI/21</t>
  </si>
  <si>
    <t>0469</t>
  </si>
  <si>
    <t>Pdf mia</t>
  </si>
  <si>
    <t>DATA PIUTANG TOWER MEDIA OKTOBER - NOVEMBER</t>
  </si>
  <si>
    <t xml:space="preserve"> 370/PCI/K1/XI/21</t>
  </si>
  <si>
    <t>BATAM 01 -  31 Oktober 21</t>
  </si>
  <si>
    <t xml:space="preserve"> 371/PCI/K1/XI/21</t>
  </si>
  <si>
    <t xml:space="preserve"> 372/PCI/K1/XI/21</t>
  </si>
  <si>
    <t>BKI032210038158</t>
  </si>
  <si>
    <t xml:space="preserve"> 373/PCI/K1/XI/21</t>
  </si>
  <si>
    <t>BKI032210030791</t>
  </si>
  <si>
    <t xml:space="preserve"> 374/PCI/K1/XI/21</t>
  </si>
  <si>
    <t>BKI032210028753</t>
  </si>
  <si>
    <t xml:space="preserve"> 375/PCI/K1/XI/21</t>
  </si>
  <si>
    <t>BKI032210028779</t>
  </si>
  <si>
    <t xml:space="preserve"> 376/PCI/K1/XI/21</t>
  </si>
  <si>
    <t>BKI032210038273</t>
  </si>
  <si>
    <t xml:space="preserve"> 377/PCI/K1/XI/21</t>
  </si>
  <si>
    <t>BKI032210038299</t>
  </si>
  <si>
    <t xml:space="preserve"> 378/PCI/K1/XI/21</t>
  </si>
  <si>
    <t>BKI032210038249</t>
  </si>
  <si>
    <t xml:space="preserve"> 379/PCI/K1/XI/21</t>
  </si>
  <si>
    <t>PT. Tibeka Logistik Indonesia</t>
  </si>
  <si>
    <t>DO/W6/2021/10/01557</t>
  </si>
  <si>
    <t>Lombok</t>
  </si>
  <si>
    <t xml:space="preserve"> 380/PCI/K1/XI/21</t>
  </si>
  <si>
    <t>DO/W6/2021/11/00246/R/01</t>
  </si>
  <si>
    <t>BKI032210039743</t>
  </si>
  <si>
    <t xml:space="preserve"> 381/PCI/K1/XI/21</t>
  </si>
  <si>
    <t>Lebak</t>
  </si>
  <si>
    <t>DO/W6/2021/11/005BF/R/01</t>
  </si>
  <si>
    <t xml:space="preserve"> 382/PCI/K1/XI/21</t>
  </si>
  <si>
    <t>Jatinegara</t>
  </si>
  <si>
    <t>DO/W6/2021/11/00A40</t>
  </si>
  <si>
    <t>402599</t>
  </si>
  <si>
    <t xml:space="preserve"> 383/PCI/K1/XI/21</t>
  </si>
  <si>
    <t>Bekasi Barat</t>
  </si>
  <si>
    <t>DO/W6/2021/11/0084C</t>
  </si>
  <si>
    <t>402598</t>
  </si>
  <si>
    <t xml:space="preserve"> 384/PCI/K1/XI/21</t>
  </si>
  <si>
    <t>Rawa Sumur Jatinegara</t>
  </si>
  <si>
    <t>DO/W6/2021/11/00D3D</t>
  </si>
  <si>
    <t>403660</t>
  </si>
  <si>
    <t xml:space="preserve"> 385/PCI/K1/XI/21</t>
  </si>
  <si>
    <t>DO/W6/2021/11/00EID</t>
  </si>
  <si>
    <t>403662</t>
  </si>
  <si>
    <t xml:space="preserve"> 386/PCI/K1/XI/21</t>
  </si>
  <si>
    <t>DO/W6/2021/11/00D92</t>
  </si>
  <si>
    <t>403661</t>
  </si>
  <si>
    <t xml:space="preserve"> 387/PCI/K1/XI/21</t>
  </si>
  <si>
    <t>403658</t>
  </si>
  <si>
    <t xml:space="preserve"> 388/PCI/K1/XI/21</t>
  </si>
  <si>
    <t xml:space="preserve"> 389/PCI/K1/XI/21</t>
  </si>
  <si>
    <t xml:space="preserve"> 390/PCI/K1/XI/21</t>
  </si>
  <si>
    <t xml:space="preserve"> 391/PCI/K1/XI/21</t>
  </si>
  <si>
    <t>india, singapore, usa</t>
  </si>
  <si>
    <t>'0379, 0404, 0408</t>
  </si>
  <si>
    <t xml:space="preserve"> 392/PCI/K1/XI/21</t>
  </si>
  <si>
    <t>TRUCKING OKTOBER 21</t>
  </si>
  <si>
    <t xml:space="preserve"> 393/PCI/K1/XI/21</t>
  </si>
  <si>
    <t>TRUCKING NOV 21 06 -18 Nov 21</t>
  </si>
  <si>
    <t xml:space="preserve"> 394/PCI/K1/XI/21</t>
  </si>
  <si>
    <t>PONTIANAK 01 -  31 Oktober 21</t>
  </si>
  <si>
    <t xml:space="preserve"> 395/PCI/K1/XI/21</t>
  </si>
  <si>
    <t xml:space="preserve"> Kementrian Pendidikan Nasional</t>
  </si>
  <si>
    <t>pdf Pa li dan Pa imam</t>
  </si>
  <si>
    <t>Pa imam 28/10/21</t>
  </si>
  <si>
    <t xml:space="preserve"> 517/PCI/K2/XI/21</t>
  </si>
  <si>
    <t xml:space="preserve"> 01 Desember 2021</t>
  </si>
  <si>
    <t xml:space="preserve"> 513/PCI/K2/XI/21</t>
  </si>
  <si>
    <t>pdf pa jemmy dan pa imam</t>
  </si>
  <si>
    <t>0470</t>
  </si>
  <si>
    <t xml:space="preserve"> 514/PCI/K2/XI/21</t>
  </si>
  <si>
    <t>pdf pa rasetyo</t>
  </si>
  <si>
    <t>BKI032210039479</t>
  </si>
  <si>
    <t>0156</t>
  </si>
  <si>
    <t xml:space="preserve"> 515/PCI/K2/XI/21</t>
  </si>
  <si>
    <t>0315, 0155</t>
  </si>
  <si>
    <t xml:space="preserve"> 516/PCI/K2/XI/21</t>
  </si>
  <si>
    <t>0419</t>
  </si>
  <si>
    <t>PT. TIGA PUTRA LOGISTIK</t>
  </si>
  <si>
    <t xml:space="preserve"> 518/PCI/K2/XII/21</t>
  </si>
  <si>
    <t>0394</t>
  </si>
  <si>
    <t>Lion Parcel</t>
  </si>
  <si>
    <t xml:space="preserve"> 519/PCI/K2/XII/21</t>
  </si>
  <si>
    <t>0272</t>
  </si>
  <si>
    <t xml:space="preserve"> 520/PCI/K2/XII/21</t>
  </si>
  <si>
    <t>0454</t>
  </si>
  <si>
    <t xml:space="preserve">  Bpk. Martin</t>
  </si>
  <si>
    <t xml:space="preserve"> 521/PCI/K2/XII/21</t>
  </si>
  <si>
    <t>BONTANG</t>
  </si>
  <si>
    <t>0208</t>
  </si>
  <si>
    <t xml:space="preserve"> 522/PCI/K2/XII/21</t>
  </si>
  <si>
    <t>0331</t>
  </si>
  <si>
    <t>Bpk. Andi</t>
  </si>
  <si>
    <t xml:space="preserve"> 523/PCI/K2/XII/21</t>
  </si>
  <si>
    <t>Shoppe</t>
  </si>
  <si>
    <t>0264</t>
  </si>
  <si>
    <t xml:space="preserve"> 524/PCI/K2/XII/21</t>
  </si>
  <si>
    <t>0256,0273,0275,'0326</t>
  </si>
  <si>
    <t>Riau, Nabire, Purwokerto, Palu</t>
  </si>
  <si>
    <t xml:space="preserve"> 525/PCI/K2/XII/21</t>
  </si>
  <si>
    <t>BEGADAI, Kabnajahe</t>
  </si>
  <si>
    <t>BKI032210039719</t>
  </si>
  <si>
    <t>0187</t>
  </si>
  <si>
    <t xml:space="preserve"> 526/PCI/K2/XII/21</t>
  </si>
  <si>
    <t>Gorontalo, Pontianak</t>
  </si>
  <si>
    <t>0301</t>
  </si>
  <si>
    <t>BATAL diganti ke Fokus</t>
  </si>
  <si>
    <t xml:space="preserve">BATAL </t>
  </si>
  <si>
    <t xml:space="preserve"> 527/PCI/K2/XII/21</t>
  </si>
  <si>
    <t>CV. Nona Acha</t>
  </si>
  <si>
    <t>Jakarta barang cancel</t>
  </si>
  <si>
    <t xml:space="preserve"> 528/PCI/K2/XII/21</t>
  </si>
  <si>
    <t>0501</t>
  </si>
  <si>
    <t>0489</t>
  </si>
  <si>
    <t xml:space="preserve"> CV.MAG Perumahan Graha Mutiara</t>
  </si>
  <si>
    <t>Kalimantan Selatan</t>
  </si>
  <si>
    <t>PT. Sholdan Radi Energi / PRASETYO</t>
  </si>
  <si>
    <t xml:space="preserve"> 529/PCI/K2/XII/21</t>
  </si>
  <si>
    <t>0475</t>
  </si>
  <si>
    <t>BATAL diganti ke Adyawinsa</t>
  </si>
  <si>
    <t xml:space="preserve">batal </t>
  </si>
  <si>
    <t xml:space="preserve"> 356/PCI/K1/XI/21</t>
  </si>
  <si>
    <t>BKI032210038125</t>
  </si>
  <si>
    <t>DO/W6/2021/10/01036</t>
  </si>
  <si>
    <t>046/10/2021</t>
  </si>
  <si>
    <t>136/10/2021</t>
  </si>
  <si>
    <t xml:space="preserve"> 134/10/2021</t>
  </si>
  <si>
    <t>135/10/2021</t>
  </si>
  <si>
    <t>158/10/2021</t>
  </si>
  <si>
    <t>0144/10/2021</t>
  </si>
  <si>
    <t>0215/11/2021</t>
  </si>
  <si>
    <t xml:space="preserve"> 357/PCI/K1/XI/21</t>
  </si>
  <si>
    <t>Jak Bar</t>
  </si>
  <si>
    <t xml:space="preserve"> 358/PCI/K1/XI/21</t>
  </si>
  <si>
    <t>BKI032210037721</t>
  </si>
  <si>
    <t>DO/W6/2021/10/00BF6/R/02</t>
  </si>
  <si>
    <t>013/11/2021</t>
  </si>
  <si>
    <t xml:space="preserve"> 359/PCI/K1/XI/21</t>
  </si>
  <si>
    <t>DO/W6/2021/10/00EC6</t>
  </si>
  <si>
    <t>035/11/2021</t>
  </si>
  <si>
    <t>BKI032210037903</t>
  </si>
  <si>
    <t>0136/10/2021</t>
  </si>
  <si>
    <t>0204/11/2021</t>
  </si>
  <si>
    <t>0240/11/2021</t>
  </si>
  <si>
    <t>0299/11/2021</t>
  </si>
  <si>
    <t xml:space="preserve"> 0298/11/2021</t>
  </si>
  <si>
    <t>0338/11/2021</t>
  </si>
  <si>
    <t>0340/11/2021</t>
  </si>
  <si>
    <t>0339/11/2021</t>
  </si>
  <si>
    <t>0314/11/2021</t>
  </si>
  <si>
    <t xml:space="preserve"> 396/PCI/K1/XII/21</t>
  </si>
  <si>
    <t>PT. Indofarma Global Medika</t>
  </si>
  <si>
    <t>085,0120</t>
  </si>
  <si>
    <t>BKI032210038794</t>
  </si>
  <si>
    <t>SOLO &amp; jogja</t>
  </si>
  <si>
    <t xml:space="preserve"> 397/PCI/K1/XII/21</t>
  </si>
  <si>
    <t>0102, 0103</t>
  </si>
  <si>
    <t xml:space="preserve"> 398/PCI/K1/XII/21</t>
  </si>
  <si>
    <t xml:space="preserve"> KENDARI &amp; SAMARINDA</t>
  </si>
  <si>
    <t xml:space="preserve"> 399/PCI/K1/XII/21</t>
  </si>
  <si>
    <t>DATA PA IMAM DAN PA MOMON 04 Okt 21</t>
  </si>
  <si>
    <t>tf ke pa imam</t>
  </si>
  <si>
    <t>Samosir</t>
  </si>
  <si>
    <t>Samosir,Humbang Hasudutan,Fak-Fak Barat,Tobasa</t>
  </si>
  <si>
    <t xml:space="preserve"> 460A/PCI/K2/XI/21</t>
  </si>
  <si>
    <t xml:space="preserve"> 460B/PCI/K2/XI/21</t>
  </si>
  <si>
    <t xml:space="preserve"> 460C/PCI/K2/XI/21</t>
  </si>
  <si>
    <t xml:space="preserve"> 460D/PCI/K2/XI/21</t>
  </si>
  <si>
    <t xml:space="preserve"> 460E/PCI/K2/XI/21</t>
  </si>
  <si>
    <t xml:space="preserve"> 460F/PCI/K2/XI/21</t>
  </si>
  <si>
    <t>Fak-Fak Barat</t>
  </si>
  <si>
    <t>Humbang Hasudutan</t>
  </si>
  <si>
    <t xml:space="preserve"> 486A/PCI/K2/XI/21</t>
  </si>
  <si>
    <t>Tapanuli Utara</t>
  </si>
  <si>
    <t xml:space="preserve"> 486B/PCI/K2/XI/21</t>
  </si>
  <si>
    <t>Rokan Hulu</t>
  </si>
  <si>
    <t xml:space="preserve"> 486C/PCI/K2/XI/21</t>
  </si>
  <si>
    <t xml:space="preserve"> 486D/PCI/K2/XI/21</t>
  </si>
  <si>
    <t>Kuantan Sengingi</t>
  </si>
  <si>
    <t xml:space="preserve"> 486E/PCI/K2/XI/21</t>
  </si>
  <si>
    <t xml:space="preserve"> 486F/PCI/K2/XI/21</t>
  </si>
  <si>
    <t xml:space="preserve"> 487A/PCI/K2/XI/21</t>
  </si>
  <si>
    <t>TEBO</t>
  </si>
  <si>
    <t xml:space="preserve"> 487B/PCI/K2/XI/21</t>
  </si>
  <si>
    <t xml:space="preserve"> 487C/PCI/K2/XI/21</t>
  </si>
  <si>
    <t>OGAN KOMERING ULU</t>
  </si>
  <si>
    <t xml:space="preserve"> 487D/PCI/K2/XI/21</t>
  </si>
  <si>
    <t xml:space="preserve"> 487E/PCI/K2/XI/21</t>
  </si>
  <si>
    <t>OGAN KOMERING ILIR</t>
  </si>
  <si>
    <t xml:space="preserve"> 487F/PCI/K2/XI/21</t>
  </si>
  <si>
    <t>DATA PA IMAM DAN PA MOMON 02 Nov 21</t>
  </si>
  <si>
    <t>3 jt di transfer ke BCA 4330424015 A/N Fitri Aprilianti</t>
  </si>
  <si>
    <t>7,9 jt di transfer ke BCA 880-071-1607 A/N Irawati</t>
  </si>
  <si>
    <t>Humbang Hasundutan</t>
  </si>
  <si>
    <t>1 jt di transfer ke BCA 4330424015 A/N Fitri Aprilianti</t>
  </si>
  <si>
    <t>39 jt di transfer ke BCA 880-071-1607 A/N Irawati</t>
  </si>
  <si>
    <t>Pakpak Bharat</t>
  </si>
  <si>
    <t>63,750 jt di transfer ke BCA 880-071-1607 A/N Irawati</t>
  </si>
  <si>
    <t>SAMORIS</t>
  </si>
  <si>
    <t>TGL TRANSFER</t>
  </si>
  <si>
    <t>TOTAL TAGIHAN YANG DI UP</t>
  </si>
  <si>
    <t>03/21/21</t>
  </si>
  <si>
    <t>PALU</t>
  </si>
  <si>
    <t xml:space="preserve"> 530/PCI/K2/XII/21</t>
  </si>
  <si>
    <t>PT. Trian Jaya Engineering</t>
  </si>
  <si>
    <t>0503</t>
  </si>
  <si>
    <t>pdf pt. trianjayan</t>
  </si>
  <si>
    <t xml:space="preserve"> 531/PCI/K2/XII/21</t>
  </si>
  <si>
    <t>0513</t>
  </si>
  <si>
    <t>Mitra Indo Flexitama</t>
  </si>
  <si>
    <t>TRANSFER</t>
  </si>
  <si>
    <t>Pa imam</t>
  </si>
  <si>
    <t>Kantor</t>
  </si>
  <si>
    <t>PA IMAM TRANFER KE KANTOR</t>
  </si>
  <si>
    <t>AMOUNT</t>
  </si>
  <si>
    <t>tf ke pa imam 03/12/21</t>
  </si>
  <si>
    <t xml:space="preserve">REKAPAN DATA PA IMAM </t>
  </si>
  <si>
    <t xml:space="preserve"> 532/PCI/K2/XII/21</t>
  </si>
  <si>
    <t>0542</t>
  </si>
  <si>
    <t>Bpk. Hua Cai / Bpk. Salim</t>
  </si>
  <si>
    <t>Palembangkota, Pemantang siantar, Banda aceh</t>
  </si>
  <si>
    <t>COSTUMER</t>
  </si>
  <si>
    <t>Sdh dibyr ke PCI</t>
  </si>
  <si>
    <t xml:space="preserve"> 400/PCI/K1/XII/21</t>
  </si>
  <si>
    <t>BATAM 01 -20 November 21</t>
  </si>
  <si>
    <t>DO/W6/2021/10/009C5</t>
  </si>
  <si>
    <t>DO/W6/2021/08/00CD6</t>
  </si>
  <si>
    <t>DO/W6/2021/09/00AB1</t>
  </si>
  <si>
    <t xml:space="preserve"> 401/PCI/K1/XII/21</t>
  </si>
  <si>
    <t>JAYAPURA OKTOBER</t>
  </si>
  <si>
    <t xml:space="preserve"> 403/PCI/K1/XII/21</t>
  </si>
  <si>
    <t>DO/W6/2021/11/008A8</t>
  </si>
  <si>
    <t>402600</t>
  </si>
  <si>
    <t>0308/11/2021</t>
  </si>
  <si>
    <t xml:space="preserve"> 404/PCI/K1/XII/21</t>
  </si>
  <si>
    <t>403657</t>
  </si>
  <si>
    <t>0283/11/2021</t>
  </si>
  <si>
    <t>DO/W6/2021/11/00AB9</t>
  </si>
  <si>
    <t xml:space="preserve"> 405/PCI/K1/XII/21</t>
  </si>
  <si>
    <t>403664</t>
  </si>
  <si>
    <t xml:space="preserve"> 0381/11/2021</t>
  </si>
  <si>
    <t>DO/W6/2021/11/00FD7</t>
  </si>
  <si>
    <t>KANTOR IMIGRASI KELAS 1 TPI PALU</t>
  </si>
  <si>
    <t xml:space="preserve"> 552/PCI/K2/XII/21</t>
  </si>
  <si>
    <t>PASER</t>
  </si>
  <si>
    <t>BKI032210036996</t>
  </si>
  <si>
    <t>BKI032210036210</t>
  </si>
  <si>
    <t>BKI032210038836</t>
  </si>
  <si>
    <t>BKI032210038828</t>
  </si>
  <si>
    <t>BKI032210038000</t>
  </si>
  <si>
    <t>BKI032210037291</t>
  </si>
  <si>
    <t>MAN IC PASER</t>
  </si>
  <si>
    <t>DESEMBER 2021</t>
  </si>
  <si>
    <t xml:space="preserve"> 533/PCI/K2/XII/21</t>
  </si>
  <si>
    <t>CV. Wisnu Cahaya Label</t>
  </si>
  <si>
    <t>0544</t>
  </si>
  <si>
    <t xml:space="preserve"> 534/PCI/K2/XII/21</t>
  </si>
  <si>
    <t>0545</t>
  </si>
  <si>
    <t>Bina Stankomproglat</t>
  </si>
  <si>
    <t xml:space="preserve"> 535/PCI/K2/XII/21</t>
  </si>
  <si>
    <t>CV. IKPM Jakarta</t>
  </si>
  <si>
    <t>0546,0547,0548,0549</t>
  </si>
  <si>
    <t xml:space="preserve"> 536/PCI/K2/XII/21</t>
  </si>
  <si>
    <t>0301 , 0300</t>
  </si>
  <si>
    <t>PT. Samudra Jaya Cakra</t>
  </si>
  <si>
    <t>Ponorogo</t>
  </si>
  <si>
    <t>Tumoho, Manado, Padang</t>
  </si>
  <si>
    <t xml:space="preserve"> 537/PCI/K2/XII/21</t>
  </si>
  <si>
    <t>Duri, Pekanbaru,airmolek, Padang</t>
  </si>
  <si>
    <t>0389</t>
  </si>
  <si>
    <t xml:space="preserve"> 538/PCI/K2/XII/21</t>
  </si>
  <si>
    <t>0239</t>
  </si>
  <si>
    <t>Gersik</t>
  </si>
  <si>
    <t xml:space="preserve"> 539/PCI/K2/XII/21</t>
  </si>
  <si>
    <t>Mojokerto, lhoksemawe</t>
  </si>
  <si>
    <t xml:space="preserve"> 540/PCI/K2/XII/21</t>
  </si>
  <si>
    <t>Manokwari</t>
  </si>
  <si>
    <t>0300</t>
  </si>
  <si>
    <t>0218</t>
  </si>
  <si>
    <t xml:space="preserve"> 541/PCI/K2/XII/21</t>
  </si>
  <si>
    <t>AIR MOLEK</t>
  </si>
  <si>
    <t>0206</t>
  </si>
  <si>
    <t>BKI032210039651</t>
  </si>
  <si>
    <t xml:space="preserve"> 542/PCI/K2/XII/21</t>
  </si>
  <si>
    <t xml:space="preserve"> Bpk. Bayu</t>
  </si>
  <si>
    <t>0157 &amp; 0160</t>
  </si>
  <si>
    <t xml:space="preserve"> 543/PCI/K2/XII/21</t>
  </si>
  <si>
    <t>Bpk. Rio Naldi</t>
  </si>
  <si>
    <t xml:space="preserve"> 544/PCI/K2/XII/21</t>
  </si>
  <si>
    <t>Pekalongan</t>
  </si>
  <si>
    <t>0582</t>
  </si>
  <si>
    <t>0579</t>
  </si>
  <si>
    <t xml:space="preserve"> 545/PCI/K2/XII/21</t>
  </si>
  <si>
    <t>DO/W6/2021/11/01557</t>
  </si>
  <si>
    <t>BKI032210039354</t>
  </si>
  <si>
    <t>0136</t>
  </si>
  <si>
    <t xml:space="preserve"> 546/PCI/K2/XII/21</t>
  </si>
  <si>
    <t>0508</t>
  </si>
  <si>
    <t xml:space="preserve"> 547/PCI/K2/XII/21</t>
  </si>
  <si>
    <t>0660</t>
  </si>
  <si>
    <t xml:space="preserve"> 548/PCI/K2/XII/21</t>
  </si>
  <si>
    <t>Nunukan, Tarakan, Tanjung Selor</t>
  </si>
  <si>
    <t xml:space="preserve">0301 </t>
  </si>
  <si>
    <t xml:space="preserve"> 549/PCI/K2/XII/21</t>
  </si>
  <si>
    <t>0577</t>
  </si>
  <si>
    <t>PESISIR SELATAN</t>
  </si>
  <si>
    <t xml:space="preserve"> 550/PCI/K2/XII/21</t>
  </si>
  <si>
    <t>0541</t>
  </si>
  <si>
    <t xml:space="preserve"> 551/PCI/K2/XII/21</t>
  </si>
  <si>
    <t>BKI032210039644</t>
  </si>
  <si>
    <t>DURI</t>
  </si>
  <si>
    <t xml:space="preserve"> PT. UJP</t>
  </si>
  <si>
    <t>MIx</t>
  </si>
  <si>
    <t>0482, 0483,0484</t>
  </si>
  <si>
    <t xml:space="preserve"> 553/PCI/K2/XII/21</t>
  </si>
  <si>
    <t xml:space="preserve"> 554/PCI/K2/XII/21</t>
  </si>
  <si>
    <t>BIMA</t>
  </si>
  <si>
    <t>0356</t>
  </si>
  <si>
    <t xml:space="preserve"> 406/PCI/K1/XII/21</t>
  </si>
  <si>
    <t>Kapuk Kamal Jakarta</t>
  </si>
  <si>
    <t>DO/W6/2021/11/0108D</t>
  </si>
  <si>
    <t>403666</t>
  </si>
  <si>
    <t xml:space="preserve"> 407/PCI/K1/XII/21</t>
  </si>
  <si>
    <t>DO/W6/2021/11/00814</t>
  </si>
  <si>
    <t>402597</t>
  </si>
  <si>
    <t xml:space="preserve"> 408/PCI/K1/XII/21</t>
  </si>
  <si>
    <t xml:space="preserve">Tangerang </t>
  </si>
  <si>
    <t>DO/W6/2021/11/0120F</t>
  </si>
  <si>
    <t>403671</t>
  </si>
  <si>
    <t xml:space="preserve"> 409/PCI/K1/XII/21</t>
  </si>
  <si>
    <t>DO/W6/2021/11/00EA8</t>
  </si>
  <si>
    <t>403665</t>
  </si>
  <si>
    <t xml:space="preserve"> 410/PCI/K1/XII/21</t>
  </si>
  <si>
    <t>DO/W6/2021/11/0137D/R/01</t>
  </si>
  <si>
    <t>403678</t>
  </si>
  <si>
    <t xml:space="preserve"> 411/PCI/K1/XII/21</t>
  </si>
  <si>
    <t>DO/W6/2021/11/01399</t>
  </si>
  <si>
    <t>403676</t>
  </si>
  <si>
    <t xml:space="preserve"> 412/PCI/K1/XII/21</t>
  </si>
  <si>
    <t>DO/W6/2021/11/01426</t>
  </si>
  <si>
    <t>403679</t>
  </si>
  <si>
    <t xml:space="preserve"> 413/PCI/K1/XII/21</t>
  </si>
  <si>
    <t>DO/W6/2021/11/011BD</t>
  </si>
  <si>
    <t>403670</t>
  </si>
  <si>
    <t xml:space="preserve"> 414/PCI/K1/XII/21</t>
  </si>
  <si>
    <t>DO/W6/2021/11/01244</t>
  </si>
  <si>
    <t>403688</t>
  </si>
  <si>
    <t xml:space="preserve"> 415/PCI/K1/XII/21</t>
  </si>
  <si>
    <t>Kamal Muara Jakarta</t>
  </si>
  <si>
    <t>DO/W6/2021/11/015CO</t>
  </si>
  <si>
    <t>403680</t>
  </si>
  <si>
    <t xml:space="preserve"> 416/PCI/K1/XII/21</t>
  </si>
  <si>
    <t>Daan Mogot Jakarta</t>
  </si>
  <si>
    <t>DO/W6/2021/12/00037</t>
  </si>
  <si>
    <t>403682</t>
  </si>
  <si>
    <t xml:space="preserve"> 417/PCI/K1/XII/21</t>
  </si>
  <si>
    <t>Kosambi Jakarta Timur</t>
  </si>
  <si>
    <t>DO/W6/2021/11/01571/R/1</t>
  </si>
  <si>
    <t>403681</t>
  </si>
  <si>
    <t xml:space="preserve"> 418/PCI/K1/XII/21</t>
  </si>
  <si>
    <t>DO/W6/2021/12/000C0/R/02</t>
  </si>
  <si>
    <t>403685</t>
  </si>
  <si>
    <t xml:space="preserve"> 419/PCI/K1/XII/21</t>
  </si>
  <si>
    <t>Tanjung Api-Api Palembang</t>
  </si>
  <si>
    <t>DO/W6/2021/11/01404</t>
  </si>
  <si>
    <t>403677</t>
  </si>
  <si>
    <t xml:space="preserve"> 420/PCI/K1/XII/21</t>
  </si>
  <si>
    <t xml:space="preserve">Tebet Jak Sel    </t>
  </si>
  <si>
    <t>DO/W6/2021/12/001A8</t>
  </si>
  <si>
    <t>403686</t>
  </si>
  <si>
    <t xml:space="preserve"> 421/PCI/K1/XII/21</t>
  </si>
  <si>
    <t>Sukoharjo Solo</t>
  </si>
  <si>
    <t xml:space="preserve"> 422/PCI/K1/XII/21</t>
  </si>
  <si>
    <t xml:space="preserve"> Mandailing Natal   </t>
  </si>
  <si>
    <t>DO/W6/2021/11/00AF2</t>
  </si>
  <si>
    <t xml:space="preserve"> 423/PCI/K1/XII/21</t>
  </si>
  <si>
    <t>PONTIANAK 01- 15 November 21</t>
  </si>
  <si>
    <t xml:space="preserve"> 424/PCI/K1/XII/21</t>
  </si>
  <si>
    <t>TANJUNG  PANDAN OKTOBER</t>
  </si>
  <si>
    <t xml:space="preserve"> 425/PCI/K1/XII/21</t>
  </si>
  <si>
    <t>0420</t>
  </si>
  <si>
    <t xml:space="preserve"> 426/PCI/K1/XII/21</t>
  </si>
  <si>
    <t>0502</t>
  </si>
  <si>
    <t xml:space="preserve"> 427/PCI/K1/XII/21</t>
  </si>
  <si>
    <t>0543</t>
  </si>
  <si>
    <t xml:space="preserve"> 428/PCI/K1/XII/21</t>
  </si>
  <si>
    <t xml:space="preserve"> 429/PCI/K1/XII/21</t>
  </si>
  <si>
    <t>0581</t>
  </si>
  <si>
    <t>0580</t>
  </si>
  <si>
    <t xml:space="preserve"> 430/PCI/K1/XII/21</t>
  </si>
  <si>
    <t xml:space="preserve"> 431/PCI/K1/XII/21</t>
  </si>
  <si>
    <t>TANJUNG  PINANG  OKTOBER 21</t>
  </si>
  <si>
    <t>01/12/2021 Dp masuk di mas rian 1,6jt fee 700rb</t>
  </si>
  <si>
    <t xml:space="preserve"> 485A/PCI/K2/XI/21</t>
  </si>
  <si>
    <t>Bangka Barat</t>
  </si>
  <si>
    <t xml:space="preserve"> 485B/PCI/K2/XI/21</t>
  </si>
  <si>
    <t xml:space="preserve"> 485C/PCI/K2/XI/21</t>
  </si>
  <si>
    <t>Binatan</t>
  </si>
  <si>
    <t xml:space="preserve"> 485D/PCI/K2/XI/21</t>
  </si>
  <si>
    <t xml:space="preserve"> 485E/PCI/K2/XI/21</t>
  </si>
  <si>
    <t xml:space="preserve">Pekalongan </t>
  </si>
  <si>
    <t xml:space="preserve"> 485F/PCI/K2/XI/21</t>
  </si>
  <si>
    <t xml:space="preserve"> 485G/PCI/K2/XI/21</t>
  </si>
  <si>
    <t xml:space="preserve"> 485H/PCI/K2/XI/21</t>
  </si>
  <si>
    <t xml:space="preserve"> 485I/PCI/K2/XI/21</t>
  </si>
  <si>
    <t xml:space="preserve"> 485J/PCI/K2/XI/21</t>
  </si>
  <si>
    <t>Wonosobo</t>
  </si>
  <si>
    <t xml:space="preserve"> 485K/PCI/K2/XI/21</t>
  </si>
  <si>
    <t xml:space="preserve"> 488A/PCI/K2/XI/21</t>
  </si>
  <si>
    <t>Sunagi Penuh</t>
  </si>
  <si>
    <t xml:space="preserve"> 488B/PCI/K2/XI/21</t>
  </si>
  <si>
    <t xml:space="preserve"> 488C/PCI/K2/XI/21</t>
  </si>
  <si>
    <t xml:space="preserve"> 488D/PCI/K2/XI/21</t>
  </si>
  <si>
    <t xml:space="preserve"> 488E/PCI/K2/XI/21</t>
  </si>
  <si>
    <t>Kaur</t>
  </si>
  <si>
    <t xml:space="preserve"> 488F/PCI/K2/XI/21</t>
  </si>
  <si>
    <t>TOTAL TAGIHAN UP</t>
  </si>
  <si>
    <t>22 jt di transfer ke BCA 880-071-1607 A/N Irawati</t>
  </si>
  <si>
    <t>1,5 jt di transfer ke BCA 4330424015 A/N Fitri Aprilianti</t>
  </si>
  <si>
    <t>2,5 jt di transfer ke BCA 880-071-1607 A/N Irawati</t>
  </si>
  <si>
    <t>Bintan</t>
  </si>
  <si>
    <t>6 jt di transfer ke BCA 4330424015 A/N Fitri Aprilianti</t>
  </si>
  <si>
    <t>3,8 jt di transfer ke BCA 880-071-1607 A/N Irawati</t>
  </si>
  <si>
    <t>4 jt di transfer ke BCA 880-071-1607 A/N Irawati</t>
  </si>
  <si>
    <t>1 jt di transfer ke BCA 880-071-1607 A/N Irawati</t>
  </si>
  <si>
    <t>9,6 jt di transfer ke BCA 880-071-1607 A/N Irawati</t>
  </si>
  <si>
    <t>Irawati</t>
  </si>
  <si>
    <t>Fitri Aprilianti</t>
  </si>
  <si>
    <t>Sungai Penuh</t>
  </si>
  <si>
    <t>2,5 jt di transfer ke BCA 4330424015 A/N Fitri Aprilianti</t>
  </si>
  <si>
    <t>17,3 jt di transfer ke BCA 880-071-1607 A/N Irawati</t>
  </si>
  <si>
    <t>13,5 jt di transfer ke BCA 880-071-1607 A/N Irawati</t>
  </si>
  <si>
    <t>pa Imam</t>
  </si>
  <si>
    <t xml:space="preserve"> 555/PCI/K2/XII/21</t>
  </si>
  <si>
    <t>0712</t>
  </si>
  <si>
    <t xml:space="preserve"> 556/PCI/K2/XII/21</t>
  </si>
  <si>
    <t>0700</t>
  </si>
  <si>
    <t xml:space="preserve"> 557/PCI/K2/XII/21</t>
  </si>
  <si>
    <t>0405</t>
  </si>
  <si>
    <t>PT. Parcial Berkat Transindo</t>
  </si>
  <si>
    <t xml:space="preserve"> 558/PCI/K2/XII/21</t>
  </si>
  <si>
    <t>PT. Cahaya Putra Perkasa</t>
  </si>
  <si>
    <t>0734</t>
  </si>
  <si>
    <t xml:space="preserve"> 559/PCI/K2/XII/21</t>
  </si>
  <si>
    <t>0523</t>
  </si>
  <si>
    <t xml:space="preserve"> 560/PCI/K2/XII/21</t>
  </si>
  <si>
    <t>0665</t>
  </si>
  <si>
    <t xml:space="preserve"> 561/PCI/K2/XII/21</t>
  </si>
  <si>
    <t>R2M Express</t>
  </si>
  <si>
    <t>0440</t>
  </si>
  <si>
    <t xml:space="preserve"> 432/PCI/K1/XII/21</t>
  </si>
  <si>
    <t>TERNATE OKTOBER 2021</t>
  </si>
  <si>
    <t xml:space="preserve"> 433/PCI/K1/XII/21</t>
  </si>
  <si>
    <t>PONTIANAK 16 - 30 November 21</t>
  </si>
  <si>
    <t xml:space="preserve"> 434/PCI/K1/XII/21</t>
  </si>
  <si>
    <t>BATAM 21 - 30 November 21</t>
  </si>
  <si>
    <t xml:space="preserve"> 435/PCI/K1/XII/21</t>
  </si>
  <si>
    <t xml:space="preserve"> TANJUNG  PINANG NOVEMBER 21</t>
  </si>
  <si>
    <t>02/12/2021,21/12/21</t>
  </si>
  <si>
    <t xml:space="preserve"> 436/PCI/K1/XII/21</t>
  </si>
  <si>
    <t>0675</t>
  </si>
  <si>
    <t xml:space="preserve"> 437/PCI/K1/XII/21</t>
  </si>
  <si>
    <t>0676</t>
  </si>
  <si>
    <t xml:space="preserve"> 562/PCI/K2/XII/21</t>
  </si>
  <si>
    <t>0663,0664,'0662</t>
  </si>
  <si>
    <t xml:space="preserve"> 563/PCI/K2/XII/21</t>
  </si>
  <si>
    <t xml:space="preserve"> Ninja Express</t>
  </si>
  <si>
    <t>Dp tf ke mas rian</t>
  </si>
  <si>
    <t xml:space="preserve"> 564/PCI/K2/XII/21</t>
  </si>
  <si>
    <t>0511</t>
  </si>
  <si>
    <t xml:space="preserve"> 565/PCI/K2/XII/21</t>
  </si>
  <si>
    <t>0745</t>
  </si>
  <si>
    <t xml:space="preserve"> 566/PCI/K2/XII/21</t>
  </si>
  <si>
    <t>0594</t>
  </si>
  <si>
    <t>DO/W6/2021/09/OOBD6</t>
  </si>
  <si>
    <t>DO/W6/2021/09/OOB4B</t>
  </si>
  <si>
    <t>DO/W6/2021/09/OODOF</t>
  </si>
  <si>
    <t>DO/W6/2021/09/O114C</t>
  </si>
  <si>
    <t xml:space="preserve"> 438/PCI/K1/XII/21</t>
  </si>
  <si>
    <t>SAUMALAKI OKTOBER 21</t>
  </si>
  <si>
    <t>BKI032210038166</t>
  </si>
  <si>
    <t xml:space="preserve"> 439/PCI/K1/XII/21</t>
  </si>
  <si>
    <t>TERNATE NOVEMBER 21</t>
  </si>
  <si>
    <t xml:space="preserve"> 440/PCI/K1/XII/21</t>
  </si>
  <si>
    <t>TIMIKA OKTOBER 21</t>
  </si>
  <si>
    <t xml:space="preserve"> 441/PCI/K1/XII/21</t>
  </si>
  <si>
    <t>MANOKWARI OKTOBER</t>
  </si>
  <si>
    <t xml:space="preserve"> 442/PCI/K1/XII/21</t>
  </si>
  <si>
    <t>AMBON OKTOBER 21</t>
  </si>
  <si>
    <t xml:space="preserve"> 443/PCI/K1/XII/21</t>
  </si>
  <si>
    <t>0699</t>
  </si>
  <si>
    <t xml:space="preserve"> 444/PCI/K1/XII/21</t>
  </si>
  <si>
    <t xml:space="preserve"> 445/PCI/K1/XII/21</t>
  </si>
  <si>
    <t>0732</t>
  </si>
  <si>
    <t>0740</t>
  </si>
  <si>
    <t xml:space="preserve"> 567/PCI/K2/XII/21</t>
  </si>
  <si>
    <t>0622</t>
  </si>
  <si>
    <t>PT. Bayu Perkasa Trans (Miniso)</t>
  </si>
  <si>
    <t>PDF IBU PUTRI</t>
  </si>
  <si>
    <t xml:space="preserve"> 568/PCI/K2/XII/21</t>
  </si>
  <si>
    <t>PT. Padi Express</t>
  </si>
  <si>
    <t>pdf bpk. Angga</t>
  </si>
  <si>
    <t xml:space="preserve"> 569/PCI/K2/XII/21</t>
  </si>
  <si>
    <t>Mr. Hong Fei</t>
  </si>
  <si>
    <t>0795</t>
  </si>
  <si>
    <t>0733</t>
  </si>
  <si>
    <t>pdf ibu sri</t>
  </si>
  <si>
    <t xml:space="preserve"> 570/PCI/K2/XII/21</t>
  </si>
  <si>
    <t>0794</t>
  </si>
  <si>
    <t>pdf ibu mayang</t>
  </si>
  <si>
    <t xml:space="preserve"> 571/PCI/K2/XII/21</t>
  </si>
  <si>
    <t>0787</t>
  </si>
  <si>
    <t>pdf mama caca</t>
  </si>
  <si>
    <t xml:space="preserve"> 446/PCI/K1/XII/21</t>
  </si>
  <si>
    <t>Tangerang Banten</t>
  </si>
  <si>
    <t>403694</t>
  </si>
  <si>
    <t>0744</t>
  </si>
  <si>
    <t xml:space="preserve"> 447/PCI/K1/XII/21</t>
  </si>
  <si>
    <t>403689</t>
  </si>
  <si>
    <t>Denpasar Bali</t>
  </si>
  <si>
    <t xml:space="preserve"> 448/PCI/K1/XII/21</t>
  </si>
  <si>
    <t>403693</t>
  </si>
  <si>
    <t>Tigaraksa Tangerang</t>
  </si>
  <si>
    <t xml:space="preserve"> 449/PCI/K1/XII/21</t>
  </si>
  <si>
    <t>Cimanggis</t>
  </si>
  <si>
    <t>403690</t>
  </si>
  <si>
    <t xml:space="preserve"> 450/PCI/K1/XII/21</t>
  </si>
  <si>
    <t>403695</t>
  </si>
  <si>
    <t xml:space="preserve"> 451/PCI/K1/XII/21</t>
  </si>
  <si>
    <t>403691</t>
  </si>
  <si>
    <t xml:space="preserve"> 452/PCI/K1/XII/21</t>
  </si>
  <si>
    <t>403692</t>
  </si>
  <si>
    <t xml:space="preserve"> 453/PCI/K1/XII/21</t>
  </si>
  <si>
    <t>Tambun</t>
  </si>
  <si>
    <t>403696</t>
  </si>
  <si>
    <t xml:space="preserve"> 454/PCI/K1/XII/21</t>
  </si>
  <si>
    <t>Jakarta Barat</t>
  </si>
  <si>
    <t>403697</t>
  </si>
  <si>
    <t>DO/W6/2021/12/00E53</t>
  </si>
  <si>
    <t xml:space="preserve"> 455/PCI/K1/XII/21</t>
  </si>
  <si>
    <t>403698</t>
  </si>
  <si>
    <t xml:space="preserve"> 456/PCI/K1/XII/21</t>
  </si>
  <si>
    <t>0788</t>
  </si>
  <si>
    <t xml:space="preserve"> 572/PCI/K2/XII/21</t>
  </si>
  <si>
    <t>0578</t>
  </si>
  <si>
    <t xml:space="preserve"> 573/PCI/K2/XII/21</t>
  </si>
  <si>
    <t>0713</t>
  </si>
  <si>
    <t>DO/W6/2021/12/00AE7</t>
  </si>
  <si>
    <t xml:space="preserve"> 574/PCI/K2/XII/21</t>
  </si>
  <si>
    <t>0802</t>
  </si>
  <si>
    <t>PT.AKGC</t>
  </si>
  <si>
    <t xml:space="preserve"> 575/PCI/K2/XII/21</t>
  </si>
  <si>
    <t>0600</t>
  </si>
  <si>
    <t xml:space="preserve"> 576/PCI/K2/XII/21</t>
  </si>
  <si>
    <t>0604</t>
  </si>
  <si>
    <t>Bpk. Diki</t>
  </si>
  <si>
    <t>DO/W6/2021/12/00CBC</t>
  </si>
  <si>
    <t>DO/W6/2021/12/009C7</t>
  </si>
  <si>
    <t>DO/W6/2021/12/00B59</t>
  </si>
  <si>
    <t>DO/W6/2021/12/009CF/R/01</t>
  </si>
  <si>
    <t>DO/W6/2021/12/00CAE</t>
  </si>
  <si>
    <t>DO/W6/2021/12/009D1/R/01</t>
  </si>
  <si>
    <t>DO/W6/2021/12/00CED</t>
  </si>
  <si>
    <t>0576</t>
  </si>
  <si>
    <t>0593</t>
  </si>
  <si>
    <t>KUPANG</t>
  </si>
  <si>
    <t>'0671</t>
  </si>
  <si>
    <t>BALI</t>
  </si>
  <si>
    <t>PT. PRATAMATRANS LOGISTIK</t>
  </si>
  <si>
    <t>0800</t>
  </si>
  <si>
    <t>0801</t>
  </si>
  <si>
    <t>0497</t>
  </si>
  <si>
    <t>0559</t>
  </si>
  <si>
    <t>0602</t>
  </si>
  <si>
    <t>0670</t>
  </si>
  <si>
    <t>0701</t>
  </si>
  <si>
    <t>0812</t>
  </si>
  <si>
    <t>PEKALONGAN</t>
  </si>
  <si>
    <t>SAMPIT</t>
  </si>
  <si>
    <t>KATINGAN HILIR</t>
  </si>
  <si>
    <t>BANJAR BARU</t>
  </si>
  <si>
    <t>BATU LICIN</t>
  </si>
  <si>
    <t>BERAU</t>
  </si>
  <si>
    <t>SINGARAJA</t>
  </si>
  <si>
    <t xml:space="preserve">TUAL </t>
  </si>
  <si>
    <t>TOBELLO</t>
  </si>
  <si>
    <t>NABIRE</t>
  </si>
  <si>
    <t>ATAMBUA</t>
  </si>
  <si>
    <t>BIAK</t>
  </si>
  <si>
    <t>MANOKWARI</t>
  </si>
  <si>
    <t>SORONG</t>
  </si>
  <si>
    <t>TANJUNG KARANG</t>
  </si>
  <si>
    <t>RANCAENGKEK</t>
  </si>
  <si>
    <t>CIBITUNG</t>
  </si>
  <si>
    <t>RUNGKUT</t>
  </si>
  <si>
    <t>DO/W6/2021/12/01172</t>
  </si>
  <si>
    <t>DO/W6/2021/12/01173</t>
  </si>
  <si>
    <t>DO/W6/2021/12/01277</t>
  </si>
  <si>
    <t>DO/W6/2021/12/01279</t>
  </si>
  <si>
    <t>DO/W6/2021/12/0127B</t>
  </si>
  <si>
    <t>DO/W6/2021/12/0127D</t>
  </si>
  <si>
    <t>DO/W6/2021/12/0127F</t>
  </si>
  <si>
    <t>DO/W6/2021/12/01280</t>
  </si>
  <si>
    <t>DO/W6/2021/12/01281</t>
  </si>
  <si>
    <t>DO/W6/2021/12/01282</t>
  </si>
  <si>
    <t>DO/W6/2021/12/01283</t>
  </si>
  <si>
    <t>DO/W6/2021/12/01284</t>
  </si>
  <si>
    <t>DO/W6/2021/12/01321</t>
  </si>
  <si>
    <t>DO/W6/2021/12/01322</t>
  </si>
  <si>
    <t>DO/W6/2021/12/01323</t>
  </si>
  <si>
    <t>DO/W6/2021/12/0143B</t>
  </si>
  <si>
    <t>DO/W6/2021/12/014A3</t>
  </si>
  <si>
    <t>DO/W6/2021/12/014F6</t>
  </si>
  <si>
    <t>DO/W6/2021/12/014A4/R/01</t>
  </si>
  <si>
    <t>0806/12/2021</t>
  </si>
  <si>
    <t>0819/12/2021</t>
  </si>
  <si>
    <t>403700</t>
  </si>
  <si>
    <t>402866</t>
  </si>
  <si>
    <t>403699</t>
  </si>
  <si>
    <t>402867</t>
  </si>
  <si>
    <t>402868</t>
  </si>
  <si>
    <t>402869</t>
  </si>
  <si>
    <t>402871</t>
  </si>
  <si>
    <t>402872</t>
  </si>
  <si>
    <t>28/120/21</t>
  </si>
  <si>
    <t>0492</t>
  </si>
  <si>
    <t xml:space="preserve"> 402/PCI/K1/XII/21</t>
  </si>
  <si>
    <t>DO/W6/2021/11/00BA0</t>
  </si>
  <si>
    <t>DO/W6/2021/12/00EAE</t>
  </si>
  <si>
    <t>BKI032210027267</t>
  </si>
  <si>
    <t>DO/W6/2021/10/004D5</t>
  </si>
  <si>
    <t>320/PCI/K1/X/21</t>
  </si>
  <si>
    <t>GRAND TOTAL PIUTANG 2022</t>
  </si>
  <si>
    <t xml:space="preserve"> 001/PCI/K1/I/22</t>
  </si>
  <si>
    <t>PT. Freyssinet Total Technology</t>
  </si>
  <si>
    <t>0512</t>
  </si>
  <si>
    <t>003/FTT/PO/XII/2021</t>
  </si>
  <si>
    <t xml:space="preserve"> 002/PCI/K1/I/22</t>
  </si>
  <si>
    <t>0816</t>
  </si>
  <si>
    <t>Malaysia</t>
  </si>
  <si>
    <t>PT Link Pasifik</t>
  </si>
  <si>
    <t>AWB No. 6686225280</t>
  </si>
  <si>
    <t xml:space="preserve"> 003/PCI/K1/I/22</t>
  </si>
  <si>
    <t>0672</t>
  </si>
  <si>
    <t>Surabaya, Solo, Denapsar</t>
  </si>
  <si>
    <t xml:space="preserve"> 004/PCI/K1/I/22</t>
  </si>
  <si>
    <t xml:space="preserve"> 005/PCI/K1/I/22</t>
  </si>
  <si>
    <t xml:space="preserve"> 006/PCI/K1/I/22</t>
  </si>
  <si>
    <t>037</t>
  </si>
  <si>
    <t xml:space="preserve"> 007/PCI/K1/I/22</t>
  </si>
  <si>
    <t>019</t>
  </si>
  <si>
    <t xml:space="preserve"> 008/PCI/K1/I/22</t>
  </si>
  <si>
    <t>020</t>
  </si>
  <si>
    <t xml:space="preserve"> 009/PCI/K1/I/22</t>
  </si>
  <si>
    <t xml:space="preserve"> 010/PCI/K1/I/22</t>
  </si>
  <si>
    <t>402875</t>
  </si>
  <si>
    <t xml:space="preserve">030/01/2022  </t>
  </si>
  <si>
    <t>DO/W6/2022/01/00175</t>
  </si>
  <si>
    <t xml:space="preserve"> 011/PCI/K1/I/22</t>
  </si>
  <si>
    <t>DO/W6/2022/01/0029B</t>
  </si>
  <si>
    <t>402877</t>
  </si>
  <si>
    <t xml:space="preserve">033/01/2022      </t>
  </si>
  <si>
    <t>Lebak Bulus</t>
  </si>
  <si>
    <t xml:space="preserve"> 012/PCI/K1/I/22</t>
  </si>
  <si>
    <t>Bantar Gebang</t>
  </si>
  <si>
    <t xml:space="preserve">0820/12/2021   </t>
  </si>
  <si>
    <t xml:space="preserve"> 013/PCI/K1/I/22</t>
  </si>
  <si>
    <t xml:space="preserve">0807/12/2021 </t>
  </si>
  <si>
    <t xml:space="preserve"> 014/PCI/K1/I/22</t>
  </si>
  <si>
    <t xml:space="preserve">0806/12/2021                            </t>
  </si>
  <si>
    <t xml:space="preserve"> 015/PCI/K1/I/22</t>
  </si>
  <si>
    <t xml:space="preserve"> 016/PCI/K1/I/22</t>
  </si>
  <si>
    <t xml:space="preserve"> 017/PCI/K1/I/22</t>
  </si>
  <si>
    <t xml:space="preserve"> 018/PCI/K1/I/22</t>
  </si>
  <si>
    <t xml:space="preserve"> 019/PCI/K1/I/22</t>
  </si>
  <si>
    <t xml:space="preserve">0806/12/2021                         </t>
  </si>
  <si>
    <t xml:space="preserve"> 020/PCI/K1/I/22</t>
  </si>
  <si>
    <t xml:space="preserve">0806/12/2021 </t>
  </si>
  <si>
    <t xml:space="preserve"> 021/PCI/K1/I/22</t>
  </si>
  <si>
    <t xml:space="preserve"> 022/PCI/K1/I/22</t>
  </si>
  <si>
    <t xml:space="preserve"> 023/PCI/K1/I/22</t>
  </si>
  <si>
    <t xml:space="preserve"> 024/PCI/K1/I/22</t>
  </si>
  <si>
    <t xml:space="preserve"> 025/PCI/K1/I/22</t>
  </si>
  <si>
    <t xml:space="preserve"> 026/PCI/K1/I/22</t>
  </si>
  <si>
    <t xml:space="preserve"> 027/PCI/K1/I/22</t>
  </si>
  <si>
    <t xml:space="preserve"> 028/PCI/K1/I/22</t>
  </si>
  <si>
    <t xml:space="preserve"> 029/PCI/K1/I/22</t>
  </si>
  <si>
    <t>PT. Galaksi Mandiri Utama</t>
  </si>
  <si>
    <t>070</t>
  </si>
  <si>
    <t>083</t>
  </si>
  <si>
    <t xml:space="preserve"> 030/PCI/K1/I/22</t>
  </si>
  <si>
    <t>TRUCKING DES 21</t>
  </si>
  <si>
    <t xml:space="preserve"> 031/PCI/K1/I/22</t>
  </si>
  <si>
    <t>TANJUNG PINANG 01-31 Dese 2021</t>
  </si>
  <si>
    <t xml:space="preserve"> 032/PCI/K1/I/22</t>
  </si>
  <si>
    <t xml:space="preserve"> 001/PCI/K2/I/22</t>
  </si>
  <si>
    <t xml:space="preserve"> PT Vita Bren Indonesia</t>
  </si>
  <si>
    <t xml:space="preserve"> 002/PCI/K2/I/22</t>
  </si>
  <si>
    <t>Trans Cargo Jogja</t>
  </si>
  <si>
    <t>024</t>
  </si>
  <si>
    <t xml:space="preserve"> 003/PCI/K2/I/22</t>
  </si>
  <si>
    <t xml:space="preserve"> Bpk. Henry</t>
  </si>
  <si>
    <t xml:space="preserve"> 004/PCI/K2/I/22</t>
  </si>
  <si>
    <t>017</t>
  </si>
  <si>
    <t xml:space="preserve"> 005/PCI/K2/I/22</t>
  </si>
  <si>
    <t>0793</t>
  </si>
  <si>
    <t xml:space="preserve"> 006/PCI/K2/I/22</t>
  </si>
  <si>
    <t xml:space="preserve"> 007/PCI/K2/I/22</t>
  </si>
  <si>
    <t>0265</t>
  </si>
  <si>
    <t xml:space="preserve"> 008/PCI/K2/I/22</t>
  </si>
  <si>
    <t xml:space="preserve"> 009/PCI/K2/I/22</t>
  </si>
  <si>
    <t>038</t>
  </si>
  <si>
    <t xml:space="preserve"> 010/PCI/K2/I/22</t>
  </si>
  <si>
    <t xml:space="preserve"> 011/PCI/K2/I/22</t>
  </si>
  <si>
    <t>039</t>
  </si>
  <si>
    <t xml:space="preserve"> 012/PCI/K2/I/22</t>
  </si>
  <si>
    <t xml:space="preserve"> 013/PCI/K2/I/22</t>
  </si>
  <si>
    <t>046</t>
  </si>
  <si>
    <t xml:space="preserve"> 014/PCI/K2/I/22</t>
  </si>
  <si>
    <t>031</t>
  </si>
  <si>
    <t xml:space="preserve"> 015/PCI/K2/I/22</t>
  </si>
  <si>
    <t>041</t>
  </si>
  <si>
    <t>PT. Sarana Duta Muda Express</t>
  </si>
  <si>
    <t>Palopo</t>
  </si>
  <si>
    <t xml:space="preserve"> 016/PCI/K2/I/22</t>
  </si>
  <si>
    <t>086</t>
  </si>
  <si>
    <t xml:space="preserve"> 017/PCI/K2/I/22</t>
  </si>
  <si>
    <t>014 &amp; 042</t>
  </si>
  <si>
    <t xml:space="preserve"> 018/PCI/K2/I/22</t>
  </si>
  <si>
    <t xml:space="preserve"> 019/PCI/K2/I/22</t>
  </si>
  <si>
    <t>Gn Putri Bogor</t>
  </si>
  <si>
    <t xml:space="preserve"> 020/PCI/K2/I/22</t>
  </si>
  <si>
    <t xml:space="preserve"> 021/PCI/K2/I/22</t>
  </si>
  <si>
    <t>Pontianak &amp; Tanjung Pandan</t>
  </si>
  <si>
    <t>0730 &amp; 0731</t>
  </si>
  <si>
    <t xml:space="preserve"> 033/PCI/K1/I/22</t>
  </si>
  <si>
    <t>TANJUNG PANDAN November 2021</t>
  </si>
  <si>
    <t xml:space="preserve"> 034/PCI/K1/I/22</t>
  </si>
  <si>
    <t xml:space="preserve"> MANAOKWARI NOVEMBER 2021</t>
  </si>
  <si>
    <t>Discount</t>
  </si>
  <si>
    <t xml:space="preserve"> 360/PCI/K2/VIII/21</t>
  </si>
  <si>
    <t>BATAL</t>
  </si>
  <si>
    <t xml:space="preserve"> 022/PCI/K2/I/22</t>
  </si>
  <si>
    <t xml:space="preserve"> 023/PCI/K2/I/22</t>
  </si>
  <si>
    <t>Kediri, Tuban, madiun</t>
  </si>
  <si>
    <t xml:space="preserve"> 024/PCI/K2/I/22</t>
  </si>
  <si>
    <t xml:space="preserve"> 025/PCI/K2/I/22</t>
  </si>
  <si>
    <t>048 &amp; 069</t>
  </si>
  <si>
    <t>Jakarta &amp; Cilegon</t>
  </si>
  <si>
    <t xml:space="preserve"> 026/PCI/K2/I/22</t>
  </si>
  <si>
    <t>0121</t>
  </si>
  <si>
    <t xml:space="preserve">DNR Logistic </t>
  </si>
  <si>
    <t xml:space="preserve"> 027/PCI/K2/I/22</t>
  </si>
  <si>
    <t>0124</t>
  </si>
  <si>
    <t>Bata Antasari JKT</t>
  </si>
  <si>
    <t xml:space="preserve"> 028/PCI/K2/I/22</t>
  </si>
  <si>
    <t>034</t>
  </si>
  <si>
    <t xml:space="preserve"> (DHL No. 2507251670)</t>
  </si>
  <si>
    <t>China</t>
  </si>
  <si>
    <t xml:space="preserve"> 029/PCI/K2/I/22</t>
  </si>
  <si>
    <t>096</t>
  </si>
  <si>
    <t>Bpk. Arif</t>
  </si>
  <si>
    <t xml:space="preserve"> 030/PCI/K2/I/22</t>
  </si>
  <si>
    <t>0129</t>
  </si>
  <si>
    <t>Ibu Farah Diana</t>
  </si>
  <si>
    <t xml:space="preserve"> 031/PCI/K2/I/22</t>
  </si>
  <si>
    <t>Lahat</t>
  </si>
  <si>
    <t>074</t>
  </si>
  <si>
    <t xml:space="preserve"> 032/PCI/K2/I/22</t>
  </si>
  <si>
    <t>0106</t>
  </si>
  <si>
    <t xml:space="preserve"> 035/PCI/K1/I/22</t>
  </si>
  <si>
    <t>PT. Link Pasifik</t>
  </si>
  <si>
    <t>(AWB No. 2507231031)</t>
  </si>
  <si>
    <t>040</t>
  </si>
  <si>
    <t xml:space="preserve"> 036/PCI/K1/I/22</t>
  </si>
  <si>
    <t>MANOKWARI OKTOBER 2021</t>
  </si>
  <si>
    <t xml:space="preserve"> 037/PCI/K1/I/22</t>
  </si>
  <si>
    <t>MARAUKE OKTOBER 2021</t>
  </si>
  <si>
    <t xml:space="preserve"> 038/PCI/K1/I/22</t>
  </si>
  <si>
    <t>082</t>
  </si>
  <si>
    <t xml:space="preserve"> 039/PCI/K1/I/22</t>
  </si>
  <si>
    <t>0110</t>
  </si>
  <si>
    <t xml:space="preserve"> 040/PCI/K1/I/22</t>
  </si>
  <si>
    <t>0112</t>
  </si>
  <si>
    <t xml:space="preserve"> 041/PCI/K1/I/22</t>
  </si>
  <si>
    <t>BATAM 01 -31 Desember 21</t>
  </si>
  <si>
    <t xml:space="preserve"> 042/PCI/K1/I/22</t>
  </si>
  <si>
    <t xml:space="preserve"> 049/01/2022</t>
  </si>
  <si>
    <t>402878</t>
  </si>
  <si>
    <t>DO/W6/2022/01/002BC/R/01</t>
  </si>
  <si>
    <t xml:space="preserve">Bandung </t>
  </si>
  <si>
    <t xml:space="preserve"> 043/PCI/K1/I/22</t>
  </si>
  <si>
    <t>DO/W6/2022/01/0029A</t>
  </si>
  <si>
    <t xml:space="preserve"> 032/01/2022</t>
  </si>
  <si>
    <t xml:space="preserve"> 044/PCI/K1/I/22</t>
  </si>
  <si>
    <t xml:space="preserve"> 028/01/2022</t>
  </si>
  <si>
    <t>402874</t>
  </si>
  <si>
    <t>DO/W6/2022/01/000CA</t>
  </si>
  <si>
    <t xml:space="preserve"> 045/PCI/K1/I/22</t>
  </si>
  <si>
    <t xml:space="preserve"> 0811/12/2021</t>
  </si>
  <si>
    <t>DO/W6/2022/01/0143C</t>
  </si>
  <si>
    <t xml:space="preserve"> 046/PCI/K1/I/22</t>
  </si>
  <si>
    <t>DO/W6/2022/01/0134B</t>
  </si>
  <si>
    <t xml:space="preserve"> 0809/12/2021</t>
  </si>
  <si>
    <t xml:space="preserve"> 047/PCI/K1/I/22</t>
  </si>
  <si>
    <t xml:space="preserve"> 0810/12/2021</t>
  </si>
  <si>
    <t>DO/W6/2022/01/0143B</t>
  </si>
  <si>
    <t xml:space="preserve">Bogor </t>
  </si>
  <si>
    <t xml:space="preserve"> 048/PCI/K1/I/22</t>
  </si>
  <si>
    <t xml:space="preserve"> 0808/12/2021</t>
  </si>
  <si>
    <t xml:space="preserve">Bekasi  </t>
  </si>
  <si>
    <t xml:space="preserve"> 049/PCI/K1/I/22</t>
  </si>
  <si>
    <t>DO/W6/2022/01/00577</t>
  </si>
  <si>
    <t xml:space="preserve"> 076/01/2022</t>
  </si>
  <si>
    <t>402880</t>
  </si>
  <si>
    <t xml:space="preserve"> 050/PCI/K1/I/22</t>
  </si>
  <si>
    <t>DO/W6/2022/01/00594</t>
  </si>
  <si>
    <t xml:space="preserve"> 075/01/2022</t>
  </si>
  <si>
    <t>402879</t>
  </si>
  <si>
    <t xml:space="preserve"> 051/PCI/K1/I/22</t>
  </si>
  <si>
    <t>GORONTALO NOVEMBER 2021</t>
  </si>
  <si>
    <t xml:space="preserve"> 052/PCI/K1/I/22</t>
  </si>
  <si>
    <t>PT. Jalur Nugraha Eka Logistik</t>
  </si>
  <si>
    <t>094</t>
  </si>
  <si>
    <t xml:space="preserve"> 053/PCI/K1/I/22</t>
  </si>
  <si>
    <t>093</t>
  </si>
  <si>
    <t xml:space="preserve"> 033/PCI/K2/I/22</t>
  </si>
  <si>
    <t>0141</t>
  </si>
  <si>
    <t xml:space="preserve"> 054/PCI/K1/I/22</t>
  </si>
  <si>
    <t xml:space="preserve"> 055/PCI/K1/I/22</t>
  </si>
  <si>
    <t>PONTIANAK 16-31 DES 2021</t>
  </si>
  <si>
    <t>080</t>
  </si>
  <si>
    <t xml:space="preserve"> 056/PCI/K1/I/22</t>
  </si>
  <si>
    <t>TANJUNG PANDAN 01 - 31 DES 2021</t>
  </si>
  <si>
    <t xml:space="preserve"> 034/PCI/K2/I/22</t>
  </si>
  <si>
    <t>Raisa Express</t>
  </si>
  <si>
    <t>087</t>
  </si>
  <si>
    <t xml:space="preserve"> 035/PCI/K2/I/22</t>
  </si>
  <si>
    <t>0181</t>
  </si>
  <si>
    <t xml:space="preserve"> 036/PCI/K2/I/22</t>
  </si>
  <si>
    <t xml:space="preserve"> 037/PCI/K2/I/22</t>
  </si>
  <si>
    <t>0185 &amp; '0186</t>
  </si>
  <si>
    <t xml:space="preserve"> 038/PCI/K2/I/22</t>
  </si>
  <si>
    <t>Bpk. Simson</t>
  </si>
  <si>
    <t xml:space="preserve"> 039/PCI/K2/I/22</t>
  </si>
  <si>
    <t>PT. Marvel Food Industry</t>
  </si>
  <si>
    <t>073</t>
  </si>
  <si>
    <t>027</t>
  </si>
  <si>
    <t xml:space="preserve"> 040/PCI/K2/I/22</t>
  </si>
  <si>
    <t>0183</t>
  </si>
  <si>
    <t xml:space="preserve"> 041/PCI/K2/I/22</t>
  </si>
  <si>
    <t xml:space="preserve"> 042/PCI/K2/I/22</t>
  </si>
  <si>
    <t xml:space="preserve"> 043/PCI/K2/I/22</t>
  </si>
  <si>
    <t>0195</t>
  </si>
  <si>
    <t>PURWOKERTO</t>
  </si>
  <si>
    <t>PROBOLINGGO</t>
  </si>
  <si>
    <t>BKI032210038455</t>
  </si>
  <si>
    <t xml:space="preserve"> 057/PCI/K1/I/22</t>
  </si>
  <si>
    <t>0166</t>
  </si>
  <si>
    <t xml:space="preserve"> 058/PCI/K1/I/22</t>
  </si>
  <si>
    <t>029</t>
  </si>
  <si>
    <t xml:space="preserve"> 059/PCI/K1/I/22</t>
  </si>
  <si>
    <t>0167</t>
  </si>
  <si>
    <t>AMBON NOVEMBER 2021</t>
  </si>
  <si>
    <t>PONTIANAK 01-15 Desember 21</t>
  </si>
  <si>
    <t>MANOKWARI DESEMBER 2021</t>
  </si>
  <si>
    <t>Bpk. Agus</t>
  </si>
  <si>
    <t xml:space="preserve"> 060/PCI/K1/I/22</t>
  </si>
  <si>
    <t>0179</t>
  </si>
  <si>
    <t>0193</t>
  </si>
  <si>
    <t xml:space="preserve"> 061/PCI/K1/II/22</t>
  </si>
  <si>
    <t xml:space="preserve"> 044/PCI/K2/I/22</t>
  </si>
  <si>
    <t>0201</t>
  </si>
  <si>
    <t xml:space="preserve"> 045/PCI/K2/I/22</t>
  </si>
  <si>
    <t xml:space="preserve"> 046/PCI/K2/I/22</t>
  </si>
  <si>
    <t>Bahtera Surya Cargo (JHHP)</t>
  </si>
  <si>
    <t>'0145</t>
  </si>
  <si>
    <t xml:space="preserve"> 047/PCI/K2/I/22</t>
  </si>
  <si>
    <t>'0138</t>
  </si>
  <si>
    <t xml:space="preserve"> 048/PCI/K2/I/22</t>
  </si>
  <si>
    <t>'0234</t>
  </si>
  <si>
    <t xml:space="preserve"> 049/PCI/K2/I/22</t>
  </si>
  <si>
    <t>0215</t>
  </si>
  <si>
    <t>AGHATA BERSAMA</t>
  </si>
  <si>
    <t xml:space="preserve"> 050/PCI/K2/I/22</t>
  </si>
  <si>
    <t>0227</t>
  </si>
  <si>
    <t xml:space="preserve"> 051/PCI/K2/I/22</t>
  </si>
  <si>
    <t>Bpk. Robert</t>
  </si>
  <si>
    <t>0233</t>
  </si>
  <si>
    <t xml:space="preserve"> 052/PCI/K2/II/22</t>
  </si>
  <si>
    <t>0256</t>
  </si>
  <si>
    <t xml:space="preserve"> 053/PCI/K2/II/22</t>
  </si>
  <si>
    <t xml:space="preserve"> 054/PCI/K2/II/22</t>
  </si>
  <si>
    <t>0146</t>
  </si>
  <si>
    <t>JANUARI 2022</t>
  </si>
  <si>
    <t xml:space="preserve"> 064/PCI/K1/II/22</t>
  </si>
  <si>
    <t xml:space="preserve"> 062/PCI/K1/II/22</t>
  </si>
  <si>
    <t>0230</t>
  </si>
  <si>
    <t xml:space="preserve"> 063/PCI/K1/II/22</t>
  </si>
  <si>
    <t>0231</t>
  </si>
  <si>
    <t xml:space="preserve">     </t>
  </si>
  <si>
    <t xml:space="preserve"> 065/PCI/K1/II/22</t>
  </si>
  <si>
    <t>Pancoran</t>
  </si>
  <si>
    <t>0263</t>
  </si>
  <si>
    <t xml:space="preserve"> 066/PCI/K1/II/22</t>
  </si>
  <si>
    <t>SORONG DESEMBER 2021</t>
  </si>
  <si>
    <t xml:space="preserve"> 067/PCI/K1/II/22</t>
  </si>
  <si>
    <t>AMBON DESEMBER 2021</t>
  </si>
  <si>
    <t xml:space="preserve"> 068/PCI/K1/II/22</t>
  </si>
  <si>
    <t>MERAUKE DESEMBER 2021</t>
  </si>
  <si>
    <t xml:space="preserve"> 069/PCI/K1/II/22</t>
  </si>
  <si>
    <t>TIMIKA DESEMBER 21</t>
  </si>
  <si>
    <t xml:space="preserve"> 070/PCI/K1/II/22</t>
  </si>
  <si>
    <t>GORONTALO DESEMBER 2021</t>
  </si>
  <si>
    <t xml:space="preserve"> 071/PCI/K1/II/22</t>
  </si>
  <si>
    <t>JAYAPURA DESEMBER 2021</t>
  </si>
  <si>
    <t xml:space="preserve"> 072/PCI/K1/II/22</t>
  </si>
  <si>
    <t>JAYAPURA  NOVEMBER 2021</t>
  </si>
  <si>
    <t xml:space="preserve"> 073/PCI/K1/II/22</t>
  </si>
  <si>
    <t>403300</t>
  </si>
  <si>
    <t>DO/W6/2022/01/011BA</t>
  </si>
  <si>
    <t xml:space="preserve"> 074/PCI/K1/II/22</t>
  </si>
  <si>
    <t>DO/W6/2022/01/00E6F</t>
  </si>
  <si>
    <t>0194</t>
  </si>
  <si>
    <t>0135</t>
  </si>
  <si>
    <t>403294</t>
  </si>
  <si>
    <t xml:space="preserve"> 075/PCI/K1/II/22</t>
  </si>
  <si>
    <t xml:space="preserve">Cianjur </t>
  </si>
  <si>
    <t>DO/W6/2022/01/00D11</t>
  </si>
  <si>
    <t>403291</t>
  </si>
  <si>
    <t>0133</t>
  </si>
  <si>
    <t xml:space="preserve"> 076/PCI/K1/II/22</t>
  </si>
  <si>
    <t xml:space="preserve">Pesanggrahan </t>
  </si>
  <si>
    <t>DO/W6/2022/01/00E6E</t>
  </si>
  <si>
    <t>403292</t>
  </si>
  <si>
    <t>0134</t>
  </si>
  <si>
    <t xml:space="preserve"> 077/PCI/K1/II/22</t>
  </si>
  <si>
    <t xml:space="preserve">Grogol </t>
  </si>
  <si>
    <t>DO/W6/2022/01/00E3C</t>
  </si>
  <si>
    <t>0162</t>
  </si>
  <si>
    <t>403295</t>
  </si>
  <si>
    <t xml:space="preserve"> 078/PCI/K1/II/22</t>
  </si>
  <si>
    <t>DO/W6/2022/01/00E3A</t>
  </si>
  <si>
    <t>403297</t>
  </si>
  <si>
    <t>0164</t>
  </si>
  <si>
    <t xml:space="preserve"> 079/PCI/K1/II/22</t>
  </si>
  <si>
    <t>DO/W6/2022/01/00E3B</t>
  </si>
  <si>
    <t>403296</t>
  </si>
  <si>
    <t>0163</t>
  </si>
  <si>
    <t xml:space="preserve"> 080/PCI/K1/II/22</t>
  </si>
  <si>
    <t xml:space="preserve">Tangerang  </t>
  </si>
  <si>
    <t>DO/W6/2022/01/00AD5</t>
  </si>
  <si>
    <t>403402</t>
  </si>
  <si>
    <t>0117</t>
  </si>
  <si>
    <t xml:space="preserve"> 081/PCI/K1/II/22</t>
  </si>
  <si>
    <t>DO/W6/2022/01/009F1</t>
  </si>
  <si>
    <t>0111</t>
  </si>
  <si>
    <t>402884</t>
  </si>
  <si>
    <t xml:space="preserve"> 082/PCI/K1/II/22</t>
  </si>
  <si>
    <t>Grogol</t>
  </si>
  <si>
    <t>DO/W6/2022/01/00A94</t>
  </si>
  <si>
    <t>0116</t>
  </si>
  <si>
    <t>403401</t>
  </si>
  <si>
    <t xml:space="preserve"> 083/PCI/K1/II/22</t>
  </si>
  <si>
    <t>Cileungsi</t>
  </si>
  <si>
    <t>DO/W6/2022/01/00B1A</t>
  </si>
  <si>
    <t>0120</t>
  </si>
  <si>
    <t>403403</t>
  </si>
  <si>
    <t xml:space="preserve"> 084/PCI/K1/II/22</t>
  </si>
  <si>
    <t>DO/W6/2022/01/008EA/R/01</t>
  </si>
  <si>
    <t>097</t>
  </si>
  <si>
    <t>402883</t>
  </si>
  <si>
    <t xml:space="preserve"> 085/PCI/K1/II/22</t>
  </si>
  <si>
    <t>DO/W6/2022/01/006F7</t>
  </si>
  <si>
    <t>402881</t>
  </si>
  <si>
    <t>081</t>
  </si>
  <si>
    <t xml:space="preserve"> 086/PCI/K1/II/22</t>
  </si>
  <si>
    <t>0821</t>
  </si>
  <si>
    <t>403873</t>
  </si>
  <si>
    <t xml:space="preserve"> 087/PCI/K1/II/22</t>
  </si>
  <si>
    <t>PT. Pratama Trans Logistik</t>
  </si>
  <si>
    <t>Kalimantan Timur</t>
  </si>
  <si>
    <t xml:space="preserve"> 088/PCI/K1/II/22</t>
  </si>
  <si>
    <t>0169</t>
  </si>
  <si>
    <t>PT. Putra Log Indonesia</t>
  </si>
  <si>
    <t xml:space="preserve"> 055/PCI/K2/II/22</t>
  </si>
  <si>
    <t>0232</t>
  </si>
  <si>
    <t xml:space="preserve"> 056/PCI/K2/II/22</t>
  </si>
  <si>
    <t>0214</t>
  </si>
  <si>
    <t>PT. PCP / FERIYANTI</t>
  </si>
  <si>
    <t xml:space="preserve"> 057/PCI/K2/II/22</t>
  </si>
  <si>
    <t>0150</t>
  </si>
  <si>
    <t xml:space="preserve"> 058/PCI/K2/II/22</t>
  </si>
  <si>
    <t>0149</t>
  </si>
  <si>
    <t>BJ Trans</t>
  </si>
  <si>
    <t xml:space="preserve"> 059/PCI/K2/II/22</t>
  </si>
  <si>
    <t>0270</t>
  </si>
  <si>
    <t>Jakarta &amp; Sepong</t>
  </si>
  <si>
    <t xml:space="preserve"> 060/PCI/K2/II/22</t>
  </si>
  <si>
    <t>0275</t>
  </si>
  <si>
    <t xml:space="preserve"> 061/PCI/K2/II/22</t>
  </si>
  <si>
    <t xml:space="preserve"> Bpk. Irfan</t>
  </si>
  <si>
    <t>0267</t>
  </si>
  <si>
    <t xml:space="preserve"> 062/PCI/K2/II/22</t>
  </si>
  <si>
    <t>Koprasi Fajar Mas Murni</t>
  </si>
  <si>
    <t>0131</t>
  </si>
  <si>
    <t>Pa Deni</t>
  </si>
  <si>
    <t>FEBRUARI 2022</t>
  </si>
  <si>
    <t>IBU MURTI</t>
  </si>
  <si>
    <t>021</t>
  </si>
  <si>
    <t>PT. PRIMA DUTA NUSANTARA</t>
  </si>
  <si>
    <t>022</t>
  </si>
  <si>
    <t>BANG UCOK</t>
  </si>
  <si>
    <t>088</t>
  </si>
  <si>
    <t>0107</t>
  </si>
  <si>
    <t>0125</t>
  </si>
  <si>
    <t>0126</t>
  </si>
  <si>
    <t>0130</t>
  </si>
  <si>
    <t>0144</t>
  </si>
  <si>
    <t>0137</t>
  </si>
  <si>
    <t>PT. INDOFARMA GLOBAL MANDIRI</t>
  </si>
  <si>
    <t>PT.MNC SKY VISION/JNE</t>
  </si>
  <si>
    <t>0161</t>
  </si>
  <si>
    <t>0165</t>
  </si>
  <si>
    <t xml:space="preserve">ADDICTIVE </t>
  </si>
  <si>
    <t>0168</t>
  </si>
  <si>
    <t>0182</t>
  </si>
  <si>
    <t>AKL LOGISTIK</t>
  </si>
  <si>
    <t>0203</t>
  </si>
  <si>
    <t>0207</t>
  </si>
  <si>
    <t>BKI032220040113</t>
  </si>
  <si>
    <t>0235</t>
  </si>
  <si>
    <t>068</t>
  </si>
  <si>
    <t>095</t>
  </si>
  <si>
    <t>403290</t>
  </si>
  <si>
    <t>403298</t>
  </si>
  <si>
    <t>403299</t>
  </si>
  <si>
    <t>403448</t>
  </si>
  <si>
    <t>404509</t>
  </si>
  <si>
    <t>403445</t>
  </si>
  <si>
    <t>403444</t>
  </si>
  <si>
    <t>403446</t>
  </si>
  <si>
    <t>403447</t>
  </si>
  <si>
    <t>403450</t>
  </si>
  <si>
    <t>403449</t>
  </si>
  <si>
    <t>404504</t>
  </si>
  <si>
    <t>404505</t>
  </si>
  <si>
    <t>DO/W6/2022/01/00C7C</t>
  </si>
  <si>
    <t>DO/W6/2022/01/010FD</t>
  </si>
  <si>
    <t>DO/W6/2022/01/011DD</t>
  </si>
  <si>
    <t>DO/W6/2022/01/01406</t>
  </si>
  <si>
    <t>DO/W6/2022/01/013CA</t>
  </si>
  <si>
    <t>DO/W6/2022/01/01514</t>
  </si>
  <si>
    <t>DO/W6/2022/01/01518</t>
  </si>
  <si>
    <t>DO/W6/2022/01/01513</t>
  </si>
  <si>
    <t>DO/W6/2022/01/0150B</t>
  </si>
  <si>
    <t>DO/W6/2022/01/016C3</t>
  </si>
  <si>
    <t>DO/W6/2022/01/01474</t>
  </si>
  <si>
    <t>DO/W6/2022/01/016FA</t>
  </si>
  <si>
    <t>DO/W6/2022/01/016FB</t>
  </si>
  <si>
    <t>DO/W6/2022/01/0178C</t>
  </si>
  <si>
    <t>DO/W6/2022/01/0178B/R/01</t>
  </si>
  <si>
    <t>0132/01/2022</t>
  </si>
  <si>
    <t>0170/01/2022</t>
  </si>
  <si>
    <t>0180/01/2022</t>
  </si>
  <si>
    <t>0211/01/2022</t>
  </si>
  <si>
    <t>0259/02/2022</t>
  </si>
  <si>
    <t>0198/01/2022</t>
  </si>
  <si>
    <t>0197/01/2022</t>
  </si>
  <si>
    <t>0209/01/2022</t>
  </si>
  <si>
    <t>0210/01/2022</t>
  </si>
  <si>
    <t>0237/01/2022</t>
  </si>
  <si>
    <t>0236/01/2022</t>
  </si>
  <si>
    <t>0240/01/2022</t>
  </si>
  <si>
    <t>0241/01/2022</t>
  </si>
  <si>
    <t>0242/01/2022</t>
  </si>
  <si>
    <t>20/1/2022</t>
  </si>
  <si>
    <t>24/1/2022</t>
  </si>
  <si>
    <t>26/1/2022</t>
  </si>
  <si>
    <t>27/1/2022</t>
  </si>
  <si>
    <t>29/1/2022</t>
  </si>
  <si>
    <t>30/1/2022</t>
  </si>
  <si>
    <t>31/1/2022</t>
  </si>
  <si>
    <t>JAKARTA TIMUR</t>
  </si>
  <si>
    <t>TAMBUN</t>
  </si>
  <si>
    <t>JAKARTA UTARA</t>
  </si>
  <si>
    <t>TANJUNG PRIOK</t>
  </si>
  <si>
    <t>GROGOL JAKARTA SELATAN</t>
  </si>
  <si>
    <t>pontianak &amp; medan</t>
  </si>
  <si>
    <t>Pembayaran TM</t>
  </si>
  <si>
    <t>tf pa imam</t>
  </si>
  <si>
    <t>Kwitansi 01</t>
  </si>
  <si>
    <t>BATAM 01-20 JAN 22</t>
  </si>
  <si>
    <t xml:space="preserve"> 063/PCI/K2/II/22</t>
  </si>
  <si>
    <t>0292</t>
  </si>
  <si>
    <t xml:space="preserve"> 064/PCI/K2/II/22</t>
  </si>
  <si>
    <t>Bpk. Hendyan Pung</t>
  </si>
  <si>
    <t>0294</t>
  </si>
  <si>
    <t xml:space="preserve"> 065/PCI/K2/II/22</t>
  </si>
  <si>
    <t>0295</t>
  </si>
  <si>
    <t>Bpk. H. Tofik</t>
  </si>
  <si>
    <t xml:space="preserve"> 067/PCI/K2/II/22</t>
  </si>
  <si>
    <t>0293</t>
  </si>
  <si>
    <t>Ibu Fany</t>
  </si>
  <si>
    <t xml:space="preserve"> 068/PCI/K2/II/22</t>
  </si>
  <si>
    <t>PT. Werkz</t>
  </si>
  <si>
    <t xml:space="preserve"> 069/PCI/K2/II/22</t>
  </si>
  <si>
    <t>STICKER DAN TTD C1 2022</t>
  </si>
  <si>
    <t xml:space="preserve"> 070/PCI/K2/II/22</t>
  </si>
  <si>
    <t>0304</t>
  </si>
  <si>
    <t>Bpk. Edo</t>
  </si>
  <si>
    <t>0302</t>
  </si>
  <si>
    <t xml:space="preserve"> 072/PCI/K2/II/22</t>
  </si>
  <si>
    <t>0305</t>
  </si>
  <si>
    <t xml:space="preserve"> 073/PCI/K2/II/22</t>
  </si>
  <si>
    <t>04098</t>
  </si>
  <si>
    <t xml:space="preserve"> 074/PCI/K2/II/22</t>
  </si>
  <si>
    <t>0297</t>
  </si>
  <si>
    <t xml:space="preserve"> 075/PCI/K2/II/22</t>
  </si>
  <si>
    <t>Banjarbaru</t>
  </si>
  <si>
    <t xml:space="preserve"> 089/PCI/K1/II/22</t>
  </si>
  <si>
    <t xml:space="preserve"> 090/PCI/K1/II/22</t>
  </si>
  <si>
    <t xml:space="preserve"> 091/PCI/K1/II/22</t>
  </si>
  <si>
    <t>404506</t>
  </si>
  <si>
    <t xml:space="preserve"> 092/PCI/K1/II/22</t>
  </si>
  <si>
    <t xml:space="preserve"> 093/PCI/K1/II/22</t>
  </si>
  <si>
    <t xml:space="preserve"> 094/PCI/K1/II/22</t>
  </si>
  <si>
    <t xml:space="preserve"> 095/PCI/K1/II/22</t>
  </si>
  <si>
    <t xml:space="preserve"> 096/PCI/K1/II/22</t>
  </si>
  <si>
    <t xml:space="preserve"> 097/PCI/K1/II/22</t>
  </si>
  <si>
    <t xml:space="preserve"> 098/PCI/K1/II/22</t>
  </si>
  <si>
    <t xml:space="preserve"> 099/PCI/K1/II/22</t>
  </si>
  <si>
    <t xml:space="preserve"> 100/PCI/K1/II/22</t>
  </si>
  <si>
    <t xml:space="preserve"> 101/PCI/K1/II/22</t>
  </si>
  <si>
    <t xml:space="preserve"> 102/PCI/K1/II/22</t>
  </si>
  <si>
    <t xml:space="preserve"> 103/PCI/K1/II/22</t>
  </si>
  <si>
    <t xml:space="preserve"> 104/PCI/K1/II/22</t>
  </si>
  <si>
    <t>AWB No. 1412357822</t>
  </si>
  <si>
    <t xml:space="preserve"> 105/PCI/K1/II/22</t>
  </si>
  <si>
    <t>AWB No. 27441507212</t>
  </si>
  <si>
    <t>0269</t>
  </si>
  <si>
    <t xml:space="preserve"> 106/PCI/K1/II/22</t>
  </si>
  <si>
    <t>0250</t>
  </si>
  <si>
    <t>0285</t>
  </si>
  <si>
    <t xml:space="preserve"> 107/PCI/K1/II/22</t>
  </si>
  <si>
    <t xml:space="preserve"> 108/PCI/K1/II/22</t>
  </si>
  <si>
    <t>JEMBER, Mataram dan Malang</t>
  </si>
  <si>
    <t xml:space="preserve"> 109/PCI/K1/II/22</t>
  </si>
  <si>
    <t xml:space="preserve"> 110/PCI/K1/II/22</t>
  </si>
  <si>
    <t>0249</t>
  </si>
  <si>
    <t xml:space="preserve"> 076/PCI/K2/II/22</t>
  </si>
  <si>
    <t>Bitung</t>
  </si>
  <si>
    <t xml:space="preserve"> 077/PCI/K2/II/22</t>
  </si>
  <si>
    <t>0271</t>
  </si>
  <si>
    <t xml:space="preserve"> 078/PCI/K2/II/22</t>
  </si>
  <si>
    <t>0316</t>
  </si>
  <si>
    <t xml:space="preserve"> 079/PCI/K2/II/22</t>
  </si>
  <si>
    <t>0319</t>
  </si>
  <si>
    <t xml:space="preserve"> 080/PCI/K2/II/22</t>
  </si>
  <si>
    <t>0325</t>
  </si>
  <si>
    <t xml:space="preserve"> 081/PCI/K2/II/22</t>
  </si>
  <si>
    <t>0328</t>
  </si>
  <si>
    <t xml:space="preserve"> 082/PCI/K2/II/22</t>
  </si>
  <si>
    <t>0329</t>
  </si>
  <si>
    <t xml:space="preserve"> 083/PCI/K2/II/22</t>
  </si>
  <si>
    <t>PT. Mega Kreasi</t>
  </si>
  <si>
    <t>0333</t>
  </si>
  <si>
    <t xml:space="preserve"> 084/PCI/K2/II/22</t>
  </si>
  <si>
    <t>0347</t>
  </si>
  <si>
    <t xml:space="preserve"> 085/PCI/K2/II/22</t>
  </si>
  <si>
    <t xml:space="preserve"> 086/PCI/K2/II/22</t>
  </si>
  <si>
    <t>0353</t>
  </si>
  <si>
    <t xml:space="preserve"> 087/PCI/K2/II/22</t>
  </si>
  <si>
    <t xml:space="preserve"> 088/PCI/K2/II/22</t>
  </si>
  <si>
    <t>0349</t>
  </si>
  <si>
    <t>Biaya Lift On &amp; Off</t>
  </si>
  <si>
    <t xml:space="preserve"> 089/PCI/K2/II/22</t>
  </si>
  <si>
    <t>0352</t>
  </si>
  <si>
    <t xml:space="preserve"> 090/PCI/K2/II/22</t>
  </si>
  <si>
    <t>0323</t>
  </si>
  <si>
    <t xml:space="preserve"> 091/PCI/K2/II/22</t>
  </si>
  <si>
    <t>Lhoksemawe &amp; Langsa</t>
  </si>
  <si>
    <t xml:space="preserve"> 092/PCI/K2/II/22</t>
  </si>
  <si>
    <t>Bahtera Surya Cargo (Alam Hijau)</t>
  </si>
  <si>
    <t>PT.Triton Internasional</t>
  </si>
  <si>
    <t xml:space="preserve"> 111/PCI/K1/II/22</t>
  </si>
  <si>
    <t xml:space="preserve"> 112/PCI/K1/II/22</t>
  </si>
  <si>
    <t>0287</t>
  </si>
  <si>
    <t xml:space="preserve"> 113/PCI/K1/II/22</t>
  </si>
  <si>
    <t xml:space="preserve"> TARAKAN DESEMBER 2021</t>
  </si>
  <si>
    <t xml:space="preserve"> 114/PCI/K1/II/22</t>
  </si>
  <si>
    <t xml:space="preserve"> 115/PCI/K1/II/22</t>
  </si>
  <si>
    <t>TERNATE DESEMBER 2021</t>
  </si>
  <si>
    <t xml:space="preserve"> 116/PCI/K1/II/22</t>
  </si>
  <si>
    <t>PONTIANAK 01-14 Januari 22</t>
  </si>
  <si>
    <t xml:space="preserve"> 117/PCI/K1/II/22</t>
  </si>
  <si>
    <t>PT. SITC Logistick Indonesia</t>
  </si>
  <si>
    <t xml:space="preserve"> 118/PCI/K1/II/22</t>
  </si>
  <si>
    <t>0382</t>
  </si>
  <si>
    <t xml:space="preserve"> 119/PCI/K1/II/22</t>
  </si>
  <si>
    <t xml:space="preserve"> 120/PCI/K1/II/22</t>
  </si>
  <si>
    <t>0366</t>
  </si>
  <si>
    <t xml:space="preserve"> 121/PCI/K1/II/22</t>
  </si>
  <si>
    <t xml:space="preserve"> 122/PCI/K1/II/22</t>
  </si>
  <si>
    <t>0336</t>
  </si>
  <si>
    <t xml:space="preserve"> 123/PCI/K1/II/22</t>
  </si>
  <si>
    <t>0372</t>
  </si>
  <si>
    <t xml:space="preserve"> 124/PCI/K1/II/22</t>
  </si>
  <si>
    <t xml:space="preserve"> 093/PCI/K2/II/22</t>
  </si>
  <si>
    <t>0368</t>
  </si>
  <si>
    <t xml:space="preserve"> 094/PCI/K2/II/22</t>
  </si>
  <si>
    <t>0369</t>
  </si>
  <si>
    <t xml:space="preserve"> 095/PCI/K2/II/22</t>
  </si>
  <si>
    <t xml:space="preserve"> 096/PCI/K2/II/22</t>
  </si>
  <si>
    <t>0383</t>
  </si>
  <si>
    <t xml:space="preserve"> 097/PCI/K2/II/22</t>
  </si>
  <si>
    <t>0385</t>
  </si>
  <si>
    <t xml:space="preserve"> 098/PCI/K2/II/22</t>
  </si>
  <si>
    <t>0384</t>
  </si>
  <si>
    <t xml:space="preserve"> 099/PCI/K2/II/22</t>
  </si>
  <si>
    <t>0390</t>
  </si>
  <si>
    <t>Bpk. Samun</t>
  </si>
  <si>
    <t xml:space="preserve"> 100/PCI/K2/II/22</t>
  </si>
  <si>
    <t xml:space="preserve"> 101/PCI/K2/II/22</t>
  </si>
  <si>
    <t>ESSE POSM</t>
  </si>
  <si>
    <t xml:space="preserve"> 102/PCI/K2/II/22</t>
  </si>
  <si>
    <t xml:space="preserve"> 103/PCI/K2/II/22</t>
  </si>
  <si>
    <t>0402</t>
  </si>
  <si>
    <t>0426</t>
  </si>
  <si>
    <t xml:space="preserve"> 104/PCI/K2/II/22</t>
  </si>
  <si>
    <t>0427</t>
  </si>
  <si>
    <t>PCIJKT000017255</t>
  </si>
  <si>
    <t xml:space="preserve"> 105/PCI/K2/II/22</t>
  </si>
  <si>
    <t>0428</t>
  </si>
  <si>
    <t xml:space="preserve"> 107/PCI/K2/II/22</t>
  </si>
  <si>
    <t>Bpk. Valdi</t>
  </si>
  <si>
    <t>0429</t>
  </si>
  <si>
    <t xml:space="preserve"> 108/PCI/K2/II/22</t>
  </si>
  <si>
    <t>E96972</t>
  </si>
  <si>
    <t xml:space="preserve"> 109/PCI/K2/II/22</t>
  </si>
  <si>
    <t>0404</t>
  </si>
  <si>
    <t>E96963</t>
  </si>
  <si>
    <t>KOTA BUMI</t>
  </si>
  <si>
    <t xml:space="preserve"> 110/PCI/K2/II/22</t>
  </si>
  <si>
    <t>E98620</t>
  </si>
  <si>
    <t xml:space="preserve"> 111/PCI/K2/II/22</t>
  </si>
  <si>
    <t>0449</t>
  </si>
  <si>
    <t xml:space="preserve"> 112/PCI/K2/II/22</t>
  </si>
  <si>
    <t xml:space="preserve"> 113/PCI/K2/II/22</t>
  </si>
  <si>
    <t xml:space="preserve"> 114/PCI/K2/II/22</t>
  </si>
  <si>
    <t>Bahtera Surya Cargo (SIGNIFY INDONESIA)</t>
  </si>
  <si>
    <t>E96835</t>
  </si>
  <si>
    <t xml:space="preserve"> 115/PCI/K2/II/22</t>
  </si>
  <si>
    <t>0456</t>
  </si>
  <si>
    <t xml:space="preserve"> 116/PCI/K2/II/22</t>
  </si>
  <si>
    <t>0455</t>
  </si>
  <si>
    <t xml:space="preserve"> 117/PCI/K2/II/22</t>
  </si>
  <si>
    <t>0376</t>
  </si>
  <si>
    <t xml:space="preserve"> 118/PCI/K2/II/22</t>
  </si>
  <si>
    <t>PT. Yasa Patria Perkasa</t>
  </si>
  <si>
    <t xml:space="preserve"> 125/PCI/K1/II/22</t>
  </si>
  <si>
    <t>0413</t>
  </si>
  <si>
    <t>Cilegon</t>
  </si>
  <si>
    <t xml:space="preserve"> 126/PCI/K1/II/22</t>
  </si>
  <si>
    <t>PONTIANAK 15-31 Januari 22</t>
  </si>
  <si>
    <t xml:space="preserve"> 127/PCI/K1/II/22</t>
  </si>
  <si>
    <t>0324</t>
  </si>
  <si>
    <t>PT. MULTISTRAN ENGINEERING</t>
  </si>
  <si>
    <t xml:space="preserve"> 128/PCI/K1/II/22</t>
  </si>
  <si>
    <t>0373</t>
  </si>
  <si>
    <t xml:space="preserve"> 129/PCI/K1/II/22</t>
  </si>
  <si>
    <t>0387</t>
  </si>
  <si>
    <t xml:space="preserve"> 130/PCI/K1/II/22</t>
  </si>
  <si>
    <t>0401</t>
  </si>
  <si>
    <t>Yenlingtan / Kaifa Food Jakarta</t>
  </si>
  <si>
    <t>Yenlingtan /Jasana Boga Utama Jakarta</t>
  </si>
  <si>
    <t>Yenlingtan / Kaifa Food</t>
  </si>
  <si>
    <t>Yenling Tan /PT. KHARISMA FOOD</t>
  </si>
  <si>
    <t>DARI M IMAM</t>
  </si>
  <si>
    <t>DARI ENI ISTIADATUR ROS</t>
  </si>
  <si>
    <t>DARI ENI ISTI ADATUR RO</t>
  </si>
  <si>
    <t>02/11/2021 09/11/21         07/09/21</t>
  </si>
  <si>
    <t>21/09/2022                           19/01/22</t>
  </si>
  <si>
    <t>ENI Furniture</t>
  </si>
  <si>
    <t xml:space="preserve"> 131/PCI/K2/II/22</t>
  </si>
  <si>
    <t xml:space="preserve"> 119/PCI/K2/II/22</t>
  </si>
  <si>
    <t>0462</t>
  </si>
  <si>
    <t xml:space="preserve"> 120/PCI/K2/II/22</t>
  </si>
  <si>
    <t xml:space="preserve"> 121/PCI/K2/II/22</t>
  </si>
  <si>
    <t>0468</t>
  </si>
  <si>
    <t xml:space="preserve"> 122/PCI/K2/II/22</t>
  </si>
  <si>
    <t xml:space="preserve">PT. San Sukses Abadi </t>
  </si>
  <si>
    <t>0471</t>
  </si>
  <si>
    <t xml:space="preserve"> 123/PCI/K2/II/22</t>
  </si>
  <si>
    <t>0472</t>
  </si>
  <si>
    <t xml:space="preserve"> 124/PCI/K2/II/22</t>
  </si>
  <si>
    <t>0467</t>
  </si>
  <si>
    <t>Jan Ex Courier</t>
  </si>
  <si>
    <t xml:space="preserve"> 125/PCI/K2/II/22</t>
  </si>
  <si>
    <t>0480</t>
  </si>
  <si>
    <t>Ibu Suryani</t>
  </si>
  <si>
    <t>BATAL INFO VINA</t>
  </si>
  <si>
    <t xml:space="preserve"> 126/PCI/K2/II/22</t>
  </si>
  <si>
    <t>0403</t>
  </si>
  <si>
    <t>Bahtera Surya Cargo (PT. Anggana Catur Prima )</t>
  </si>
  <si>
    <t xml:space="preserve"> 127/PCI/K2/II/22</t>
  </si>
  <si>
    <t>0486</t>
  </si>
  <si>
    <t>PCIJKT000017891</t>
  </si>
  <si>
    <t>Klik Logistics Putera Harmas</t>
  </si>
  <si>
    <t xml:space="preserve"> 128/PCI/K2/II/22</t>
  </si>
  <si>
    <t>0485</t>
  </si>
  <si>
    <t>PCIJKT000017984</t>
  </si>
  <si>
    <t xml:space="preserve"> 129/PCI/K2/II/22</t>
  </si>
  <si>
    <t>0494</t>
  </si>
  <si>
    <t xml:space="preserve"> 130/PCI/K2/II/22</t>
  </si>
  <si>
    <t>0495</t>
  </si>
  <si>
    <t xml:space="preserve"> 132/PCI/K2/II/22</t>
  </si>
  <si>
    <t xml:space="preserve">0489, 0487, 0490, 0492, 0493, 0491,0488 </t>
  </si>
  <si>
    <t>PCIJKT000018703</t>
  </si>
  <si>
    <t xml:space="preserve">PT. Mega Gloryoung Int </t>
  </si>
  <si>
    <t>Sulawasi Selatan</t>
  </si>
  <si>
    <t xml:space="preserve"> 133/PCI/K2/II/22</t>
  </si>
  <si>
    <t>PT. Gapura Fajar Langgeng</t>
  </si>
  <si>
    <t>Sumbawa</t>
  </si>
  <si>
    <t>PCIJKT0000187338</t>
  </si>
  <si>
    <t xml:space="preserve"> 131/PCI/K1/II/22</t>
  </si>
  <si>
    <t>0447</t>
  </si>
  <si>
    <t xml:space="preserve"> 132/PCI/K1/II/22</t>
  </si>
  <si>
    <t>0386</t>
  </si>
  <si>
    <t xml:space="preserve"> 133/PCI/K1/II/22</t>
  </si>
  <si>
    <t>0458</t>
  </si>
  <si>
    <t xml:space="preserve"> 134/PCI/K2/II/22</t>
  </si>
  <si>
    <t>Coca Cola</t>
  </si>
  <si>
    <t>BKI032220039768</t>
  </si>
  <si>
    <t xml:space="preserve"> 135/PCI/K2/II/22</t>
  </si>
  <si>
    <t>Ibu Fitri Meli Min</t>
  </si>
  <si>
    <t>'0517</t>
  </si>
  <si>
    <t>MARET 2022</t>
  </si>
  <si>
    <t xml:space="preserve"> 136/PCI/K2/III/22</t>
  </si>
  <si>
    <t>0496</t>
  </si>
  <si>
    <t>E96997</t>
  </si>
  <si>
    <t xml:space="preserve"> 137/PCI/K2/III/22</t>
  </si>
  <si>
    <t xml:space="preserve"> 138/PCI/K2/III/22</t>
  </si>
  <si>
    <t>PT. Trawlbens</t>
  </si>
  <si>
    <t xml:space="preserve"> 139/PCI/K2/III/22</t>
  </si>
  <si>
    <t>Yenling Tan</t>
  </si>
  <si>
    <t xml:space="preserve"> 139a/PCI/K2/III/22</t>
  </si>
  <si>
    <t>Jasana Boga</t>
  </si>
  <si>
    <t xml:space="preserve"> 140/PCI/K2/III/22</t>
  </si>
  <si>
    <t xml:space="preserve"> 141/PCI/K2/III/22</t>
  </si>
  <si>
    <t>0546</t>
  </si>
  <si>
    <t xml:space="preserve"> 142/PCI/K2/III/22</t>
  </si>
  <si>
    <t>Kediri &amp; Surabaya</t>
  </si>
  <si>
    <t>0375</t>
  </si>
  <si>
    <t xml:space="preserve"> 143/PCI/K2/III/22</t>
  </si>
  <si>
    <t xml:space="preserve">Jakarta </t>
  </si>
  <si>
    <t xml:space="preserve"> 144/PCI/K2/III/22</t>
  </si>
  <si>
    <t>0464</t>
  </si>
  <si>
    <t>0465</t>
  </si>
  <si>
    <t xml:space="preserve"> 145/PCI/K2/III/22</t>
  </si>
  <si>
    <t xml:space="preserve"> 146/PCI/K2/III/22</t>
  </si>
  <si>
    <t>0301  &amp; 0300</t>
  </si>
  <si>
    <t>KUPANG &amp; PALANGKARAYA</t>
  </si>
  <si>
    <t xml:space="preserve"> 147/PCI/K2/III/22</t>
  </si>
  <si>
    <t>0547</t>
  </si>
  <si>
    <t xml:space="preserve"> Yenling Tan</t>
  </si>
  <si>
    <t xml:space="preserve"> 148/PCI/K2/III/22</t>
  </si>
  <si>
    <t>0391</t>
  </si>
  <si>
    <t xml:space="preserve"> 149/PCI/K2/III/22</t>
  </si>
  <si>
    <t>0484</t>
  </si>
  <si>
    <t>Kurnia Minota</t>
  </si>
  <si>
    <t xml:space="preserve"> 150/PCI/K2/III/22</t>
  </si>
  <si>
    <t>0342</t>
  </si>
  <si>
    <t>PT. Samudra Lima Bangun Perkasa</t>
  </si>
  <si>
    <t xml:space="preserve"> 151/PCI/K2/III/22</t>
  </si>
  <si>
    <t>0377</t>
  </si>
  <si>
    <t>CMT</t>
  </si>
  <si>
    <t xml:space="preserve"> 152/PCI/K2/III/22</t>
  </si>
  <si>
    <t>0555</t>
  </si>
  <si>
    <t xml:space="preserve"> 153/PCI/K2/III/22</t>
  </si>
  <si>
    <t>0556</t>
  </si>
  <si>
    <t>Pa Imam</t>
  </si>
  <si>
    <t>REKAP DATA PIUTANG BIAYA BONGKAR, BIAYA MUAT, BIAYA INAP TAHUN 2021</t>
  </si>
  <si>
    <t>DO/W6/2022/12/0143B</t>
  </si>
  <si>
    <t>DO/W6/2022/12/0134B</t>
  </si>
  <si>
    <t>R2K Trans</t>
  </si>
  <si>
    <t>0483</t>
  </si>
  <si>
    <t>Sumatera Barat</t>
  </si>
  <si>
    <t xml:space="preserve"> 154/PCI/K2/II/22</t>
  </si>
  <si>
    <t>Pa imam  25 &amp; 28 /02/22</t>
  </si>
  <si>
    <t xml:space="preserve"> 155/PCI/K2/II/22</t>
  </si>
  <si>
    <t>Kalimantan Barat</t>
  </si>
  <si>
    <t>0573</t>
  </si>
  <si>
    <t>PT. Surya Jasa Emas</t>
  </si>
  <si>
    <t xml:space="preserve"> 156/PCI/K2/II/22</t>
  </si>
  <si>
    <t>0252</t>
  </si>
  <si>
    <t>Thailand</t>
  </si>
  <si>
    <t xml:space="preserve"> 157/PCI/K2/III/22</t>
  </si>
  <si>
    <t xml:space="preserve"> 158/PCI/K2/III/22</t>
  </si>
  <si>
    <t xml:space="preserve"> 159/PCI/K2/III/22</t>
  </si>
  <si>
    <t>0448</t>
  </si>
  <si>
    <t>PT. Tujuh Langit Logistik</t>
  </si>
  <si>
    <t xml:space="preserve"> 160/PCI/K2/III/22</t>
  </si>
  <si>
    <t>PT. Sinar Monas Industries</t>
  </si>
  <si>
    <t>0584</t>
  </si>
  <si>
    <t>PCIJKT000018844</t>
  </si>
  <si>
    <t xml:space="preserve"> 161/PCI/K2/III/22</t>
  </si>
  <si>
    <t>0588</t>
  </si>
  <si>
    <t>PCIJKT000018861</t>
  </si>
  <si>
    <t xml:space="preserve"> Ibu Indah</t>
  </si>
  <si>
    <t>PT. TRAWLBENS</t>
  </si>
  <si>
    <t xml:space="preserve"> 162/PCI/K2/III/22</t>
  </si>
  <si>
    <t>PCIJKT000018848</t>
  </si>
  <si>
    <t xml:space="preserve"> 163/PCI/K2/III/22</t>
  </si>
  <si>
    <t>PCIJKT000018850</t>
  </si>
  <si>
    <t xml:space="preserve"> 164/PCI/K2/III/22</t>
  </si>
  <si>
    <t>PCIJKT000018847</t>
  </si>
  <si>
    <t xml:space="preserve"> 165/PCI/K2/III/22</t>
  </si>
  <si>
    <t>0585</t>
  </si>
  <si>
    <t xml:space="preserve"> 166/PCI/K2/III/22</t>
  </si>
  <si>
    <t>Anzora Skin Jakarta</t>
  </si>
  <si>
    <t>PCIJKT000018852</t>
  </si>
  <si>
    <t>0586</t>
  </si>
  <si>
    <t xml:space="preserve"> 167/PCI/K2/III/22</t>
  </si>
  <si>
    <t>0590</t>
  </si>
  <si>
    <t>Ibu Vio</t>
  </si>
  <si>
    <t xml:space="preserve"> 168/PCI/K2/III/22</t>
  </si>
  <si>
    <t>0595</t>
  </si>
  <si>
    <t xml:space="preserve"> 169/PCI/K2/III/22</t>
  </si>
  <si>
    <t xml:space="preserve"> 170/PCI/K2/III/22</t>
  </si>
  <si>
    <t xml:space="preserve"> 171/PCI/K2/III/22</t>
  </si>
  <si>
    <t>0473</t>
  </si>
  <si>
    <t>PCIJKT000017979</t>
  </si>
  <si>
    <t>Jakarta Inner</t>
  </si>
  <si>
    <t xml:space="preserve"> 172/PCI/K2/III/22</t>
  </si>
  <si>
    <t xml:space="preserve"> 134/PCI/K1/III/22</t>
  </si>
  <si>
    <t>0393</t>
  </si>
  <si>
    <t>PT. Telkom Satelit Indonesia</t>
  </si>
  <si>
    <t xml:space="preserve"> 135/PCI/K1/III/22</t>
  </si>
  <si>
    <t xml:space="preserve"> 136/PCI/K1/III/22</t>
  </si>
  <si>
    <t>BATAM 21 - 31 JAN 2022</t>
  </si>
  <si>
    <t xml:space="preserve"> 137/PCI/K1/III/22</t>
  </si>
  <si>
    <t>0587</t>
  </si>
  <si>
    <t>PCIJKT000018842</t>
  </si>
  <si>
    <t xml:space="preserve"> 138/PCI/K1/II/22</t>
  </si>
  <si>
    <t>0396</t>
  </si>
  <si>
    <t xml:space="preserve"> 066/PCI/K2/II/22</t>
  </si>
  <si>
    <t>0296</t>
  </si>
  <si>
    <t>yenling tan /PT. SUKSES NIAGA LESTARI</t>
  </si>
  <si>
    <t>Konawe</t>
  </si>
  <si>
    <t xml:space="preserve"> 180/PCI/K2/III/22</t>
  </si>
  <si>
    <t>0412</t>
  </si>
  <si>
    <t xml:space="preserve"> 106/PCI/K2/II/22</t>
  </si>
  <si>
    <t>DO/W6/2022/01/0183A</t>
  </si>
  <si>
    <t>DO/W6/2022/02/000ED</t>
  </si>
  <si>
    <t>DO/W6/2022/02/000D2/R/01</t>
  </si>
  <si>
    <t>DO/W6/2022/02/0084D</t>
  </si>
  <si>
    <t>DO/W6/2022/02/008D5</t>
  </si>
  <si>
    <t>DO/W6/2022/02/008D6</t>
  </si>
  <si>
    <t>DO/W6/2022/02/008E9</t>
  </si>
  <si>
    <t>DO/W6/2022/02/00965</t>
  </si>
  <si>
    <t>DO/W6/2022/02/00A43</t>
  </si>
  <si>
    <t>DO/W6/2022/02/00A44</t>
  </si>
  <si>
    <t>DO/W6/2022/02/00BA1</t>
  </si>
  <si>
    <t>DO/W6/2022/02/00BA3</t>
  </si>
  <si>
    <t>DO/W6/2022/02/00BAF</t>
  </si>
  <si>
    <t>DO/W6/2022/02/00BA4/R/01</t>
  </si>
  <si>
    <t>DO/W6/2022/02/00EBE</t>
  </si>
  <si>
    <t>DO/W6/2022/02/0100B</t>
  </si>
  <si>
    <t>DO/W6/2022/02/0137A</t>
  </si>
  <si>
    <t>DO/W6/2022/02/0137B</t>
  </si>
  <si>
    <t>DO/W6/2022/02/0137C</t>
  </si>
  <si>
    <t>DO/W6/2022/02/01586</t>
  </si>
  <si>
    <t>DO/W6/2022/02/01587</t>
  </si>
  <si>
    <t>DO/W6/2022/02/017CE</t>
  </si>
  <si>
    <t>DO/W6/2022/02/017CF</t>
  </si>
  <si>
    <t>DO/W6/2022/02/0197E</t>
  </si>
  <si>
    <t>DO/W6/2022/02/01A6F</t>
  </si>
  <si>
    <t>DO/W6/2022/02/01AD7</t>
  </si>
  <si>
    <t>DO/W6/2022/02/01B9B/R/01</t>
  </si>
  <si>
    <t>404507</t>
  </si>
  <si>
    <t>404508</t>
  </si>
  <si>
    <t>404510</t>
  </si>
  <si>
    <t>404511</t>
  </si>
  <si>
    <t>404542</t>
  </si>
  <si>
    <t>404531</t>
  </si>
  <si>
    <t>404532</t>
  </si>
  <si>
    <t>404533</t>
  </si>
  <si>
    <t>404534</t>
  </si>
  <si>
    <t>404535</t>
  </si>
  <si>
    <t>404537</t>
  </si>
  <si>
    <t>404538</t>
  </si>
  <si>
    <t>404539</t>
  </si>
  <si>
    <t>404540</t>
  </si>
  <si>
    <t>404541</t>
  </si>
  <si>
    <t>404544</t>
  </si>
  <si>
    <t>404545</t>
  </si>
  <si>
    <t>404550</t>
  </si>
  <si>
    <t>404549</t>
  </si>
  <si>
    <t>404548</t>
  </si>
  <si>
    <t>404910</t>
  </si>
  <si>
    <t>404908</t>
  </si>
  <si>
    <t>404907</t>
  </si>
  <si>
    <t>404906</t>
  </si>
  <si>
    <t>404905</t>
  </si>
  <si>
    <t>404903</t>
  </si>
  <si>
    <t>404902</t>
  </si>
  <si>
    <t>0531</t>
  </si>
  <si>
    <t>0533</t>
  </si>
  <si>
    <t>0532</t>
  </si>
  <si>
    <t>0534</t>
  </si>
  <si>
    <t>0535</t>
  </si>
  <si>
    <t>0536</t>
  </si>
  <si>
    <t>0537</t>
  </si>
  <si>
    <t>0538</t>
  </si>
  <si>
    <t>0286</t>
  </si>
  <si>
    <t>0334</t>
  </si>
  <si>
    <t>0340</t>
  </si>
  <si>
    <t>0306</t>
  </si>
  <si>
    <t>0406</t>
  </si>
  <si>
    <t>0459</t>
  </si>
  <si>
    <t>0400</t>
  </si>
  <si>
    <t>0479</t>
  </si>
  <si>
    <t>0481</t>
  </si>
  <si>
    <t>0482</t>
  </si>
  <si>
    <t>PT. BATU BINTANG INDONESIA</t>
  </si>
  <si>
    <t>0505</t>
  </si>
  <si>
    <t>0516</t>
  </si>
  <si>
    <t>0515</t>
  </si>
  <si>
    <t>0519</t>
  </si>
  <si>
    <t>0251</t>
  </si>
  <si>
    <t>0374</t>
  </si>
  <si>
    <t xml:space="preserve"> 173/PCI/K2/III/22</t>
  </si>
  <si>
    <t>PCIJKT000018874</t>
  </si>
  <si>
    <t xml:space="preserve"> 174/PCI/K2/III/22</t>
  </si>
  <si>
    <t>0619</t>
  </si>
  <si>
    <t xml:space="preserve"> 175/PCI/K2/III/22</t>
  </si>
  <si>
    <t>404158</t>
  </si>
  <si>
    <t xml:space="preserve"> Lion Parcel</t>
  </si>
  <si>
    <t xml:space="preserve"> 176/PCI/K2/III/22</t>
  </si>
  <si>
    <t>404853</t>
  </si>
  <si>
    <t xml:space="preserve"> 177/PCI/K2/III/22</t>
  </si>
  <si>
    <t>0418</t>
  </si>
  <si>
    <t>PCIJKT000017261</t>
  </si>
  <si>
    <t xml:space="preserve"> 178/PCI/K2/III/22</t>
  </si>
  <si>
    <t>0571</t>
  </si>
  <si>
    <t>PT. Satya Alam Semesta</t>
  </si>
  <si>
    <t>Banjar Negara</t>
  </si>
  <si>
    <t xml:space="preserve"> 179/PCI/K2/III/22</t>
  </si>
  <si>
    <t>Kurnia Tani</t>
  </si>
  <si>
    <t xml:space="preserve"> 181/PCI/K2/III/22</t>
  </si>
  <si>
    <t>PCIJKT000018718</t>
  </si>
  <si>
    <t xml:space="preserve"> 182/PCI/K2/III/22</t>
  </si>
  <si>
    <t>0628</t>
  </si>
  <si>
    <t>PCIJKT000018913</t>
  </si>
  <si>
    <t>PT. Pandu Rasa Kharisma</t>
  </si>
  <si>
    <t xml:space="preserve"> 183/PCI/K2/III/22</t>
  </si>
  <si>
    <t>0633</t>
  </si>
  <si>
    <t>Bpk. Icuk</t>
  </si>
  <si>
    <t>PCIJKT000018927</t>
  </si>
  <si>
    <t xml:space="preserve"> 184/PCI/K2/III/22</t>
  </si>
  <si>
    <t>PT. Bahtera Nugraha Sesami</t>
  </si>
  <si>
    <t>0574</t>
  </si>
  <si>
    <t xml:space="preserve"> 185/PCI/K2/III/22</t>
  </si>
  <si>
    <t>0599</t>
  </si>
  <si>
    <t>PCIJKT000018868</t>
  </si>
  <si>
    <t>PT. Sarana Bandar Logistik</t>
  </si>
  <si>
    <t xml:space="preserve"> 186/PCI/K2/III/22</t>
  </si>
  <si>
    <t>0631</t>
  </si>
  <si>
    <t>Bpk. Darman</t>
  </si>
  <si>
    <t>PCIJKT000018926</t>
  </si>
  <si>
    <t xml:space="preserve"> 187/PCI/K2/III/22</t>
  </si>
  <si>
    <t>0632</t>
  </si>
  <si>
    <t>CV. MAG</t>
  </si>
  <si>
    <t xml:space="preserve">Kalimantan  </t>
  </si>
  <si>
    <t>PCIJKT000018929</t>
  </si>
  <si>
    <t xml:space="preserve"> 188/PCI/K2/III/22</t>
  </si>
  <si>
    <t>BRIGF tanggal 31/01/22</t>
  </si>
  <si>
    <t xml:space="preserve"> 189/PCI/K2/III/22</t>
  </si>
  <si>
    <t>0351</t>
  </si>
  <si>
    <t>BRIGF tanggal 08/02/22</t>
  </si>
  <si>
    <t xml:space="preserve"> 190/PCI/K2/III/22</t>
  </si>
  <si>
    <t>0554</t>
  </si>
  <si>
    <t>PT. Solo Logo Indonesai</t>
  </si>
  <si>
    <t xml:space="preserve"> 191/PCI/K2/III/22</t>
  </si>
  <si>
    <t>Penajam</t>
  </si>
  <si>
    <t xml:space="preserve"> 192/PCI/K2/III/22</t>
  </si>
  <si>
    <t>0649</t>
  </si>
  <si>
    <t>PCIJKT000018944</t>
  </si>
  <si>
    <t xml:space="preserve"> 193/PCI/K2/III/22</t>
  </si>
  <si>
    <t>405894</t>
  </si>
  <si>
    <t xml:space="preserve"> 194/PCI/K2/III/22</t>
  </si>
  <si>
    <t>E 96998</t>
  </si>
  <si>
    <t xml:space="preserve"> 195/PCI/K2/III/22</t>
  </si>
  <si>
    <t>PT. Adhi Cakra Utama Mulia</t>
  </si>
  <si>
    <t>0648</t>
  </si>
  <si>
    <t>PCIJKT000018942</t>
  </si>
  <si>
    <t>Jawa Tengah</t>
  </si>
  <si>
    <t xml:space="preserve"> 196/PCI/K2/III/22</t>
  </si>
  <si>
    <t>0638</t>
  </si>
  <si>
    <t>PCIJKT000018928</t>
  </si>
  <si>
    <t xml:space="preserve"> 197/PCI/K2/III/22</t>
  </si>
  <si>
    <t>E 98619</t>
  </si>
  <si>
    <t xml:space="preserve"> 198/PCI/K2/III/22</t>
  </si>
  <si>
    <t>PT. PCS Cargo</t>
  </si>
  <si>
    <t>PCIJKT000018740</t>
  </si>
  <si>
    <t xml:space="preserve"> 199/PCI/K2/III/22</t>
  </si>
  <si>
    <t>E 98618</t>
  </si>
  <si>
    <t xml:space="preserve"> 200/PCI/K2/III/22</t>
  </si>
  <si>
    <t>E 99551</t>
  </si>
  <si>
    <t>0623</t>
  </si>
  <si>
    <t xml:space="preserve"> 201/PCI/K2/III/22</t>
  </si>
  <si>
    <t>E 97000</t>
  </si>
  <si>
    <t>0608</t>
  </si>
  <si>
    <t xml:space="preserve"> 202/PCI/K2/III/22</t>
  </si>
  <si>
    <t>0560</t>
  </si>
  <si>
    <t>E99368</t>
  </si>
  <si>
    <t xml:space="preserve"> 203/PCI/K2/III/22</t>
  </si>
  <si>
    <t>0561</t>
  </si>
  <si>
    <t>E 99562</t>
  </si>
  <si>
    <t xml:space="preserve"> 204/PCI/K2/III/22</t>
  </si>
  <si>
    <t>PCIJKT000018953</t>
  </si>
  <si>
    <t>0669</t>
  </si>
  <si>
    <t xml:space="preserve"> 205/PCI/K2/III/22</t>
  </si>
  <si>
    <t>PCIJKT000018954</t>
  </si>
  <si>
    <t xml:space="preserve"> 206/PCI/K2/III/22</t>
  </si>
  <si>
    <t>PCIJKT000018958</t>
  </si>
  <si>
    <t>PT. Tinata Sukses Mandiri</t>
  </si>
  <si>
    <t xml:space="preserve"> 207/PCI/K2/III/22</t>
  </si>
  <si>
    <t>Pengiriman Barang Primasari</t>
  </si>
  <si>
    <t>0677</t>
  </si>
  <si>
    <t>PCIJKT000018956</t>
  </si>
  <si>
    <t xml:space="preserve"> 208/PCI/K2/III/22</t>
  </si>
  <si>
    <t>Pengiriman Barang Kaifa Food</t>
  </si>
  <si>
    <t>0678</t>
  </si>
  <si>
    <t>PCIJKT000018957</t>
  </si>
  <si>
    <t xml:space="preserve"> 209/PCI/K2/III/22</t>
  </si>
  <si>
    <t>0682</t>
  </si>
  <si>
    <t>Pengiriman BarangEast Indo</t>
  </si>
  <si>
    <t>JKTN 18959</t>
  </si>
  <si>
    <t xml:space="preserve"> 210/PCI/K2/III/22</t>
  </si>
  <si>
    <t>Dhe Topidi Farm &amp; Estate</t>
  </si>
  <si>
    <t>0673</t>
  </si>
  <si>
    <t xml:space="preserve"> 211/PCI/K2/III/22</t>
  </si>
  <si>
    <t>Bpk. Teddy Zifran</t>
  </si>
  <si>
    <t xml:space="preserve"> 212/PCI/K2/III/22</t>
  </si>
  <si>
    <t>0681</t>
  </si>
  <si>
    <t>RBS Jakarta</t>
  </si>
  <si>
    <t>0589</t>
  </si>
  <si>
    <t>Baram</t>
  </si>
  <si>
    <t xml:space="preserve"> 213/PCI/K2/III/22</t>
  </si>
  <si>
    <t>0630</t>
  </si>
  <si>
    <t>PCIJKT000018923</t>
  </si>
  <si>
    <t xml:space="preserve"> 214/PCI/K2/III/22</t>
  </si>
  <si>
    <t>PCIJKT000018965</t>
  </si>
  <si>
    <t>0693</t>
  </si>
  <si>
    <t xml:space="preserve"> 215/PCI/K2/III/22</t>
  </si>
  <si>
    <t>COCA-COLA Feb' 22</t>
  </si>
  <si>
    <t xml:space="preserve"> 216/PCI/K2/III/22</t>
  </si>
  <si>
    <t>Mataram</t>
  </si>
  <si>
    <t>PCIJKT000018845</t>
  </si>
  <si>
    <t xml:space="preserve"> 217/PCI/K2/III/22</t>
  </si>
  <si>
    <t>0647</t>
  </si>
  <si>
    <t>E95525</t>
  </si>
  <si>
    <t>Bahtera Surya Cargo (DNR)</t>
  </si>
  <si>
    <t xml:space="preserve"> 218/PCI/K2/III/22</t>
  </si>
  <si>
    <t>0562</t>
  </si>
  <si>
    <t>E99370</t>
  </si>
  <si>
    <t>Bandung 1</t>
  </si>
  <si>
    <t xml:space="preserve"> 219/PCI/K2/III/22</t>
  </si>
  <si>
    <t>0605</t>
  </si>
  <si>
    <t>E98663</t>
  </si>
  <si>
    <t xml:space="preserve"> 220/PCI/K2/III/22</t>
  </si>
  <si>
    <t>0607</t>
  </si>
  <si>
    <t>E98664</t>
  </si>
  <si>
    <t>Kota Bumi</t>
  </si>
  <si>
    <t xml:space="preserve"> 221/PCI/K2/III/22</t>
  </si>
  <si>
    <t>0606</t>
  </si>
  <si>
    <t>E98665</t>
  </si>
  <si>
    <t xml:space="preserve"> 222/PCI/K2/III/22</t>
  </si>
  <si>
    <t>Bpk. Okaryana Furniture</t>
  </si>
  <si>
    <t>0697</t>
  </si>
  <si>
    <t xml:space="preserve"> 223/PCI/K2/III/22</t>
  </si>
  <si>
    <t>Luwu</t>
  </si>
  <si>
    <t xml:space="preserve"> 139/PCI/K1/III/22</t>
  </si>
  <si>
    <t xml:space="preserve"> 140/PCI/K1/III/22</t>
  </si>
  <si>
    <t>0598</t>
  </si>
  <si>
    <t>PCIJKT000018866</t>
  </si>
  <si>
    <t xml:space="preserve"> 141/PCI/K1/III/22</t>
  </si>
  <si>
    <t xml:space="preserve"> 142/PCI/K1/III/22</t>
  </si>
  <si>
    <t xml:space="preserve"> 143/PCI/K1/III/22</t>
  </si>
  <si>
    <t>0548</t>
  </si>
  <si>
    <t xml:space="preserve"> 144/PCI/K1/III/22</t>
  </si>
  <si>
    <t>0549</t>
  </si>
  <si>
    <t xml:space="preserve"> 145/PCI/K1/III/22</t>
  </si>
  <si>
    <t>0568</t>
  </si>
  <si>
    <t>Semarang dan Depok</t>
  </si>
  <si>
    <t xml:space="preserve"> 147/PCI/K1/III/22</t>
  </si>
  <si>
    <t>0569</t>
  </si>
  <si>
    <t xml:space="preserve"> 148/PCI/K1/III/22</t>
  </si>
  <si>
    <t>0570</t>
  </si>
  <si>
    <t xml:space="preserve"> 149/PCI/K1/III/22</t>
  </si>
  <si>
    <t>0603</t>
  </si>
  <si>
    <t xml:space="preserve"> 150/PCI/K1/III/22</t>
  </si>
  <si>
    <t xml:space="preserve"> 151/PCI/K1/III/22</t>
  </si>
  <si>
    <t xml:space="preserve"> 152/PCI/K1/III/22</t>
  </si>
  <si>
    <t xml:space="preserve"> 153/PCI/K1/III/22</t>
  </si>
  <si>
    <t xml:space="preserve"> 154/PCI/K1/III/22</t>
  </si>
  <si>
    <t xml:space="preserve"> 155/PCI/K1/III/22</t>
  </si>
  <si>
    <t xml:space="preserve"> 156/PCI/K1/III/22</t>
  </si>
  <si>
    <t xml:space="preserve"> 157/PCI/K1/III/22</t>
  </si>
  <si>
    <t xml:space="preserve"> 159/PCI/K1/III/22</t>
  </si>
  <si>
    <t xml:space="preserve"> 160/PCI/K1/III/22</t>
  </si>
  <si>
    <t xml:space="preserve"> 161/PCI/K1/III/22</t>
  </si>
  <si>
    <t xml:space="preserve"> 158/PCI/K1/III/22</t>
  </si>
  <si>
    <t xml:space="preserve"> 162/PCI/K1/III/22</t>
  </si>
  <si>
    <t xml:space="preserve"> 163/PCI/K1/III/22</t>
  </si>
  <si>
    <t xml:space="preserve"> 164/PCI/K1/III/22</t>
  </si>
  <si>
    <t xml:space="preserve"> 165/PCI/K1/III/22</t>
  </si>
  <si>
    <t>Penjaringan</t>
  </si>
  <si>
    <t xml:space="preserve"> 166/PCI/K1/III/22</t>
  </si>
  <si>
    <t xml:space="preserve"> 167/PCI/K1/III/22</t>
  </si>
  <si>
    <t xml:space="preserve"> 168/PCI/K1/III/22</t>
  </si>
  <si>
    <t xml:space="preserve"> 169/PCI/K1/III/22</t>
  </si>
  <si>
    <t xml:space="preserve"> 170/PCI/K1/III/22</t>
  </si>
  <si>
    <t>Citeurup, Suka Bumi</t>
  </si>
  <si>
    <t xml:space="preserve"> 171/PCI/K1/III/22</t>
  </si>
  <si>
    <t xml:space="preserve"> 172/PCI/K1/III/22</t>
  </si>
  <si>
    <t xml:space="preserve">Ancol,Marunda,Koja   </t>
  </si>
  <si>
    <t xml:space="preserve"> 173/PCI/K1/III/22</t>
  </si>
  <si>
    <t xml:space="preserve"> 174/PCI/K1/III/22</t>
  </si>
  <si>
    <t xml:space="preserve"> 175/PCI/K1/III/22</t>
  </si>
  <si>
    <t xml:space="preserve"> 176/PCI/K1/III/22</t>
  </si>
  <si>
    <t>Suka Bumi</t>
  </si>
  <si>
    <t xml:space="preserve"> 177/PCI/K1/III/22</t>
  </si>
  <si>
    <t xml:space="preserve"> 178/PCI/K1/III/22</t>
  </si>
  <si>
    <t>Meruya</t>
  </si>
  <si>
    <t xml:space="preserve"> 179/PCI/K1/III/22</t>
  </si>
  <si>
    <t xml:space="preserve"> 180/PCI/K1/III/22</t>
  </si>
  <si>
    <t xml:space="preserve"> 181/PCI/K1/III/22</t>
  </si>
  <si>
    <t xml:space="preserve"> 182/PCI/K1/III/22</t>
  </si>
  <si>
    <t xml:space="preserve"> 183/PCI/K1/III/22</t>
  </si>
  <si>
    <t xml:space="preserve"> 184/PCI/K1/III/22</t>
  </si>
  <si>
    <t xml:space="preserve"> 185/PCI/K1/III/22</t>
  </si>
  <si>
    <t>Deltacretindo Wira Mandiri</t>
  </si>
  <si>
    <t xml:space="preserve"> 186/PCI/K1/III/22</t>
  </si>
  <si>
    <t xml:space="preserve">Kisaran </t>
  </si>
  <si>
    <t>0635</t>
  </si>
  <si>
    <t>0707</t>
  </si>
  <si>
    <t>JKTN  18976</t>
  </si>
  <si>
    <t xml:space="preserve">Batam </t>
  </si>
  <si>
    <t xml:space="preserve"> 224/PCI/K2/III/22</t>
  </si>
  <si>
    <t xml:space="preserve"> 225/PCI/K2/III/22</t>
  </si>
  <si>
    <t>JKTN  18987</t>
  </si>
  <si>
    <t>0706</t>
  </si>
  <si>
    <t xml:space="preserve"> 226/PCI/K2/III/22</t>
  </si>
  <si>
    <t xml:space="preserve"> 227/PCI/K2/III/22</t>
  </si>
  <si>
    <t>0711</t>
  </si>
  <si>
    <t>Bpk. Zudi</t>
  </si>
  <si>
    <t>PCIJKT000018990</t>
  </si>
  <si>
    <t xml:space="preserve">Banjarmasin </t>
  </si>
  <si>
    <t xml:space="preserve"> 228/PCI/K2/III/22</t>
  </si>
  <si>
    <t xml:space="preserve"> Anzora Skin Jakarta</t>
  </si>
  <si>
    <t>0719</t>
  </si>
  <si>
    <t xml:space="preserve">Riau </t>
  </si>
  <si>
    <t xml:space="preserve"> 229/PCI/K2/III/22</t>
  </si>
  <si>
    <t>05551</t>
  </si>
  <si>
    <t>STICKER &amp; TTD</t>
  </si>
  <si>
    <t>PCIJKT000018756</t>
  </si>
  <si>
    <t xml:space="preserve"> 230/PCI/K2/III/22</t>
  </si>
  <si>
    <t xml:space="preserve">Probolinggo </t>
  </si>
  <si>
    <t xml:space="preserve"> 231/PCI/K2/III/22</t>
  </si>
  <si>
    <t>0720</t>
  </si>
  <si>
    <t xml:space="preserve"> 232/PCI/K2/III/22</t>
  </si>
  <si>
    <t>404959</t>
  </si>
  <si>
    <t>PT. Indah Jaya Express</t>
  </si>
  <si>
    <t xml:space="preserve"> 233/PCI/K2/III/22</t>
  </si>
  <si>
    <t>PCIJKT000018950</t>
  </si>
  <si>
    <t>0657</t>
  </si>
  <si>
    <t xml:space="preserve"> 234/PCI/K2/III/22</t>
  </si>
  <si>
    <t>Batam-Jakarta</t>
  </si>
  <si>
    <t xml:space="preserve"> 235/PCI/K2/III/22</t>
  </si>
  <si>
    <t>0642</t>
  </si>
  <si>
    <t>PCIJKT000018935</t>
  </si>
  <si>
    <t>PT. Brama Expressindo</t>
  </si>
  <si>
    <t xml:space="preserve"> 236/PCI/K2/III/22</t>
  </si>
  <si>
    <t>0739</t>
  </si>
  <si>
    <t>Nayla Hijab</t>
  </si>
  <si>
    <t xml:space="preserve">Surabaya </t>
  </si>
  <si>
    <t xml:space="preserve"> 237/PCI/K2/III/22</t>
  </si>
  <si>
    <t>0736</t>
  </si>
  <si>
    <t>Grasindo Store</t>
  </si>
  <si>
    <t>PCIJKT000019006</t>
  </si>
  <si>
    <t xml:space="preserve"> 238/PCI/K2/III/22</t>
  </si>
  <si>
    <t>JKTN 19011</t>
  </si>
  <si>
    <t>0738</t>
  </si>
  <si>
    <t xml:space="preserve"> 239/PCI/K2/III/22</t>
  </si>
  <si>
    <t>PCIJKT000019013</t>
  </si>
  <si>
    <t xml:space="preserve"> 240/PCI/K2/III/22</t>
  </si>
  <si>
    <t>PCIJKT000019008</t>
  </si>
  <si>
    <t>0743</t>
  </si>
  <si>
    <t xml:space="preserve"> 241/PCI/K2/III/22</t>
  </si>
  <si>
    <t>PCIJKT000019009</t>
  </si>
  <si>
    <t>0742</t>
  </si>
  <si>
    <t xml:space="preserve"> 241A/PCI/K2/III/22</t>
  </si>
  <si>
    <t xml:space="preserve"> 242/PCI/K2/III/22</t>
  </si>
  <si>
    <t>0741</t>
  </si>
  <si>
    <t>PCIJKT000019014</t>
  </si>
  <si>
    <t xml:space="preserve"> 243/PCI/K2/III/22</t>
  </si>
  <si>
    <t>PCIJKT000019007</t>
  </si>
  <si>
    <t>PT. Mega Kreasi Ekatama</t>
  </si>
  <si>
    <t>0752</t>
  </si>
  <si>
    <t xml:space="preserve"> 244/PCI/K2/III/22</t>
  </si>
  <si>
    <t xml:space="preserve">Bekasi </t>
  </si>
  <si>
    <t xml:space="preserve"> 245/PCI/K2/III/22</t>
  </si>
  <si>
    <t>E96999</t>
  </si>
  <si>
    <t>Solok</t>
  </si>
  <si>
    <t xml:space="preserve"> 246/PCI/K2/III/22</t>
  </si>
  <si>
    <t>0620</t>
  </si>
  <si>
    <t>E98669</t>
  </si>
  <si>
    <t xml:space="preserve">Cilacap </t>
  </si>
  <si>
    <t xml:space="preserve"> 247/PCI/K2/III/22</t>
  </si>
  <si>
    <t>E98680</t>
  </si>
  <si>
    <t xml:space="preserve">Jogja dan Semarang </t>
  </si>
  <si>
    <t xml:space="preserve"> 248/PCI/K2/III/22</t>
  </si>
  <si>
    <t>0710</t>
  </si>
  <si>
    <t>PCIJKT000018989</t>
  </si>
  <si>
    <t xml:space="preserve">PT. Surya Jasa Emas Jakarta </t>
  </si>
  <si>
    <t xml:space="preserve">Kalimantan Barat </t>
  </si>
  <si>
    <t xml:space="preserve"> 249/PCI/K2/III/22</t>
  </si>
  <si>
    <t>0621</t>
  </si>
  <si>
    <t>PCIJKT000018920</t>
  </si>
  <si>
    <t xml:space="preserve"> 250/PCI/K2/III/22</t>
  </si>
  <si>
    <t>0659</t>
  </si>
  <si>
    <t>PCIJKT000018951</t>
  </si>
  <si>
    <t xml:space="preserve">Sidoarjo </t>
  </si>
  <si>
    <t xml:space="preserve"> 252/PCI/K2/III/22</t>
  </si>
  <si>
    <t>0646</t>
  </si>
  <si>
    <t>PCIJKT000018943</t>
  </si>
  <si>
    <t>Fadilindo</t>
  </si>
  <si>
    <t xml:space="preserve"> PT. Samudra Jaya Cakra</t>
  </si>
  <si>
    <t>KUPANG PALANGKARAYA</t>
  </si>
  <si>
    <t>pd ibu yanti</t>
  </si>
  <si>
    <t>Bpk Rudy</t>
  </si>
  <si>
    <t>Bpk Eko</t>
  </si>
  <si>
    <t>Bpk Awan</t>
  </si>
  <si>
    <t>Bpk. Azam</t>
  </si>
  <si>
    <t>0268</t>
  </si>
  <si>
    <t>Kamil Matiq</t>
  </si>
  <si>
    <t>angga</t>
  </si>
  <si>
    <t>ibu rere</t>
  </si>
  <si>
    <t xml:space="preserve"> 251/PCI/K2/III/22</t>
  </si>
  <si>
    <t>0757</t>
  </si>
  <si>
    <t>PT. Buana Mandiri Internusa</t>
  </si>
  <si>
    <t xml:space="preserve"> 253/PCI/K2/III/22</t>
  </si>
  <si>
    <t>0684</t>
  </si>
  <si>
    <t xml:space="preserve"> 254/PCI/K2/III/22</t>
  </si>
  <si>
    <t>0769</t>
  </si>
  <si>
    <t xml:space="preserve"> 255/PCI/K2/III/22</t>
  </si>
  <si>
    <t>0767</t>
  </si>
  <si>
    <t xml:space="preserve"> 256/PCI/K2/III/22</t>
  </si>
  <si>
    <t>0768</t>
  </si>
  <si>
    <t xml:space="preserve"> 257/PCI/K2/III/22</t>
  </si>
  <si>
    <t>0558</t>
  </si>
  <si>
    <t>E99364</t>
  </si>
  <si>
    <t xml:space="preserve"> 258/PCI/K2/III/22</t>
  </si>
  <si>
    <t>Metro &amp; Kota Bumi</t>
  </si>
  <si>
    <t>E99553 &amp; E99554</t>
  </si>
  <si>
    <t>0626</t>
  </si>
  <si>
    <t xml:space="preserve"> 259/PCI/K2/III/22</t>
  </si>
  <si>
    <t>0772</t>
  </si>
  <si>
    <t xml:space="preserve"> Okaryana Furniture</t>
  </si>
  <si>
    <t xml:space="preserve"> 260/PCI/K2/III/22</t>
  </si>
  <si>
    <t>0723</t>
  </si>
  <si>
    <t>Ibu Neneng</t>
  </si>
  <si>
    <t>Cibitung</t>
  </si>
  <si>
    <t xml:space="preserve"> 261/PCI/K2/III/22</t>
  </si>
  <si>
    <t>0797</t>
  </si>
  <si>
    <t xml:space="preserve"> 262/PCI/K2/III/22</t>
  </si>
  <si>
    <t>0798</t>
  </si>
  <si>
    <t xml:space="preserve"> Bpk. Riyadi</t>
  </si>
  <si>
    <t>PCIJKT000019063</t>
  </si>
  <si>
    <t xml:space="preserve"> 263/PCI/K2/III/22</t>
  </si>
  <si>
    <t>0799</t>
  </si>
  <si>
    <t xml:space="preserve"> 264/PCI/K2/III/22</t>
  </si>
  <si>
    <t xml:space="preserve"> 265/PCI/K2/III/22</t>
  </si>
  <si>
    <t>0572</t>
  </si>
  <si>
    <t>CV. Sulawesi Trans Logistik (STL)</t>
  </si>
  <si>
    <t xml:space="preserve"> 266/PCI/K2/III/22</t>
  </si>
  <si>
    <t>0650</t>
  </si>
  <si>
    <t>E99564</t>
  </si>
  <si>
    <t>Berastagi</t>
  </si>
  <si>
    <t xml:space="preserve"> 267/PCI/K2/III/22</t>
  </si>
  <si>
    <t>PT. Xpresindo Logostik Utama</t>
  </si>
  <si>
    <t xml:space="preserve"> 268/PCI/K2/III/22</t>
  </si>
  <si>
    <t>0806</t>
  </si>
  <si>
    <t xml:space="preserve"> 269/PCI/K2/III/22</t>
  </si>
  <si>
    <t>0807</t>
  </si>
  <si>
    <t xml:space="preserve"> 270/PCI/K2/III/22</t>
  </si>
  <si>
    <t>0810</t>
  </si>
  <si>
    <t xml:space="preserve"> 271/PCI/K2/III/22</t>
  </si>
  <si>
    <t xml:space="preserve"> PT. Asia Mitra Enjiniring</t>
  </si>
  <si>
    <t>0819</t>
  </si>
  <si>
    <t xml:space="preserve"> 272/PCI/K2/III/22</t>
  </si>
  <si>
    <t>0826</t>
  </si>
  <si>
    <t xml:space="preserve"> 273/PCI/K2/III/22</t>
  </si>
  <si>
    <t>0827</t>
  </si>
  <si>
    <t>0243/02/2022</t>
  </si>
  <si>
    <t>0242/02/2022</t>
  </si>
  <si>
    <t>0244/02/2022</t>
  </si>
  <si>
    <t>0257/02/2022</t>
  </si>
  <si>
    <t>0258/02/2022</t>
  </si>
  <si>
    <t>0358/02/2022</t>
  </si>
  <si>
    <t>0363/02/2022</t>
  </si>
  <si>
    <t>0364/02/2022</t>
  </si>
  <si>
    <t>0362/02/2022</t>
  </si>
  <si>
    <t>0361/02/2022</t>
  </si>
  <si>
    <t>0365/02/2022</t>
  </si>
  <si>
    <t>0355/02/2022</t>
  </si>
  <si>
    <t>0357/02/2022</t>
  </si>
  <si>
    <t>0359/02/2022</t>
  </si>
  <si>
    <t>0356/02/2022</t>
  </si>
  <si>
    <t>0360/02/2022</t>
  </si>
  <si>
    <t>0354/02/2022</t>
  </si>
  <si>
    <t>0414/02/2022</t>
  </si>
  <si>
    <t>0416/02/2022</t>
  </si>
  <si>
    <t>0417/02/2022</t>
  </si>
  <si>
    <t>0453/02/2022</t>
  </si>
  <si>
    <t xml:space="preserve"> 187/PCI/K1/III/22</t>
  </si>
  <si>
    <t xml:space="preserve"> BATAM  FEBRUARI 2022</t>
  </si>
  <si>
    <t xml:space="preserve"> 188/PCI/K1/III/22</t>
  </si>
  <si>
    <t>0717</t>
  </si>
  <si>
    <t>PT. Truelogs Logistik Asia</t>
  </si>
  <si>
    <t xml:space="preserve"> 189/PCI/K1/III/22</t>
  </si>
  <si>
    <t xml:space="preserve"> MANOKWARI FEBRUARI 2022</t>
  </si>
  <si>
    <t xml:space="preserve"> 190/PCI/K1/III/22</t>
  </si>
  <si>
    <t xml:space="preserve"> Tanjung Pandan FEBRUARI 2022</t>
  </si>
  <si>
    <t xml:space="preserve"> 191/PCI/K1/III/22</t>
  </si>
  <si>
    <t xml:space="preserve"> Tanjung Pinang FEBRUARI 2022</t>
  </si>
  <si>
    <t xml:space="preserve"> 192/PCI/K1/III/22</t>
  </si>
  <si>
    <t>PCIJKT000018914</t>
  </si>
  <si>
    <t xml:space="preserve"> 193/PCI/K1/III/22</t>
  </si>
  <si>
    <t>0557</t>
  </si>
  <si>
    <t xml:space="preserve"> 194/PCI/K1/III/22</t>
  </si>
  <si>
    <t xml:space="preserve"> TERNATE  FEBRUARI 2022</t>
  </si>
  <si>
    <t xml:space="preserve"> 195/PCI/K1/III/22</t>
  </si>
  <si>
    <t xml:space="preserve"> TIMIKA FEBRUARI 2022</t>
  </si>
  <si>
    <t xml:space="preserve"> 196/PCI/K1/III/22</t>
  </si>
  <si>
    <t xml:space="preserve"> MAMUJU FEBRUARI 2022</t>
  </si>
  <si>
    <t xml:space="preserve"> 197/PCI/K1/III/22</t>
  </si>
  <si>
    <t>PCIJKT000018952</t>
  </si>
  <si>
    <t xml:space="preserve"> 198/PCI/K1/III/22</t>
  </si>
  <si>
    <t>PCIJKT000018964</t>
  </si>
  <si>
    <t>0667</t>
  </si>
  <si>
    <t xml:space="preserve"> 199/PCI/K1/III/22</t>
  </si>
  <si>
    <t>0668</t>
  </si>
  <si>
    <t>Semarang dan Cirebon</t>
  </si>
  <si>
    <t xml:space="preserve"> 200/PCI/K1/III/22</t>
  </si>
  <si>
    <t>0685</t>
  </si>
  <si>
    <t xml:space="preserve"> 201/PCI/K1/III/22</t>
  </si>
  <si>
    <t>0637</t>
  </si>
  <si>
    <t xml:space="preserve"> 202/PCI/K1/III/22</t>
  </si>
  <si>
    <t xml:space="preserve"> AMBON -SAUMALAKI 12 Des 2021</t>
  </si>
  <si>
    <t xml:space="preserve"> 203/PCI/K1/III/22</t>
  </si>
  <si>
    <t xml:space="preserve"> AMBON -SAUMALAKI 28 Des 2021</t>
  </si>
  <si>
    <t xml:space="preserve"> 204/PCI/K1/III/22</t>
  </si>
  <si>
    <t xml:space="preserve"> AMBON FEBRUARI 2022</t>
  </si>
  <si>
    <t xml:space="preserve"> 205/PCI/K1/III/22</t>
  </si>
  <si>
    <t xml:space="preserve"> GORONTALO FEBRUARI 2022</t>
  </si>
  <si>
    <t xml:space="preserve"> 206/PCI/K1/III/22</t>
  </si>
  <si>
    <t xml:space="preserve"> MERAUKE  FEBRUARI 2022</t>
  </si>
  <si>
    <t xml:space="preserve"> 207/PCI/K1/III/22</t>
  </si>
  <si>
    <t xml:space="preserve"> JAYAPURA FEBRUARI 2022</t>
  </si>
  <si>
    <t xml:space="preserve"> 208/PCI/K1/III/22</t>
  </si>
  <si>
    <t xml:space="preserve"> TUAL DESEMBER 2021</t>
  </si>
  <si>
    <t xml:space="preserve"> 209/PCI/K1/IV/22</t>
  </si>
  <si>
    <t>DP Jambi</t>
  </si>
  <si>
    <t xml:space="preserve"> 210/PCI/K1/IV/22</t>
  </si>
  <si>
    <t>Pelunasan Jambi</t>
  </si>
  <si>
    <t>0759</t>
  </si>
  <si>
    <t xml:space="preserve"> 211/PCI/K1/IV/22</t>
  </si>
  <si>
    <t>PCIJKT000018899</t>
  </si>
  <si>
    <t xml:space="preserve"> 274/PCI/K2/IV/22</t>
  </si>
  <si>
    <t>0763</t>
  </si>
  <si>
    <t xml:space="preserve"> 275/PCI/K2/IV/22</t>
  </si>
  <si>
    <t>0704</t>
  </si>
  <si>
    <t>405218</t>
  </si>
  <si>
    <t xml:space="preserve"> 276/PCI/K2/IV/22</t>
  </si>
  <si>
    <t>0728</t>
  </si>
  <si>
    <t>Jawa Barat</t>
  </si>
  <si>
    <t xml:space="preserve"> 277/PCI/K2/IV/22</t>
  </si>
  <si>
    <t>0627</t>
  </si>
  <si>
    <t>PCIJKT000018915</t>
  </si>
  <si>
    <t>PERSADA</t>
  </si>
  <si>
    <t xml:space="preserve"> 278/PCI/K2/IV/22</t>
  </si>
  <si>
    <t>Bahtera Surya Cargo (KINO)</t>
  </si>
  <si>
    <t>Kisaran</t>
  </si>
  <si>
    <t>E99440 &amp; E99441</t>
  </si>
  <si>
    <t xml:space="preserve"> 279/PCI/K2/IV/22</t>
  </si>
  <si>
    <t>0663</t>
  </si>
  <si>
    <t>E100908</t>
  </si>
  <si>
    <t xml:space="preserve"> 280/PCI/K2/IV/22</t>
  </si>
  <si>
    <t>E98691</t>
  </si>
  <si>
    <t>0696</t>
  </si>
  <si>
    <t xml:space="preserve"> 281/PCI/K2/IV/22</t>
  </si>
  <si>
    <t>Lampung &amp; kota Bumi</t>
  </si>
  <si>
    <t>0811 &amp; 0812</t>
  </si>
  <si>
    <t>E99580, E99579, E99581</t>
  </si>
  <si>
    <t xml:space="preserve"> 282/PCI/K2/IV/22</t>
  </si>
  <si>
    <t>PCIJKT000018979</t>
  </si>
  <si>
    <t xml:space="preserve"> 282A/PCI/K2/IV/22</t>
  </si>
  <si>
    <t>PT. Persada Agro Sukses</t>
  </si>
  <si>
    <t xml:space="preserve"> 283/PCI/K2/IV/22</t>
  </si>
  <si>
    <t>0754</t>
  </si>
  <si>
    <t xml:space="preserve"> 284/PCI/K2/IV/22</t>
  </si>
  <si>
    <t>0828</t>
  </si>
  <si>
    <t>PCIJKT00019153</t>
  </si>
  <si>
    <t xml:space="preserve"> 285/PCI/K2/IV/22</t>
  </si>
  <si>
    <t>0839</t>
  </si>
  <si>
    <t>Bpk. Agha</t>
  </si>
  <si>
    <t xml:space="preserve"> 286/PCI/K2/IV/22</t>
  </si>
  <si>
    <t>DO/W6/2022/02/01839</t>
  </si>
  <si>
    <t>Ternate JAN 22</t>
  </si>
  <si>
    <t>Timika Jan 22</t>
  </si>
  <si>
    <t>Tanjung Pinang Jan 22</t>
  </si>
  <si>
    <t>Jaya Pura Jan 22</t>
  </si>
  <si>
    <t>Palu Jan 22</t>
  </si>
  <si>
    <t>Manokwari Jan 22</t>
  </si>
  <si>
    <t>Ambon Jan 22</t>
  </si>
  <si>
    <t>Gorontalo Jan 22</t>
  </si>
  <si>
    <t>Merauke Jan 22</t>
  </si>
  <si>
    <t>Tarakan Jan 22</t>
  </si>
  <si>
    <t>Tanjung Pandan Jan 22</t>
  </si>
  <si>
    <t>0609</t>
  </si>
  <si>
    <t>067/FTT/PO/II/2022</t>
  </si>
  <si>
    <t xml:space="preserve">Pontianak </t>
  </si>
  <si>
    <t xml:space="preserve">Malang </t>
  </si>
  <si>
    <t xml:space="preserve">Pasuruan </t>
  </si>
  <si>
    <t xml:space="preserve">Jakarta dan Makassar </t>
  </si>
  <si>
    <t xml:space="preserve"> 287/PCI/K2/IV/22</t>
  </si>
  <si>
    <t xml:space="preserve">Korea </t>
  </si>
  <si>
    <t>0796</t>
  </si>
  <si>
    <t xml:space="preserve"> 288/PCI/K2/IV/22</t>
  </si>
  <si>
    <t>0695</t>
  </si>
  <si>
    <t>E100438</t>
  </si>
  <si>
    <t xml:space="preserve">Pekan Baru </t>
  </si>
  <si>
    <t>DP 04/04/22</t>
  </si>
  <si>
    <t xml:space="preserve"> 289/PCI/K2/IV/22</t>
  </si>
  <si>
    <t>0694</t>
  </si>
  <si>
    <t xml:space="preserve"> 290/PCI/K2/IV/22</t>
  </si>
  <si>
    <t>0658</t>
  </si>
  <si>
    <t>PCIJKT000018948</t>
  </si>
  <si>
    <t xml:space="preserve">Kalteng </t>
  </si>
  <si>
    <t xml:space="preserve"> 291/PCI/K2/IV/22</t>
  </si>
  <si>
    <t>PCIJKT000019161</t>
  </si>
  <si>
    <t>0825</t>
  </si>
  <si>
    <t xml:space="preserve">Cirebon </t>
  </si>
  <si>
    <t>0634</t>
  </si>
  <si>
    <t>0636</t>
  </si>
  <si>
    <t>0641</t>
  </si>
  <si>
    <t>0664</t>
  </si>
  <si>
    <t>0671</t>
  </si>
  <si>
    <t>0687</t>
  </si>
  <si>
    <t>0702</t>
  </si>
  <si>
    <t>0703</t>
  </si>
  <si>
    <t>0730</t>
  </si>
  <si>
    <t>0749</t>
  </si>
  <si>
    <t>0750</t>
  </si>
  <si>
    <t>0751</t>
  </si>
  <si>
    <t>0758</t>
  </si>
  <si>
    <t>0766</t>
  </si>
  <si>
    <t>0805</t>
  </si>
  <si>
    <t>0817</t>
  </si>
  <si>
    <t>0818</t>
  </si>
  <si>
    <t>0824</t>
  </si>
  <si>
    <t>PT. MAKMUR BERKAT SOLUSI</t>
  </si>
  <si>
    <t>PT. MITRA SOLUSI ELEKTROMEDIK</t>
  </si>
  <si>
    <t>PT. LINK PASIFIK</t>
  </si>
  <si>
    <t>PT. PRIMASARI / YENLING TAN</t>
  </si>
  <si>
    <t>EFNATALI CARGO/YENLING TAN</t>
  </si>
  <si>
    <t xml:space="preserve">PT. SOLO LOGO </t>
  </si>
  <si>
    <t xml:space="preserve">PT. LALITAN ANUGERAH ABADI </t>
  </si>
  <si>
    <t>PT. MAS KARGO JAKARTA</t>
  </si>
  <si>
    <t>INDIA</t>
  </si>
  <si>
    <t>BTHBTH217164 - BATAM KOTA, BATAM KOTA, KEPULAUAN RIAU</t>
  </si>
  <si>
    <t>BUTON</t>
  </si>
  <si>
    <t>BANYUWANGI</t>
  </si>
  <si>
    <t>RIAU PRIMA ENERGI</t>
  </si>
  <si>
    <t>'0773</t>
  </si>
  <si>
    <t>DO/W6/2022/03/00186</t>
  </si>
  <si>
    <t>DO/W6/2022/03/00309</t>
  </si>
  <si>
    <t>DO/W6/2022/03/0050F/R/01</t>
  </si>
  <si>
    <t>DO/W6/2022/03/0030B</t>
  </si>
  <si>
    <t>DO/W6/2022/03/0038C</t>
  </si>
  <si>
    <t>DO/W6/2022/03/00388/R/01</t>
  </si>
  <si>
    <t>DO/W6/2022/03/004B2/R/01</t>
  </si>
  <si>
    <t>DO/W6/2022/03/005A5</t>
  </si>
  <si>
    <t>DO/W6/2022/03/006B2</t>
  </si>
  <si>
    <t>DO/W6/2022/03/006E4</t>
  </si>
  <si>
    <t>DO/W6/2022/03/006E6</t>
  </si>
  <si>
    <t>DO/W6/2022/03/0074D</t>
  </si>
  <si>
    <t>DO/W6/2022/03/00821</t>
  </si>
  <si>
    <t>DO/W6/2022/03/0095F</t>
  </si>
  <si>
    <t>DO/W6/2022/03/00B0D</t>
  </si>
  <si>
    <t>DO/W6/2022/03/00B0E</t>
  </si>
  <si>
    <t>DO/W6/2022/03/00BC2</t>
  </si>
  <si>
    <t>DO/W6/2022/03/00A92</t>
  </si>
  <si>
    <t>DO/W6/2022/03/00D62</t>
  </si>
  <si>
    <t>DO/W6/2022/03/00DF8</t>
  </si>
  <si>
    <t>DO/W6/2022/03/015F9</t>
  </si>
  <si>
    <t>DO/W6/2022/03/015FA</t>
  </si>
  <si>
    <t>DO/W6/2022/03/016E0</t>
  </si>
  <si>
    <t>0610/03/2022</t>
  </si>
  <si>
    <t>0339/3/2022</t>
  </si>
  <si>
    <t>0614/03/2022</t>
  </si>
  <si>
    <t>0612/03/2022</t>
  </si>
  <si>
    <t>0774/03/2022</t>
  </si>
  <si>
    <t>0775/03/2022</t>
  </si>
  <si>
    <t>0776/03/2022</t>
  </si>
  <si>
    <t>0777/03/2022</t>
  </si>
  <si>
    <t>0778/03/2022</t>
  </si>
  <si>
    <t>0779/03/2022</t>
  </si>
  <si>
    <t>00780/03/2022</t>
  </si>
  <si>
    <t>0781/03/2022</t>
  </si>
  <si>
    <t>0782/03/2022</t>
  </si>
  <si>
    <t>0783/03/2022</t>
  </si>
  <si>
    <t>0784/03/2022</t>
  </si>
  <si>
    <t>0785/03/2022</t>
  </si>
  <si>
    <t>0786/03/2022</t>
  </si>
  <si>
    <t>0787/03/2022</t>
  </si>
  <si>
    <t>0788/03/2022</t>
  </si>
  <si>
    <t>0789/03/2022</t>
  </si>
  <si>
    <t>PT.TIBEKA LOGISTIK INDONESIA</t>
  </si>
  <si>
    <t>LEMAH ABANG - KARAWANG</t>
  </si>
  <si>
    <t>PULOGEBANG</t>
  </si>
  <si>
    <t>.</t>
  </si>
  <si>
    <t>GEDE BAGE-BANDUNG</t>
  </si>
  <si>
    <t>PRO KELAPA VILLAGE-DUREN SAWIT</t>
  </si>
  <si>
    <t>PARUNG BOGOR</t>
  </si>
  <si>
    <t>HARAPAN INDAH BEKASI</t>
  </si>
  <si>
    <t>PENGGILINGAN-CAKUNG</t>
  </si>
  <si>
    <t>APRIL 2022</t>
  </si>
  <si>
    <t>0466</t>
  </si>
  <si>
    <t xml:space="preserve"> 292/PCI/K2/IV/22</t>
  </si>
  <si>
    <t xml:space="preserve"> 293/PCI/K2/IV/22</t>
  </si>
  <si>
    <t>0842</t>
  </si>
  <si>
    <t>Indramayu</t>
  </si>
  <si>
    <t>Lunas 06/04/22</t>
  </si>
  <si>
    <t xml:space="preserve"> 294/PCI/K2/IV/22</t>
  </si>
  <si>
    <t>0762</t>
  </si>
  <si>
    <t>Bogor dan Pangandaran</t>
  </si>
  <si>
    <t xml:space="preserve"> 296/PCI/K2/IV/22</t>
  </si>
  <si>
    <t xml:space="preserve"> 295/PCI/K2/IV/22</t>
  </si>
  <si>
    <t>0746</t>
  </si>
  <si>
    <t>0748</t>
  </si>
  <si>
    <t xml:space="preserve"> 297/PCI/K2/IV/22</t>
  </si>
  <si>
    <t>PCIJKT000019017</t>
  </si>
  <si>
    <t>Ibu rani atau Ibu Rika</t>
  </si>
  <si>
    <t xml:space="preserve"> 298/PCI/K2/IV/22</t>
  </si>
  <si>
    <t>0735</t>
  </si>
  <si>
    <t>Pa Eko/ Pa imam</t>
  </si>
  <si>
    <t>PT. Multi Anugerah Global</t>
  </si>
  <si>
    <t xml:space="preserve"> 299/PCI/K2/IV/22</t>
  </si>
  <si>
    <t>0765</t>
  </si>
  <si>
    <t>Pembayaran Cash tgl 06/04/22</t>
  </si>
  <si>
    <t>PCIJKT00019016</t>
  </si>
  <si>
    <t>0747</t>
  </si>
  <si>
    <t xml:space="preserve"> 300/PCI/K2/IV/22</t>
  </si>
  <si>
    <t xml:space="preserve"> 301/PCI/K2/IV/22</t>
  </si>
  <si>
    <t>PT. Xpresindo Logostik Utama Jakarta</t>
  </si>
  <si>
    <t>0841</t>
  </si>
  <si>
    <t>Pembayaran sudah sama Mas Rian</t>
  </si>
  <si>
    <t xml:space="preserve"> 302/PCI/K2/IV/22</t>
  </si>
  <si>
    <t>0731</t>
  </si>
  <si>
    <t>Himawa DNR</t>
  </si>
  <si>
    <t>SSI Ipangan Cab Surabaya</t>
  </si>
  <si>
    <t>Pembayaran Cash 06/04/22</t>
  </si>
  <si>
    <t xml:space="preserve"> 303/PCI/K2/IV/22</t>
  </si>
  <si>
    <t>0656</t>
  </si>
  <si>
    <t>PCIJKT000018945</t>
  </si>
  <si>
    <t>PT. Trawlbens Bekasi</t>
  </si>
  <si>
    <t xml:space="preserve"> 304/PCI/K2/IV/22</t>
  </si>
  <si>
    <t>0666</t>
  </si>
  <si>
    <t>PCIJKT000018947</t>
  </si>
  <si>
    <t>Mia</t>
  </si>
  <si>
    <t xml:space="preserve"> 305/PCI/K2/IV/22</t>
  </si>
  <si>
    <t>0847</t>
  </si>
  <si>
    <t>PCIJKT000019167</t>
  </si>
  <si>
    <t xml:space="preserve"> 306/PCI/K2/IV/22</t>
  </si>
  <si>
    <t>PCIJKT000019169</t>
  </si>
  <si>
    <t>lunas 07/04/22</t>
  </si>
  <si>
    <t>0848</t>
  </si>
  <si>
    <t xml:space="preserve"> 307/PCI/K2/IV/22</t>
  </si>
  <si>
    <t>0857</t>
  </si>
  <si>
    <t>PCIJKT000019170</t>
  </si>
  <si>
    <t xml:space="preserve"> 308/PCI/K2/IV/22</t>
  </si>
  <si>
    <t>0858</t>
  </si>
  <si>
    <t>PCIJKT000019172</t>
  </si>
  <si>
    <t xml:space="preserve"> 309/PCI/K2/IV/22</t>
  </si>
  <si>
    <t>0856</t>
  </si>
  <si>
    <t xml:space="preserve"> 310/PCI/K2/IV/22</t>
  </si>
  <si>
    <t>0862</t>
  </si>
  <si>
    <t>05//04/22</t>
  </si>
  <si>
    <t xml:space="preserve"> 311/PCI/K2/IV/22</t>
  </si>
  <si>
    <t xml:space="preserve">Bpk. Iqbal Jakarta </t>
  </si>
  <si>
    <t>0808</t>
  </si>
  <si>
    <t xml:space="preserve">Jambi </t>
  </si>
  <si>
    <t>0864</t>
  </si>
  <si>
    <t xml:space="preserve"> 312/PCI/K2/IV/22</t>
  </si>
  <si>
    <t xml:space="preserve"> 313/PCI/K2/IV/22</t>
  </si>
  <si>
    <t>0874</t>
  </si>
  <si>
    <t xml:space="preserve"> 314/PCI/K2/IV/22</t>
  </si>
  <si>
    <t xml:space="preserve">PT. Padi Logistik Tangerang </t>
  </si>
  <si>
    <t>0809</t>
  </si>
  <si>
    <t xml:space="preserve"> 315/PCI/K2/IV/22</t>
  </si>
  <si>
    <t>0718</t>
  </si>
  <si>
    <t>PCIIJKT000018994</t>
  </si>
  <si>
    <t xml:space="preserve"> 316/PCI/K2/IV/22</t>
  </si>
  <si>
    <t>0629</t>
  </si>
  <si>
    <t>PCIJKT000018921</t>
  </si>
  <si>
    <t xml:space="preserve">Medan </t>
  </si>
  <si>
    <t xml:space="preserve"> 317/PCI/K2/IV/23</t>
  </si>
  <si>
    <t xml:space="preserve"> 318/PCI/K2/IV/24</t>
  </si>
  <si>
    <t xml:space="preserve"> 319/PCI/K2/IV/25</t>
  </si>
  <si>
    <t>0601</t>
  </si>
  <si>
    <t>0881</t>
  </si>
  <si>
    <t>CANC17023300</t>
  </si>
  <si>
    <t>0891</t>
  </si>
  <si>
    <t>PCIJKT000019186</t>
  </si>
  <si>
    <t>DP 1 TGL 8</t>
  </si>
  <si>
    <t xml:space="preserve"> 212/PCI/K1/IV/22</t>
  </si>
  <si>
    <t xml:space="preserve"> 213/PCI/K1/IV/22</t>
  </si>
  <si>
    <t xml:space="preserve"> 214/PCI/K1/IV/22</t>
  </si>
  <si>
    <t>Pontianak FEB 22</t>
  </si>
  <si>
    <t>Pontianak 01- 23 MARET 22</t>
  </si>
  <si>
    <t>Batam 01-19 MARET 22</t>
  </si>
  <si>
    <t xml:space="preserve"> 320/PCI/K2/IV/22</t>
  </si>
  <si>
    <t>PCIJKT000019183</t>
  </si>
  <si>
    <t>0892</t>
  </si>
  <si>
    <t xml:space="preserve"> 321/PCI/K2/IV/22</t>
  </si>
  <si>
    <t>Okaryana Furniture</t>
  </si>
  <si>
    <t>0899</t>
  </si>
  <si>
    <t>PT. Nusantara Citra Terpadu (NCT)</t>
  </si>
  <si>
    <t>PT. Nusantara Citra Terpadu</t>
  </si>
  <si>
    <t>0910</t>
  </si>
  <si>
    <t xml:space="preserve"> 322/PCI/K2/IV/22</t>
  </si>
  <si>
    <t>PT. SITC Logistik Indonesia</t>
  </si>
  <si>
    <t>0884</t>
  </si>
  <si>
    <t>SIT0407JTNB384</t>
  </si>
  <si>
    <t xml:space="preserve"> 323/PCI/K2/IV/22</t>
  </si>
  <si>
    <t xml:space="preserve"> 324/PCI/K2/IV/22</t>
  </si>
  <si>
    <t>Pdf Bpk. Willy</t>
  </si>
  <si>
    <t>PT. Maxxis Trading</t>
  </si>
  <si>
    <t>0872</t>
  </si>
  <si>
    <t xml:space="preserve"> 325/PCI/K2/IV/22</t>
  </si>
  <si>
    <t>14/04.22</t>
  </si>
  <si>
    <t>Pdf Mas Rian</t>
  </si>
  <si>
    <t>Ibu Yesika</t>
  </si>
  <si>
    <t>PCIJKT00019196</t>
  </si>
  <si>
    <t>0915</t>
  </si>
  <si>
    <t xml:space="preserve"> 326/PCI/K2/IV/22</t>
  </si>
  <si>
    <t>Sulteng</t>
  </si>
  <si>
    <t>PDF Fina</t>
  </si>
  <si>
    <t xml:space="preserve"> 327/PCI/K2/IV/22</t>
  </si>
  <si>
    <t>PT. LSJ Jakarta</t>
  </si>
  <si>
    <t>0888</t>
  </si>
  <si>
    <t>PCIJKT000019181</t>
  </si>
  <si>
    <t>Toko Ade Asemka</t>
  </si>
  <si>
    <t>PCIJKT000019195</t>
  </si>
  <si>
    <t>0914</t>
  </si>
  <si>
    <t xml:space="preserve">Makassar </t>
  </si>
  <si>
    <t xml:space="preserve"> 328/PCI/K2/IV/22</t>
  </si>
  <si>
    <t xml:space="preserve"> 329/PCI/K2/IV/22</t>
  </si>
  <si>
    <t>Rosy Palilingan</t>
  </si>
  <si>
    <t>0920</t>
  </si>
  <si>
    <t xml:space="preserve"> 330/PCI/K2/IV/22</t>
  </si>
  <si>
    <t>PT. Tinata Sukses Makmur</t>
  </si>
  <si>
    <t xml:space="preserve"> 331/PCI/K2/IV/22</t>
  </si>
  <si>
    <t>0921</t>
  </si>
  <si>
    <t>0919</t>
  </si>
  <si>
    <t>Yenlingtan</t>
  </si>
  <si>
    <t>PCIJKT000019192</t>
  </si>
  <si>
    <t>0908</t>
  </si>
  <si>
    <t xml:space="preserve"> 332/PCI/K2/IV/22</t>
  </si>
  <si>
    <t>PCIJKT000019190</t>
  </si>
  <si>
    <t>0907</t>
  </si>
  <si>
    <t xml:space="preserve"> 333/PCI/K2/IV/22</t>
  </si>
  <si>
    <t>0909</t>
  </si>
  <si>
    <t>PCIJKT000019188</t>
  </si>
  <si>
    <t xml:space="preserve"> 334/PCI/K2/IV/22</t>
  </si>
  <si>
    <t>0686</t>
  </si>
  <si>
    <t>E98684</t>
  </si>
  <si>
    <t xml:space="preserve"> 335/PCI/K2/IV/22</t>
  </si>
  <si>
    <t>E100926</t>
  </si>
  <si>
    <t>0879</t>
  </si>
  <si>
    <t xml:space="preserve"> 335A/PCI/K2/IV/22</t>
  </si>
  <si>
    <t>( BUILT UP B 9211 BEV)</t>
  </si>
  <si>
    <t>( BUILT UP A 8177 YM )</t>
  </si>
  <si>
    <t>PDF Asyura</t>
  </si>
  <si>
    <t>E98565</t>
  </si>
  <si>
    <t xml:space="preserve"> 335B/PCI/K2/IV/22</t>
  </si>
  <si>
    <t xml:space="preserve"> 335C/PCI/K2/IV/22</t>
  </si>
  <si>
    <t>E98568</t>
  </si>
  <si>
    <t xml:space="preserve"> 335D/PCI/K2/IV/22</t>
  </si>
  <si>
    <t xml:space="preserve">Karawang </t>
  </si>
  <si>
    <t>E98675</t>
  </si>
  <si>
    <t xml:space="preserve"> 336/PCI/K2/IV/22</t>
  </si>
  <si>
    <t>0683</t>
  </si>
  <si>
    <t>E99565</t>
  </si>
  <si>
    <t>E99443</t>
  </si>
  <si>
    <t>Medan dan Pematang Siantar</t>
  </si>
  <si>
    <t xml:space="preserve"> 337A/PCI/K2/IV/22</t>
  </si>
  <si>
    <t>E99442</t>
  </si>
  <si>
    <t xml:space="preserve"> 338/PCI/K2/III/22</t>
  </si>
  <si>
    <t xml:space="preserve">Tarakan </t>
  </si>
  <si>
    <t>405355</t>
  </si>
  <si>
    <t>0855</t>
  </si>
  <si>
    <t xml:space="preserve"> 339/PCI/K2/IV/22</t>
  </si>
  <si>
    <t>Ibu Rere</t>
  </si>
  <si>
    <t>0865</t>
  </si>
  <si>
    <t>405356</t>
  </si>
  <si>
    <t xml:space="preserve"> 340/PCI/K2/IV/22</t>
  </si>
  <si>
    <t>0866</t>
  </si>
  <si>
    <t>405360</t>
  </si>
  <si>
    <t xml:space="preserve"> 341/PCI/K2/IV/22</t>
  </si>
  <si>
    <t>Kendal</t>
  </si>
  <si>
    <t xml:space="preserve"> 342A/PCI/K2/IV/22</t>
  </si>
  <si>
    <t xml:space="preserve"> SORONG FEB 2022</t>
  </si>
  <si>
    <t xml:space="preserve"> 215/PCI/K1/IV/22</t>
  </si>
  <si>
    <t xml:space="preserve"> 12/04/2022</t>
  </si>
  <si>
    <t xml:space="preserve"> 216/PCI/K1/IV/22</t>
  </si>
  <si>
    <t xml:space="preserve"> 217/PCI/K1/IV/22</t>
  </si>
  <si>
    <t xml:space="preserve">Malaysia </t>
  </si>
  <si>
    <t xml:space="preserve">Manila </t>
  </si>
  <si>
    <t xml:space="preserve"> 218/PCI/K1/IV/22</t>
  </si>
  <si>
    <t xml:space="preserve">India </t>
  </si>
  <si>
    <t xml:space="preserve"> 219/PCI/K1/IV/22</t>
  </si>
  <si>
    <t xml:space="preserve">Thailand </t>
  </si>
  <si>
    <t xml:space="preserve"> 220/PCI/K1/IV/22</t>
  </si>
  <si>
    <t>0875</t>
  </si>
  <si>
    <t xml:space="preserve"> 221/PCI/K1/IV/22</t>
  </si>
  <si>
    <t>0867</t>
  </si>
  <si>
    <t xml:space="preserve">Cirebon dan Semarang </t>
  </si>
  <si>
    <t xml:space="preserve"> 222/PCI/K1/IV/22</t>
  </si>
  <si>
    <t xml:space="preserve"> 223/PCI/K1/IV/22</t>
  </si>
  <si>
    <t xml:space="preserve"> 224/PCI/K1/IV/22</t>
  </si>
  <si>
    <t xml:space="preserve"> 225/PCI/K1/IV/22</t>
  </si>
  <si>
    <t xml:space="preserve"> 226/PCI/K1/IV/22</t>
  </si>
  <si>
    <t>0453</t>
  </si>
  <si>
    <t xml:space="preserve"> 227/PCI/K1/IV/22</t>
  </si>
  <si>
    <t xml:space="preserve"> 228/PCI/K1/IV/22</t>
  </si>
  <si>
    <t xml:space="preserve"> 229/PCI/K1/IV/22</t>
  </si>
  <si>
    <t xml:space="preserve"> 230/PCI/K1/IV/22</t>
  </si>
  <si>
    <t xml:space="preserve">Jatinegara </t>
  </si>
  <si>
    <t xml:space="preserve"> 231/PCI/K1/IV/22</t>
  </si>
  <si>
    <t xml:space="preserve"> 232/PCI/K1/IV/22</t>
  </si>
  <si>
    <t>0616</t>
  </si>
  <si>
    <t xml:space="preserve"> 233/PCI/K1/IV/22</t>
  </si>
  <si>
    <t>0615</t>
  </si>
  <si>
    <t xml:space="preserve"> 234/PCI/K1/IV/22</t>
  </si>
  <si>
    <t>0613</t>
  </si>
  <si>
    <t xml:space="preserve">Serang </t>
  </si>
  <si>
    <t xml:space="preserve"> 235/PCI/K1/IV/22</t>
  </si>
  <si>
    <t xml:space="preserve">Cibubur dan JatiSampurna </t>
  </si>
  <si>
    <t xml:space="preserve"> 343/PCI/K2/IV/22</t>
  </si>
  <si>
    <t>pdf devi</t>
  </si>
  <si>
    <t>19/04/22 cash</t>
  </si>
  <si>
    <t xml:space="preserve"> 345/PCI/K2/IV/22</t>
  </si>
  <si>
    <t xml:space="preserve">Yenlingtan Primasari Etena </t>
  </si>
  <si>
    <t xml:space="preserve"> 346/PCI/K2/IV/22</t>
  </si>
  <si>
    <t>0934</t>
  </si>
  <si>
    <t xml:space="preserve">Yenlingtan PT. Prambanan Kencana </t>
  </si>
  <si>
    <t>0933</t>
  </si>
  <si>
    <t>0212,0213,0335,0726,0724,0725,0729,0898</t>
  </si>
  <si>
    <t xml:space="preserve">ARAS KORMA MULIA </t>
  </si>
  <si>
    <t>Yenling Tan / ARAS KORMA MULIA</t>
  </si>
  <si>
    <t>PT. Kharisma Mulia Sentosa</t>
  </si>
  <si>
    <t>Yenlingtan/ Aras</t>
  </si>
  <si>
    <t>0330</t>
  </si>
  <si>
    <t>0392</t>
  </si>
  <si>
    <t>0348</t>
  </si>
  <si>
    <t xml:space="preserve"> 342/PCI/K2/IV/22</t>
  </si>
  <si>
    <t>x</t>
  </si>
  <si>
    <t>09/03/2022</t>
  </si>
  <si>
    <t xml:space="preserve"> 347/PCI/K2/IV/22</t>
  </si>
  <si>
    <t>0932</t>
  </si>
  <si>
    <t xml:space="preserve"> 348/PCI/K2/IV/22</t>
  </si>
  <si>
    <t>0944</t>
  </si>
  <si>
    <t>0943</t>
  </si>
  <si>
    <t xml:space="preserve"> 349/PCI/K2/IV/22</t>
  </si>
  <si>
    <t>PT. Sinar Himalaya</t>
  </si>
  <si>
    <t>0953</t>
  </si>
  <si>
    <t xml:space="preserve"> 350/PCI/K2/IV/22</t>
  </si>
  <si>
    <t xml:space="preserve"> 351/PCI/K2/IV/22</t>
  </si>
  <si>
    <t>PT. Tiga Putra Logistik</t>
  </si>
  <si>
    <t>0954</t>
  </si>
  <si>
    <t xml:space="preserve"> 352/PCI/K2/IV/22</t>
  </si>
  <si>
    <t>0882</t>
  </si>
  <si>
    <t xml:space="preserve"> 353/PCI/K2/IV/22</t>
  </si>
  <si>
    <t>0790</t>
  </si>
  <si>
    <t xml:space="preserve"> 354/PCI/K2/IV/22</t>
  </si>
  <si>
    <t xml:space="preserve">Tuban </t>
  </si>
  <si>
    <t>0896</t>
  </si>
  <si>
    <t>0895</t>
  </si>
  <si>
    <t xml:space="preserve">Malang dan Surabaya </t>
  </si>
  <si>
    <t xml:space="preserve"> 355/PCI/K2/IV/22</t>
  </si>
  <si>
    <t xml:space="preserve"> 356/PCI/K2/IV/22</t>
  </si>
  <si>
    <t>0737</t>
  </si>
  <si>
    <t>PCIJKT000019015</t>
  </si>
  <si>
    <t>0878</t>
  </si>
  <si>
    <t xml:space="preserve"> 357/PCI/K2/IV/22</t>
  </si>
  <si>
    <t>405359</t>
  </si>
  <si>
    <t>405250</t>
  </si>
  <si>
    <t xml:space="preserve"> 358/PCI/K2/IV/22</t>
  </si>
  <si>
    <t>PCIJKT000018984</t>
  </si>
  <si>
    <t xml:space="preserve"> 359/PCI/K2/IV/22</t>
  </si>
  <si>
    <t xml:space="preserve"> 360/PCI/K2/IV/22</t>
  </si>
  <si>
    <t>PCIJKT000019027</t>
  </si>
  <si>
    <t>0764</t>
  </si>
  <si>
    <t xml:space="preserve"> 361/PCI/K2/IV/22</t>
  </si>
  <si>
    <t>0906</t>
  </si>
  <si>
    <t>405361</t>
  </si>
  <si>
    <t>0935</t>
  </si>
  <si>
    <t xml:space="preserve"> 362/PCI/K2/IV/22</t>
  </si>
  <si>
    <t>0965</t>
  </si>
  <si>
    <t xml:space="preserve"> 363/PCI/K2/IV/22</t>
  </si>
  <si>
    <t>PDF Pa Imam</t>
  </si>
  <si>
    <t xml:space="preserve"> 364/PCI/K2/IV/22</t>
  </si>
  <si>
    <t>0958</t>
  </si>
  <si>
    <t>Klik Logistik Putera Harmas</t>
  </si>
  <si>
    <t xml:space="preserve"> 365/PCI/K2/IV/22</t>
  </si>
  <si>
    <t>0962</t>
  </si>
  <si>
    <t>0959</t>
  </si>
  <si>
    <t xml:space="preserve"> 366/PCI/K2/IV/22</t>
  </si>
  <si>
    <t>PT. Solo Logo Indonesia</t>
  </si>
  <si>
    <t xml:space="preserve"> 367/PCI/K2/IV/22</t>
  </si>
  <si>
    <t>0911</t>
  </si>
  <si>
    <t>0956</t>
  </si>
  <si>
    <t>CV. Aras Korma Mulia</t>
  </si>
  <si>
    <t xml:space="preserve"> 368/PCI/K2/IV/22</t>
  </si>
  <si>
    <t xml:space="preserve"> 368A/PCI/K2/IV/22</t>
  </si>
  <si>
    <t>0957</t>
  </si>
  <si>
    <t>Yenlintang</t>
  </si>
  <si>
    <t xml:space="preserve"> 369/PCI/K2/IV/22</t>
  </si>
  <si>
    <t xml:space="preserve"> 370/PCI/K2/IV/22</t>
  </si>
  <si>
    <t>0861</t>
  </si>
  <si>
    <t>405237</t>
  </si>
  <si>
    <t>PT. Lalitan Anugerah Abadi</t>
  </si>
  <si>
    <t xml:space="preserve"> 371/PCI/K2/IV/22</t>
  </si>
  <si>
    <t>0844</t>
  </si>
  <si>
    <t xml:space="preserve"> 372/PCI/K2/IV/22</t>
  </si>
  <si>
    <t>Pare-Pare</t>
  </si>
  <si>
    <t>405458</t>
  </si>
  <si>
    <t>0849</t>
  </si>
  <si>
    <t xml:space="preserve"> 373/PCI/K2/IV/22</t>
  </si>
  <si>
    <t>Makkatutu</t>
  </si>
  <si>
    <t>BBI Cargo</t>
  </si>
  <si>
    <t>0897</t>
  </si>
  <si>
    <t xml:space="preserve"> 374/PCI/K2/IV/22</t>
  </si>
  <si>
    <t xml:space="preserve"> 375/PCI/K2/IV/22</t>
  </si>
  <si>
    <t>Bpk. Budi</t>
  </si>
  <si>
    <t>PCIJKT000019250</t>
  </si>
  <si>
    <t>0977</t>
  </si>
  <si>
    <t>CV. USAHA JAYA EXP</t>
  </si>
  <si>
    <t>0974</t>
  </si>
  <si>
    <t xml:space="preserve"> 376/PCI/K2/IV/22</t>
  </si>
  <si>
    <t xml:space="preserve"> 377/PCI/K2/IV/22</t>
  </si>
  <si>
    <t>0931</t>
  </si>
  <si>
    <t xml:space="preserve"> 236/PCI/K1/IV/22</t>
  </si>
  <si>
    <t>E99365</t>
  </si>
  <si>
    <t xml:space="preserve"> 388/PCI/K2/IV/22</t>
  </si>
  <si>
    <t xml:space="preserve"> 378/PCI/K2/IV/22</t>
  </si>
  <si>
    <t>0990</t>
  </si>
  <si>
    <t>Yenlingtan PT. Primasari</t>
  </si>
  <si>
    <t xml:space="preserve"> 379/PCI/K2/IV/22</t>
  </si>
  <si>
    <t>Yenlingtan Kaifa Food</t>
  </si>
  <si>
    <t>0991</t>
  </si>
  <si>
    <t xml:space="preserve"> 380/PCI/K2/IV/22</t>
  </si>
  <si>
    <t>0992</t>
  </si>
  <si>
    <t>Anzora Skin</t>
  </si>
  <si>
    <t xml:space="preserve"> 381/PCI/K2/IV/22</t>
  </si>
  <si>
    <t>Yenling Tan CV. Wisnu Cahaya</t>
  </si>
  <si>
    <t>0993</t>
  </si>
  <si>
    <t xml:space="preserve"> 382/PCI/K2/IV/22</t>
  </si>
  <si>
    <t>0994</t>
  </si>
  <si>
    <t>Tifa Trans Log</t>
  </si>
  <si>
    <t xml:space="preserve"> 383/PCI/K2/IV/22</t>
  </si>
  <si>
    <t>Ibu Mujiasih</t>
  </si>
  <si>
    <t>PDF MIA</t>
  </si>
  <si>
    <t>PDF DEVY</t>
  </si>
  <si>
    <t>0831</t>
  </si>
  <si>
    <t xml:space="preserve"> 384/PCI/K2/IV/22</t>
  </si>
  <si>
    <t>0997</t>
  </si>
  <si>
    <t xml:space="preserve"> Yenlintan PT. Prambanan Kencana</t>
  </si>
  <si>
    <t xml:space="preserve"> 385/PCI/K2/IV/22</t>
  </si>
  <si>
    <t>Yenlintan PT. Kifa Cinta Sejati</t>
  </si>
  <si>
    <t xml:space="preserve"> 386/PCI/K2/IV/22</t>
  </si>
  <si>
    <t>0999</t>
  </si>
  <si>
    <t>0998</t>
  </si>
  <si>
    <t>Yenlintan PT. Tirta Buana Indoraya</t>
  </si>
  <si>
    <t xml:space="preserve"> 387/PCI/K2/IV/22</t>
  </si>
  <si>
    <t>0967</t>
  </si>
  <si>
    <t>PDF PA MOMON</t>
  </si>
  <si>
    <t xml:space="preserve"> 23 April 2022</t>
  </si>
  <si>
    <t xml:space="preserve"> 389/PCI/K2/IV/22</t>
  </si>
  <si>
    <t>Bahtera Surya Cargo (ALAM HIJAU)</t>
  </si>
  <si>
    <t>Bandung 2</t>
  </si>
  <si>
    <t xml:space="preserve"> 389A/PCI/K2/IV/22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</si>
</sst>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41" formatCode="_-* #,##0_-;\-* #,##0_-;_-* &quot;-&quot;_-;_-@_-"/>
    <numFmt numFmtId="43" formatCode="_-* #,##0.00_-;\-* #,##0.00_-;_-* &quot;-&quot;??_-;_-@_-"/>
    <numFmt numFmtId="164" formatCode="_(* #,##0_);_(* \(#,##0\);_(* &quot;-&quot;_);_(@_)"/>
    <numFmt numFmtId="165" formatCode="_(&quot;$&quot;* #,##0.00_);_(&quot;$&quot;* \(#,##0.00\);_(&quot;$&quot;* &quot;-&quot;??_);_(@_)"/>
    <numFmt numFmtId="166" formatCode="_(* #,##0.00_);_(* \(#,##0.00\);_(* &quot;-&quot;??_);_(@_)"/>
    <numFmt numFmtId="167" formatCode="_(* #,##0_);_(* \(#,##0\);_(* &quot;-&quot;??_);_(@_)"/>
    <numFmt numFmtId="168" formatCode="_([$Rp-421]* #,##0_);_([$Rp-421]* \(#,##0\);_([$Rp-421]* &quot;-&quot;_);_(@_)"/>
    <numFmt numFmtId="169" formatCode="[$-421]dd\ mmmm\ yyyy;@"/>
    <numFmt numFmtId="170" formatCode="[$-F800]dddd\,\ mmmm\ dd\,\ yyyy"/>
    <numFmt numFmtId="171" formatCode="dd/mm/yyyy;@"/>
    <numFmt numFmtId="172" formatCode="mm/dd/yy;@"/>
    <numFmt numFmtId="173" formatCode="dd/mm/yy;@"/>
    <numFmt numFmtId="174" formatCode="m/d/yy;@"/>
    <numFmt numFmtId="175" formatCode="[$-13809]dd/mm/yyyy;@"/>
    <numFmt numFmtId="176" formatCode="dd\ mmmm\ yy"/>
    <numFmt numFmtId="177" formatCode="[$-409]d\-mmm\-yy;@"/>
    <numFmt numFmtId="178" formatCode="0.00000000%"/>
    <numFmt numFmtId="179" formatCode="0.0%"/>
  </numFmts>
  <fonts count="42" x14ac:knownFonts="1">
    <font>
      <sz val="11"/>
      <color theme="1"/>
      <name val="Calibri"/>
      <family val="2"/>
      <scheme val="minor"/>
    </font>
    <font>
      <sz val="11"/>
      <color theme="1"/>
      <name val="Calibri"/>
      <family val="2"/>
      <charset val="1"/>
      <scheme val="minor"/>
    </font>
    <font>
      <sz val="11"/>
      <color theme="1"/>
      <name val="Calibri"/>
      <family val="2"/>
      <charset val="1"/>
      <scheme val="minor"/>
    </font>
    <font>
      <sz val="11"/>
      <color theme="1"/>
      <name val="Calibri"/>
      <family val="2"/>
      <charset val="1"/>
      <scheme val="minor"/>
    </font>
    <font>
      <sz val="11"/>
      <color theme="1"/>
      <name val="Calibri"/>
      <family val="2"/>
      <scheme val="minor"/>
    </font>
    <font>
      <sz val="11"/>
      <color rgb="FF9C6500"/>
      <name val="Calibri"/>
      <family val="2"/>
      <scheme val="minor"/>
    </font>
    <font>
      <b/>
      <sz val="11"/>
      <color theme="1"/>
      <name val="Calibri"/>
      <family val="2"/>
      <scheme val="minor"/>
    </font>
    <font>
      <b/>
      <sz val="12"/>
      <color theme="1"/>
      <name val="Calibri"/>
      <family val="2"/>
      <scheme val="minor"/>
    </font>
    <font>
      <sz val="11"/>
      <color theme="1"/>
      <name val="Calibri"/>
      <family val="2"/>
      <charset val="1"/>
      <scheme val="minor"/>
    </font>
    <font>
      <b/>
      <sz val="14"/>
      <color theme="1"/>
      <name val="Calibri"/>
      <family val="2"/>
      <scheme val="minor"/>
    </font>
    <font>
      <sz val="11"/>
      <color theme="2" tint="-0.749992370372631"/>
      <name val="Calibri"/>
      <family val="2"/>
      <scheme val="minor"/>
    </font>
    <font>
      <sz val="12"/>
      <color theme="1"/>
      <name val="Calibri"/>
      <family val="2"/>
      <scheme val="minor"/>
    </font>
    <font>
      <sz val="12"/>
      <color theme="2" tint="-0.749992370372631"/>
      <name val="Calibri"/>
      <family val="2"/>
      <scheme val="minor"/>
    </font>
    <font>
      <sz val="12"/>
      <name val="Arial"/>
      <family val="2"/>
    </font>
    <font>
      <b/>
      <sz val="9"/>
      <color indexed="81"/>
      <name val="Tahoma"/>
      <family val="2"/>
    </font>
    <font>
      <sz val="9"/>
      <color indexed="81"/>
      <name val="Tahoma"/>
      <family val="2"/>
    </font>
    <font>
      <b/>
      <sz val="18"/>
      <color theme="1"/>
      <name val="Calibri"/>
      <family val="2"/>
      <scheme val="minor"/>
    </font>
    <font>
      <sz val="18"/>
      <color theme="1"/>
      <name val="Calibri"/>
      <family val="2"/>
      <scheme val="minor"/>
    </font>
    <font>
      <b/>
      <sz val="16"/>
      <color theme="1"/>
      <name val="Calibri"/>
      <family val="2"/>
      <scheme val="minor"/>
    </font>
    <font>
      <sz val="11"/>
      <color theme="1"/>
      <name val="Times New Roman"/>
      <family val="1"/>
    </font>
    <font>
      <sz val="11"/>
      <name val="Calibri"/>
      <family val="2"/>
      <scheme val="minor"/>
    </font>
    <font>
      <sz val="10"/>
      <color theme="1"/>
      <name val="Calibri"/>
      <family val="2"/>
      <scheme val="minor"/>
    </font>
    <font>
      <sz val="12"/>
      <name val="Calibri"/>
      <family val="2"/>
      <scheme val="minor"/>
    </font>
    <font>
      <b/>
      <sz val="22"/>
      <color theme="1"/>
      <name val="Calibri"/>
      <family val="2"/>
      <scheme val="minor"/>
    </font>
    <font>
      <sz val="11"/>
      <color rgb="FFFF0000"/>
      <name val="Calibri"/>
      <family val="2"/>
      <scheme val="minor"/>
    </font>
    <font>
      <sz val="11"/>
      <color theme="1"/>
      <name val="Calibri"/>
      <family val="2"/>
    </font>
    <font>
      <sz val="10"/>
      <color indexed="81"/>
      <name val="Tahoma"/>
      <family val="2"/>
    </font>
    <font>
      <sz val="10"/>
      <color theme="1"/>
      <name val="Times New Roman"/>
      <family val="1"/>
    </font>
    <font>
      <sz val="12"/>
      <color rgb="FFFF0000"/>
      <name val="Calibri"/>
      <family val="2"/>
      <scheme val="minor"/>
    </font>
    <font>
      <sz val="10"/>
      <name val="Calibri"/>
      <family val="2"/>
      <scheme val="minor"/>
    </font>
    <font>
      <b/>
      <sz val="11"/>
      <color theme="2" tint="-0.749992370372631"/>
      <name val="Calibri"/>
      <family val="2"/>
      <scheme val="minor"/>
    </font>
    <font>
      <b/>
      <sz val="16"/>
      <color theme="1"/>
      <name val="Times New Roman"/>
      <family val="1"/>
    </font>
    <font>
      <b/>
      <sz val="14"/>
      <color theme="1"/>
      <name val="Times New Roman"/>
      <family val="1"/>
    </font>
    <font>
      <sz val="11"/>
      <name val="Times New Roman"/>
      <family val="1"/>
    </font>
    <font>
      <b/>
      <sz val="12"/>
      <color rgb="FFFF0000"/>
      <name val="Calibri"/>
      <family val="2"/>
      <scheme val="minor"/>
    </font>
    <font>
      <sz val="11"/>
      <color rgb="FF03222F"/>
      <name val="Arial"/>
      <family val="2"/>
    </font>
    <font>
      <b/>
      <sz val="14"/>
      <color rgb="FFFF0000"/>
      <name val="Calibri"/>
      <family val="2"/>
      <scheme val="minor"/>
    </font>
    <font>
      <b/>
      <sz val="14"/>
      <name val="Calibri"/>
      <family val="2"/>
      <scheme val="minor"/>
    </font>
    <font>
      <b/>
      <sz val="11"/>
      <name val="Calibri"/>
      <family val="2"/>
      <scheme val="minor"/>
    </font>
    <font>
      <sz val="11"/>
      <color theme="0"/>
      <name val="Calibri"/>
      <family val="2"/>
      <scheme val="minor"/>
    </font>
    <font>
      <sz val="8"/>
      <name val="Calibri"/>
      <family val="2"/>
      <scheme val="minor"/>
    </font>
    <font>
      <sz val="10"/>
      <color rgb="FFFF0000"/>
      <name val="Calibri"/>
      <family val="2"/>
      <scheme val="minor"/>
    </font>
  </fonts>
  <fills count="21">
    <fill>
      <patternFill patternType="none"/>
    </fill>
    <fill>
      <patternFill patternType="gray125"/>
    </fill>
    <fill>
      <patternFill patternType="solid">
        <fgColor rgb="FFFFEB9C"/>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rgb="FF0070C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9999FF"/>
        <bgColor indexed="64"/>
      </patternFill>
    </fill>
    <fill>
      <patternFill patternType="solid">
        <fgColor rgb="FFCC99FF"/>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theme="0" tint="-0.34998626667073579"/>
        <bgColor indexed="64"/>
      </patternFill>
    </fill>
    <fill>
      <patternFill patternType="solid">
        <fgColor rgb="FFCC66FF"/>
        <bgColor indexed="64"/>
      </patternFill>
    </fill>
    <fill>
      <patternFill patternType="solid">
        <fgColor rgb="FFCC00FF"/>
        <bgColor indexed="64"/>
      </patternFill>
    </fill>
    <fill>
      <patternFill patternType="solid">
        <fgColor theme="7"/>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3">
    <xf numFmtId="0" fontId="0" fillId="0" borderId="0"/>
    <xf numFmtId="166" fontId="4" fillId="0" borderId="0" applyFont="0" applyFill="0" applyBorder="0" applyAlignment="0" applyProtection="0"/>
    <xf numFmtId="0" fontId="5" fillId="2" borderId="0" applyNumberFormat="0" applyBorder="0" applyAlignment="0" applyProtection="0"/>
    <xf numFmtId="0" fontId="8" fillId="0" borderId="0"/>
    <xf numFmtId="164" fontId="8" fillId="0" borderId="0" applyFont="0" applyFill="0" applyBorder="0" applyAlignment="0" applyProtection="0"/>
    <xf numFmtId="166" fontId="8" fillId="0" borderId="0" applyFont="0" applyFill="0" applyBorder="0" applyAlignment="0" applyProtection="0"/>
    <xf numFmtId="165" fontId="4" fillId="0" borderId="0" applyFont="0" applyFill="0" applyBorder="0" applyAlignment="0" applyProtection="0"/>
    <xf numFmtId="0" fontId="8" fillId="0" borderId="0"/>
    <xf numFmtId="0" fontId="3" fillId="0" borderId="0"/>
    <xf numFmtId="41"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39" fillId="20" borderId="0" applyNumberFormat="0" applyBorder="0" applyAlignment="0" applyProtection="0"/>
  </cellStyleXfs>
  <cellXfs count="1141">
    <xf numFmtId="0" fontId="0" fillId="0" borderId="0" xfId="0"/>
    <xf numFmtId="0" fontId="7" fillId="0" borderId="0" xfId="0" applyFont="1"/>
    <xf numFmtId="0" fontId="0" fillId="0" borderId="1" xfId="0" applyBorder="1" applyAlignment="1">
      <alignment horizontal="center"/>
    </xf>
    <xf numFmtId="167" fontId="0" fillId="0" borderId="1" xfId="1" applyNumberFormat="1" applyFont="1" applyBorder="1"/>
    <xf numFmtId="167" fontId="0" fillId="0" borderId="1" xfId="1" applyNumberFormat="1" applyFont="1" applyFill="1" applyBorder="1"/>
    <xf numFmtId="0" fontId="0" fillId="0" borderId="1" xfId="0" applyBorder="1"/>
    <xf numFmtId="0" fontId="0" fillId="0" borderId="1" xfId="0" applyFill="1" applyBorder="1" applyAlignment="1">
      <alignment horizontal="left"/>
    </xf>
    <xf numFmtId="0" fontId="0" fillId="0" borderId="0" xfId="0" applyBorder="1"/>
    <xf numFmtId="15" fontId="0" fillId="0" borderId="0" xfId="0" applyNumberFormat="1"/>
    <xf numFmtId="167" fontId="0" fillId="0" borderId="0" xfId="1" applyNumberFormat="1" applyFont="1" applyAlignment="1">
      <alignment horizontal="center" vertical="center"/>
    </xf>
    <xf numFmtId="0" fontId="5" fillId="2" borderId="0" xfId="2"/>
    <xf numFmtId="0" fontId="0" fillId="0" borderId="0" xfId="0" applyFill="1"/>
    <xf numFmtId="164" fontId="0" fillId="0" borderId="1" xfId="0" applyNumberFormat="1" applyFill="1" applyBorder="1"/>
    <xf numFmtId="167" fontId="0" fillId="0" borderId="1" xfId="1" applyNumberFormat="1" applyFont="1" applyBorder="1" applyAlignment="1">
      <alignment vertical="center"/>
    </xf>
    <xf numFmtId="167" fontId="0" fillId="0" borderId="0" xfId="1" applyNumberFormat="1" applyFont="1" applyFill="1" applyBorder="1"/>
    <xf numFmtId="167" fontId="0" fillId="0" borderId="6" xfId="1" applyNumberFormat="1" applyFont="1" applyBorder="1" applyAlignment="1">
      <alignment horizontal="center" vertical="center"/>
    </xf>
    <xf numFmtId="167" fontId="0" fillId="0" borderId="0" xfId="0" applyNumberFormat="1"/>
    <xf numFmtId="164" fontId="0" fillId="0" borderId="0" xfId="0" applyNumberFormat="1"/>
    <xf numFmtId="167" fontId="7" fillId="0" borderId="6" xfId="1" applyNumberFormat="1" applyFont="1" applyBorder="1" applyAlignment="1">
      <alignment horizontal="center" vertical="center"/>
    </xf>
    <xf numFmtId="0" fontId="13" fillId="0" borderId="0" xfId="0" quotePrefix="1" applyFont="1" applyFill="1" applyBorder="1" applyAlignment="1">
      <alignment vertical="center"/>
    </xf>
    <xf numFmtId="164" fontId="0" fillId="0" borderId="0" xfId="0" applyNumberFormat="1" applyBorder="1" applyAlignment="1">
      <alignment vertical="center"/>
    </xf>
    <xf numFmtId="167" fontId="0" fillId="0" borderId="0" xfId="1" applyNumberFormat="1" applyFont="1" applyBorder="1" applyAlignment="1">
      <alignment vertical="center"/>
    </xf>
    <xf numFmtId="164" fontId="0" fillId="0" borderId="0" xfId="0" applyNumberFormat="1" applyBorder="1"/>
    <xf numFmtId="0" fontId="0" fillId="0" borderId="1" xfId="0" applyFont="1" applyFill="1" applyBorder="1" applyAlignment="1">
      <alignment horizontal="left"/>
    </xf>
    <xf numFmtId="14" fontId="0" fillId="0" borderId="1" xfId="0" applyNumberFormat="1" applyBorder="1" applyAlignment="1">
      <alignment horizontal="center"/>
    </xf>
    <xf numFmtId="14" fontId="0" fillId="0" borderId="1" xfId="0" applyNumberFormat="1" applyFill="1" applyBorder="1" applyAlignment="1">
      <alignment horizontal="center"/>
    </xf>
    <xf numFmtId="167" fontId="0" fillId="0" borderId="1" xfId="1" applyNumberFormat="1" applyFont="1" applyBorder="1" applyAlignment="1">
      <alignment horizontal="center"/>
    </xf>
    <xf numFmtId="14" fontId="0" fillId="0" borderId="1" xfId="0" applyNumberFormat="1" applyFont="1" applyFill="1" applyBorder="1" applyAlignment="1">
      <alignment horizontal="center"/>
    </xf>
    <xf numFmtId="167" fontId="0" fillId="0" borderId="1" xfId="1" applyNumberFormat="1" applyFont="1" applyFill="1" applyBorder="1" applyAlignment="1">
      <alignment horizontal="center"/>
    </xf>
    <xf numFmtId="0" fontId="0" fillId="0" borderId="1" xfId="0" applyFill="1" applyBorder="1" applyAlignment="1"/>
    <xf numFmtId="0" fontId="0" fillId="0" borderId="1" xfId="0" applyFont="1" applyFill="1" applyBorder="1" applyAlignment="1"/>
    <xf numFmtId="0" fontId="0" fillId="0" borderId="1" xfId="0" applyFont="1" applyBorder="1" applyAlignment="1">
      <alignment horizontal="left"/>
    </xf>
    <xf numFmtId="14" fontId="0" fillId="0" borderId="1" xfId="0" applyNumberFormat="1" applyFill="1" applyBorder="1" applyAlignment="1">
      <alignment horizontal="center" vertical="center"/>
    </xf>
    <xf numFmtId="0" fontId="0" fillId="0" borderId="1" xfId="0" applyFont="1" applyFill="1" applyBorder="1" applyAlignment="1">
      <alignment horizontal="left" vertical="center"/>
    </xf>
    <xf numFmtId="167" fontId="0" fillId="0" borderId="0" xfId="1" applyNumberFormat="1" applyFont="1" applyFill="1"/>
    <xf numFmtId="0" fontId="0" fillId="0" borderId="1" xfId="0" applyFont="1" applyFill="1" applyBorder="1" applyAlignment="1">
      <alignment horizontal="center"/>
    </xf>
    <xf numFmtId="0" fontId="10" fillId="0" borderId="1" xfId="0" applyFont="1" applyFill="1" applyBorder="1" applyAlignment="1">
      <alignment horizontal="center"/>
    </xf>
    <xf numFmtId="0" fontId="10" fillId="0" borderId="1" xfId="0" applyFont="1" applyBorder="1" applyAlignment="1">
      <alignment horizontal="center"/>
    </xf>
    <xf numFmtId="167" fontId="4" fillId="0" borderId="1" xfId="1" applyNumberFormat="1" applyFont="1" applyFill="1" applyBorder="1" applyAlignment="1">
      <alignment horizontal="center"/>
    </xf>
    <xf numFmtId="0" fontId="0" fillId="0" borderId="1" xfId="0" applyFont="1" applyFill="1" applyBorder="1" applyAlignment="1">
      <alignment horizontal="center" vertical="center"/>
    </xf>
    <xf numFmtId="0" fontId="0" fillId="0" borderId="0" xfId="0" applyBorder="1" applyAlignment="1">
      <alignment horizontal="center"/>
    </xf>
    <xf numFmtId="169" fontId="0" fillId="0" borderId="0" xfId="0" applyNumberFormat="1" applyBorder="1" applyAlignment="1">
      <alignment horizontal="center"/>
    </xf>
    <xf numFmtId="167" fontId="0" fillId="0" borderId="0" xfId="1" applyNumberFormat="1" applyFont="1" applyBorder="1" applyAlignment="1">
      <alignment horizontal="center" vertical="center"/>
    </xf>
    <xf numFmtId="0" fontId="0" fillId="0" borderId="1" xfId="0" applyBorder="1" applyAlignment="1">
      <alignment vertical="center"/>
    </xf>
    <xf numFmtId="164" fontId="8" fillId="0" borderId="1" xfId="0" applyNumberFormat="1" applyFont="1" applyFill="1" applyBorder="1" applyAlignment="1">
      <alignment horizontal="center" vertical="center"/>
    </xf>
    <xf numFmtId="167" fontId="8" fillId="0" borderId="1" xfId="1" applyNumberFormat="1" applyFont="1" applyFill="1" applyBorder="1" applyAlignment="1">
      <alignment horizontal="center" vertical="center"/>
    </xf>
    <xf numFmtId="0" fontId="0" fillId="0" borderId="1" xfId="0" quotePrefix="1" applyFill="1" applyBorder="1" applyAlignment="1">
      <alignment horizontal="center"/>
    </xf>
    <xf numFmtId="164" fontId="8" fillId="0" borderId="1" xfId="0" applyNumberFormat="1" applyFont="1" applyFill="1" applyBorder="1" applyAlignment="1">
      <alignment horizontal="center"/>
    </xf>
    <xf numFmtId="0" fontId="0" fillId="3" borderId="1" xfId="0" applyFill="1" applyBorder="1"/>
    <xf numFmtId="0" fontId="12" fillId="0" borderId="1" xfId="0" applyFont="1" applyFill="1" applyBorder="1" applyAlignment="1">
      <alignment horizontal="center"/>
    </xf>
    <xf numFmtId="167" fontId="0" fillId="0" borderId="1" xfId="1" quotePrefix="1" applyNumberFormat="1" applyFont="1" applyBorder="1"/>
    <xf numFmtId="167" fontId="9" fillId="3" borderId="1" xfId="1" applyNumberFormat="1" applyFont="1" applyFill="1" applyBorder="1" applyAlignment="1">
      <alignment horizontal="center" vertical="center"/>
    </xf>
    <xf numFmtId="170" fontId="11" fillId="0" borderId="0" xfId="0" applyNumberFormat="1" applyFont="1"/>
    <xf numFmtId="0" fontId="0" fillId="0" borderId="1" xfId="0" applyBorder="1" applyAlignment="1">
      <alignment horizontal="left" vertical="center"/>
    </xf>
    <xf numFmtId="0" fontId="0" fillId="0" borderId="1" xfId="0" applyBorder="1" applyAlignment="1">
      <alignment horizontal="left" vertical="top"/>
    </xf>
    <xf numFmtId="0" fontId="0" fillId="0" borderId="1" xfId="0" applyFill="1" applyBorder="1" applyAlignment="1">
      <alignment horizontal="center" vertical="center"/>
    </xf>
    <xf numFmtId="14" fontId="0" fillId="0" borderId="1" xfId="0" applyNumberFormat="1" applyFont="1" applyBorder="1" applyAlignment="1">
      <alignment horizontal="center" vertical="center"/>
    </xf>
    <xf numFmtId="14" fontId="10" fillId="0" borderId="1" xfId="0" applyNumberFormat="1" applyFont="1" applyFill="1" applyBorder="1" applyAlignment="1">
      <alignment horizontal="center"/>
    </xf>
    <xf numFmtId="0" fontId="11" fillId="4" borderId="1" xfId="0" quotePrefix="1" applyNumberFormat="1" applyFont="1" applyFill="1" applyBorder="1" applyAlignment="1">
      <alignment horizontal="center" vertical="center"/>
    </xf>
    <xf numFmtId="0" fontId="11" fillId="0" borderId="0" xfId="0" applyFont="1"/>
    <xf numFmtId="14" fontId="12" fillId="0" borderId="1" xfId="0" applyNumberFormat="1" applyFont="1" applyFill="1" applyBorder="1" applyAlignment="1">
      <alignment horizontal="center"/>
    </xf>
    <xf numFmtId="14" fontId="11" fillId="0" borderId="1" xfId="0" applyNumberFormat="1" applyFont="1" applyBorder="1" applyAlignment="1">
      <alignment horizontal="center"/>
    </xf>
    <xf numFmtId="14" fontId="10" fillId="0" borderId="1" xfId="0" applyNumberFormat="1" applyFont="1" applyBorder="1" applyAlignment="1">
      <alignment horizontal="center"/>
    </xf>
    <xf numFmtId="164" fontId="12" fillId="0" borderId="1" xfId="0" applyNumberFormat="1" applyFont="1" applyBorder="1" applyAlignment="1">
      <alignment horizontal="center" vertical="center"/>
    </xf>
    <xf numFmtId="14" fontId="10" fillId="0" borderId="1" xfId="0" quotePrefix="1" applyNumberFormat="1" applyFont="1" applyBorder="1" applyAlignment="1">
      <alignment horizontal="center"/>
    </xf>
    <xf numFmtId="167" fontId="9" fillId="3" borderId="1" xfId="1" applyNumberFormat="1" applyFont="1" applyFill="1"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Font="1" applyAlignment="1">
      <alignment horizontal="center"/>
    </xf>
    <xf numFmtId="0" fontId="0" fillId="0" borderId="1" xfId="0" applyBorder="1" applyAlignment="1">
      <alignment horizontal="left"/>
    </xf>
    <xf numFmtId="0" fontId="0" fillId="0" borderId="1" xfId="0" applyBorder="1" applyAlignment="1">
      <alignment horizontal="center" vertical="center"/>
    </xf>
    <xf numFmtId="0" fontId="0" fillId="0" borderId="1" xfId="0" applyFont="1" applyFill="1" applyBorder="1" applyAlignment="1">
      <alignment horizontal="left" vertical="center" wrapText="1"/>
    </xf>
    <xf numFmtId="14" fontId="0" fillId="0" borderId="1" xfId="0" applyNumberFormat="1" applyBorder="1" applyAlignment="1">
      <alignment horizontal="center" vertical="center"/>
    </xf>
    <xf numFmtId="0" fontId="6" fillId="0" borderId="0" xfId="7" applyFont="1" applyBorder="1" applyAlignment="1">
      <alignment vertical="center"/>
    </xf>
    <xf numFmtId="14" fontId="4" fillId="0" borderId="1" xfId="0" applyNumberFormat="1" applyFont="1" applyBorder="1" applyAlignment="1">
      <alignment horizontal="center" vertical="center"/>
    </xf>
    <xf numFmtId="167" fontId="4" fillId="0" borderId="1" xfId="1" applyNumberFormat="1" applyFont="1" applyFill="1" applyBorder="1" applyAlignment="1">
      <alignment horizontal="center" vertical="center"/>
    </xf>
    <xf numFmtId="171" fontId="4" fillId="0" borderId="1" xfId="0" applyNumberFormat="1" applyFont="1" applyFill="1" applyBorder="1" applyAlignment="1">
      <alignment horizontal="center" vertical="center"/>
    </xf>
    <xf numFmtId="14"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xf>
    <xf numFmtId="14" fontId="0" fillId="0" borderId="1" xfId="0" applyNumberFormat="1" applyFont="1" applyFill="1" applyBorder="1" applyAlignment="1">
      <alignment horizontal="center" vertical="center"/>
    </xf>
    <xf numFmtId="49" fontId="0" fillId="0" borderId="1" xfId="0" applyNumberFormat="1" applyFont="1" applyFill="1" applyBorder="1" applyAlignment="1">
      <alignment horizontal="center"/>
    </xf>
    <xf numFmtId="171" fontId="0" fillId="0" borderId="1" xfId="0" applyNumberFormat="1" applyFont="1" applyFill="1" applyBorder="1" applyAlignment="1">
      <alignment horizontal="center"/>
    </xf>
    <xf numFmtId="49" fontId="8" fillId="0" borderId="1" xfId="7" applyNumberFormat="1" applyBorder="1" applyAlignment="1">
      <alignment horizontal="center" vertical="center"/>
    </xf>
    <xf numFmtId="49" fontId="4" fillId="0" borderId="1" xfId="0" applyNumberFormat="1" applyFont="1" applyBorder="1" applyAlignment="1">
      <alignment horizontal="center"/>
    </xf>
    <xf numFmtId="49" fontId="0" fillId="0" borderId="1" xfId="0" applyNumberFormat="1" applyFont="1" applyBorder="1" applyAlignment="1">
      <alignment horizontal="center"/>
    </xf>
    <xf numFmtId="0" fontId="4" fillId="0" borderId="1" xfId="0" applyFont="1" applyFill="1" applyBorder="1" applyAlignment="1">
      <alignment horizontal="center"/>
    </xf>
    <xf numFmtId="167" fontId="4" fillId="0" borderId="1" xfId="1" applyNumberFormat="1" applyFont="1" applyBorder="1" applyAlignment="1">
      <alignment horizontal="center"/>
    </xf>
    <xf numFmtId="167" fontId="17" fillId="6" borderId="0" xfId="1" applyNumberFormat="1" applyFont="1" applyFill="1" applyAlignment="1">
      <alignment horizontal="center" vertical="center"/>
    </xf>
    <xf numFmtId="167" fontId="17" fillId="6" borderId="0" xfId="0" applyNumberFormat="1" applyFont="1" applyFill="1" applyAlignment="1">
      <alignment vertical="center"/>
    </xf>
    <xf numFmtId="14" fontId="0" fillId="0" borderId="1" xfId="0" applyNumberFormat="1" applyBorder="1"/>
    <xf numFmtId="0" fontId="0" fillId="0" borderId="1" xfId="0" applyFill="1" applyBorder="1" applyAlignment="1">
      <alignment horizontal="center"/>
    </xf>
    <xf numFmtId="167" fontId="0" fillId="0" borderId="1" xfId="1" applyNumberFormat="1" applyFont="1" applyBorder="1" applyAlignment="1">
      <alignment horizontal="center" vertical="center"/>
    </xf>
    <xf numFmtId="0" fontId="7" fillId="0" borderId="1" xfId="0" applyFont="1" applyFill="1" applyBorder="1" applyAlignment="1">
      <alignment horizontal="center" vertical="center"/>
    </xf>
    <xf numFmtId="14" fontId="9" fillId="3" borderId="2" xfId="0" applyNumberFormat="1" applyFont="1" applyFill="1" applyBorder="1" applyAlignment="1">
      <alignment horizontal="center" vertical="center"/>
    </xf>
    <xf numFmtId="14" fontId="9" fillId="3" borderId="2" xfId="0" quotePrefix="1" applyNumberFormat="1" applyFont="1" applyFill="1" applyBorder="1" applyAlignment="1">
      <alignment horizontal="center" vertical="center"/>
    </xf>
    <xf numFmtId="0" fontId="9" fillId="5" borderId="1" xfId="0" applyFont="1" applyFill="1" applyBorder="1" applyAlignment="1">
      <alignment horizontal="center" vertical="center"/>
    </xf>
    <xf numFmtId="0" fontId="6" fillId="0" borderId="0" xfId="8" applyFont="1" applyBorder="1" applyAlignment="1">
      <alignment vertical="center"/>
    </xf>
    <xf numFmtId="164" fontId="3" fillId="0" borderId="1" xfId="1" applyNumberFormat="1" applyFont="1" applyFill="1" applyBorder="1" applyAlignment="1">
      <alignment horizontal="left" vertical="center"/>
    </xf>
    <xf numFmtId="164" fontId="3" fillId="0" borderId="1" xfId="0" applyNumberFormat="1" applyFont="1" applyFill="1" applyBorder="1" applyAlignment="1">
      <alignment horizontal="left"/>
    </xf>
    <xf numFmtId="164" fontId="3" fillId="0" borderId="1" xfId="0" applyNumberFormat="1" applyFont="1" applyFill="1" applyBorder="1" applyAlignment="1">
      <alignment horizontal="left" vertical="center"/>
    </xf>
    <xf numFmtId="164" fontId="3"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xf>
    <xf numFmtId="0" fontId="0" fillId="0" borderId="10" xfId="0" applyBorder="1" applyAlignment="1">
      <alignment horizontal="left" vertical="center"/>
    </xf>
    <xf numFmtId="167" fontId="0" fillId="0" borderId="1" xfId="0" applyNumberFormat="1" applyBorder="1"/>
    <xf numFmtId="164" fontId="3" fillId="0" borderId="1" xfId="1" applyNumberFormat="1" applyFont="1" applyFill="1" applyBorder="1" applyAlignment="1">
      <alignment horizontal="center" vertical="center"/>
    </xf>
    <xf numFmtId="167" fontId="3" fillId="0" borderId="1" xfId="1" applyNumberFormat="1" applyFont="1" applyFill="1" applyBorder="1" applyAlignment="1">
      <alignment horizontal="center" vertical="center"/>
    </xf>
    <xf numFmtId="167" fontId="18" fillId="6" borderId="1" xfId="0" applyNumberFormat="1" applyFont="1" applyFill="1" applyBorder="1" applyAlignment="1">
      <alignment vertical="center"/>
    </xf>
    <xf numFmtId="0" fontId="5" fillId="0" borderId="1" xfId="2" applyFill="1" applyBorder="1" applyAlignment="1">
      <alignment horizontal="center"/>
    </xf>
    <xf numFmtId="172" fontId="4" fillId="0" borderId="1" xfId="8" applyNumberFormat="1" applyFont="1" applyFill="1" applyBorder="1" applyAlignment="1">
      <alignment horizontal="center" vertical="center" wrapText="1"/>
    </xf>
    <xf numFmtId="49" fontId="0" fillId="0" borderId="1" xfId="8" applyNumberFormat="1" applyFont="1" applyFill="1" applyBorder="1" applyAlignment="1">
      <alignment horizontal="center" vertical="center"/>
    </xf>
    <xf numFmtId="0" fontId="0" fillId="0" borderId="1" xfId="8" applyFont="1" applyFill="1" applyBorder="1" applyAlignment="1">
      <alignment horizontal="left" vertical="center"/>
    </xf>
    <xf numFmtId="0" fontId="4" fillId="0" borderId="1" xfId="8" applyFont="1" applyFill="1" applyBorder="1" applyAlignment="1">
      <alignment horizontal="left" vertical="center"/>
    </xf>
    <xf numFmtId="0" fontId="4" fillId="0" borderId="1" xfId="0" applyFont="1" applyBorder="1" applyAlignment="1">
      <alignment horizontal="left" vertical="center"/>
    </xf>
    <xf numFmtId="49" fontId="4" fillId="0" borderId="1" xfId="0" applyNumberFormat="1" applyFont="1" applyFill="1" applyBorder="1" applyAlignment="1">
      <alignment horizontal="center" vertical="center"/>
    </xf>
    <xf numFmtId="0" fontId="4" fillId="0" borderId="1" xfId="0" applyFont="1" applyFill="1" applyBorder="1" applyAlignment="1">
      <alignment horizontal="left" vertical="center"/>
    </xf>
    <xf numFmtId="49" fontId="4" fillId="0" borderId="1" xfId="0" applyNumberFormat="1" applyFont="1" applyBorder="1" applyAlignment="1">
      <alignment horizontal="center" vertical="center"/>
    </xf>
    <xf numFmtId="0" fontId="0" fillId="0" borderId="1" xfId="0" applyBorder="1" applyAlignment="1">
      <alignment horizontal="left" vertical="center" wrapText="1"/>
    </xf>
    <xf numFmtId="49" fontId="0" fillId="0" borderId="1" xfId="0" applyNumberFormat="1" applyBorder="1" applyAlignment="1">
      <alignment horizontal="center" vertical="center"/>
    </xf>
    <xf numFmtId="49" fontId="3" fillId="0" borderId="1" xfId="8" applyNumberFormat="1" applyBorder="1" applyAlignment="1">
      <alignment horizontal="center" vertical="center"/>
    </xf>
    <xf numFmtId="167" fontId="4" fillId="0" borderId="1" xfId="1" applyNumberFormat="1" applyFont="1" applyFill="1" applyBorder="1" applyAlignment="1">
      <alignment horizontal="center" vertical="center"/>
    </xf>
    <xf numFmtId="49" fontId="0" fillId="0" borderId="1" xfId="0" applyNumberFormat="1" applyFont="1" applyFill="1" applyBorder="1" applyAlignment="1">
      <alignment horizontal="center" vertical="center"/>
    </xf>
    <xf numFmtId="49" fontId="4" fillId="0" borderId="1" xfId="0" quotePrefix="1" applyNumberFormat="1" applyFont="1" applyBorder="1" applyAlignment="1">
      <alignment horizontal="center" vertical="center"/>
    </xf>
    <xf numFmtId="167" fontId="0" fillId="0" borderId="1" xfId="1" applyNumberFormat="1" applyFont="1" applyFill="1" applyBorder="1" applyAlignment="1">
      <alignment vertical="center"/>
    </xf>
    <xf numFmtId="0" fontId="0" fillId="0" borderId="1" xfId="0" applyFont="1" applyBorder="1" applyAlignment="1">
      <alignment horizontal="left" vertical="center"/>
    </xf>
    <xf numFmtId="49" fontId="0" fillId="0" borderId="1" xfId="0" applyNumberFormat="1" applyFont="1" applyBorder="1" applyAlignment="1">
      <alignment horizontal="center" vertical="center"/>
    </xf>
    <xf numFmtId="167" fontId="4" fillId="0" borderId="1" xfId="1" applyNumberFormat="1" applyFont="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xf>
    <xf numFmtId="0" fontId="20" fillId="0" borderId="0" xfId="3" applyFont="1" applyBorder="1" applyAlignment="1">
      <alignment horizontal="left" vertical="center"/>
    </xf>
    <xf numFmtId="0" fontId="0" fillId="0" borderId="1" xfId="0" applyFill="1" applyBorder="1" applyAlignment="1">
      <alignment horizontal="center"/>
    </xf>
    <xf numFmtId="14" fontId="0" fillId="0" borderId="0" xfId="0" applyNumberFormat="1"/>
    <xf numFmtId="167" fontId="0" fillId="0" borderId="0" xfId="1" applyNumberFormat="1" applyFont="1"/>
    <xf numFmtId="17" fontId="0" fillId="0" borderId="1" xfId="0" quotePrefix="1" applyNumberFormat="1" applyBorder="1"/>
    <xf numFmtId="0" fontId="0" fillId="0" borderId="1" xfId="0" applyFont="1" applyBorder="1" applyAlignment="1">
      <alignment horizontal="center" vertical="center"/>
    </xf>
    <xf numFmtId="0" fontId="0" fillId="0" borderId="1" xfId="0" applyFill="1" applyBorder="1" applyAlignment="1">
      <alignment horizontal="center"/>
    </xf>
    <xf numFmtId="167" fontId="0" fillId="0" borderId="4" xfId="1" applyNumberFormat="1" applyFont="1" applyFill="1" applyBorder="1"/>
    <xf numFmtId="14" fontId="11" fillId="4" borderId="1" xfId="0" quotePrefix="1" applyNumberFormat="1" applyFont="1" applyFill="1" applyBorder="1" applyAlignment="1">
      <alignment horizontal="center" vertical="center"/>
    </xf>
    <xf numFmtId="0" fontId="0" fillId="4" borderId="1" xfId="0" quotePrefix="1" applyNumberFormat="1" applyFont="1" applyFill="1" applyBorder="1" applyAlignment="1">
      <alignment horizontal="center" vertical="center"/>
    </xf>
    <xf numFmtId="164" fontId="12" fillId="0" borderId="11" xfId="0" applyNumberFormat="1" applyFont="1" applyBorder="1" applyAlignment="1">
      <alignment horizontal="center" vertical="center"/>
    </xf>
    <xf numFmtId="0" fontId="0" fillId="0" borderId="1" xfId="0" applyFill="1" applyBorder="1" applyAlignment="1">
      <alignment horizontal="center"/>
    </xf>
    <xf numFmtId="14" fontId="0" fillId="0" borderId="1" xfId="0" applyNumberFormat="1" applyFill="1" applyBorder="1" applyAlignment="1">
      <alignment horizontal="center" vertical="center"/>
    </xf>
    <xf numFmtId="0" fontId="0" fillId="0" borderId="0" xfId="0" applyAlignment="1">
      <alignment horizontal="center"/>
    </xf>
    <xf numFmtId="166" fontId="0" fillId="0" borderId="0" xfId="1" applyFont="1"/>
    <xf numFmtId="171" fontId="0" fillId="0" borderId="0" xfId="1" applyNumberFormat="1" applyFont="1"/>
    <xf numFmtId="41" fontId="0" fillId="0" borderId="1" xfId="0" applyNumberFormat="1" applyFill="1" applyBorder="1" applyAlignment="1">
      <alignment horizontal="center" vertical="center"/>
    </xf>
    <xf numFmtId="41" fontId="0" fillId="0" borderId="1" xfId="0" applyNumberFormat="1" applyBorder="1" applyAlignment="1">
      <alignment horizontal="center" vertical="center"/>
    </xf>
    <xf numFmtId="167" fontId="0" fillId="0" borderId="0" xfId="1" applyNumberFormat="1" applyFont="1" applyAlignment="1">
      <alignment vertical="center"/>
    </xf>
    <xf numFmtId="41" fontId="0" fillId="0" borderId="1" xfId="0" applyNumberFormat="1" applyFill="1" applyBorder="1" applyAlignment="1">
      <alignment vertical="center"/>
    </xf>
    <xf numFmtId="14" fontId="0" fillId="10" borderId="1" xfId="0" applyNumberFormat="1" applyFill="1" applyBorder="1" applyAlignment="1">
      <alignment horizontal="center" vertical="center"/>
    </xf>
    <xf numFmtId="0" fontId="0" fillId="0" borderId="14" xfId="0" applyFill="1" applyBorder="1" applyAlignment="1">
      <alignment horizontal="center" vertical="center"/>
    </xf>
    <xf numFmtId="41" fontId="0" fillId="0" borderId="14" xfId="0" applyNumberFormat="1" applyFill="1" applyBorder="1" applyAlignment="1">
      <alignment horizontal="center" vertical="center"/>
    </xf>
    <xf numFmtId="167" fontId="0" fillId="10" borderId="1" xfId="1" applyNumberFormat="1" applyFont="1" applyFill="1" applyBorder="1" applyAlignment="1">
      <alignment horizontal="center" vertical="center"/>
    </xf>
    <xf numFmtId="41" fontId="0" fillId="0" borderId="7" xfId="0" applyNumberFormat="1" applyBorder="1" applyAlignment="1">
      <alignment horizontal="center" vertical="center"/>
    </xf>
    <xf numFmtId="171" fontId="0" fillId="10" borderId="1" xfId="1" applyNumberFormat="1" applyFont="1" applyFill="1" applyBorder="1" applyAlignment="1">
      <alignment horizontal="center" vertical="center"/>
    </xf>
    <xf numFmtId="0" fontId="0" fillId="0" borderId="0" xfId="0" applyFill="1" applyBorder="1" applyAlignment="1">
      <alignment horizontal="center" vertical="center"/>
    </xf>
    <xf numFmtId="41" fontId="0" fillId="0" borderId="0" xfId="0" applyNumberFormat="1" applyFill="1" applyBorder="1" applyAlignment="1">
      <alignment horizontal="center" vertical="center"/>
    </xf>
    <xf numFmtId="0" fontId="0" fillId="0" borderId="0" xfId="0" applyFill="1" applyBorder="1" applyAlignment="1">
      <alignment vertical="center"/>
    </xf>
    <xf numFmtId="41" fontId="0" fillId="0" borderId="0" xfId="0" applyNumberFormat="1" applyFill="1" applyBorder="1" applyAlignment="1">
      <alignment vertical="center"/>
    </xf>
    <xf numFmtId="167" fontId="0" fillId="10" borderId="1" xfId="1" applyNumberFormat="1" applyFont="1" applyFill="1" applyBorder="1" applyAlignment="1">
      <alignment vertical="center"/>
    </xf>
    <xf numFmtId="167" fontId="0" fillId="0" borderId="4" xfId="1" applyNumberFormat="1" applyFont="1" applyBorder="1" applyAlignment="1">
      <alignment horizontal="center" vertical="center"/>
    </xf>
    <xf numFmtId="167" fontId="0" fillId="10" borderId="4" xfId="1" applyNumberFormat="1" applyFont="1" applyFill="1" applyBorder="1" applyAlignment="1">
      <alignment horizontal="center" vertical="center"/>
    </xf>
    <xf numFmtId="171" fontId="0" fillId="10" borderId="4" xfId="1" applyNumberFormat="1" applyFont="1" applyFill="1" applyBorder="1" applyAlignment="1">
      <alignment horizontal="center" vertical="center"/>
    </xf>
    <xf numFmtId="167" fontId="0" fillId="0" borderId="4" xfId="1" applyNumberFormat="1" applyFont="1" applyBorder="1" applyAlignment="1">
      <alignment vertical="center"/>
    </xf>
    <xf numFmtId="0" fontId="0" fillId="0" borderId="4" xfId="0" applyBorder="1"/>
    <xf numFmtId="167" fontId="6" fillId="5" borderId="1" xfId="1" applyNumberFormat="1" applyFont="1" applyFill="1" applyBorder="1" applyAlignment="1">
      <alignment horizontal="center" vertical="center"/>
    </xf>
    <xf numFmtId="167" fontId="7" fillId="3" borderId="0" xfId="0" applyNumberFormat="1" applyFont="1" applyFill="1" applyAlignment="1">
      <alignment vertical="center"/>
    </xf>
    <xf numFmtId="0" fontId="0" fillId="0" borderId="1" xfId="0" applyFill="1" applyBorder="1" applyAlignment="1">
      <alignment horizontal="center"/>
    </xf>
    <xf numFmtId="0" fontId="20" fillId="0" borderId="1" xfId="0" applyFont="1" applyBorder="1" applyAlignment="1">
      <alignment horizontal="left" vertical="center"/>
    </xf>
    <xf numFmtId="14" fontId="0" fillId="0" borderId="1" xfId="0" applyNumberFormat="1" applyFill="1" applyBorder="1" applyAlignment="1">
      <alignment horizontal="left" vertical="center"/>
    </xf>
    <xf numFmtId="167" fontId="0" fillId="0" borderId="5" xfId="1" applyNumberFormat="1" applyFont="1" applyBorder="1" applyAlignment="1">
      <alignment vertical="center"/>
    </xf>
    <xf numFmtId="0" fontId="0" fillId="0" borderId="0" xfId="0" applyAlignment="1">
      <alignment vertical="center"/>
    </xf>
    <xf numFmtId="0" fontId="6" fillId="10" borderId="3" xfId="0" applyFont="1" applyFill="1" applyBorder="1" applyAlignment="1">
      <alignment vertical="center"/>
    </xf>
    <xf numFmtId="14" fontId="0" fillId="10" borderId="3" xfId="0" applyNumberForma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4" fontId="0" fillId="0" borderId="1" xfId="0" applyNumberFormat="1" applyFill="1" applyBorder="1" applyAlignment="1">
      <alignment horizontal="center" vertical="center"/>
    </xf>
    <xf numFmtId="0" fontId="9" fillId="0" borderId="0" xfId="0" applyFont="1" applyFill="1" applyAlignment="1">
      <alignment vertical="center"/>
    </xf>
    <xf numFmtId="0" fontId="6" fillId="10" borderId="1" xfId="0" applyFont="1" applyFill="1" applyBorder="1" applyAlignment="1">
      <alignment horizontal="center" wrapText="1"/>
    </xf>
    <xf numFmtId="167" fontId="6" fillId="3" borderId="0" xfId="0" applyNumberFormat="1" applyFont="1" applyFill="1" applyAlignment="1">
      <alignment vertical="center"/>
    </xf>
    <xf numFmtId="0" fontId="9" fillId="3" borderId="0" xfId="0" applyFont="1" applyFill="1" applyAlignment="1">
      <alignment horizontal="center" vertical="center"/>
    </xf>
    <xf numFmtId="167" fontId="6" fillId="10" borderId="4" xfId="1" applyNumberFormat="1" applyFont="1" applyFill="1" applyBorder="1" applyAlignment="1">
      <alignment horizontal="center" vertical="center"/>
    </xf>
    <xf numFmtId="167" fontId="6" fillId="5" borderId="1" xfId="1" applyNumberFormat="1" applyFont="1" applyFill="1" applyBorder="1" applyAlignment="1">
      <alignment horizontal="center" wrapText="1"/>
    </xf>
    <xf numFmtId="167" fontId="6" fillId="5" borderId="1" xfId="1" applyNumberFormat="1" applyFont="1" applyFill="1" applyBorder="1" applyAlignment="1">
      <alignment horizontal="center" vertical="center" wrapText="1"/>
    </xf>
    <xf numFmtId="0" fontId="6" fillId="5" borderId="1" xfId="0" applyFont="1" applyFill="1" applyBorder="1" applyAlignment="1">
      <alignment horizontal="center" wrapText="1"/>
    </xf>
    <xf numFmtId="167" fontId="0" fillId="0" borderId="0" xfId="1" applyNumberFormat="1" applyFont="1" applyAlignment="1">
      <alignment horizontal="center"/>
    </xf>
    <xf numFmtId="14" fontId="0" fillId="0" borderId="5" xfId="0" applyNumberFormat="1" applyFill="1" applyBorder="1" applyAlignment="1">
      <alignment vertical="center"/>
    </xf>
    <xf numFmtId="167" fontId="0" fillId="0" borderId="5" xfId="1" applyNumberFormat="1" applyFont="1" applyFill="1" applyBorder="1" applyAlignment="1">
      <alignment vertical="center"/>
    </xf>
    <xf numFmtId="0" fontId="9" fillId="5" borderId="1" xfId="0" applyFont="1" applyFill="1" applyBorder="1" applyAlignment="1">
      <alignment horizontal="center" vertical="center"/>
    </xf>
    <xf numFmtId="0" fontId="0" fillId="0" borderId="1" xfId="0" applyFill="1" applyBorder="1" applyAlignment="1">
      <alignment horizontal="center"/>
    </xf>
    <xf numFmtId="0" fontId="7" fillId="0" borderId="3" xfId="0" applyFont="1" applyFill="1" applyBorder="1" applyAlignment="1">
      <alignment horizontal="center" vertical="center"/>
    </xf>
    <xf numFmtId="167" fontId="0" fillId="7" borderId="0" xfId="0" applyNumberFormat="1" applyFill="1"/>
    <xf numFmtId="167" fontId="7" fillId="0" borderId="1" xfId="0" applyNumberFormat="1" applyFont="1" applyFill="1" applyBorder="1" applyAlignment="1">
      <alignment horizontal="center" vertical="center" wrapText="1"/>
    </xf>
    <xf numFmtId="167" fontId="7" fillId="0" borderId="1" xfId="0" applyNumberFormat="1" applyFont="1" applyFill="1" applyBorder="1" applyAlignment="1">
      <alignment horizontal="center" vertical="center"/>
    </xf>
    <xf numFmtId="0" fontId="11" fillId="0" borderId="1" xfId="8" applyFont="1" applyBorder="1" applyAlignment="1">
      <alignment horizontal="center" vertical="center"/>
    </xf>
    <xf numFmtId="15" fontId="11" fillId="0" borderId="1" xfId="8" applyNumberFormat="1" applyFont="1" applyBorder="1" applyAlignment="1">
      <alignment horizontal="center" vertical="center"/>
    </xf>
    <xf numFmtId="0" fontId="9" fillId="5" borderId="1" xfId="0" applyFont="1" applyFill="1" applyBorder="1" applyAlignment="1">
      <alignment horizontal="center" vertical="center"/>
    </xf>
    <xf numFmtId="167" fontId="7" fillId="0" borderId="3" xfId="1" applyNumberFormat="1" applyFont="1" applyFill="1" applyBorder="1" applyAlignment="1">
      <alignment horizontal="center" vertical="center"/>
    </xf>
    <xf numFmtId="14" fontId="0" fillId="0" borderId="1" xfId="0" applyNumberFormat="1" applyBorder="1" applyAlignment="1">
      <alignment horizontal="center" vertical="center"/>
    </xf>
    <xf numFmtId="167" fontId="18" fillId="7" borderId="1" xfId="0" applyNumberFormat="1" applyFont="1" applyFill="1" applyBorder="1" applyAlignment="1">
      <alignment vertical="center"/>
    </xf>
    <xf numFmtId="0" fontId="0" fillId="0" borderId="1" xfId="0" applyBorder="1" applyAlignment="1">
      <alignment horizontal="center" vertical="center"/>
    </xf>
    <xf numFmtId="167" fontId="0" fillId="0" borderId="5" xfId="1" applyNumberFormat="1" applyFont="1" applyFill="1" applyBorder="1" applyAlignment="1">
      <alignment horizontal="center" vertical="center"/>
    </xf>
    <xf numFmtId="167" fontId="0" fillId="0" borderId="5" xfId="1" applyNumberFormat="1" applyFont="1" applyBorder="1" applyAlignment="1">
      <alignment horizontal="center" vertical="center"/>
    </xf>
    <xf numFmtId="14" fontId="0" fillId="0" borderId="5" xfId="0" applyNumberFormat="1" applyFill="1" applyBorder="1" applyAlignment="1">
      <alignment horizontal="center" vertical="center"/>
    </xf>
    <xf numFmtId="0" fontId="0" fillId="0" borderId="5" xfId="0" applyFont="1" applyBorder="1" applyAlignment="1">
      <alignment horizontal="center" vertical="center"/>
    </xf>
    <xf numFmtId="0" fontId="0" fillId="0" borderId="5" xfId="0" applyFill="1" applyBorder="1" applyAlignment="1">
      <alignment horizontal="left" vertical="center"/>
    </xf>
    <xf numFmtId="167" fontId="8" fillId="0" borderId="5" xfId="1" applyNumberFormat="1" applyFont="1" applyFill="1" applyBorder="1" applyAlignment="1">
      <alignment horizontal="center" vertical="center"/>
    </xf>
    <xf numFmtId="0" fontId="21" fillId="4" borderId="1" xfId="0" quotePrefix="1" applyNumberFormat="1" applyFont="1" applyFill="1" applyBorder="1" applyAlignment="1">
      <alignment horizontal="center" vertical="center" wrapText="1"/>
    </xf>
    <xf numFmtId="14" fontId="21" fillId="4" borderId="1" xfId="0" quotePrefix="1" applyNumberFormat="1" applyFont="1" applyFill="1" applyBorder="1" applyAlignment="1">
      <alignment horizontal="center" vertical="center" wrapText="1"/>
    </xf>
    <xf numFmtId="0" fontId="0" fillId="0" borderId="5" xfId="0" applyFill="1" applyBorder="1" applyAlignment="1">
      <alignment vertical="center"/>
    </xf>
    <xf numFmtId="167" fontId="8" fillId="0" borderId="5" xfId="1" applyNumberFormat="1" applyFont="1" applyFill="1" applyBorder="1" applyAlignment="1">
      <alignment vertical="center"/>
    </xf>
    <xf numFmtId="0" fontId="0" fillId="0" borderId="5" xfId="0" applyFont="1" applyBorder="1" applyAlignment="1">
      <alignment vertical="center"/>
    </xf>
    <xf numFmtId="164" fontId="12" fillId="0" borderId="5" xfId="0" applyNumberFormat="1" applyFont="1" applyBorder="1" applyAlignment="1">
      <alignment vertical="center"/>
    </xf>
    <xf numFmtId="0" fontId="7" fillId="0" borderId="1" xfId="8" applyFont="1" applyBorder="1" applyAlignment="1">
      <alignment horizontal="center" vertical="center"/>
    </xf>
    <xf numFmtId="0" fontId="0" fillId="0" borderId="1" xfId="0" applyFill="1" applyBorder="1" applyAlignment="1">
      <alignment horizontal="center"/>
    </xf>
    <xf numFmtId="167" fontId="4" fillId="0" borderId="1" xfId="1" applyNumberFormat="1" applyFont="1" applyFill="1" applyBorder="1" applyAlignment="1">
      <alignment horizontal="center" vertical="center"/>
    </xf>
    <xf numFmtId="0" fontId="7" fillId="11" borderId="1" xfId="8" applyFont="1" applyFill="1" applyBorder="1" applyAlignment="1">
      <alignment horizontal="center" vertical="center"/>
    </xf>
    <xf numFmtId="0" fontId="7" fillId="11" borderId="1" xfId="8" applyFont="1" applyFill="1" applyBorder="1" applyAlignment="1">
      <alignment horizontal="center" vertical="center" wrapText="1"/>
    </xf>
    <xf numFmtId="0" fontId="7" fillId="11" borderId="1" xfId="0" applyFont="1" applyFill="1" applyBorder="1" applyAlignment="1">
      <alignment horizontal="center" vertical="center" wrapText="1"/>
    </xf>
    <xf numFmtId="0" fontId="7" fillId="11" borderId="5" xfId="0"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0" fillId="0" borderId="7" xfId="0" applyBorder="1" applyAlignment="1"/>
    <xf numFmtId="0" fontId="0" fillId="0" borderId="3" xfId="0" applyBorder="1" applyAlignment="1"/>
    <xf numFmtId="0" fontId="0" fillId="0" borderId="1" xfId="0" applyBorder="1" applyAlignment="1"/>
    <xf numFmtId="174" fontId="0" fillId="0" borderId="4" xfId="1" applyNumberFormat="1" applyFont="1" applyFill="1" applyBorder="1" applyAlignment="1">
      <alignment horizontal="center"/>
    </xf>
    <xf numFmtId="173" fontId="0" fillId="0" borderId="1" xfId="0" applyNumberFormat="1" applyBorder="1" applyAlignment="1">
      <alignment horizontal="center" vertical="center"/>
    </xf>
    <xf numFmtId="0" fontId="0" fillId="0" borderId="1" xfId="0" applyNumberFormat="1" applyBorder="1" applyAlignment="1">
      <alignment horizontal="center"/>
    </xf>
    <xf numFmtId="0" fontId="0" fillId="0" borderId="1" xfId="0" applyFont="1" applyBorder="1" applyAlignment="1"/>
    <xf numFmtId="0" fontId="0" fillId="0" borderId="1" xfId="0" applyFont="1" applyBorder="1" applyAlignment="1">
      <alignment vertical="center"/>
    </xf>
    <xf numFmtId="0" fontId="11" fillId="0" borderId="1" xfId="8" applyFont="1" applyBorder="1" applyAlignment="1">
      <alignment vertical="center"/>
    </xf>
    <xf numFmtId="0" fontId="0" fillId="0" borderId="1" xfId="0" applyFont="1" applyFill="1" applyBorder="1" applyAlignment="1">
      <alignment vertical="center"/>
    </xf>
    <xf numFmtId="167" fontId="11" fillId="0" borderId="1" xfId="1" applyNumberFormat="1" applyFont="1" applyBorder="1" applyAlignment="1">
      <alignment horizontal="center" vertical="center"/>
    </xf>
    <xf numFmtId="14" fontId="11" fillId="0" borderId="1" xfId="8" applyNumberFormat="1" applyFont="1" applyBorder="1" applyAlignment="1">
      <alignment horizontal="center" vertical="center" wrapText="1"/>
    </xf>
    <xf numFmtId="0" fontId="7" fillId="11" borderId="11" xfId="0" applyNumberFormat="1" applyFont="1" applyFill="1" applyBorder="1" applyAlignment="1">
      <alignment horizontal="center" vertical="center"/>
    </xf>
    <xf numFmtId="0" fontId="7" fillId="11" borderId="5" xfId="0" applyNumberFormat="1" applyFont="1" applyFill="1" applyBorder="1" applyAlignment="1">
      <alignment horizontal="center" vertical="center"/>
    </xf>
    <xf numFmtId="0" fontId="6" fillId="11" borderId="5" xfId="0" applyFont="1" applyFill="1" applyBorder="1" applyAlignment="1">
      <alignment vertical="center"/>
    </xf>
    <xf numFmtId="0" fontId="7" fillId="11" borderId="5" xfId="0" applyNumberFormat="1" applyFont="1" applyFill="1" applyBorder="1" applyAlignment="1">
      <alignment horizontal="center" vertical="center" wrapText="1"/>
    </xf>
    <xf numFmtId="167" fontId="0" fillId="0" borderId="1" xfId="1" applyNumberFormat="1" applyFont="1" applyFill="1" applyBorder="1" applyAlignment="1"/>
    <xf numFmtId="173" fontId="0" fillId="0" borderId="1" xfId="0" quotePrefix="1" applyNumberFormat="1" applyBorder="1" applyAlignment="1">
      <alignment horizontal="center" vertical="center"/>
    </xf>
    <xf numFmtId="0" fontId="9" fillId="5" borderId="1" xfId="0" applyFont="1" applyFill="1" applyBorder="1" applyAlignment="1">
      <alignment vertical="center"/>
    </xf>
    <xf numFmtId="167" fontId="9" fillId="5" borderId="1" xfId="0" applyNumberFormat="1" applyFont="1" applyFill="1" applyBorder="1" applyAlignment="1">
      <alignment vertical="center"/>
    </xf>
    <xf numFmtId="14" fontId="0" fillId="0" borderId="1" xfId="1" applyNumberFormat="1" applyFont="1" applyFill="1" applyBorder="1" applyAlignment="1">
      <alignment vertical="center"/>
    </xf>
    <xf numFmtId="174" fontId="0" fillId="0" borderId="1" xfId="1" quotePrefix="1" applyNumberFormat="1" applyFont="1" applyFill="1" applyBorder="1" applyAlignment="1">
      <alignment horizontal="center" vertical="center"/>
    </xf>
    <xf numFmtId="173" fontId="0" fillId="0" borderId="1" xfId="0" applyNumberFormat="1" applyBorder="1" applyAlignment="1">
      <alignment horizontal="center"/>
    </xf>
    <xf numFmtId="171" fontId="0" fillId="0" borderId="1" xfId="0" applyNumberFormat="1" applyFont="1" applyFill="1" applyBorder="1" applyAlignment="1">
      <alignment horizontal="center" vertical="center"/>
    </xf>
    <xf numFmtId="171" fontId="4" fillId="0" borderId="1" xfId="0" applyNumberFormat="1" applyFont="1" applyBorder="1" applyAlignment="1">
      <alignment horizontal="center" vertical="center"/>
    </xf>
    <xf numFmtId="171" fontId="4" fillId="0" borderId="1" xfId="8" applyNumberFormat="1" applyFont="1" applyFill="1" applyBorder="1" applyAlignment="1">
      <alignment horizontal="center" vertical="center" wrapText="1"/>
    </xf>
    <xf numFmtId="171" fontId="0" fillId="0" borderId="1" xfId="0" applyNumberFormat="1" applyBorder="1" applyAlignment="1">
      <alignment horizontal="center" vertical="center"/>
    </xf>
    <xf numFmtId="171" fontId="0" fillId="0" borderId="1" xfId="0" applyNumberFormat="1" applyFill="1" applyBorder="1" applyAlignment="1">
      <alignment horizontal="center" vertical="center"/>
    </xf>
    <xf numFmtId="14" fontId="0" fillId="0" borderId="1" xfId="1" quotePrefix="1" applyNumberFormat="1" applyFont="1" applyFill="1" applyBorder="1" applyAlignment="1">
      <alignment horizontal="center" vertical="center"/>
    </xf>
    <xf numFmtId="15" fontId="7" fillId="10" borderId="1" xfId="8" applyNumberFormat="1" applyFont="1" applyFill="1" applyBorder="1" applyAlignment="1">
      <alignment horizontal="center" vertical="center"/>
    </xf>
    <xf numFmtId="0" fontId="7" fillId="10" borderId="5" xfId="8" applyFont="1" applyFill="1" applyBorder="1" applyAlignment="1">
      <alignment horizontal="center" vertical="center"/>
    </xf>
    <xf numFmtId="0" fontId="7" fillId="10" borderId="1" xfId="8" applyFont="1" applyFill="1" applyBorder="1" applyAlignment="1">
      <alignment horizontal="center" vertical="center"/>
    </xf>
    <xf numFmtId="168" fontId="7" fillId="10" borderId="5" xfId="1" applyNumberFormat="1" applyFont="1" applyFill="1" applyBorder="1" applyAlignment="1">
      <alignment horizontal="center" vertical="center"/>
    </xf>
    <xf numFmtId="0" fontId="7" fillId="10" borderId="1" xfId="8"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10" borderId="5" xfId="0" applyFont="1" applyFill="1" applyBorder="1" applyAlignment="1">
      <alignment horizontal="center" vertical="center"/>
    </xf>
    <xf numFmtId="0" fontId="7" fillId="10" borderId="1" xfId="0" applyNumberFormat="1" applyFont="1" applyFill="1" applyBorder="1" applyAlignment="1">
      <alignment horizontal="center" vertical="center"/>
    </xf>
    <xf numFmtId="0" fontId="7" fillId="10" borderId="11" xfId="0" applyNumberFormat="1" applyFont="1" applyFill="1" applyBorder="1" applyAlignment="1">
      <alignment horizontal="center" vertical="center"/>
    </xf>
    <xf numFmtId="0" fontId="6" fillId="10" borderId="5" xfId="0" applyFont="1" applyFill="1" applyBorder="1" applyAlignment="1">
      <alignment horizontal="center" vertical="center" wrapText="1"/>
    </xf>
    <xf numFmtId="0" fontId="6" fillId="10" borderId="1" xfId="0" applyFont="1" applyFill="1" applyBorder="1" applyAlignment="1">
      <alignment vertical="center"/>
    </xf>
    <xf numFmtId="0" fontId="7" fillId="10"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0" fontId="0" fillId="12" borderId="1" xfId="0" applyFill="1" applyBorder="1" applyAlignment="1">
      <alignment horizontal="center" vertical="center"/>
    </xf>
    <xf numFmtId="0" fontId="11" fillId="12" borderId="1" xfId="0" quotePrefix="1" applyNumberFormat="1" applyFont="1" applyFill="1" applyBorder="1" applyAlignment="1">
      <alignment horizontal="center" vertical="center"/>
    </xf>
    <xf numFmtId="0" fontId="0" fillId="12" borderId="1" xfId="0" applyFill="1" applyBorder="1" applyAlignment="1">
      <alignment horizontal="left"/>
    </xf>
    <xf numFmtId="0" fontId="0" fillId="12" borderId="1" xfId="0" applyFill="1" applyBorder="1" applyAlignment="1">
      <alignment horizontal="left" vertical="center"/>
    </xf>
    <xf numFmtId="167" fontId="8" fillId="12" borderId="1" xfId="1" applyNumberFormat="1" applyFont="1" applyFill="1" applyBorder="1" applyAlignment="1">
      <alignment horizontal="center" vertical="center"/>
    </xf>
    <xf numFmtId="14" fontId="0" fillId="12" borderId="1" xfId="0" applyNumberFormat="1" applyFill="1" applyBorder="1" applyAlignment="1">
      <alignment horizontal="center" vertical="center"/>
    </xf>
    <xf numFmtId="171" fontId="0" fillId="12" borderId="1" xfId="1" applyNumberFormat="1" applyFont="1" applyFill="1" applyBorder="1" applyAlignment="1">
      <alignment horizontal="center" vertical="center"/>
    </xf>
    <xf numFmtId="167" fontId="0" fillId="12" borderId="1" xfId="1" applyNumberFormat="1" applyFont="1" applyFill="1" applyBorder="1" applyAlignment="1">
      <alignment horizontal="center" vertical="center"/>
    </xf>
    <xf numFmtId="167" fontId="6" fillId="12" borderId="1" xfId="1" applyNumberFormat="1" applyFont="1" applyFill="1" applyBorder="1" applyAlignment="1">
      <alignment horizontal="center" wrapText="1"/>
    </xf>
    <xf numFmtId="0" fontId="0" fillId="12" borderId="1" xfId="0" applyFill="1" applyBorder="1"/>
    <xf numFmtId="41" fontId="0" fillId="12" borderId="1" xfId="0" applyNumberFormat="1" applyFill="1" applyBorder="1" applyAlignment="1">
      <alignment horizontal="center" vertical="center"/>
    </xf>
    <xf numFmtId="167" fontId="0" fillId="12" borderId="1" xfId="1" applyNumberFormat="1" applyFont="1" applyFill="1" applyBorder="1"/>
    <xf numFmtId="41" fontId="0" fillId="0" borderId="0" xfId="9" applyFont="1"/>
    <xf numFmtId="167" fontId="0" fillId="14" borderId="1" xfId="1" applyNumberFormat="1" applyFont="1" applyFill="1" applyBorder="1"/>
    <xf numFmtId="167" fontId="0" fillId="14" borderId="1" xfId="1" applyNumberFormat="1" applyFont="1" applyFill="1" applyBorder="1" applyAlignment="1">
      <alignment vertical="center"/>
    </xf>
    <xf numFmtId="41" fontId="20" fillId="0" borderId="1" xfId="9" applyNumberFormat="1" applyFont="1" applyFill="1" applyBorder="1"/>
    <xf numFmtId="167" fontId="10" fillId="4" borderId="1" xfId="5" applyNumberFormat="1" applyFont="1" applyFill="1" applyBorder="1" applyAlignment="1">
      <alignment horizontal="left" vertical="center" wrapText="1"/>
    </xf>
    <xf numFmtId="167" fontId="4" fillId="0" borderId="1" xfId="1" applyNumberFormat="1" applyFont="1" applyFill="1" applyBorder="1" applyAlignment="1">
      <alignment horizontal="center" vertical="center"/>
    </xf>
    <xf numFmtId="0" fontId="11" fillId="0" borderId="1" xfId="8" applyFont="1" applyBorder="1" applyAlignment="1">
      <alignment horizontal="left" vertical="center" wrapText="1"/>
    </xf>
    <xf numFmtId="167" fontId="7" fillId="0" borderId="1" xfId="1" applyNumberFormat="1" applyFont="1" applyFill="1" applyBorder="1" applyAlignment="1">
      <alignment horizontal="left" vertical="center"/>
    </xf>
    <xf numFmtId="0" fontId="0" fillId="0" borderId="1" xfId="0" applyFill="1" applyBorder="1" applyAlignment="1">
      <alignment horizontal="center"/>
    </xf>
    <xf numFmtId="0" fontId="7" fillId="0" borderId="3" xfId="0" applyFont="1" applyFill="1" applyBorder="1" applyAlignment="1">
      <alignment horizontal="center" vertical="center"/>
    </xf>
    <xf numFmtId="167" fontId="7" fillId="0" borderId="3" xfId="1" applyNumberFormat="1" applyFont="1" applyFill="1" applyBorder="1" applyAlignment="1">
      <alignment horizontal="center" vertical="center"/>
    </xf>
    <xf numFmtId="173" fontId="0" fillId="0" borderId="5" xfId="0" applyNumberFormat="1" applyBorder="1" applyAlignment="1">
      <alignment vertical="center"/>
    </xf>
    <xf numFmtId="167" fontId="5" fillId="0" borderId="0" xfId="1" applyNumberFormat="1" applyFont="1" applyFill="1"/>
    <xf numFmtId="167" fontId="20" fillId="0" borderId="0" xfId="1" applyNumberFormat="1" applyFont="1" applyFill="1"/>
    <xf numFmtId="167" fontId="20" fillId="0" borderId="5" xfId="1" applyNumberFormat="1" applyFont="1" applyFill="1" applyBorder="1" applyAlignment="1"/>
    <xf numFmtId="167" fontId="20" fillId="0" borderId="1" xfId="1" applyNumberFormat="1" applyFont="1" applyFill="1" applyBorder="1"/>
    <xf numFmtId="167" fontId="20" fillId="0" borderId="5" xfId="1" applyNumberFormat="1" applyFont="1" applyFill="1" applyBorder="1" applyAlignment="1">
      <alignment horizontal="center"/>
    </xf>
    <xf numFmtId="14" fontId="0" fillId="0" borderId="0" xfId="0" applyNumberFormat="1" applyAlignment="1"/>
    <xf numFmtId="14" fontId="0" fillId="0" borderId="0" xfId="1" applyNumberFormat="1" applyFont="1" applyAlignment="1"/>
    <xf numFmtId="14" fontId="0" fillId="10" borderId="1" xfId="1" applyNumberFormat="1" applyFont="1" applyFill="1" applyBorder="1" applyAlignment="1">
      <alignment horizontal="center" vertical="center"/>
    </xf>
    <xf numFmtId="167" fontId="0" fillId="0" borderId="0" xfId="0" applyNumberFormat="1" applyAlignment="1">
      <alignment horizontal="center"/>
    </xf>
    <xf numFmtId="167" fontId="2" fillId="0" borderId="1" xfId="1" applyNumberFormat="1" applyFont="1" applyFill="1" applyBorder="1" applyAlignment="1">
      <alignment horizontal="center" vertical="center"/>
    </xf>
    <xf numFmtId="14" fontId="0" fillId="0" borderId="0" xfId="1" applyNumberFormat="1" applyFont="1"/>
    <xf numFmtId="0" fontId="0" fillId="0" borderId="1" xfId="0" applyFill="1" applyBorder="1" applyAlignment="1">
      <alignment horizontal="center"/>
    </xf>
    <xf numFmtId="167" fontId="0" fillId="0" borderId="1" xfId="1" applyNumberFormat="1" applyFont="1" applyBorder="1" applyAlignment="1">
      <alignment horizontal="center" vertical="center"/>
    </xf>
    <xf numFmtId="0" fontId="7" fillId="0" borderId="1" xfId="0" applyFont="1" applyFill="1" applyBorder="1" applyAlignment="1">
      <alignment horizontal="center" vertical="center"/>
    </xf>
    <xf numFmtId="14" fontId="0" fillId="0" borderId="1" xfId="0" applyNumberFormat="1" applyFill="1" applyBorder="1" applyAlignment="1">
      <alignment horizontal="center" vertical="center"/>
    </xf>
    <xf numFmtId="14" fontId="0" fillId="0" borderId="4" xfId="1" applyNumberFormat="1" applyFont="1" applyFill="1" applyBorder="1" applyAlignment="1">
      <alignment horizontal="center"/>
    </xf>
    <xf numFmtId="167" fontId="7" fillId="0" borderId="1" xfId="1" applyNumberFormat="1" applyFont="1" applyFill="1" applyBorder="1" applyAlignment="1">
      <alignment horizontal="center" vertical="center" wrapText="1"/>
    </xf>
    <xf numFmtId="0" fontId="7" fillId="0" borderId="1" xfId="8" applyFont="1" applyBorder="1" applyAlignment="1">
      <alignment vertical="center"/>
    </xf>
    <xf numFmtId="15" fontId="7" fillId="0" borderId="1" xfId="8" applyNumberFormat="1" applyFont="1" applyBorder="1" applyAlignment="1">
      <alignment vertical="center"/>
    </xf>
    <xf numFmtId="168" fontId="7" fillId="0" borderId="1" xfId="1" applyNumberFormat="1" applyFont="1" applyBorder="1" applyAlignment="1">
      <alignment vertical="center"/>
    </xf>
    <xf numFmtId="0" fontId="7" fillId="0" borderId="5" xfId="8" applyFont="1" applyBorder="1" applyAlignment="1">
      <alignment vertical="center" wrapText="1"/>
    </xf>
    <xf numFmtId="0" fontId="7" fillId="0" borderId="5" xfId="0" applyFont="1" applyFill="1" applyBorder="1" applyAlignment="1">
      <alignment vertical="center" wrapText="1"/>
    </xf>
    <xf numFmtId="0" fontId="7" fillId="0" borderId="1" xfId="0" applyFont="1" applyFill="1" applyBorder="1" applyAlignment="1">
      <alignment vertical="center"/>
    </xf>
    <xf numFmtId="167" fontId="7" fillId="0" borderId="1" xfId="1" applyNumberFormat="1" applyFont="1" applyFill="1" applyBorder="1" applyAlignment="1">
      <alignment vertical="center"/>
    </xf>
    <xf numFmtId="0" fontId="7" fillId="0" borderId="1" xfId="0" applyNumberFormat="1" applyFont="1" applyFill="1" applyBorder="1" applyAlignment="1">
      <alignment vertical="center"/>
    </xf>
    <xf numFmtId="0" fontId="7" fillId="0" borderId="3" xfId="8" applyFont="1" applyBorder="1" applyAlignment="1">
      <alignment vertical="center" wrapText="1"/>
    </xf>
    <xf numFmtId="0" fontId="7" fillId="0" borderId="3" xfId="0" applyFont="1" applyFill="1" applyBorder="1" applyAlignment="1">
      <alignment vertical="center" wrapText="1"/>
    </xf>
    <xf numFmtId="0" fontId="0" fillId="0" borderId="5" xfId="0" applyBorder="1" applyAlignment="1">
      <alignment wrapText="1"/>
    </xf>
    <xf numFmtId="0" fontId="0" fillId="0" borderId="3" xfId="0" applyBorder="1" applyAlignment="1">
      <alignment wrapText="1"/>
    </xf>
    <xf numFmtId="14" fontId="9" fillId="3" borderId="4" xfId="0" quotePrefix="1" applyNumberFormat="1" applyFont="1" applyFill="1" applyBorder="1" applyAlignment="1">
      <alignment vertical="center"/>
    </xf>
    <xf numFmtId="14" fontId="9" fillId="3" borderId="2" xfId="0" applyNumberFormat="1" applyFont="1" applyFill="1" applyBorder="1" applyAlignment="1">
      <alignment vertical="center"/>
    </xf>
    <xf numFmtId="14" fontId="9" fillId="3" borderId="8" xfId="0" applyNumberFormat="1" applyFont="1" applyFill="1" applyBorder="1" applyAlignment="1">
      <alignment vertical="center"/>
    </xf>
    <xf numFmtId="171" fontId="0" fillId="0" borderId="1" xfId="0" applyNumberFormat="1" applyFill="1" applyBorder="1" applyAlignment="1">
      <alignment horizontal="center"/>
    </xf>
    <xf numFmtId="171" fontId="0" fillId="0" borderId="1" xfId="1" quotePrefix="1" applyNumberFormat="1" applyFont="1" applyFill="1" applyBorder="1" applyAlignment="1">
      <alignment horizontal="center" vertical="center"/>
    </xf>
    <xf numFmtId="0" fontId="7" fillId="0" borderId="3" xfId="0" applyFont="1" applyFill="1" applyBorder="1" applyAlignment="1">
      <alignment horizontal="center" vertical="center"/>
    </xf>
    <xf numFmtId="167" fontId="11" fillId="0" borderId="1" xfId="1" applyNumberFormat="1" applyFont="1" applyFill="1" applyBorder="1" applyAlignment="1">
      <alignment horizontal="center" vertical="center" wrapText="1"/>
    </xf>
    <xf numFmtId="0" fontId="0" fillId="7" borderId="0" xfId="0" applyFill="1" applyAlignment="1">
      <alignment vertical="center"/>
    </xf>
    <xf numFmtId="14" fontId="0" fillId="10" borderId="1" xfId="0" applyNumberFormat="1" applyFont="1" applyFill="1" applyBorder="1" applyAlignment="1">
      <alignment vertical="center"/>
    </xf>
    <xf numFmtId="0" fontId="0" fillId="0" borderId="1" xfId="0" applyBorder="1" applyAlignment="1">
      <alignment vertical="center" wrapText="1"/>
    </xf>
    <xf numFmtId="166" fontId="0" fillId="0" borderId="0" xfId="1" applyFont="1" applyAlignment="1">
      <alignment vertical="center"/>
    </xf>
    <xf numFmtId="167" fontId="0" fillId="0" borderId="0" xfId="0" applyNumberFormat="1" applyAlignment="1">
      <alignment vertical="center"/>
    </xf>
    <xf numFmtId="167" fontId="9" fillId="3" borderId="0" xfId="0" applyNumberFormat="1" applyFont="1" applyFill="1" applyAlignment="1">
      <alignment vertical="center"/>
    </xf>
    <xf numFmtId="167" fontId="18" fillId="3" borderId="0" xfId="0" applyNumberFormat="1" applyFont="1" applyFill="1" applyAlignment="1">
      <alignment vertical="center"/>
    </xf>
    <xf numFmtId="0" fontId="11" fillId="0" borderId="1" xfId="0" quotePrefix="1" applyNumberFormat="1" applyFont="1" applyFill="1" applyBorder="1" applyAlignment="1">
      <alignment horizontal="center" vertical="center"/>
    </xf>
    <xf numFmtId="15" fontId="12" fillId="4" borderId="1" xfId="0" quotePrefix="1" applyNumberFormat="1" applyFont="1" applyFill="1" applyBorder="1" applyAlignment="1">
      <alignment horizontal="center" vertical="center"/>
    </xf>
    <xf numFmtId="15" fontId="12" fillId="4" borderId="1" xfId="0" quotePrefix="1" applyNumberFormat="1" applyFont="1" applyFill="1" applyBorder="1" applyAlignment="1">
      <alignment horizontal="center" vertical="center" wrapText="1"/>
    </xf>
    <xf numFmtId="167" fontId="12" fillId="4" borderId="1" xfId="5" applyNumberFormat="1" applyFont="1" applyFill="1" applyBorder="1" applyAlignment="1">
      <alignment horizontal="left" vertical="center" wrapText="1"/>
    </xf>
    <xf numFmtId="0" fontId="11" fillId="0" borderId="1" xfId="0" applyFont="1" applyBorder="1" applyAlignment="1">
      <alignment horizontal="left" vertical="center" wrapText="1"/>
    </xf>
    <xf numFmtId="167" fontId="7" fillId="0" borderId="1" xfId="1" applyNumberFormat="1" applyFont="1" applyFill="1" applyBorder="1" applyAlignment="1">
      <alignment horizontal="center" vertical="center"/>
    </xf>
    <xf numFmtId="167" fontId="4" fillId="0" borderId="1" xfId="1" applyNumberFormat="1" applyFont="1" applyFill="1" applyBorder="1" applyAlignment="1">
      <alignment horizontal="center" vertical="center"/>
    </xf>
    <xf numFmtId="0" fontId="7" fillId="0" borderId="3" xfId="0" applyFont="1" applyFill="1" applyBorder="1" applyAlignment="1">
      <alignment horizontal="center" vertical="center"/>
    </xf>
    <xf numFmtId="171" fontId="0" fillId="0" borderId="1" xfId="0" applyNumberFormat="1" applyFill="1" applyBorder="1" applyAlignment="1">
      <alignment horizontal="center" vertical="center"/>
    </xf>
    <xf numFmtId="167" fontId="7" fillId="0" borderId="3" xfId="1" applyNumberFormat="1" applyFont="1" applyFill="1" applyBorder="1" applyAlignment="1">
      <alignment horizontal="center" vertical="center"/>
    </xf>
    <xf numFmtId="0" fontId="7" fillId="11" borderId="5" xfId="0" applyFont="1" applyFill="1" applyBorder="1" applyAlignment="1">
      <alignment horizontal="center" vertical="center"/>
    </xf>
    <xf numFmtId="0" fontId="7" fillId="11" borderId="1" xfId="0" applyNumberFormat="1"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9" fillId="5" borderId="1" xfId="0" applyFont="1" applyFill="1" applyBorder="1" applyAlignment="1">
      <alignment horizontal="center" vertical="center"/>
    </xf>
    <xf numFmtId="0" fontId="7" fillId="11" borderId="1" xfId="8" applyFont="1" applyFill="1" applyBorder="1" applyAlignment="1">
      <alignment horizontal="center" vertical="center" wrapText="1"/>
    </xf>
    <xf numFmtId="0" fontId="7" fillId="11" borderId="1" xfId="0" applyFont="1" applyFill="1" applyBorder="1" applyAlignment="1">
      <alignment horizontal="center" vertical="center" wrapText="1"/>
    </xf>
    <xf numFmtId="0" fontId="11" fillId="4" borderId="1" xfId="0" quotePrefix="1" applyNumberFormat="1" applyFont="1" applyFill="1" applyBorder="1" applyAlignment="1">
      <alignment horizontal="center" vertical="center" wrapText="1"/>
    </xf>
    <xf numFmtId="0" fontId="11" fillId="0" borderId="1" xfId="8" applyFont="1" applyBorder="1" applyAlignment="1">
      <alignment horizontal="center" vertical="center" wrapText="1"/>
    </xf>
    <xf numFmtId="14" fontId="6" fillId="0" borderId="1" xfId="0" applyNumberFormat="1" applyFont="1" applyBorder="1" applyAlignment="1">
      <alignment vertical="center"/>
    </xf>
    <xf numFmtId="14" fontId="6" fillId="3" borderId="1" xfId="0" applyNumberFormat="1" applyFont="1" applyFill="1" applyBorder="1" applyAlignment="1">
      <alignment vertical="center"/>
    </xf>
    <xf numFmtId="0" fontId="6" fillId="0" borderId="1" xfId="0" applyFont="1" applyBorder="1" applyAlignment="1">
      <alignment vertical="center"/>
    </xf>
    <xf numFmtId="0" fontId="6" fillId="3" borderId="1" xfId="0" applyFont="1" applyFill="1" applyBorder="1" applyAlignment="1">
      <alignment vertical="center"/>
    </xf>
    <xf numFmtId="0" fontId="7" fillId="11" borderId="5" xfId="8" applyFont="1" applyFill="1" applyBorder="1" applyAlignment="1">
      <alignment horizontal="center" vertical="center"/>
    </xf>
    <xf numFmtId="0" fontId="6" fillId="11"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167" fontId="22" fillId="4" borderId="1" xfId="5" applyNumberFormat="1" applyFont="1" applyFill="1" applyBorder="1" applyAlignment="1">
      <alignment horizontal="left" vertical="center" wrapText="1"/>
    </xf>
    <xf numFmtId="167" fontId="0" fillId="0" borderId="6" xfId="1" applyNumberFormat="1" applyFont="1" applyBorder="1"/>
    <xf numFmtId="167" fontId="6" fillId="0" borderId="0" xfId="1" applyNumberFormat="1" applyFont="1"/>
    <xf numFmtId="0" fontId="0" fillId="0" borderId="0" xfId="0" applyFont="1"/>
    <xf numFmtId="14" fontId="0" fillId="0" borderId="1" xfId="0" quotePrefix="1" applyNumberFormat="1" applyFont="1" applyBorder="1" applyAlignment="1">
      <alignment horizontal="center" vertical="center"/>
    </xf>
    <xf numFmtId="167" fontId="12" fillId="4" borderId="1" xfId="5" applyNumberFormat="1" applyFont="1" applyFill="1" applyBorder="1" applyAlignment="1">
      <alignment horizontal="left" vertical="center"/>
    </xf>
    <xf numFmtId="0" fontId="4" fillId="0" borderId="1" xfId="0" applyFont="1" applyBorder="1" applyAlignment="1">
      <alignment horizontal="left"/>
    </xf>
    <xf numFmtId="164" fontId="4" fillId="0" borderId="1" xfId="0" applyNumberFormat="1" applyFont="1" applyBorder="1" applyAlignment="1">
      <alignment horizontal="center"/>
    </xf>
    <xf numFmtId="0" fontId="4" fillId="0" borderId="1" xfId="0" applyFont="1" applyFill="1" applyBorder="1" applyAlignment="1">
      <alignment horizontal="left"/>
    </xf>
    <xf numFmtId="0" fontId="0" fillId="0" borderId="1" xfId="0" applyFont="1" applyBorder="1" applyAlignment="1">
      <alignment horizontal="center" vertical="center" wrapText="1"/>
    </xf>
    <xf numFmtId="0" fontId="4" fillId="12" borderId="1" xfId="0" applyFont="1" applyFill="1" applyBorder="1" applyAlignment="1">
      <alignment horizontal="left" vertical="center"/>
    </xf>
    <xf numFmtId="14" fontId="0" fillId="0" borderId="1" xfId="0" applyNumberFormat="1" applyFont="1" applyBorder="1" applyAlignment="1">
      <alignment horizontal="center"/>
    </xf>
    <xf numFmtId="0" fontId="11" fillId="4" borderId="1" xfId="0" quotePrefix="1" applyFont="1" applyFill="1" applyBorder="1" applyAlignment="1">
      <alignment horizontal="center" vertical="center" wrapText="1"/>
    </xf>
    <xf numFmtId="167" fontId="4" fillId="0" borderId="5" xfId="1" applyNumberFormat="1" applyFont="1" applyFill="1" applyBorder="1" applyAlignment="1"/>
    <xf numFmtId="173" fontId="4" fillId="0" borderId="1" xfId="8" applyNumberFormat="1" applyFont="1" applyFill="1" applyBorder="1" applyAlignment="1">
      <alignment horizontal="center" vertical="center" wrapText="1"/>
    </xf>
    <xf numFmtId="173" fontId="0" fillId="0" borderId="4" xfId="1" applyNumberFormat="1" applyFont="1" applyFill="1" applyBorder="1" applyAlignment="1">
      <alignment horizontal="center"/>
    </xf>
    <xf numFmtId="167" fontId="7" fillId="0" borderId="3" xfId="1" applyNumberFormat="1" applyFont="1" applyFill="1" applyBorder="1" applyAlignment="1">
      <alignment horizontal="center" vertical="center"/>
    </xf>
    <xf numFmtId="0" fontId="9" fillId="5" borderId="1" xfId="0" applyFont="1" applyFill="1" applyBorder="1" applyAlignment="1">
      <alignment horizontal="center" vertical="center"/>
    </xf>
    <xf numFmtId="175" fontId="0" fillId="0" borderId="0" xfId="1" applyNumberFormat="1" applyFont="1"/>
    <xf numFmtId="175" fontId="0" fillId="10" borderId="1" xfId="0" applyNumberFormat="1" applyFont="1" applyFill="1" applyBorder="1" applyAlignment="1">
      <alignment vertical="center"/>
    </xf>
    <xf numFmtId="0" fontId="21" fillId="0" borderId="1" xfId="0" applyFont="1" applyFill="1" applyBorder="1" applyAlignment="1">
      <alignment horizontal="center" vertical="center"/>
    </xf>
    <xf numFmtId="0" fontId="21" fillId="0" borderId="1" xfId="0" applyFont="1" applyFill="1" applyBorder="1" applyAlignment="1">
      <alignment horizontal="center"/>
    </xf>
    <xf numFmtId="0" fontId="21" fillId="0" borderId="1" xfId="0" applyFont="1" applyBorder="1" applyAlignment="1">
      <alignment horizontal="center"/>
    </xf>
    <xf numFmtId="0" fontId="21" fillId="0" borderId="1" xfId="0" applyFont="1" applyBorder="1" applyAlignment="1">
      <alignment horizontal="center" vertical="center"/>
    </xf>
    <xf numFmtId="164" fontId="21" fillId="0" borderId="1" xfId="0" applyNumberFormat="1" applyFont="1" applyBorder="1" applyAlignment="1">
      <alignment horizontal="center"/>
    </xf>
    <xf numFmtId="167" fontId="21" fillId="0" borderId="1" xfId="1" applyNumberFormat="1" applyFont="1" applyFill="1" applyBorder="1" applyAlignment="1">
      <alignment horizontal="center" vertical="center"/>
    </xf>
    <xf numFmtId="0" fontId="27" fillId="0" borderId="1" xfId="0" applyFont="1" applyFill="1" applyBorder="1" applyAlignment="1">
      <alignment horizontal="center" vertical="center"/>
    </xf>
    <xf numFmtId="0" fontId="21" fillId="12" borderId="1" xfId="0" applyFont="1" applyFill="1" applyBorder="1" applyAlignment="1">
      <alignment horizontal="center" vertical="center"/>
    </xf>
    <xf numFmtId="0" fontId="21" fillId="0" borderId="0" xfId="0" applyFont="1" applyAlignment="1">
      <alignment horizontal="center"/>
    </xf>
    <xf numFmtId="0" fontId="21" fillId="0" borderId="0" xfId="0" applyFont="1" applyBorder="1" applyAlignment="1">
      <alignment horizontal="center"/>
    </xf>
    <xf numFmtId="167" fontId="0" fillId="0" borderId="1" xfId="1" applyNumberFormat="1" applyFont="1" applyFill="1" applyBorder="1" applyAlignment="1">
      <alignment horizontal="center" vertical="center"/>
    </xf>
    <xf numFmtId="164" fontId="3" fillId="0" borderId="1" xfId="0" applyNumberFormat="1" applyFont="1" applyFill="1" applyBorder="1" applyAlignment="1">
      <alignment vertical="center"/>
    </xf>
    <xf numFmtId="0" fontId="0" fillId="0" borderId="1" xfId="0" applyFill="1" applyBorder="1" applyAlignment="1">
      <alignment vertical="center"/>
    </xf>
    <xf numFmtId="0" fontId="0" fillId="0" borderId="1" xfId="0" applyFill="1" applyBorder="1" applyAlignment="1">
      <alignment horizontal="left" vertical="center" wrapText="1"/>
    </xf>
    <xf numFmtId="0" fontId="7" fillId="3" borderId="1" xfId="0" applyNumberFormat="1" applyFont="1" applyFill="1" applyBorder="1" applyAlignment="1">
      <alignment horizontal="center" vertical="center"/>
    </xf>
    <xf numFmtId="167" fontId="0" fillId="3" borderId="1" xfId="1" applyNumberFormat="1" applyFont="1" applyFill="1" applyBorder="1" applyAlignment="1">
      <alignment vertical="center"/>
    </xf>
    <xf numFmtId="0" fontId="7" fillId="10" borderId="11" xfId="0" applyNumberFormat="1" applyFont="1" applyFill="1" applyBorder="1" applyAlignment="1">
      <alignment horizontal="center" vertical="center" wrapText="1"/>
    </xf>
    <xf numFmtId="173" fontId="0" fillId="0" borderId="1" xfId="1" quotePrefix="1" applyNumberFormat="1" applyFont="1" applyFill="1" applyBorder="1" applyAlignment="1">
      <alignment horizontal="center" vertical="center"/>
    </xf>
    <xf numFmtId="173"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73" fontId="0" fillId="0" borderId="1" xfId="0" applyNumberFormat="1" applyFill="1" applyBorder="1" applyAlignment="1">
      <alignment horizontal="center" vertical="center"/>
    </xf>
    <xf numFmtId="17" fontId="0" fillId="0" borderId="1" xfId="0" quotePrefix="1" applyNumberFormat="1" applyFill="1" applyBorder="1" applyAlignment="1">
      <alignment horizontal="left" vertical="center" wrapText="1"/>
    </xf>
    <xf numFmtId="173" fontId="0" fillId="0" borderId="1" xfId="0" applyNumberFormat="1" applyFont="1" applyFill="1" applyBorder="1" applyAlignment="1">
      <alignment horizontal="center" vertical="center"/>
    </xf>
    <xf numFmtId="173" fontId="11" fillId="0" borderId="1" xfId="8" applyNumberFormat="1" applyFont="1" applyBorder="1" applyAlignment="1">
      <alignment horizontal="center" vertical="center" wrapText="1"/>
    </xf>
    <xf numFmtId="0" fontId="12" fillId="4" borderId="1" xfId="5" applyNumberFormat="1" applyFont="1" applyFill="1" applyBorder="1" applyAlignment="1">
      <alignment horizontal="left" vertical="center"/>
    </xf>
    <xf numFmtId="14" fontId="7" fillId="0" borderId="1" xfId="0" applyNumberFormat="1" applyFont="1" applyFill="1" applyBorder="1" applyAlignment="1">
      <alignment horizontal="center" vertical="center"/>
    </xf>
    <xf numFmtId="164" fontId="12" fillId="0" borderId="1" xfId="0" applyNumberFormat="1" applyFont="1" applyFill="1" applyBorder="1" applyAlignment="1">
      <alignment horizontal="center" vertical="center"/>
    </xf>
    <xf numFmtId="0" fontId="11" fillId="0" borderId="1" xfId="0" applyFont="1" applyFill="1" applyBorder="1" applyAlignment="1">
      <alignment horizontal="left" vertical="center" wrapText="1"/>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0" fillId="0" borderId="7" xfId="0" applyBorder="1" applyAlignment="1">
      <alignment horizontal="center" vertical="center"/>
    </xf>
    <xf numFmtId="167" fontId="0" fillId="12" borderId="4" xfId="1" applyNumberFormat="1" applyFont="1" applyFill="1" applyBorder="1" applyAlignment="1">
      <alignment horizontal="center" vertical="center"/>
    </xf>
    <xf numFmtId="0" fontId="6" fillId="5" borderId="1" xfId="0" applyFont="1" applyFill="1" applyBorder="1" applyAlignment="1">
      <alignment horizontal="center" vertical="center" wrapText="1"/>
    </xf>
    <xf numFmtId="0" fontId="6" fillId="10" borderId="11" xfId="0" applyFont="1" applyFill="1" applyBorder="1" applyAlignment="1">
      <alignment horizontal="center" vertical="center"/>
    </xf>
    <xf numFmtId="0" fontId="6" fillId="10" borderId="12" xfId="0" applyFont="1" applyFill="1" applyBorder="1" applyAlignment="1">
      <alignment horizontal="center" vertical="center"/>
    </xf>
    <xf numFmtId="0" fontId="6" fillId="10" borderId="1" xfId="0" applyFont="1" applyFill="1" applyBorder="1" applyAlignment="1">
      <alignment horizontal="center" vertical="center"/>
    </xf>
    <xf numFmtId="0" fontId="0" fillId="12" borderId="1" xfId="0" applyFill="1" applyBorder="1" applyAlignment="1">
      <alignment horizontal="center"/>
    </xf>
    <xf numFmtId="0" fontId="0" fillId="12" borderId="1" xfId="0" applyFont="1" applyFill="1" applyBorder="1" applyAlignment="1">
      <alignment horizontal="left"/>
    </xf>
    <xf numFmtId="164" fontId="8" fillId="12" borderId="1" xfId="0" applyNumberFormat="1" applyFont="1" applyFill="1" applyBorder="1" applyAlignment="1">
      <alignment horizontal="center"/>
    </xf>
    <xf numFmtId="0" fontId="21" fillId="12" borderId="1" xfId="0" applyFont="1" applyFill="1" applyBorder="1" applyAlignment="1">
      <alignment horizontal="center"/>
    </xf>
    <xf numFmtId="167" fontId="0" fillId="12" borderId="1" xfId="1" applyNumberFormat="1" applyFont="1" applyFill="1" applyBorder="1" applyAlignment="1">
      <alignment horizontal="center"/>
    </xf>
    <xf numFmtId="0" fontId="0" fillId="0" borderId="0" xfId="0" applyBorder="1" applyAlignment="1">
      <alignment vertical="center"/>
    </xf>
    <xf numFmtId="167" fontId="6" fillId="10" borderId="1" xfId="0" applyNumberFormat="1" applyFont="1" applyFill="1" applyBorder="1" applyAlignment="1">
      <alignment vertical="center"/>
    </xf>
    <xf numFmtId="0" fontId="0" fillId="0" borderId="8" xfId="0" applyBorder="1"/>
    <xf numFmtId="0" fontId="7" fillId="0" borderId="5" xfId="7" applyFont="1" applyBorder="1" applyAlignment="1">
      <alignment horizontal="center" vertical="center"/>
    </xf>
    <xf numFmtId="0" fontId="7" fillId="0" borderId="3" xfId="7" applyFont="1" applyBorder="1" applyAlignment="1">
      <alignment horizontal="center" vertical="center"/>
    </xf>
    <xf numFmtId="167" fontId="4" fillId="0" borderId="1" xfId="1" applyNumberFormat="1" applyFont="1" applyFill="1" applyBorder="1" applyAlignment="1">
      <alignment horizontal="center" vertical="center"/>
    </xf>
    <xf numFmtId="0" fontId="9" fillId="8" borderId="2" xfId="0" applyFont="1" applyFill="1" applyBorder="1" applyAlignment="1">
      <alignment horizontal="center" vertical="center"/>
    </xf>
    <xf numFmtId="0" fontId="9" fillId="8" borderId="8" xfId="0" applyFont="1" applyFill="1" applyBorder="1" applyAlignment="1">
      <alignment horizontal="center" vertical="center"/>
    </xf>
    <xf numFmtId="0" fontId="7" fillId="0" borderId="1" xfId="7" applyFont="1" applyBorder="1" applyAlignment="1">
      <alignment horizontal="center" vertical="center"/>
    </xf>
    <xf numFmtId="0" fontId="9" fillId="9" borderId="2" xfId="0" applyFont="1" applyFill="1" applyBorder="1" applyAlignment="1">
      <alignment horizontal="center" vertical="center"/>
    </xf>
    <xf numFmtId="0" fontId="9" fillId="9" borderId="8"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8" xfId="0" applyFont="1" applyFill="1" applyBorder="1" applyAlignment="1">
      <alignment horizontal="center" vertical="center"/>
    </xf>
    <xf numFmtId="166" fontId="0" fillId="0" borderId="1" xfId="1" applyNumberFormat="1" applyFont="1" applyBorder="1" applyAlignment="1">
      <alignment horizontal="center" vertical="center"/>
    </xf>
    <xf numFmtId="0" fontId="0" fillId="3" borderId="0" xfId="0" applyFill="1" applyBorder="1"/>
    <xf numFmtId="0" fontId="0" fillId="0" borderId="8" xfId="0" applyBorder="1" applyAlignment="1">
      <alignment vertical="center"/>
    </xf>
    <xf numFmtId="0" fontId="0" fillId="0" borderId="17" xfId="0" applyBorder="1" applyAlignment="1">
      <alignment vertical="center"/>
    </xf>
    <xf numFmtId="0" fontId="6" fillId="10" borderId="1" xfId="0" applyFont="1" applyFill="1" applyBorder="1" applyAlignment="1">
      <alignment horizontal="center" vertical="center"/>
    </xf>
    <xf numFmtId="0" fontId="23" fillId="0" borderId="0" xfId="0" applyFont="1" applyAlignment="1">
      <alignment horizontal="center" vertical="center"/>
    </xf>
    <xf numFmtId="0" fontId="23" fillId="0" borderId="0" xfId="0" applyFont="1" applyFill="1" applyAlignment="1">
      <alignment horizontal="center" vertical="center"/>
    </xf>
    <xf numFmtId="167" fontId="23" fillId="0" borderId="0" xfId="0" applyNumberFormat="1" applyFont="1" applyFill="1" applyAlignment="1">
      <alignment horizontal="center" vertical="center"/>
    </xf>
    <xf numFmtId="0" fontId="0" fillId="0" borderId="4" xfId="0" applyFont="1" applyBorder="1" applyAlignment="1">
      <alignment horizontal="center" vertical="center"/>
    </xf>
    <xf numFmtId="0" fontId="0" fillId="0" borderId="1" xfId="0" quotePrefix="1" applyNumberFormat="1" applyFont="1" applyFill="1" applyBorder="1" applyAlignment="1">
      <alignment horizontal="center" vertical="center"/>
    </xf>
    <xf numFmtId="0" fontId="11" fillId="0" borderId="1" xfId="0" applyFont="1" applyBorder="1" applyAlignment="1">
      <alignment horizontal="center"/>
    </xf>
    <xf numFmtId="0" fontId="0" fillId="0" borderId="1" xfId="0" applyFont="1" applyBorder="1" applyAlignment="1">
      <alignment horizontal="center"/>
    </xf>
    <xf numFmtId="14" fontId="0" fillId="0" borderId="0" xfId="0" applyNumberFormat="1" applyBorder="1"/>
    <xf numFmtId="0" fontId="0" fillId="0" borderId="1" xfId="0" applyNumberFormat="1" applyFill="1" applyBorder="1" applyAlignment="1">
      <alignment horizontal="center" vertical="center"/>
    </xf>
    <xf numFmtId="171" fontId="0" fillId="0" borderId="4" xfId="1" applyNumberFormat="1" applyFont="1" applyFill="1" applyBorder="1" applyAlignment="1">
      <alignment horizontal="center"/>
    </xf>
    <xf numFmtId="0" fontId="0" fillId="0" borderId="0" xfId="0" applyAlignment="1">
      <alignment horizontal="center" vertical="center"/>
    </xf>
    <xf numFmtId="14" fontId="4" fillId="0" borderId="1" xfId="0" applyNumberFormat="1" applyFont="1" applyFill="1" applyBorder="1" applyAlignment="1">
      <alignment horizontal="center"/>
    </xf>
    <xf numFmtId="0" fontId="12" fillId="4" borderId="1" xfId="0" quotePrefix="1" applyNumberFormat="1" applyFont="1" applyFill="1" applyBorder="1" applyAlignment="1">
      <alignment horizontal="center" vertical="center" wrapText="1"/>
    </xf>
    <xf numFmtId="14" fontId="9" fillId="3" borderId="6" xfId="0" quotePrefix="1" applyNumberFormat="1" applyFont="1" applyFill="1" applyBorder="1" applyAlignment="1">
      <alignment horizontal="center" vertical="center"/>
    </xf>
    <xf numFmtId="14" fontId="9" fillId="3" borderId="16" xfId="0" quotePrefix="1" applyNumberFormat="1" applyFont="1" applyFill="1" applyBorder="1" applyAlignment="1">
      <alignment horizontal="center" vertical="center"/>
    </xf>
    <xf numFmtId="167" fontId="9" fillId="3" borderId="3" xfId="1" applyNumberFormat="1" applyFont="1" applyFill="1" applyBorder="1" applyAlignment="1">
      <alignment vertical="center"/>
    </xf>
    <xf numFmtId="0" fontId="0" fillId="3" borderId="3" xfId="0" applyFill="1" applyBorder="1"/>
    <xf numFmtId="177" fontId="0" fillId="0" borderId="1" xfId="0" quotePrefix="1" applyNumberFormat="1" applyFill="1" applyBorder="1" applyAlignment="1">
      <alignment horizontal="center" vertical="center" wrapText="1"/>
    </xf>
    <xf numFmtId="167" fontId="21" fillId="0" borderId="0" xfId="0" applyNumberFormat="1" applyFont="1" applyAlignment="1">
      <alignment horizontal="center"/>
    </xf>
    <xf numFmtId="0" fontId="7" fillId="0" borderId="1" xfId="0" applyNumberFormat="1" applyFont="1" applyFill="1" applyBorder="1" applyAlignment="1">
      <alignment horizontal="center" vertical="center"/>
    </xf>
    <xf numFmtId="168" fontId="7" fillId="0" borderId="1" xfId="1" applyNumberFormat="1" applyFont="1" applyBorder="1" applyAlignment="1">
      <alignment horizontal="center" vertical="center"/>
    </xf>
    <xf numFmtId="0" fontId="7" fillId="0" borderId="1" xfId="0" applyFont="1" applyFill="1" applyBorder="1" applyAlignment="1">
      <alignment horizontal="center" vertical="center"/>
    </xf>
    <xf numFmtId="0" fontId="0" fillId="0" borderId="1" xfId="0"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7" fillId="0" borderId="1" xfId="0" applyFont="1" applyFill="1" applyBorder="1" applyAlignment="1">
      <alignment horizontal="center" vertical="center" wrapText="1"/>
    </xf>
    <xf numFmtId="14" fontId="0" fillId="0" borderId="1" xfId="0" quotePrefix="1" applyNumberFormat="1" applyFont="1" applyFill="1" applyBorder="1" applyAlignment="1">
      <alignment horizontal="center" vertical="center"/>
    </xf>
    <xf numFmtId="14" fontId="0" fillId="0" borderId="1" xfId="0" applyNumberFormat="1" applyFont="1" applyBorder="1" applyAlignment="1">
      <alignment horizontal="center" vertical="center" wrapText="1"/>
    </xf>
    <xf numFmtId="14" fontId="25" fillId="0" borderId="1" xfId="0" applyNumberFormat="1" applyFont="1" applyBorder="1" applyAlignment="1">
      <alignment horizontal="center" vertical="center" wrapText="1"/>
    </xf>
    <xf numFmtId="14" fontId="6" fillId="0" borderId="1" xfId="7" applyNumberFormat="1" applyFont="1" applyBorder="1" applyAlignment="1">
      <alignment horizontal="center" vertical="center"/>
    </xf>
    <xf numFmtId="14" fontId="0" fillId="12" borderId="1" xfId="0" applyNumberFormat="1" applyFont="1" applyFill="1" applyBorder="1" applyAlignment="1">
      <alignment horizontal="center" vertical="center"/>
    </xf>
    <xf numFmtId="14" fontId="0" fillId="0" borderId="1" xfId="8" applyNumberFormat="1" applyFont="1" applyFill="1" applyBorder="1" applyAlignment="1">
      <alignment horizontal="center" vertical="center" wrapText="1"/>
    </xf>
    <xf numFmtId="14" fontId="0" fillId="4" borderId="1" xfId="0" quotePrefix="1" applyNumberFormat="1" applyFont="1" applyFill="1" applyBorder="1" applyAlignment="1">
      <alignment horizontal="center" vertical="center"/>
    </xf>
    <xf numFmtId="14" fontId="0" fillId="12" borderId="1" xfId="0" quotePrefix="1" applyNumberFormat="1" applyFont="1" applyFill="1" applyBorder="1" applyAlignment="1">
      <alignment horizontal="center" vertical="center"/>
    </xf>
    <xf numFmtId="14" fontId="10" fillId="4" borderId="1" xfId="0" quotePrefix="1" applyNumberFormat="1" applyFont="1" applyFill="1" applyBorder="1" applyAlignment="1">
      <alignment horizontal="center" vertical="center"/>
    </xf>
    <xf numFmtId="14" fontId="0" fillId="0" borderId="0" xfId="0" applyNumberFormat="1" applyFont="1" applyBorder="1" applyAlignment="1">
      <alignment horizontal="center"/>
    </xf>
    <xf numFmtId="14" fontId="0" fillId="0" borderId="0" xfId="0" applyNumberFormat="1" applyFont="1"/>
    <xf numFmtId="14" fontId="9" fillId="3" borderId="1" xfId="0" quotePrefix="1" applyNumberFormat="1" applyFont="1" applyFill="1" applyBorder="1" applyAlignment="1">
      <alignment horizontal="center" vertical="center"/>
    </xf>
    <xf numFmtId="14" fontId="20" fillId="0" borderId="1" xfId="0" applyNumberFormat="1" applyFont="1" applyBorder="1" applyAlignment="1">
      <alignment horizontal="center" vertical="center"/>
    </xf>
    <xf numFmtId="175" fontId="24" fillId="0" borderId="1" xfId="0" applyNumberFormat="1" applyFont="1" applyBorder="1" applyAlignment="1">
      <alignment horizontal="center"/>
    </xf>
    <xf numFmtId="176" fontId="12" fillId="4" borderId="1" xfId="0" quotePrefix="1" applyNumberFormat="1" applyFont="1" applyFill="1" applyBorder="1" applyAlignment="1">
      <alignment horizontal="center" vertical="center" wrapText="1"/>
    </xf>
    <xf numFmtId="177" fontId="0" fillId="4" borderId="1" xfId="0" quotePrefix="1" applyNumberFormat="1" applyFill="1" applyBorder="1" applyAlignment="1">
      <alignment horizontal="center" vertical="center" wrapText="1"/>
    </xf>
    <xf numFmtId="167" fontId="0" fillId="14" borderId="1" xfId="1" applyNumberFormat="1" applyFont="1" applyFill="1" applyBorder="1" applyAlignment="1">
      <alignment horizontal="center"/>
    </xf>
    <xf numFmtId="0" fontId="0" fillId="3" borderId="1" xfId="0" applyFill="1" applyBorder="1" applyAlignment="1">
      <alignment horizontal="center"/>
    </xf>
    <xf numFmtId="14" fontId="0" fillId="7" borderId="1" xfId="0" applyNumberFormat="1" applyFill="1" applyBorder="1" applyAlignment="1">
      <alignment horizontal="center" vertical="center"/>
    </xf>
    <xf numFmtId="3" fontId="0" fillId="0" borderId="1" xfId="0" applyNumberFormat="1" applyBorder="1" applyAlignment="1">
      <alignment horizontal="center"/>
    </xf>
    <xf numFmtId="14" fontId="24" fillId="0" borderId="1" xfId="0" applyNumberFormat="1" applyFont="1" applyBorder="1" applyAlignment="1">
      <alignment horizontal="center" vertical="center"/>
    </xf>
    <xf numFmtId="175" fontId="0" fillId="0" borderId="1" xfId="0" applyNumberFormat="1" applyBorder="1" applyAlignment="1">
      <alignment horizontal="center"/>
    </xf>
    <xf numFmtId="175" fontId="0" fillId="0" borderId="1" xfId="0" applyNumberFormat="1" applyBorder="1" applyAlignment="1">
      <alignment horizontal="center" vertical="center"/>
    </xf>
    <xf numFmtId="41" fontId="0" fillId="0" borderId="1" xfId="9" applyFont="1" applyBorder="1" applyAlignment="1">
      <alignment horizontal="center"/>
    </xf>
    <xf numFmtId="0" fontId="5" fillId="2" borderId="1" xfId="2" applyBorder="1" applyAlignment="1">
      <alignment horizontal="center"/>
    </xf>
    <xf numFmtId="167" fontId="0" fillId="0" borderId="1" xfId="0" applyNumberFormat="1" applyFont="1" applyFill="1" applyBorder="1" applyAlignment="1">
      <alignment horizontal="center"/>
    </xf>
    <xf numFmtId="0" fontId="7" fillId="0" borderId="1" xfId="7" applyFont="1" applyBorder="1" applyAlignment="1">
      <alignment horizontal="left" vertical="center"/>
    </xf>
    <xf numFmtId="0" fontId="0" fillId="0" borderId="0" xfId="0" applyBorder="1" applyAlignment="1">
      <alignment horizontal="left"/>
    </xf>
    <xf numFmtId="0" fontId="0" fillId="0" borderId="0" xfId="0" applyAlignment="1">
      <alignment horizontal="left"/>
    </xf>
    <xf numFmtId="0" fontId="11" fillId="4" borderId="1" xfId="0" quotePrefix="1" applyNumberFormat="1" applyFont="1" applyFill="1" applyBorder="1" applyAlignment="1">
      <alignment horizontal="left" vertical="center"/>
    </xf>
    <xf numFmtId="0" fontId="0" fillId="0" borderId="1" xfId="0"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4" fontId="9" fillId="3" borderId="1" xfId="0" quotePrefix="1" applyNumberFormat="1" applyFont="1" applyFill="1" applyBorder="1" applyAlignment="1">
      <alignment horizontal="center" vertical="center"/>
    </xf>
    <xf numFmtId="14" fontId="9" fillId="3" borderId="6" xfId="0" quotePrefix="1" applyNumberFormat="1" applyFont="1" applyFill="1" applyBorder="1" applyAlignment="1">
      <alignment horizontal="center" vertical="center"/>
    </xf>
    <xf numFmtId="0" fontId="6" fillId="10" borderId="1" xfId="0" applyFont="1" applyFill="1" applyBorder="1" applyAlignment="1">
      <alignment horizontal="center" vertical="center"/>
    </xf>
    <xf numFmtId="0" fontId="20" fillId="12" borderId="1" xfId="0" applyFont="1" applyFill="1" applyBorder="1" applyAlignment="1">
      <alignment horizontal="center" vertical="center"/>
    </xf>
    <xf numFmtId="14" fontId="20" fillId="12" borderId="1" xfId="0" quotePrefix="1" applyNumberFormat="1" applyFont="1" applyFill="1" applyBorder="1" applyAlignment="1">
      <alignment horizontal="center" vertical="center"/>
    </xf>
    <xf numFmtId="15" fontId="22" fillId="12" borderId="1" xfId="0" quotePrefix="1" applyNumberFormat="1" applyFont="1" applyFill="1" applyBorder="1" applyAlignment="1">
      <alignment horizontal="center" vertical="center" wrapText="1"/>
    </xf>
    <xf numFmtId="0" fontId="22" fillId="12" borderId="1" xfId="0" quotePrefix="1" applyNumberFormat="1" applyFont="1" applyFill="1" applyBorder="1" applyAlignment="1">
      <alignment horizontal="center" vertical="center"/>
    </xf>
    <xf numFmtId="0" fontId="20" fillId="12" borderId="1" xfId="0" applyFont="1" applyFill="1" applyBorder="1" applyAlignment="1">
      <alignment horizontal="left" vertical="center"/>
    </xf>
    <xf numFmtId="0" fontId="22" fillId="12" borderId="1" xfId="0" applyFont="1" applyFill="1" applyBorder="1" applyAlignment="1">
      <alignment horizontal="left" vertical="center" wrapText="1"/>
    </xf>
    <xf numFmtId="167" fontId="20" fillId="12" borderId="1" xfId="1" applyNumberFormat="1" applyFont="1" applyFill="1" applyBorder="1" applyAlignment="1">
      <alignment horizontal="center" vertical="center"/>
    </xf>
    <xf numFmtId="0" fontId="29" fillId="12" borderId="1" xfId="0" applyFont="1" applyFill="1" applyBorder="1" applyAlignment="1">
      <alignment horizontal="center" vertical="center"/>
    </xf>
    <xf numFmtId="14" fontId="20" fillId="12" borderId="1" xfId="0" applyNumberFormat="1" applyFont="1" applyFill="1" applyBorder="1" applyAlignment="1">
      <alignment horizontal="center" vertical="center"/>
    </xf>
    <xf numFmtId="14" fontId="22" fillId="0" borderId="1" xfId="0" quotePrefix="1" applyNumberFormat="1" applyFont="1" applyBorder="1" applyAlignment="1">
      <alignment horizontal="center" vertical="center"/>
    </xf>
    <xf numFmtId="14" fontId="7" fillId="0" borderId="1" xfId="7" applyNumberFormat="1" applyFont="1" applyBorder="1" applyAlignment="1">
      <alignment horizontal="center" vertical="center" wrapText="1"/>
    </xf>
    <xf numFmtId="14" fontId="4" fillId="0" borderId="1" xfId="0" applyNumberFormat="1" applyFont="1" applyBorder="1" applyAlignment="1">
      <alignment horizontal="center"/>
    </xf>
    <xf numFmtId="14" fontId="0" fillId="12" borderId="1" xfId="0" applyNumberFormat="1" applyFill="1" applyBorder="1" applyAlignment="1">
      <alignment horizontal="center"/>
    </xf>
    <xf numFmtId="14" fontId="4" fillId="0" borderId="1" xfId="1" applyNumberFormat="1" applyFont="1" applyFill="1" applyBorder="1" applyAlignment="1">
      <alignment horizontal="center" vertical="center"/>
    </xf>
    <xf numFmtId="14" fontId="19" fillId="0" borderId="1" xfId="0" applyNumberFormat="1" applyFont="1" applyFill="1" applyBorder="1" applyAlignment="1">
      <alignment horizontal="center" vertical="center" wrapText="1"/>
    </xf>
    <xf numFmtId="14" fontId="0" fillId="0" borderId="1" xfId="1" applyNumberFormat="1" applyFont="1" applyFill="1" applyBorder="1" applyAlignment="1">
      <alignment horizontal="center" vertical="center"/>
    </xf>
    <xf numFmtId="14" fontId="20" fillId="0" borderId="1" xfId="0" quotePrefix="1" applyNumberFormat="1" applyFont="1" applyBorder="1" applyAlignment="1">
      <alignment horizontal="center" vertical="center"/>
    </xf>
    <xf numFmtId="14" fontId="10" fillId="0" borderId="1" xfId="0" quotePrefix="1" applyNumberFormat="1" applyFont="1" applyBorder="1" applyAlignment="1">
      <alignment horizontal="center" vertical="center"/>
    </xf>
    <xf numFmtId="14" fontId="12" fillId="0" borderId="1" xfId="0" quotePrefix="1" applyNumberFormat="1" applyFont="1" applyBorder="1" applyAlignment="1">
      <alignment horizontal="center"/>
    </xf>
    <xf numFmtId="14" fontId="22" fillId="12" borderId="1" xfId="0" quotePrefix="1" applyNumberFormat="1" applyFont="1" applyFill="1" applyBorder="1" applyAlignment="1">
      <alignment horizontal="center" vertical="center"/>
    </xf>
    <xf numFmtId="14" fontId="9" fillId="8" borderId="2" xfId="0" applyNumberFormat="1" applyFont="1" applyFill="1" applyBorder="1" applyAlignment="1">
      <alignment horizontal="center" vertical="center"/>
    </xf>
    <xf numFmtId="14" fontId="9" fillId="9" borderId="2" xfId="0" applyNumberFormat="1" applyFont="1" applyFill="1" applyBorder="1" applyAlignment="1">
      <alignment horizontal="center" vertical="center"/>
    </xf>
    <xf numFmtId="14" fontId="9" fillId="7" borderId="2" xfId="0" applyNumberFormat="1" applyFont="1" applyFill="1" applyBorder="1" applyAlignment="1">
      <alignment horizontal="center" vertical="center"/>
    </xf>
    <xf numFmtId="14" fontId="0" fillId="0" borderId="0" xfId="0" applyNumberFormat="1" applyBorder="1" applyAlignment="1">
      <alignment horizontal="center"/>
    </xf>
    <xf numFmtId="14" fontId="0" fillId="0" borderId="0" xfId="0" applyNumberFormat="1" applyAlignment="1">
      <alignment horizontal="center"/>
    </xf>
    <xf numFmtId="0" fontId="22" fillId="0" borderId="0" xfId="2" applyFont="1" applyFill="1" applyAlignment="1">
      <alignment horizontal="center"/>
    </xf>
    <xf numFmtId="167" fontId="22" fillId="0" borderId="1" xfId="5" applyNumberFormat="1" applyFont="1" applyFill="1" applyBorder="1" applyAlignment="1">
      <alignment horizontal="left" vertical="center" wrapText="1"/>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11" fillId="0" borderId="1" xfId="0" applyNumberFormat="1" applyFont="1" applyBorder="1" applyAlignment="1">
      <alignment horizontal="left" vertical="center" wrapText="1"/>
    </xf>
    <xf numFmtId="0" fontId="0" fillId="10" borderId="0" xfId="0" applyFill="1" applyAlignment="1">
      <alignment horizontal="center" vertical="center"/>
    </xf>
    <xf numFmtId="167" fontId="0" fillId="10" borderId="0" xfId="0" applyNumberFormat="1" applyFill="1" applyAlignment="1">
      <alignment vertical="center"/>
    </xf>
    <xf numFmtId="0" fontId="0" fillId="10" borderId="0" xfId="0" applyFill="1" applyAlignment="1">
      <alignment horizontal="center" vertical="center" wrapText="1"/>
    </xf>
    <xf numFmtId="173" fontId="0" fillId="0" borderId="0" xfId="0" applyNumberFormat="1"/>
    <xf numFmtId="167" fontId="20" fillId="12" borderId="4" xfId="1" applyNumberFormat="1" applyFont="1" applyFill="1" applyBorder="1" applyAlignment="1">
      <alignment horizontal="center" vertical="center"/>
    </xf>
    <xf numFmtId="167" fontId="20" fillId="12" borderId="2" xfId="1" applyNumberFormat="1" applyFont="1" applyFill="1" applyBorder="1" applyAlignment="1">
      <alignment horizontal="center" vertical="center"/>
    </xf>
    <xf numFmtId="167" fontId="20" fillId="12" borderId="8" xfId="1" applyNumberFormat="1" applyFont="1" applyFill="1" applyBorder="1" applyAlignment="1">
      <alignment horizontal="center" vertical="center"/>
    </xf>
    <xf numFmtId="0" fontId="0" fillId="10" borderId="0" xfId="0" applyFill="1" applyAlignment="1">
      <alignment horizontal="center" vertical="center"/>
    </xf>
    <xf numFmtId="0" fontId="0" fillId="0" borderId="0" xfId="0" applyAlignment="1">
      <alignment horizontal="center" vertical="center"/>
    </xf>
    <xf numFmtId="14" fontId="6" fillId="10" borderId="1" xfId="0" applyNumberFormat="1" applyFont="1" applyFill="1" applyBorder="1" applyAlignment="1">
      <alignment vertical="center"/>
    </xf>
    <xf numFmtId="0" fontId="0" fillId="9" borderId="0" xfId="0" applyFill="1"/>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173" fontId="0" fillId="0" borderId="1" xfId="0" applyNumberFormat="1" applyBorder="1"/>
    <xf numFmtId="167" fontId="0" fillId="0" borderId="4" xfId="1" applyNumberFormat="1" applyFont="1" applyBorder="1"/>
    <xf numFmtId="167" fontId="9" fillId="9" borderId="1" xfId="0" applyNumberFormat="1" applyFont="1" applyFill="1" applyBorder="1" applyAlignment="1">
      <alignment vertical="center"/>
    </xf>
    <xf numFmtId="173" fontId="0" fillId="0" borderId="1" xfId="1" applyNumberFormat="1" applyFont="1" applyBorder="1" applyAlignment="1">
      <alignment horizontal="center"/>
    </xf>
    <xf numFmtId="167" fontId="9" fillId="12" borderId="1" xfId="0" applyNumberFormat="1" applyFont="1" applyFill="1" applyBorder="1" applyAlignment="1">
      <alignment vertical="center"/>
    </xf>
    <xf numFmtId="14" fontId="0" fillId="0" borderId="2" xfId="0" applyNumberFormat="1" applyBorder="1"/>
    <xf numFmtId="14" fontId="0" fillId="0" borderId="2" xfId="1" applyNumberFormat="1" applyFont="1" applyBorder="1"/>
    <xf numFmtId="0" fontId="0" fillId="10" borderId="2" xfId="0" applyFill="1" applyBorder="1" applyAlignment="1">
      <alignment vertical="center"/>
    </xf>
    <xf numFmtId="0" fontId="0" fillId="10" borderId="8" xfId="0" applyFill="1" applyBorder="1" applyAlignment="1">
      <alignment vertical="center"/>
    </xf>
    <xf numFmtId="0" fontId="9" fillId="0" borderId="2" xfId="0" applyFont="1" applyFill="1" applyBorder="1" applyAlignment="1">
      <alignment horizontal="center" vertical="center"/>
    </xf>
    <xf numFmtId="167" fontId="9" fillId="0" borderId="2" xfId="0" applyNumberFormat="1" applyFont="1" applyFill="1" applyBorder="1" applyAlignment="1">
      <alignment vertical="center"/>
    </xf>
    <xf numFmtId="0" fontId="0" fillId="0" borderId="1" xfId="0" applyFill="1" applyBorder="1"/>
    <xf numFmtId="173" fontId="0" fillId="0" borderId="1" xfId="0" applyNumberFormat="1" applyFill="1" applyBorder="1" applyAlignment="1">
      <alignment horizontal="center"/>
    </xf>
    <xf numFmtId="173" fontId="0" fillId="0" borderId="1" xfId="0" applyNumberFormat="1" applyFill="1" applyBorder="1"/>
    <xf numFmtId="0" fontId="0" fillId="0" borderId="0" xfId="0" applyFill="1" applyAlignment="1">
      <alignment horizontal="center" vertical="center"/>
    </xf>
    <xf numFmtId="167" fontId="0" fillId="0" borderId="0" xfId="0" applyNumberFormat="1" applyFill="1" applyAlignment="1">
      <alignment vertical="center"/>
    </xf>
    <xf numFmtId="0" fontId="0" fillId="0" borderId="5" xfId="0" applyBorder="1" applyAlignment="1">
      <alignment vertical="center"/>
    </xf>
    <xf numFmtId="0" fontId="0" fillId="0" borderId="14" xfId="0" applyBorder="1" applyAlignment="1">
      <alignment vertical="center"/>
    </xf>
    <xf numFmtId="0" fontId="0" fillId="9" borderId="1" xfId="0" applyFill="1" applyBorder="1" applyAlignment="1">
      <alignment horizontal="center" vertical="center"/>
    </xf>
    <xf numFmtId="14" fontId="0" fillId="9" borderId="1" xfId="0" applyNumberFormat="1" applyFont="1" applyFill="1" applyBorder="1" applyAlignment="1">
      <alignment horizontal="center" vertical="center"/>
    </xf>
    <xf numFmtId="0" fontId="11" fillId="9" borderId="1" xfId="0" quotePrefix="1" applyNumberFormat="1" applyFont="1" applyFill="1" applyBorder="1" applyAlignment="1">
      <alignment horizontal="center" vertical="center"/>
    </xf>
    <xf numFmtId="0" fontId="0" fillId="9" borderId="1" xfId="0" applyFont="1" applyFill="1" applyBorder="1" applyAlignment="1">
      <alignment horizontal="left" vertical="center"/>
    </xf>
    <xf numFmtId="0" fontId="0" fillId="9" borderId="1" xfId="0" applyFill="1" applyBorder="1" applyAlignment="1">
      <alignment horizontal="left" vertical="center"/>
    </xf>
    <xf numFmtId="167" fontId="8" fillId="9" borderId="1" xfId="1" applyNumberFormat="1" applyFont="1" applyFill="1" applyBorder="1" applyAlignment="1">
      <alignment horizontal="center" vertical="center"/>
    </xf>
    <xf numFmtId="0" fontId="21" fillId="9" borderId="1" xfId="0" applyFont="1" applyFill="1" applyBorder="1" applyAlignment="1">
      <alignment horizontal="center" vertical="center"/>
    </xf>
    <xf numFmtId="14" fontId="0" fillId="9" borderId="1" xfId="0" applyNumberFormat="1" applyFill="1" applyBorder="1" applyAlignment="1">
      <alignment horizontal="center" vertical="center"/>
    </xf>
    <xf numFmtId="167" fontId="0" fillId="9" borderId="1" xfId="1" applyNumberFormat="1" applyFont="1" applyFill="1" applyBorder="1" applyAlignment="1">
      <alignment horizontal="center" vertical="center"/>
    </xf>
    <xf numFmtId="167" fontId="0" fillId="9" borderId="1" xfId="1" applyNumberFormat="1" applyFont="1" applyFill="1" applyBorder="1" applyAlignment="1">
      <alignment horizontal="center"/>
    </xf>
    <xf numFmtId="167" fontId="0" fillId="0" borderId="1" xfId="1" applyNumberFormat="1" applyFont="1" applyFill="1" applyBorder="1" applyAlignment="1">
      <alignment horizontal="center" vertical="center"/>
    </xf>
    <xf numFmtId="14" fontId="10" fillId="12" borderId="1" xfId="0" quotePrefix="1" applyNumberFormat="1" applyFont="1" applyFill="1" applyBorder="1" applyAlignment="1">
      <alignment horizontal="center" vertical="center"/>
    </xf>
    <xf numFmtId="0" fontId="0" fillId="12" borderId="1" xfId="0" applyFont="1" applyFill="1" applyBorder="1" applyAlignment="1">
      <alignment horizontal="left" vertical="center"/>
    </xf>
    <xf numFmtId="0" fontId="11" fillId="12" borderId="1" xfId="0" applyFont="1" applyFill="1" applyBorder="1" applyAlignment="1">
      <alignment horizontal="left" vertical="center" wrapText="1"/>
    </xf>
    <xf numFmtId="167" fontId="0" fillId="12" borderId="1" xfId="1" applyNumberFormat="1" applyFont="1" applyFill="1" applyBorder="1" applyAlignment="1">
      <alignment horizontal="left" vertical="center"/>
    </xf>
    <xf numFmtId="167" fontId="12" fillId="12" borderId="1" xfId="5" applyNumberFormat="1" applyFont="1" applyFill="1" applyBorder="1" applyAlignment="1">
      <alignment horizontal="left" vertical="center"/>
    </xf>
    <xf numFmtId="0" fontId="0" fillId="0" borderId="1" xfId="0"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6" fillId="10" borderId="1" xfId="0" applyFont="1" applyFill="1" applyBorder="1" applyAlignment="1">
      <alignment horizontal="center" vertical="center"/>
    </xf>
    <xf numFmtId="0" fontId="7" fillId="0" borderId="3" xfId="0" applyFont="1" applyFill="1" applyBorder="1" applyAlignment="1">
      <alignment horizontal="center" vertical="center"/>
    </xf>
    <xf numFmtId="0" fontId="7" fillId="0" borderId="1" xfId="8" applyFont="1" applyBorder="1" applyAlignment="1">
      <alignment horizontal="center" vertical="center" wrapText="1"/>
    </xf>
    <xf numFmtId="167" fontId="6" fillId="0" borderId="0" xfId="0" applyNumberFormat="1" applyFont="1"/>
    <xf numFmtId="167" fontId="0" fillId="0" borderId="1" xfId="1" applyNumberFormat="1" applyFont="1" applyBorder="1" applyAlignment="1">
      <alignment horizontal="center" vertical="center"/>
    </xf>
    <xf numFmtId="171" fontId="0" fillId="0" borderId="1" xfId="0" quotePrefix="1" applyNumberFormat="1" applyFont="1" applyBorder="1" applyAlignment="1">
      <alignment horizontal="center" vertical="center"/>
    </xf>
    <xf numFmtId="0" fontId="7" fillId="0" borderId="1" xfId="7" applyNumberFormat="1" applyFont="1" applyBorder="1" applyAlignment="1">
      <alignment horizontal="center" vertical="center"/>
    </xf>
    <xf numFmtId="0" fontId="0" fillId="0" borderId="1" xfId="0" applyNumberFormat="1" applyFill="1" applyBorder="1" applyAlignment="1">
      <alignment horizontal="center"/>
    </xf>
    <xf numFmtId="0" fontId="4" fillId="0" borderId="1" xfId="0" applyNumberFormat="1" applyFont="1" applyFill="1" applyBorder="1" applyAlignment="1">
      <alignment horizontal="center"/>
    </xf>
    <xf numFmtId="0" fontId="0" fillId="0" borderId="1" xfId="0" applyNumberFormat="1" applyFont="1" applyFill="1" applyBorder="1" applyAlignment="1">
      <alignment horizontal="center"/>
    </xf>
    <xf numFmtId="0" fontId="8" fillId="0" borderId="1" xfId="7" applyNumberFormat="1" applyBorder="1" applyAlignment="1">
      <alignment horizontal="center" vertical="center"/>
    </xf>
    <xf numFmtId="0" fontId="4" fillId="0" borderId="1" xfId="0" applyNumberFormat="1" applyFont="1" applyBorder="1" applyAlignment="1">
      <alignment horizontal="center"/>
    </xf>
    <xf numFmtId="0" fontId="0" fillId="0" borderId="1" xfId="0" applyNumberFormat="1" applyFont="1" applyBorder="1" applyAlignment="1">
      <alignment horizontal="center"/>
    </xf>
    <xf numFmtId="0" fontId="4" fillId="0" borderId="1" xfId="0" applyNumberFormat="1" applyFont="1" applyBorder="1" applyAlignment="1">
      <alignment horizontal="center" vertical="center"/>
    </xf>
    <xf numFmtId="0" fontId="4" fillId="0" borderId="1" xfId="0" applyNumberFormat="1" applyFont="1" applyFill="1" applyBorder="1" applyAlignment="1">
      <alignment horizontal="center" vertical="center"/>
    </xf>
    <xf numFmtId="0" fontId="0" fillId="0" borderId="1" xfId="0" applyNumberFormat="1" applyBorder="1" applyAlignment="1">
      <alignment horizontal="center" vertical="center"/>
    </xf>
    <xf numFmtId="0" fontId="0" fillId="0" borderId="1" xfId="0" applyNumberFormat="1" applyFont="1" applyFill="1" applyBorder="1" applyAlignment="1">
      <alignment horizontal="center" vertical="center"/>
    </xf>
    <xf numFmtId="0" fontId="3" fillId="0" borderId="1" xfId="8" applyNumberFormat="1" applyBorder="1" applyAlignment="1">
      <alignment horizontal="center" vertical="center"/>
    </xf>
    <xf numFmtId="0" fontId="0" fillId="0" borderId="1" xfId="0" applyNumberFormat="1" applyFont="1" applyBorder="1" applyAlignment="1">
      <alignment horizontal="center" vertical="center"/>
    </xf>
    <xf numFmtId="0" fontId="0" fillId="0" borderId="1" xfId="8" applyNumberFormat="1" applyFont="1" applyFill="1" applyBorder="1" applyAlignment="1">
      <alignment horizontal="center" vertical="center"/>
    </xf>
    <xf numFmtId="0" fontId="4" fillId="0" borderId="1" xfId="0" quotePrefix="1" applyNumberFormat="1" applyFont="1" applyBorder="1" applyAlignment="1">
      <alignment horizontal="center" vertical="center"/>
    </xf>
    <xf numFmtId="0" fontId="0" fillId="4" borderId="1" xfId="0" quotePrefix="1" applyNumberFormat="1" applyFill="1" applyBorder="1" applyAlignment="1">
      <alignment horizontal="center" vertical="center" wrapText="1"/>
    </xf>
    <xf numFmtId="0" fontId="11" fillId="0" borderId="1" xfId="0" applyNumberFormat="1" applyFont="1" applyBorder="1" applyAlignment="1">
      <alignment horizontal="center"/>
    </xf>
    <xf numFmtId="0" fontId="0" fillId="0" borderId="1" xfId="0" applyNumberFormat="1" applyFont="1" applyBorder="1" applyAlignment="1">
      <alignment horizontal="center" vertical="center" wrapText="1"/>
    </xf>
    <xf numFmtId="0" fontId="0" fillId="0" borderId="1" xfId="0" quotePrefix="1" applyNumberFormat="1" applyFill="1" applyBorder="1" applyAlignment="1">
      <alignment horizontal="center" vertical="center" wrapText="1"/>
    </xf>
    <xf numFmtId="0" fontId="22" fillId="0" borderId="0" xfId="2" applyNumberFormat="1" applyFont="1" applyFill="1" applyAlignment="1">
      <alignment horizontal="center"/>
    </xf>
    <xf numFmtId="0" fontId="22" fillId="12" borderId="1" xfId="0" quotePrefix="1" applyNumberFormat="1" applyFont="1" applyFill="1" applyBorder="1" applyAlignment="1">
      <alignment horizontal="center" vertical="center" wrapText="1"/>
    </xf>
    <xf numFmtId="0" fontId="0" fillId="0" borderId="0" xfId="0" applyNumberFormat="1" applyBorder="1"/>
    <xf numFmtId="0" fontId="0" fillId="0" borderId="0" xfId="0" applyNumberFormat="1"/>
    <xf numFmtId="0" fontId="5" fillId="0" borderId="0" xfId="2" applyFill="1"/>
    <xf numFmtId="14" fontId="6" fillId="10" borderId="1" xfId="0" applyNumberFormat="1" applyFont="1" applyFill="1" applyBorder="1" applyAlignment="1">
      <alignment horizontal="center" vertical="center"/>
    </xf>
    <xf numFmtId="49" fontId="12" fillId="4" borderId="1" xfId="0" quotePrefix="1" applyNumberFormat="1" applyFont="1" applyFill="1" applyBorder="1" applyAlignment="1">
      <alignment horizontal="center" vertical="center" wrapText="1"/>
    </xf>
    <xf numFmtId="49" fontId="4" fillId="0" borderId="1" xfId="0" applyNumberFormat="1" applyFont="1" applyFill="1" applyBorder="1" applyAlignment="1">
      <alignment horizontal="left" vertical="center"/>
    </xf>
    <xf numFmtId="49" fontId="0" fillId="0" borderId="1" xfId="0" applyNumberFormat="1" applyFont="1" applyBorder="1" applyAlignment="1">
      <alignment horizontal="left" vertical="center"/>
    </xf>
    <xf numFmtId="49" fontId="4" fillId="0" borderId="1" xfId="0" applyNumberFormat="1" applyFont="1" applyBorder="1" applyAlignment="1">
      <alignment horizontal="left" vertical="center"/>
    </xf>
    <xf numFmtId="0" fontId="7" fillId="10" borderId="5" xfId="0" applyFont="1" applyFill="1" applyBorder="1" applyAlignment="1">
      <alignment horizontal="center" vertical="center" wrapText="1"/>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0" xfId="0" applyNumberFormat="1" applyFill="1"/>
    <xf numFmtId="0" fontId="20" fillId="0" borderId="1" xfId="2" applyFont="1"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14" fontId="0" fillId="12" borderId="1" xfId="0" applyNumberFormat="1" applyFill="1" applyBorder="1" applyAlignment="1">
      <alignment horizontal="left" vertical="center"/>
    </xf>
    <xf numFmtId="167" fontId="12" fillId="12" borderId="1" xfId="5" applyNumberFormat="1" applyFont="1" applyFill="1" applyBorder="1" applyAlignment="1">
      <alignment horizontal="left" vertical="center" wrapText="1"/>
    </xf>
    <xf numFmtId="0" fontId="11" fillId="12" borderId="0" xfId="0" applyFont="1" applyFill="1"/>
    <xf numFmtId="167" fontId="0" fillId="12" borderId="1" xfId="1" applyNumberFormat="1" applyFont="1" applyFill="1" applyBorder="1" applyAlignment="1">
      <alignment horizontal="left"/>
    </xf>
    <xf numFmtId="0" fontId="7" fillId="0" borderId="1" xfId="0" applyFont="1" applyFill="1" applyBorder="1" applyAlignment="1">
      <alignment horizontal="center" vertical="center"/>
    </xf>
    <xf numFmtId="167" fontId="7"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12" fillId="12" borderId="1" xfId="0" quotePrefix="1" applyNumberFormat="1" applyFont="1" applyFill="1" applyBorder="1" applyAlignment="1">
      <alignment horizontal="center" vertical="center" wrapText="1"/>
    </xf>
    <xf numFmtId="15" fontId="12" fillId="12" borderId="1" xfId="0" quotePrefix="1" applyNumberFormat="1" applyFont="1" applyFill="1" applyBorder="1" applyAlignment="1">
      <alignment horizontal="center" vertical="center" wrapText="1"/>
    </xf>
    <xf numFmtId="14" fontId="10" fillId="0" borderId="1" xfId="0" quotePrefix="1" applyNumberFormat="1" applyFont="1" applyFill="1" applyBorder="1" applyAlignment="1">
      <alignment horizontal="center" vertical="center"/>
    </xf>
    <xf numFmtId="0" fontId="21" fillId="0" borderId="1" xfId="0" applyFont="1" applyFill="1" applyBorder="1"/>
    <xf numFmtId="170" fontId="30" fillId="0" borderId="1" xfId="0" quotePrefix="1" applyNumberFormat="1" applyFont="1" applyBorder="1"/>
    <xf numFmtId="173" fontId="0" fillId="3" borderId="1" xfId="0" applyNumberFormat="1" applyFill="1" applyBorder="1" applyAlignment="1">
      <alignment horizontal="center"/>
    </xf>
    <xf numFmtId="167" fontId="0" fillId="3" borderId="1" xfId="1" applyNumberFormat="1" applyFont="1" applyFill="1" applyBorder="1"/>
    <xf numFmtId="167" fontId="20" fillId="3" borderId="1" xfId="5" applyNumberFormat="1" applyFont="1" applyFill="1" applyBorder="1" applyAlignment="1">
      <alignment horizontal="left" vertical="center"/>
    </xf>
    <xf numFmtId="173" fontId="0" fillId="3" borderId="1" xfId="0" applyNumberFormat="1" applyFill="1" applyBorder="1"/>
    <xf numFmtId="167" fontId="20" fillId="3" borderId="1" xfId="1" applyNumberFormat="1" applyFont="1" applyFill="1" applyBorder="1"/>
    <xf numFmtId="167" fontId="0" fillId="3" borderId="4" xfId="1" applyNumberFormat="1" applyFont="1" applyFill="1" applyBorder="1"/>
    <xf numFmtId="0" fontId="0" fillId="3" borderId="8" xfId="0" applyFill="1" applyBorder="1"/>
    <xf numFmtId="167" fontId="0" fillId="3" borderId="1" xfId="1" applyNumberFormat="1" applyFont="1" applyFill="1" applyBorder="1" applyAlignment="1">
      <alignment horizontal="center"/>
    </xf>
    <xf numFmtId="14" fontId="0" fillId="3" borderId="1" xfId="1" applyNumberFormat="1" applyFont="1" applyFill="1" applyBorder="1" applyAlignment="1">
      <alignment horizontal="center"/>
    </xf>
    <xf numFmtId="0" fontId="0" fillId="16" borderId="1" xfId="0" applyFill="1" applyBorder="1"/>
    <xf numFmtId="173" fontId="0" fillId="16" borderId="1" xfId="0" applyNumberFormat="1" applyFill="1" applyBorder="1" applyAlignment="1">
      <alignment horizontal="center"/>
    </xf>
    <xf numFmtId="167" fontId="0" fillId="16" borderId="1" xfId="1" applyNumberFormat="1" applyFont="1" applyFill="1" applyBorder="1"/>
    <xf numFmtId="173" fontId="0" fillId="16" borderId="1" xfId="0" applyNumberFormat="1" applyFill="1" applyBorder="1"/>
    <xf numFmtId="167" fontId="0" fillId="16" borderId="4" xfId="1" applyNumberFormat="1" applyFont="1" applyFill="1" applyBorder="1"/>
    <xf numFmtId="167" fontId="0" fillId="16" borderId="1" xfId="1" applyNumberFormat="1" applyFont="1" applyFill="1" applyBorder="1" applyAlignment="1">
      <alignment horizontal="center"/>
    </xf>
    <xf numFmtId="0" fontId="0" fillId="16" borderId="8" xfId="0" applyFill="1" applyBorder="1"/>
    <xf numFmtId="0" fontId="0" fillId="14" borderId="1" xfId="0" applyFill="1" applyBorder="1"/>
    <xf numFmtId="0" fontId="0" fillId="14" borderId="8" xfId="0" applyFill="1" applyBorder="1"/>
    <xf numFmtId="173" fontId="0" fillId="14" borderId="1" xfId="0" applyNumberFormat="1" applyFill="1" applyBorder="1" applyAlignment="1">
      <alignment horizontal="center"/>
    </xf>
    <xf numFmtId="173" fontId="0" fillId="14" borderId="1" xfId="0" applyNumberFormat="1" applyFill="1" applyBorder="1"/>
    <xf numFmtId="167" fontId="0" fillId="14" borderId="4" xfId="1" applyNumberFormat="1" applyFont="1" applyFill="1" applyBorder="1"/>
    <xf numFmtId="0" fontId="0" fillId="10" borderId="1" xfId="0" applyFill="1" applyBorder="1"/>
    <xf numFmtId="14" fontId="0" fillId="16" borderId="1" xfId="1" applyNumberFormat="1" applyFont="1" applyFill="1" applyBorder="1" applyAlignment="1">
      <alignment horizontal="center"/>
    </xf>
    <xf numFmtId="14" fontId="0" fillId="16" borderId="1" xfId="1" applyNumberFormat="1" applyFont="1" applyFill="1" applyBorder="1"/>
    <xf numFmtId="14" fontId="0" fillId="14" borderId="1" xfId="1" applyNumberFormat="1" applyFont="1" applyFill="1" applyBorder="1"/>
    <xf numFmtId="14" fontId="9" fillId="3" borderId="1" xfId="0" quotePrefix="1" applyNumberFormat="1" applyFont="1" applyFill="1" applyBorder="1" applyAlignment="1">
      <alignment horizontal="center" vertical="center"/>
    </xf>
    <xf numFmtId="0" fontId="9" fillId="8" borderId="2" xfId="0" applyFont="1" applyFill="1" applyBorder="1" applyAlignment="1">
      <alignment horizontal="center" vertical="center"/>
    </xf>
    <xf numFmtId="0" fontId="9" fillId="9" borderId="2" xfId="0" applyFont="1" applyFill="1" applyBorder="1" applyAlignment="1">
      <alignment horizontal="center" vertical="center"/>
    </xf>
    <xf numFmtId="0" fontId="9" fillId="7" borderId="2" xfId="0" applyFont="1" applyFill="1" applyBorder="1" applyAlignment="1">
      <alignment horizontal="center" vertical="center"/>
    </xf>
    <xf numFmtId="14" fontId="9" fillId="3" borderId="6" xfId="0" quotePrefix="1" applyNumberFormat="1" applyFont="1" applyFill="1" applyBorder="1" applyAlignment="1">
      <alignment horizontal="center" vertical="center"/>
    </xf>
    <xf numFmtId="167" fontId="9" fillId="5" borderId="1" xfId="0" applyNumberFormat="1" applyFont="1" applyFill="1" applyBorder="1" applyAlignment="1">
      <alignment horizontal="center" vertical="center"/>
    </xf>
    <xf numFmtId="175" fontId="0" fillId="0" borderId="0" xfId="0" applyNumberFormat="1"/>
    <xf numFmtId="0" fontId="0" fillId="12" borderId="0" xfId="0" applyFill="1"/>
    <xf numFmtId="14" fontId="0" fillId="0" borderId="1" xfId="0" applyNumberFormat="1" applyBorder="1" applyAlignment="1">
      <alignment horizontal="left" vertical="center"/>
    </xf>
    <xf numFmtId="0" fontId="0" fillId="0" borderId="0" xfId="0" applyAlignment="1">
      <alignment horizontal="center" vertical="center"/>
    </xf>
    <xf numFmtId="0" fontId="7" fillId="11" borderId="1" xfId="0" applyFont="1" applyFill="1" applyBorder="1" applyAlignment="1">
      <alignment horizontal="center" vertical="center" wrapText="1"/>
    </xf>
    <xf numFmtId="14" fontId="9" fillId="3" borderId="12" xfId="0" quotePrefix="1" applyNumberFormat="1" applyFont="1" applyFill="1" applyBorder="1" applyAlignment="1">
      <alignment horizontal="left" vertical="center"/>
    </xf>
    <xf numFmtId="14" fontId="9" fillId="3" borderId="6" xfId="0" quotePrefix="1" applyNumberFormat="1" applyFont="1" applyFill="1" applyBorder="1" applyAlignment="1">
      <alignment horizontal="left" vertical="center"/>
    </xf>
    <xf numFmtId="0" fontId="9" fillId="8" borderId="4" xfId="0" applyFont="1" applyFill="1" applyBorder="1" applyAlignment="1">
      <alignment horizontal="left" vertical="center"/>
    </xf>
    <xf numFmtId="0" fontId="9" fillId="8" borderId="2" xfId="0" applyFont="1" applyFill="1" applyBorder="1" applyAlignment="1">
      <alignment horizontal="left" vertical="center"/>
    </xf>
    <xf numFmtId="0" fontId="9" fillId="9" borderId="4" xfId="0" applyFont="1" applyFill="1" applyBorder="1" applyAlignment="1">
      <alignment horizontal="left" vertical="center"/>
    </xf>
    <xf numFmtId="0" fontId="9" fillId="9" borderId="2" xfId="0" applyFont="1" applyFill="1" applyBorder="1" applyAlignment="1">
      <alignment horizontal="left" vertical="center"/>
    </xf>
    <xf numFmtId="0" fontId="9" fillId="7" borderId="4" xfId="0" applyFont="1" applyFill="1" applyBorder="1" applyAlignment="1">
      <alignment horizontal="left" vertical="center"/>
    </xf>
    <xf numFmtId="0" fontId="9" fillId="7" borderId="2" xfId="0" applyFont="1" applyFill="1" applyBorder="1" applyAlignment="1">
      <alignment horizontal="left" vertical="center"/>
    </xf>
    <xf numFmtId="175" fontId="0" fillId="0" borderId="0" xfId="0" applyNumberFormat="1" applyAlignment="1">
      <alignment horizontal="center" vertical="center"/>
    </xf>
    <xf numFmtId="0" fontId="0" fillId="0" borderId="0" xfId="0" applyAlignment="1">
      <alignment horizontal="left" vertical="center"/>
    </xf>
    <xf numFmtId="14" fontId="7" fillId="0" borderId="1" xfId="0" applyNumberFormat="1" applyFont="1" applyFill="1" applyBorder="1" applyAlignment="1">
      <alignment horizontal="center" vertical="center" wrapText="1"/>
    </xf>
    <xf numFmtId="0" fontId="19" fillId="0" borderId="1" xfId="0" applyFont="1" applyBorder="1" applyAlignment="1">
      <alignment horizontal="center" vertical="center"/>
    </xf>
    <xf numFmtId="175" fontId="19" fillId="0" borderId="1" xfId="0" applyNumberFormat="1" applyFont="1" applyBorder="1" applyAlignment="1">
      <alignment horizontal="center" vertic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167" fontId="19" fillId="0" borderId="1" xfId="1" applyNumberFormat="1" applyFont="1" applyBorder="1" applyAlignment="1">
      <alignment horizontal="center" vertical="center"/>
    </xf>
    <xf numFmtId="0" fontId="19" fillId="17" borderId="0" xfId="0" applyFont="1" applyFill="1" applyAlignment="1">
      <alignment horizontal="center" vertical="center"/>
    </xf>
    <xf numFmtId="175" fontId="19" fillId="17" borderId="0" xfId="0" applyNumberFormat="1" applyFont="1" applyFill="1" applyAlignment="1">
      <alignment horizontal="center" vertical="center"/>
    </xf>
    <xf numFmtId="0" fontId="19" fillId="17" borderId="0" xfId="0" applyFont="1" applyFill="1" applyAlignment="1">
      <alignment horizontal="left" vertical="center"/>
    </xf>
    <xf numFmtId="167" fontId="32" fillId="17" borderId="0" xfId="1" applyNumberFormat="1" applyFont="1" applyFill="1" applyAlignment="1">
      <alignment horizontal="center" vertical="center"/>
    </xf>
    <xf numFmtId="167" fontId="20" fillId="0" borderId="0" xfId="1" applyNumberFormat="1" applyFont="1"/>
    <xf numFmtId="0" fontId="33" fillId="0" borderId="1" xfId="0" applyFont="1" applyBorder="1" applyAlignment="1">
      <alignment horizontal="center" vertical="center"/>
    </xf>
    <xf numFmtId="175" fontId="33" fillId="0" borderId="1" xfId="0" applyNumberFormat="1" applyFont="1" applyBorder="1" applyAlignment="1">
      <alignment horizontal="center" vertical="center"/>
    </xf>
    <xf numFmtId="0" fontId="33" fillId="0" borderId="1" xfId="0" applyFont="1" applyBorder="1" applyAlignment="1">
      <alignment horizontal="left" vertical="center" wrapText="1"/>
    </xf>
    <xf numFmtId="167" fontId="33" fillId="0" borderId="1" xfId="1" applyNumberFormat="1" applyFont="1" applyBorder="1" applyAlignment="1">
      <alignment horizontal="center" vertical="center"/>
    </xf>
    <xf numFmtId="0" fontId="20" fillId="0" borderId="0" xfId="0" applyFont="1"/>
    <xf numFmtId="14" fontId="0" fillId="3" borderId="1" xfId="0" applyNumberFormat="1" applyFill="1" applyBorder="1" applyAlignment="1">
      <alignment horizontal="center" vertical="center"/>
    </xf>
    <xf numFmtId="167" fontId="0" fillId="0" borderId="0" xfId="11" applyNumberFormat="1" applyFont="1"/>
    <xf numFmtId="10" fontId="0" fillId="0" borderId="0" xfId="11" applyNumberFormat="1" applyFont="1"/>
    <xf numFmtId="178" fontId="0" fillId="0" borderId="0" xfId="11" applyNumberFormat="1" applyFont="1"/>
    <xf numFmtId="179" fontId="0" fillId="0" borderId="0" xfId="11" applyNumberFormat="1" applyFont="1"/>
    <xf numFmtId="167" fontId="0" fillId="0" borderId="1" xfId="1" applyNumberFormat="1" applyFont="1" applyFill="1" applyBorder="1" applyAlignment="1">
      <alignment horizontal="center" vertical="center"/>
    </xf>
    <xf numFmtId="0" fontId="7" fillId="0" borderId="1" xfId="0" applyFont="1" applyFill="1" applyBorder="1" applyAlignment="1">
      <alignment horizontal="center" vertical="center"/>
    </xf>
    <xf numFmtId="167" fontId="7" fillId="0" borderId="1" xfId="1" applyNumberFormat="1" applyFont="1" applyFill="1" applyBorder="1" applyAlignment="1">
      <alignment horizontal="center" vertical="center"/>
    </xf>
    <xf numFmtId="0" fontId="0" fillId="0" borderId="0" xfId="0" applyAlignment="1">
      <alignment horizontal="center" vertical="center"/>
    </xf>
    <xf numFmtId="0" fontId="11" fillId="0" borderId="1" xfId="8" applyFont="1" applyBorder="1" applyAlignment="1">
      <alignment horizontal="center" vertical="center"/>
    </xf>
    <xf numFmtId="173" fontId="11" fillId="0" borderId="1" xfId="8" applyNumberFormat="1" applyFont="1" applyBorder="1" applyAlignment="1">
      <alignment horizontal="center" vertical="center" wrapText="1"/>
    </xf>
    <xf numFmtId="0" fontId="11" fillId="0" borderId="1" xfId="8" applyFont="1" applyFill="1" applyBorder="1" applyAlignment="1">
      <alignment horizontal="center" vertical="center"/>
    </xf>
    <xf numFmtId="167" fontId="11" fillId="0" borderId="1" xfId="1" applyNumberFormat="1" applyFont="1" applyBorder="1" applyAlignment="1">
      <alignment horizontal="center" vertical="center"/>
    </xf>
    <xf numFmtId="0" fontId="21" fillId="7" borderId="1" xfId="0" applyFont="1" applyFill="1" applyBorder="1" applyAlignment="1">
      <alignment horizontal="center" vertical="center"/>
    </xf>
    <xf numFmtId="14" fontId="0" fillId="0" borderId="1" xfId="0" applyNumberFormat="1" applyBorder="1" applyAlignment="1">
      <alignment vertical="center"/>
    </xf>
    <xf numFmtId="167" fontId="34" fillId="0" borderId="1" xfId="1" applyNumberFormat="1" applyFont="1" applyFill="1" applyBorder="1" applyAlignment="1">
      <alignment horizontal="center" vertical="center"/>
    </xf>
    <xf numFmtId="0" fontId="28" fillId="0" borderId="1" xfId="8" applyFont="1" applyFill="1" applyBorder="1" applyAlignment="1">
      <alignment horizontal="center" vertical="center"/>
    </xf>
    <xf numFmtId="0" fontId="0" fillId="0"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0" fillId="0" borderId="1" xfId="0" applyBorder="1" applyAlignment="1">
      <alignment horizontal="center" vertical="center" wrapText="1"/>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4" fontId="0" fillId="0" borderId="0" xfId="0" applyNumberFormat="1" applyBorder="1" applyAlignment="1">
      <alignment vertical="center"/>
    </xf>
    <xf numFmtId="167" fontId="0" fillId="0" borderId="1" xfId="1" applyNumberFormat="1" applyFont="1" applyFill="1" applyBorder="1" applyAlignment="1">
      <alignment horizontal="center" vertical="center"/>
    </xf>
    <xf numFmtId="0" fontId="0" fillId="10" borderId="1" xfId="0" applyFill="1" applyBorder="1" applyAlignment="1">
      <alignment horizontal="center" vertical="center"/>
    </xf>
    <xf numFmtId="14" fontId="0" fillId="3" borderId="1" xfId="0" applyNumberFormat="1" applyFill="1" applyBorder="1" applyAlignment="1">
      <alignment horizontal="center"/>
    </xf>
    <xf numFmtId="14" fontId="0" fillId="3" borderId="3" xfId="0" applyNumberFormat="1" applyFill="1" applyBorder="1"/>
    <xf numFmtId="14" fontId="0" fillId="0" borderId="5" xfId="0" applyNumberFormat="1" applyBorder="1" applyAlignment="1">
      <alignment vertical="center"/>
    </xf>
    <xf numFmtId="14" fontId="0" fillId="0" borderId="14" xfId="0" applyNumberFormat="1" applyBorder="1" applyAlignment="1">
      <alignment vertical="center"/>
    </xf>
    <xf numFmtId="167" fontId="0" fillId="0" borderId="1" xfId="1" applyNumberFormat="1" applyFont="1" applyFill="1" applyBorder="1" applyAlignment="1">
      <alignment horizontal="center" vertical="center"/>
    </xf>
    <xf numFmtId="167" fontId="20" fillId="0" borderId="0" xfId="1" applyNumberFormat="1" applyFont="1" applyAlignment="1">
      <alignment horizontal="center" vertical="center"/>
    </xf>
    <xf numFmtId="0" fontId="0" fillId="0" borderId="2" xfId="0" applyFill="1" applyBorder="1" applyAlignment="1">
      <alignment horizontal="center" vertical="center"/>
    </xf>
    <xf numFmtId="167" fontId="6" fillId="0" borderId="2" xfId="0" applyNumberFormat="1" applyFont="1" applyFill="1" applyBorder="1" applyAlignment="1">
      <alignment vertical="center"/>
    </xf>
    <xf numFmtId="167" fontId="20" fillId="0" borderId="1" xfId="5" applyNumberFormat="1" applyFont="1" applyFill="1" applyBorder="1" applyAlignment="1">
      <alignment horizontal="left" vertical="center"/>
    </xf>
    <xf numFmtId="167" fontId="24" fillId="0" borderId="1" xfId="1" applyNumberFormat="1" applyFont="1" applyFill="1" applyBorder="1"/>
    <xf numFmtId="14" fontId="0" fillId="0" borderId="1" xfId="1" applyNumberFormat="1" applyFont="1" applyFill="1" applyBorder="1" applyAlignment="1">
      <alignment horizontal="center"/>
    </xf>
    <xf numFmtId="0" fontId="0" fillId="0" borderId="8" xfId="0" applyFill="1" applyBorder="1"/>
    <xf numFmtId="167" fontId="0" fillId="0" borderId="1" xfId="1" applyNumberFormat="1" applyFont="1" applyFill="1" applyBorder="1" applyAlignment="1">
      <alignment horizontal="center" vertical="center"/>
    </xf>
    <xf numFmtId="0" fontId="6" fillId="10" borderId="1" xfId="0" applyFont="1" applyFill="1" applyBorder="1" applyAlignment="1">
      <alignment horizontal="center" vertical="center"/>
    </xf>
    <xf numFmtId="14" fontId="0" fillId="3" borderId="1" xfId="0" applyNumberFormat="1" applyFill="1" applyBorder="1"/>
    <xf numFmtId="14" fontId="0" fillId="6" borderId="1" xfId="0" applyNumberFormat="1" applyFill="1" applyBorder="1"/>
    <xf numFmtId="14" fontId="0" fillId="14" borderId="1" xfId="0" applyNumberFormat="1" applyFill="1" applyBorder="1"/>
    <xf numFmtId="0" fontId="19" fillId="7" borderId="1" xfId="0" applyFont="1" applyFill="1" applyBorder="1" applyAlignment="1">
      <alignment horizontal="center" vertical="center"/>
    </xf>
    <xf numFmtId="175" fontId="19" fillId="7" borderId="1" xfId="0" applyNumberFormat="1" applyFont="1" applyFill="1" applyBorder="1" applyAlignment="1">
      <alignment horizontal="center" vertical="center"/>
    </xf>
    <xf numFmtId="167" fontId="0" fillId="0" borderId="1" xfId="1" applyNumberFormat="1" applyFont="1" applyFill="1" applyBorder="1" applyAlignment="1">
      <alignment horizontal="center" vertical="center" wrapText="1"/>
    </xf>
    <xf numFmtId="0" fontId="20" fillId="0" borderId="1" xfId="0" applyFont="1" applyBorder="1" applyAlignment="1">
      <alignment horizontal="center" vertical="center"/>
    </xf>
    <xf numFmtId="175" fontId="20" fillId="0" borderId="1" xfId="0" applyNumberFormat="1" applyFont="1" applyBorder="1" applyAlignment="1">
      <alignment horizontal="center"/>
    </xf>
    <xf numFmtId="14" fontId="20" fillId="0" borderId="1" xfId="0" applyNumberFormat="1" applyFont="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20" fillId="0" borderId="1" xfId="0" applyFont="1" applyFill="1" applyBorder="1" applyAlignment="1">
      <alignment horizontal="left" vertical="center"/>
    </xf>
    <xf numFmtId="14" fontId="12" fillId="0" borderId="1" xfId="0" quotePrefix="1" applyNumberFormat="1" applyFont="1" applyFill="1" applyBorder="1" applyAlignment="1">
      <alignment horizontal="center"/>
    </xf>
    <xf numFmtId="0" fontId="12" fillId="0" borderId="1" xfId="0" quotePrefix="1" applyNumberFormat="1" applyFont="1" applyFill="1" applyBorder="1" applyAlignment="1">
      <alignment horizontal="center" vertical="center" wrapText="1"/>
    </xf>
    <xf numFmtId="15" fontId="12" fillId="0" borderId="1" xfId="0" quotePrefix="1" applyNumberFormat="1" applyFont="1" applyFill="1" applyBorder="1" applyAlignment="1">
      <alignment horizontal="center" vertical="center" wrapText="1"/>
    </xf>
    <xf numFmtId="167" fontId="12" fillId="0" borderId="1" xfId="5" applyNumberFormat="1" applyFont="1" applyFill="1" applyBorder="1" applyAlignment="1">
      <alignment horizontal="left" vertical="center" wrapText="1"/>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7" borderId="1" xfId="1" applyNumberFormat="1" applyFont="1" applyFill="1" applyBorder="1" applyAlignment="1">
      <alignment horizontal="center" vertical="center"/>
    </xf>
    <xf numFmtId="3" fontId="35" fillId="0" borderId="0" xfId="0" applyNumberFormat="1" applyFont="1"/>
    <xf numFmtId="0" fontId="0" fillId="0" borderId="1" xfId="0" applyFill="1" applyBorder="1" applyAlignment="1">
      <alignment horizont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16" fillId="6" borderId="4" xfId="0" applyNumberFormat="1" applyFont="1" applyFill="1" applyBorder="1" applyAlignment="1">
      <alignment vertical="center"/>
    </xf>
    <xf numFmtId="0" fontId="36" fillId="18" borderId="2" xfId="0" applyFont="1" applyFill="1" applyBorder="1" applyAlignment="1">
      <alignment horizontal="left" vertical="center"/>
    </xf>
    <xf numFmtId="0" fontId="36" fillId="18" borderId="2" xfId="0" applyFont="1" applyFill="1" applyBorder="1" applyAlignment="1">
      <alignment horizontal="center" vertical="center"/>
    </xf>
    <xf numFmtId="14" fontId="36" fillId="18" borderId="2" xfId="0" applyNumberFormat="1" applyFont="1" applyFill="1" applyBorder="1" applyAlignment="1">
      <alignment horizontal="center" vertical="center"/>
    </xf>
    <xf numFmtId="0" fontId="36" fillId="18" borderId="8" xfId="0" applyFont="1" applyFill="1" applyBorder="1" applyAlignment="1">
      <alignment horizontal="center" vertical="center"/>
    </xf>
    <xf numFmtId="0" fontId="37" fillId="18" borderId="2" xfId="0" applyFont="1" applyFill="1" applyBorder="1" applyAlignment="1">
      <alignment horizontal="center" vertical="center"/>
    </xf>
    <xf numFmtId="0" fontId="37" fillId="18" borderId="4" xfId="0" applyFont="1" applyFill="1" applyBorder="1" applyAlignment="1">
      <alignment horizontal="left" vertical="center"/>
    </xf>
    <xf numFmtId="14" fontId="20" fillId="0" borderId="1" xfId="0" quotePrefix="1" applyNumberFormat="1" applyFont="1" applyFill="1" applyBorder="1" applyAlignment="1">
      <alignment horizontal="center" vertical="center"/>
    </xf>
    <xf numFmtId="14" fontId="20" fillId="0" borderId="1" xfId="0" applyNumberFormat="1" applyFont="1" applyFill="1" applyBorder="1" applyAlignment="1">
      <alignment horizontal="center" vertical="center"/>
    </xf>
    <xf numFmtId="14" fontId="22" fillId="0" borderId="1" xfId="0" quotePrefix="1" applyNumberFormat="1" applyFont="1" applyFill="1" applyBorder="1" applyAlignment="1">
      <alignment horizontal="center" vertical="center"/>
    </xf>
    <xf numFmtId="49" fontId="12" fillId="0" borderId="1" xfId="0" quotePrefix="1" applyNumberFormat="1" applyFont="1" applyFill="1" applyBorder="1" applyAlignment="1">
      <alignment horizontal="center" vertical="center" wrapText="1"/>
    </xf>
    <xf numFmtId="171" fontId="0" fillId="0" borderId="1" xfId="0" quotePrefix="1" applyNumberFormat="1" applyFont="1" applyFill="1" applyBorder="1" applyAlignment="1">
      <alignment horizontal="center" vertical="center"/>
    </xf>
    <xf numFmtId="0" fontId="7" fillId="10" borderId="1" xfId="7" applyFont="1" applyFill="1" applyBorder="1" applyAlignment="1">
      <alignment horizontal="center" vertical="center"/>
    </xf>
    <xf numFmtId="14" fontId="6" fillId="10" borderId="1" xfId="7" applyNumberFormat="1" applyFont="1" applyFill="1" applyBorder="1" applyAlignment="1">
      <alignment horizontal="center" vertical="center"/>
    </xf>
    <xf numFmtId="0" fontId="7" fillId="10" borderId="1" xfId="7" applyNumberFormat="1" applyFont="1" applyFill="1" applyBorder="1" applyAlignment="1">
      <alignment horizontal="center" vertical="center"/>
    </xf>
    <xf numFmtId="0" fontId="7" fillId="10" borderId="5" xfId="7" applyFont="1" applyFill="1" applyBorder="1" applyAlignment="1">
      <alignment horizontal="center" vertical="center"/>
    </xf>
    <xf numFmtId="168" fontId="7" fillId="10" borderId="1" xfId="1" applyNumberFormat="1" applyFont="1" applyFill="1" applyBorder="1" applyAlignment="1">
      <alignment horizontal="center" vertical="center"/>
    </xf>
    <xf numFmtId="14" fontId="7" fillId="10" borderId="1" xfId="7" applyNumberFormat="1" applyFont="1" applyFill="1" applyBorder="1" applyAlignment="1">
      <alignment horizontal="center" vertical="center" wrapText="1"/>
    </xf>
    <xf numFmtId="0" fontId="7" fillId="10" borderId="1" xfId="0" applyFont="1" applyFill="1" applyBorder="1" applyAlignment="1">
      <alignment horizontal="center" vertical="center"/>
    </xf>
    <xf numFmtId="167" fontId="7" fillId="10" borderId="1" xfId="1" applyNumberFormat="1" applyFont="1" applyFill="1" applyBorder="1" applyAlignment="1">
      <alignment horizontal="center" vertical="center" wrapText="1"/>
    </xf>
    <xf numFmtId="14" fontId="7" fillId="10" borderId="1" xfId="0" applyNumberFormat="1" applyFont="1" applyFill="1" applyBorder="1" applyAlignment="1">
      <alignment horizontal="center" vertical="center" wrapText="1"/>
    </xf>
    <xf numFmtId="0" fontId="7" fillId="10" borderId="3" xfId="7" applyFont="1" applyFill="1" applyBorder="1" applyAlignment="1">
      <alignment horizontal="center" vertical="center"/>
    </xf>
    <xf numFmtId="0" fontId="7" fillId="10" borderId="1" xfId="7" applyFont="1" applyFill="1" applyBorder="1" applyAlignment="1">
      <alignment horizontal="left" vertical="center"/>
    </xf>
    <xf numFmtId="15" fontId="12" fillId="0" borderId="5" xfId="0" quotePrefix="1" applyNumberFormat="1" applyFont="1" applyFill="1" applyBorder="1" applyAlignment="1">
      <alignment vertical="center" wrapText="1"/>
    </xf>
    <xf numFmtId="0" fontId="0" fillId="0" borderId="1" xfId="0" applyFill="1" applyBorder="1" applyAlignment="1">
      <alignment horizontal="center"/>
    </xf>
    <xf numFmtId="167" fontId="0" fillId="0" borderId="1" xfId="1" applyNumberFormat="1" applyFont="1" applyFill="1" applyBorder="1" applyAlignment="1">
      <alignment horizontal="center" vertical="center"/>
    </xf>
    <xf numFmtId="0" fontId="28" fillId="0" borderId="1" xfId="0" applyFont="1" applyBorder="1" applyAlignment="1">
      <alignment horizontal="left" vertical="center" wrapText="1"/>
    </xf>
    <xf numFmtId="0" fontId="11" fillId="0" borderId="1" xfId="0" applyFont="1" applyFill="1" applyBorder="1" applyAlignment="1">
      <alignment horizontal="left" vertical="center"/>
    </xf>
    <xf numFmtId="0" fontId="6" fillId="10" borderId="1" xfId="7" applyFont="1" applyFill="1" applyBorder="1" applyAlignment="1">
      <alignment horizontal="center" vertical="center"/>
    </xf>
    <xf numFmtId="0" fontId="6" fillId="10" borderId="1" xfId="7" applyFont="1" applyFill="1" applyBorder="1" applyAlignment="1">
      <alignment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0" fontId="9" fillId="5" borderId="1" xfId="0"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7" fillId="11" borderId="1" xfId="8" applyFont="1" applyFill="1" applyBorder="1" applyAlignment="1">
      <alignment horizontal="center" vertical="center" wrapText="1"/>
    </xf>
    <xf numFmtId="0" fontId="7" fillId="11" borderId="1" xfId="0" applyFont="1" applyFill="1" applyBorder="1" applyAlignment="1">
      <alignment horizontal="center" vertical="center" wrapText="1"/>
    </xf>
    <xf numFmtId="0" fontId="7" fillId="11" borderId="1" xfId="0" applyNumberFormat="1" applyFont="1" applyFill="1" applyBorder="1" applyAlignment="1">
      <alignment horizontal="center" vertical="center"/>
    </xf>
    <xf numFmtId="167" fontId="7" fillId="0" borderId="3" xfId="1" applyNumberFormat="1" applyFont="1" applyFill="1" applyBorder="1" applyAlignment="1">
      <alignment horizontal="center" vertical="center"/>
    </xf>
    <xf numFmtId="0" fontId="7" fillId="11" borderId="5" xfId="0" applyFont="1" applyFill="1" applyBorder="1" applyAlignment="1">
      <alignment horizontal="center" vertical="center"/>
    </xf>
    <xf numFmtId="0" fontId="7" fillId="11" borderId="5" xfId="0" applyFont="1" applyFill="1" applyBorder="1" applyAlignment="1">
      <alignment horizontal="center" vertical="center" wrapText="1"/>
    </xf>
    <xf numFmtId="167" fontId="7" fillId="0" borderId="3" xfId="0" applyNumberFormat="1" applyFont="1" applyFill="1" applyBorder="1" applyAlignment="1">
      <alignment horizontal="center" vertical="center" wrapText="1"/>
    </xf>
    <xf numFmtId="43" fontId="0" fillId="0" borderId="0" xfId="0" applyNumberFormat="1"/>
    <xf numFmtId="0" fontId="9" fillId="5" borderId="5" xfId="0" applyFont="1" applyFill="1" applyBorder="1" applyAlignment="1">
      <alignment horizontal="center" vertical="center"/>
    </xf>
    <xf numFmtId="167" fontId="18" fillId="6" borderId="5" xfId="0" applyNumberFormat="1" applyFont="1" applyFill="1" applyBorder="1" applyAlignment="1">
      <alignment vertical="center"/>
    </xf>
    <xf numFmtId="167" fontId="16" fillId="9" borderId="18" xfId="0" applyNumberFormat="1" applyFont="1" applyFill="1" applyBorder="1" applyAlignment="1">
      <alignment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0" fillId="0" borderId="1" xfId="0" quotePrefix="1" applyFont="1" applyBorder="1" applyAlignment="1">
      <alignment horizontal="center" vertical="center" wrapText="1"/>
    </xf>
    <xf numFmtId="167" fontId="0" fillId="0" borderId="0" xfId="1" applyNumberFormat="1" applyFont="1" applyFill="1" applyBorder="1" applyAlignment="1">
      <alignment vertical="center"/>
    </xf>
    <xf numFmtId="167" fontId="6" fillId="7" borderId="7"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41" fontId="0" fillId="0" borderId="1" xfId="1" applyNumberFormat="1" applyFont="1" applyBorder="1"/>
    <xf numFmtId="167" fontId="0" fillId="0" borderId="1" xfId="1" applyNumberFormat="1" applyFont="1" applyFill="1" applyBorder="1" applyAlignment="1">
      <alignment horizontal="center" vertical="center"/>
    </xf>
    <xf numFmtId="0" fontId="6" fillId="10" borderId="1" xfId="0" applyFont="1" applyFill="1" applyBorder="1" applyAlignment="1">
      <alignment horizontal="center" vertical="center"/>
    </xf>
    <xf numFmtId="167" fontId="0" fillId="0" borderId="1" xfId="1"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14" fontId="0" fillId="0" borderId="3" xfId="0" applyNumberFormat="1" applyBorder="1" applyAlignment="1">
      <alignment vertical="center"/>
    </xf>
    <xf numFmtId="0" fontId="0" fillId="0" borderId="13" xfId="0" applyBorder="1" applyAlignment="1">
      <alignment vertical="center"/>
    </xf>
    <xf numFmtId="0" fontId="0" fillId="0" borderId="11" xfId="0" applyFill="1" applyBorder="1"/>
    <xf numFmtId="0" fontId="0" fillId="0" borderId="14" xfId="0" applyFill="1" applyBorder="1"/>
    <xf numFmtId="14" fontId="0" fillId="0" borderId="14" xfId="0" applyNumberFormat="1" applyFill="1" applyBorder="1"/>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Border="1" applyAlignment="1">
      <alignment horizontal="center" vertical="center"/>
    </xf>
    <xf numFmtId="14" fontId="10" fillId="0" borderId="1" xfId="0" quotePrefix="1" applyNumberFormat="1" applyFont="1" applyFill="1" applyBorder="1" applyAlignment="1">
      <alignment horizontal="left" vertical="center"/>
    </xf>
    <xf numFmtId="0" fontId="7" fillId="0" borderId="1" xfId="0" applyFont="1" applyFill="1" applyBorder="1" applyAlignment="1">
      <alignment horizontal="center" vertical="center"/>
    </xf>
    <xf numFmtId="167" fontId="7" fillId="0" borderId="1" xfId="1" applyNumberFormat="1" applyFont="1" applyFill="1" applyBorder="1" applyAlignment="1">
      <alignment horizontal="center" vertical="center"/>
    </xf>
    <xf numFmtId="0" fontId="0" fillId="0" borderId="0" xfId="0" applyAlignment="1">
      <alignment horizontal="center" vertical="center"/>
    </xf>
    <xf numFmtId="0" fontId="7" fillId="11" borderId="1" xfId="0" applyFont="1" applyFill="1" applyBorder="1" applyAlignment="1">
      <alignment horizontal="center" vertical="center" wrapText="1"/>
    </xf>
    <xf numFmtId="167" fontId="11" fillId="0" borderId="5" xfId="1" applyNumberFormat="1" applyFont="1" applyBorder="1" applyAlignment="1">
      <alignment horizontal="center" vertical="center"/>
    </xf>
    <xf numFmtId="0" fontId="7" fillId="11" borderId="1" xfId="0" applyFont="1" applyFill="1" applyBorder="1" applyAlignment="1">
      <alignment horizontal="center" vertical="center"/>
    </xf>
    <xf numFmtId="0" fontId="7" fillId="11" borderId="1" xfId="0" applyNumberFormat="1"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7" fillId="11" borderId="1" xfId="8"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0" fontId="20" fillId="0" borderId="0" xfId="0" applyFont="1" applyAlignment="1">
      <alignment vertical="center"/>
    </xf>
    <xf numFmtId="173" fontId="0" fillId="0" borderId="0" xfId="0" applyNumberFormat="1" applyBorder="1" applyAlignment="1">
      <alignment horizontal="center"/>
    </xf>
    <xf numFmtId="167" fontId="0" fillId="0" borderId="0" xfId="1" applyNumberFormat="1" applyFont="1" applyBorder="1"/>
    <xf numFmtId="167" fontId="11" fillId="19" borderId="1" xfId="1" applyNumberFormat="1" applyFont="1" applyFill="1" applyBorder="1" applyAlignment="1">
      <alignment horizontal="center" vertical="center" wrapText="1"/>
    </xf>
    <xf numFmtId="167" fontId="22" fillId="19" borderId="1" xfId="1" applyNumberFormat="1" applyFont="1" applyFill="1" applyBorder="1" applyAlignment="1">
      <alignment horizontal="center" vertical="center" wrapText="1"/>
    </xf>
    <xf numFmtId="167" fontId="0" fillId="19" borderId="0" xfId="1" applyNumberFormat="1" applyFont="1" applyFill="1" applyBorder="1"/>
    <xf numFmtId="167" fontId="0" fillId="0" borderId="0" xfId="0" applyNumberFormat="1" applyBorder="1"/>
    <xf numFmtId="167" fontId="22" fillId="19" borderId="5" xfId="1" applyNumberFormat="1" applyFont="1" applyFill="1" applyBorder="1" applyAlignment="1">
      <alignment horizontal="center" vertical="center" wrapText="1"/>
    </xf>
    <xf numFmtId="0" fontId="0" fillId="7" borderId="8" xfId="0" applyFill="1" applyBorder="1" applyAlignment="1">
      <alignment vertical="center"/>
    </xf>
    <xf numFmtId="0" fontId="0" fillId="7" borderId="1" xfId="0" applyFill="1" applyBorder="1" applyAlignment="1">
      <alignment horizontal="left" vertical="center"/>
    </xf>
    <xf numFmtId="0" fontId="0" fillId="7" borderId="1" xfId="0" applyFill="1" applyBorder="1" applyAlignment="1">
      <alignment horizontal="center" vertical="center"/>
    </xf>
    <xf numFmtId="0" fontId="0" fillId="7" borderId="4" xfId="0" applyFill="1" applyBorder="1" applyAlignment="1">
      <alignment horizontal="left" vertical="center"/>
    </xf>
    <xf numFmtId="14" fontId="0" fillId="7" borderId="1" xfId="0" applyNumberFormat="1" applyFill="1" applyBorder="1" applyAlignment="1">
      <alignment horizontal="left" vertical="center"/>
    </xf>
    <xf numFmtId="14" fontId="0" fillId="7" borderId="8" xfId="0" applyNumberFormat="1" applyFill="1" applyBorder="1" applyAlignment="1">
      <alignment vertical="center"/>
    </xf>
    <xf numFmtId="0" fontId="0" fillId="7" borderId="4" xfId="0" applyFill="1" applyBorder="1" applyAlignment="1"/>
    <xf numFmtId="0" fontId="0" fillId="7" borderId="8" xfId="0" applyFill="1" applyBorder="1" applyAlignment="1"/>
    <xf numFmtId="14" fontId="9" fillId="5" borderId="1" xfId="0" applyNumberFormat="1" applyFont="1" applyFill="1" applyBorder="1" applyAlignment="1">
      <alignment vertical="center"/>
    </xf>
    <xf numFmtId="15" fontId="12" fillId="12" borderId="5" xfId="0" quotePrefix="1" applyNumberFormat="1" applyFont="1" applyFill="1" applyBorder="1" applyAlignment="1">
      <alignment horizontal="center" vertical="center" wrapText="1"/>
    </xf>
    <xf numFmtId="0" fontId="12" fillId="4" borderId="3" xfId="0" quotePrefix="1" applyNumberFormat="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0" fontId="7" fillId="0" borderId="5" xfId="0" applyFont="1" applyFill="1" applyBorder="1" applyAlignment="1">
      <alignment vertical="center"/>
    </xf>
    <xf numFmtId="0" fontId="7" fillId="0" borderId="3" xfId="0" applyFont="1" applyFill="1" applyBorder="1" applyAlignment="1">
      <alignment vertic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67" fontId="24" fillId="0" borderId="1" xfId="1" applyNumberFormat="1" applyFont="1" applyFill="1" applyBorder="1" applyAlignment="1">
      <alignment horizontal="center" vertical="center"/>
    </xf>
    <xf numFmtId="0" fontId="28" fillId="0" borderId="1" xfId="0" quotePrefix="1" applyNumberFormat="1" applyFont="1" applyFill="1" applyBorder="1" applyAlignment="1">
      <alignment horizontal="center" vertical="center"/>
    </xf>
    <xf numFmtId="41" fontId="0" fillId="0" borderId="1" xfId="0" applyNumberFormat="1" applyBorder="1"/>
    <xf numFmtId="41" fontId="0" fillId="0" borderId="1" xfId="9" applyFont="1" applyBorder="1"/>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12" fillId="4" borderId="3" xfId="3" quotePrefix="1" applyNumberFormat="1" applyFont="1" applyFill="1" applyBorder="1" applyAlignment="1">
      <alignment vertical="center"/>
    </xf>
    <xf numFmtId="0" fontId="12" fillId="4" borderId="1" xfId="3" quotePrefix="1" applyNumberFormat="1" applyFont="1" applyFill="1" applyBorder="1" applyAlignment="1">
      <alignment horizontal="center" vertical="center"/>
    </xf>
    <xf numFmtId="0" fontId="12" fillId="0" borderId="1" xfId="0" quotePrefix="1" applyNumberFormat="1" applyFont="1" applyFill="1" applyBorder="1" applyAlignment="1">
      <alignment horizontal="left" vertical="center"/>
    </xf>
    <xf numFmtId="0" fontId="12" fillId="4" borderId="3" xfId="0" quotePrefix="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0" fillId="0" borderId="0" xfId="0" applyAlignment="1">
      <alignment horizontal="center" vertical="center"/>
    </xf>
    <xf numFmtId="0" fontId="11" fillId="0" borderId="1" xfId="0" quotePrefix="1" applyNumberFormat="1" applyFont="1" applyFill="1" applyBorder="1" applyAlignment="1">
      <alignment horizontal="left" vertical="center"/>
    </xf>
    <xf numFmtId="0" fontId="7" fillId="10" borderId="3" xfId="7" applyFont="1" applyFill="1" applyBorder="1" applyAlignment="1">
      <alignment horizontal="left" vertical="center"/>
    </xf>
    <xf numFmtId="0" fontId="0" fillId="0" borderId="1" xfId="0" quotePrefix="1" applyNumberFormat="1" applyFont="1" applyFill="1" applyBorder="1" applyAlignment="1">
      <alignment horizontal="left" vertical="center"/>
    </xf>
    <xf numFmtId="0" fontId="11" fillId="12" borderId="1" xfId="0" quotePrefix="1" applyNumberFormat="1" applyFont="1" applyFill="1" applyBorder="1" applyAlignment="1">
      <alignment horizontal="left" vertical="center"/>
    </xf>
    <xf numFmtId="0" fontId="12" fillId="4" borderId="3" xfId="3" quotePrefix="1" applyFont="1" applyFill="1" applyBorder="1" applyAlignment="1">
      <alignment vertical="center" wrapText="1"/>
    </xf>
    <xf numFmtId="0" fontId="12" fillId="4" borderId="1" xfId="3" quotePrefix="1" applyFont="1" applyFill="1" applyBorder="1" applyAlignment="1">
      <alignment vertical="center" wrapText="1"/>
    </xf>
    <xf numFmtId="15" fontId="22" fillId="12" borderId="5" xfId="0" quotePrefix="1" applyNumberFormat="1" applyFont="1" applyFill="1" applyBorder="1" applyAlignment="1">
      <alignment horizontal="center" vertical="center" wrapText="1"/>
    </xf>
    <xf numFmtId="0" fontId="22" fillId="12" borderId="1" xfId="0" quotePrefix="1" applyNumberFormat="1" applyFont="1" applyFill="1" applyBorder="1" applyAlignment="1">
      <alignment horizontal="left" vertical="center"/>
    </xf>
    <xf numFmtId="14" fontId="20" fillId="12" borderId="1" xfId="0" applyNumberFormat="1" applyFont="1" applyFill="1" applyBorder="1" applyAlignment="1">
      <alignment horizontal="center"/>
    </xf>
    <xf numFmtId="0" fontId="20" fillId="12" borderId="1" xfId="0" applyFont="1" applyFill="1" applyBorder="1"/>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7" fillId="11" borderId="1" xfId="0" applyFont="1" applyFill="1" applyBorder="1" applyAlignment="1">
      <alignment horizontal="center" vertical="center" wrapText="1"/>
    </xf>
    <xf numFmtId="0" fontId="7" fillId="11" borderId="5" xfId="0" applyFont="1" applyFill="1" applyBorder="1" applyAlignment="1">
      <alignment horizontal="center" vertical="center"/>
    </xf>
    <xf numFmtId="0" fontId="7" fillId="11" borderId="1" xfId="0" applyNumberFormat="1"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7" fillId="11" borderId="1" xfId="8"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12" fillId="4" borderId="3" xfId="3" quotePrefix="1" applyFont="1" applyFill="1" applyBorder="1" applyAlignment="1">
      <alignment horizontal="center" vertical="center" wrapText="1"/>
    </xf>
    <xf numFmtId="0" fontId="4" fillId="0" borderId="0" xfId="3" applyFont="1" applyAlignment="1">
      <alignment vertical="center"/>
    </xf>
    <xf numFmtId="167" fontId="0" fillId="0" borderId="1"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170" fontId="38" fillId="0" borderId="0" xfId="3" quotePrefix="1" applyNumberFormat="1" applyFont="1" applyAlignment="1">
      <alignment vertical="center"/>
    </xf>
    <xf numFmtId="167" fontId="0" fillId="0" borderId="1"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0" fontId="6" fillId="10" borderId="1" xfId="0" applyFont="1" applyFill="1" applyBorder="1" applyAlignment="1">
      <alignment horizontal="center" vertical="center"/>
    </xf>
    <xf numFmtId="0" fontId="21" fillId="0" borderId="8" xfId="0" applyFont="1" applyFill="1" applyBorder="1" applyAlignment="1">
      <alignment horizontal="center" vertical="center"/>
    </xf>
    <xf numFmtId="164" fontId="12" fillId="0" borderId="1" xfId="3" applyNumberFormat="1" applyFont="1" applyBorder="1" applyAlignment="1">
      <alignment horizontal="center" vertical="center"/>
    </xf>
    <xf numFmtId="14" fontId="10" fillId="0" borderId="5" xfId="3" quotePrefix="1" applyNumberFormat="1" applyFont="1" applyFill="1" applyBorder="1" applyAlignment="1">
      <alignment horizontal="center" vertical="center"/>
    </xf>
    <xf numFmtId="167" fontId="4" fillId="0" borderId="1" xfId="1" applyNumberFormat="1" applyFont="1" applyBorder="1" applyAlignment="1">
      <alignment vertical="center"/>
    </xf>
    <xf numFmtId="167" fontId="0" fillId="0" borderId="1"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167" fontId="39" fillId="20" borderId="1" xfId="12" applyNumberFormat="1" applyBorder="1" applyAlignment="1">
      <alignment horizontal="center" vertical="center"/>
    </xf>
    <xf numFmtId="0" fontId="0" fillId="0" borderId="0" xfId="0" quotePrefix="1"/>
    <xf numFmtId="0" fontId="12" fillId="4" borderId="1" xfId="3" quotePrefix="1" applyNumberFormat="1" applyFont="1" applyFill="1" applyBorder="1" applyAlignment="1">
      <alignment vertical="center" wrapText="1"/>
    </xf>
    <xf numFmtId="164" fontId="12" fillId="0" borderId="1" xfId="4"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29" fillId="0" borderId="1" xfId="0" applyFont="1" applyFill="1" applyBorder="1" applyAlignment="1">
      <alignment horizontal="center" vertical="center"/>
    </xf>
    <xf numFmtId="167" fontId="0" fillId="0" borderId="1" xfId="1" applyNumberFormat="1" applyFont="1" applyBorder="1" applyAlignment="1">
      <alignment horizontal="center" vertical="center"/>
    </xf>
    <xf numFmtId="0" fontId="0" fillId="0" borderId="1" xfId="0" applyNumberFormat="1" applyBorder="1"/>
    <xf numFmtId="167" fontId="0" fillId="0"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14" fontId="0" fillId="0" borderId="1" xfId="0" applyNumberFormat="1" applyBorder="1" applyAlignment="1">
      <alignment horizontal="left"/>
    </xf>
    <xf numFmtId="167" fontId="0" fillId="0" borderId="1" xfId="1"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167" fontId="0" fillId="0" borderId="3"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15" fontId="12" fillId="0" borderId="5" xfId="0" quotePrefix="1" applyNumberFormat="1" applyFont="1" applyFill="1" applyBorder="1" applyAlignment="1">
      <alignment horizontal="center" vertical="center" wrapText="1"/>
    </xf>
    <xf numFmtId="15" fontId="12" fillId="0" borderId="3" xfId="0" quotePrefix="1" applyNumberFormat="1" applyFont="1" applyFill="1" applyBorder="1" applyAlignment="1">
      <alignment horizontal="center" vertical="center" wrapText="1"/>
    </xf>
    <xf numFmtId="167" fontId="0" fillId="0" borderId="1" xfId="1" applyNumberFormat="1" applyFont="1" applyFill="1" applyBorder="1" applyAlignment="1">
      <alignment horizontal="center" vertical="center"/>
    </xf>
    <xf numFmtId="0" fontId="12" fillId="0" borderId="5" xfId="0" quotePrefix="1" applyNumberFormat="1" applyFont="1" applyFill="1" applyBorder="1" applyAlignment="1">
      <alignment horizontal="center" vertical="center" wrapText="1"/>
    </xf>
    <xf numFmtId="167" fontId="1" fillId="12" borderId="1" xfId="1" applyNumberFormat="1" applyFont="1" applyFill="1" applyBorder="1" applyAlignment="1">
      <alignment horizontal="center" vertical="center"/>
    </xf>
    <xf numFmtId="167" fontId="0" fillId="0" borderId="1" xfId="1" applyNumberFormat="1" applyFont="1" applyFill="1" applyBorder="1" applyAlignment="1">
      <alignment horizontal="center" vertical="center"/>
    </xf>
    <xf numFmtId="0" fontId="41" fillId="0" borderId="1" xfId="0" applyFont="1" applyFill="1" applyBorder="1" applyAlignment="1">
      <alignment horizontal="center" vertical="center"/>
    </xf>
    <xf numFmtId="167" fontId="0" fillId="0" borderId="1" xfId="1" applyNumberFormat="1" applyFont="1" applyFill="1" applyBorder="1" applyAlignment="1">
      <alignment horizontal="center" vertical="center"/>
    </xf>
    <xf numFmtId="0" fontId="7" fillId="0" borderId="5"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7" fillId="0" borderId="5"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9" fillId="5" borderId="4"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8" xfId="0" applyFont="1" applyFill="1" applyBorder="1" applyAlignment="1">
      <alignment horizontal="center" vertical="center"/>
    </xf>
    <xf numFmtId="0" fontId="7" fillId="0" borderId="5" xfId="8" applyFont="1" applyBorder="1" applyAlignment="1">
      <alignment horizontal="center" vertical="center"/>
    </xf>
    <xf numFmtId="0" fontId="7" fillId="0" borderId="3" xfId="8" applyFont="1" applyBorder="1" applyAlignment="1">
      <alignment horizontal="center" vertical="center"/>
    </xf>
    <xf numFmtId="15" fontId="7" fillId="0" borderId="5" xfId="8" applyNumberFormat="1" applyFont="1" applyBorder="1" applyAlignment="1">
      <alignment horizontal="center" vertical="center"/>
    </xf>
    <xf numFmtId="15" fontId="7" fillId="0" borderId="3" xfId="8" applyNumberFormat="1" applyFont="1" applyBorder="1" applyAlignment="1">
      <alignment horizontal="center" vertical="center"/>
    </xf>
    <xf numFmtId="168" fontId="7" fillId="0" borderId="5" xfId="1" applyNumberFormat="1" applyFont="1" applyBorder="1" applyAlignment="1">
      <alignment horizontal="center" vertical="center"/>
    </xf>
    <xf numFmtId="168" fontId="7" fillId="0" borderId="3" xfId="1" applyNumberFormat="1" applyFont="1" applyBorder="1" applyAlignment="1">
      <alignment horizontal="center" vertical="center"/>
    </xf>
    <xf numFmtId="0" fontId="7" fillId="0" borderId="5" xfId="8" applyFont="1" applyBorder="1" applyAlignment="1">
      <alignment horizontal="center" vertical="center" wrapText="1"/>
    </xf>
    <xf numFmtId="0" fontId="7" fillId="0" borderId="3" xfId="8" applyFont="1" applyBorder="1" applyAlignment="1">
      <alignment horizontal="center" vertical="center" wrapText="1"/>
    </xf>
    <xf numFmtId="0" fontId="7" fillId="0" borderId="5"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8" xfId="0" applyFont="1" applyFill="1" applyBorder="1" applyAlignment="1">
      <alignment horizontal="center" vertical="center"/>
    </xf>
    <xf numFmtId="14" fontId="9" fillId="3" borderId="4" xfId="0" quotePrefix="1" applyNumberFormat="1" applyFont="1" applyFill="1" applyBorder="1" applyAlignment="1">
      <alignment horizontal="center" vertical="center"/>
    </xf>
    <xf numFmtId="14" fontId="9" fillId="3" borderId="2" xfId="0" applyNumberFormat="1" applyFont="1" applyFill="1" applyBorder="1" applyAlignment="1">
      <alignment horizontal="center" vertical="center"/>
    </xf>
    <xf numFmtId="14" fontId="9" fillId="3" borderId="8" xfId="0" applyNumberFormat="1" applyFont="1" applyFill="1" applyBorder="1" applyAlignment="1">
      <alignment horizontal="center" vertical="center"/>
    </xf>
    <xf numFmtId="0" fontId="7" fillId="0" borderId="1" xfId="0" applyNumberFormat="1" applyFont="1" applyFill="1" applyBorder="1" applyAlignment="1">
      <alignment horizontal="center" vertical="center" wrapText="1"/>
    </xf>
    <xf numFmtId="0" fontId="7" fillId="0" borderId="1" xfId="8" applyFont="1" applyBorder="1" applyAlignment="1">
      <alignment horizontal="center" vertical="center"/>
    </xf>
    <xf numFmtId="168" fontId="7" fillId="0" borderId="1" xfId="1" applyNumberFormat="1" applyFont="1" applyBorder="1" applyAlignment="1">
      <alignment horizontal="center" vertical="center"/>
    </xf>
    <xf numFmtId="0" fontId="7" fillId="0" borderId="1" xfId="0" applyFont="1" applyFill="1" applyBorder="1" applyAlignment="1">
      <alignment horizontal="center" vertical="center"/>
    </xf>
    <xf numFmtId="167" fontId="7" fillId="0" borderId="1" xfId="1" applyNumberFormat="1" applyFont="1" applyFill="1" applyBorder="1" applyAlignment="1">
      <alignment horizontal="center" vertical="center"/>
    </xf>
    <xf numFmtId="0" fontId="7" fillId="0" borderId="1" xfId="0" applyNumberFormat="1" applyFont="1" applyFill="1" applyBorder="1" applyAlignment="1">
      <alignment horizontal="center" vertical="center"/>
    </xf>
    <xf numFmtId="14" fontId="9" fillId="3" borderId="2" xfId="0" quotePrefix="1" applyNumberFormat="1" applyFont="1" applyFill="1" applyBorder="1" applyAlignment="1">
      <alignment horizontal="center" vertical="center"/>
    </xf>
    <xf numFmtId="14" fontId="9" fillId="3" borderId="8" xfId="0" quotePrefix="1" applyNumberFormat="1" applyFont="1" applyFill="1" applyBorder="1" applyAlignment="1">
      <alignment horizontal="center" vertical="center"/>
    </xf>
    <xf numFmtId="0" fontId="0" fillId="0" borderId="1" xfId="0" applyFill="1" applyBorder="1" applyAlignment="1">
      <alignment horizontal="center"/>
    </xf>
    <xf numFmtId="167" fontId="0" fillId="0" borderId="1" xfId="1" applyNumberFormat="1" applyFont="1" applyBorder="1" applyAlignment="1">
      <alignment horizontal="center" vertical="center"/>
    </xf>
    <xf numFmtId="167" fontId="0" fillId="0" borderId="1" xfId="1" applyNumberFormat="1" applyFont="1" applyFill="1" applyBorder="1" applyAlignment="1">
      <alignment horizontal="center" vertical="center"/>
    </xf>
    <xf numFmtId="167" fontId="0" fillId="0" borderId="5" xfId="1" applyNumberFormat="1" applyFont="1" applyFill="1" applyBorder="1" applyAlignment="1">
      <alignment horizontal="center" vertical="center"/>
    </xf>
    <xf numFmtId="167" fontId="0" fillId="0" borderId="7" xfId="1" applyNumberFormat="1" applyFont="1" applyFill="1" applyBorder="1" applyAlignment="1">
      <alignment horizontal="center" vertical="center"/>
    </xf>
    <xf numFmtId="167" fontId="0" fillId="0" borderId="3" xfId="1" applyNumberFormat="1" applyFont="1" applyFill="1" applyBorder="1" applyAlignment="1">
      <alignment horizontal="center" vertical="center"/>
    </xf>
    <xf numFmtId="15" fontId="7" fillId="0" borderId="1" xfId="8" applyNumberFormat="1" applyFont="1" applyBorder="1" applyAlignment="1">
      <alignment horizontal="center" vertical="center"/>
    </xf>
    <xf numFmtId="0" fontId="0" fillId="0" borderId="5"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wrapText="1"/>
    </xf>
    <xf numFmtId="14" fontId="0" fillId="0" borderId="5" xfId="0" applyNumberFormat="1" applyBorder="1" applyAlignment="1">
      <alignment horizontal="center" vertical="center"/>
    </xf>
    <xf numFmtId="14" fontId="0" fillId="0" borderId="7" xfId="0" applyNumberFormat="1" applyBorder="1" applyAlignment="1">
      <alignment horizontal="center" vertical="center"/>
    </xf>
    <xf numFmtId="14" fontId="0" fillId="0" borderId="3" xfId="0" applyNumberFormat="1" applyBorder="1" applyAlignment="1">
      <alignment horizontal="center" vertical="center"/>
    </xf>
    <xf numFmtId="167" fontId="0" fillId="0" borderId="5" xfId="1" applyNumberFormat="1" applyFont="1" applyFill="1" applyBorder="1" applyAlignment="1">
      <alignment horizontal="center"/>
    </xf>
    <xf numFmtId="167" fontId="0" fillId="0" borderId="7" xfId="1" applyNumberFormat="1" applyFont="1" applyFill="1" applyBorder="1" applyAlignment="1">
      <alignment horizontal="center"/>
    </xf>
    <xf numFmtId="167" fontId="0" fillId="0" borderId="3" xfId="1" applyNumberFormat="1" applyFont="1" applyFill="1" applyBorder="1" applyAlignment="1">
      <alignment horizontal="center"/>
    </xf>
    <xf numFmtId="0" fontId="7" fillId="0" borderId="5" xfId="0" applyFont="1" applyFill="1" applyBorder="1" applyAlignment="1">
      <alignment horizontal="center" vertical="center"/>
    </xf>
    <xf numFmtId="0" fontId="7" fillId="0" borderId="3" xfId="0" applyFont="1" applyFill="1" applyBorder="1" applyAlignment="1">
      <alignment horizontal="center" vertical="center"/>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0" fillId="0" borderId="13" xfId="0" applyBorder="1" applyAlignment="1">
      <alignment horizontal="center" wrapText="1"/>
    </xf>
    <xf numFmtId="14" fontId="9" fillId="3" borderId="1" xfId="0" quotePrefix="1" applyNumberFormat="1" applyFont="1" applyFill="1" applyBorder="1" applyAlignment="1">
      <alignment horizontal="center" vertical="center"/>
    </xf>
    <xf numFmtId="14" fontId="9" fillId="3" borderId="1" xfId="0" quotePrefix="1" applyNumberFormat="1" applyFont="1" applyFill="1" applyBorder="1" applyAlignment="1">
      <alignment horizontal="left" vertical="center"/>
    </xf>
    <xf numFmtId="167" fontId="8" fillId="0" borderId="5" xfId="1" applyNumberFormat="1" applyFont="1" applyFill="1" applyBorder="1" applyAlignment="1">
      <alignment horizontal="center" vertical="center"/>
    </xf>
    <xf numFmtId="167" fontId="8" fillId="0" borderId="3" xfId="1" applyNumberFormat="1" applyFont="1" applyFill="1" applyBorder="1" applyAlignment="1">
      <alignment horizontal="center" vertical="center"/>
    </xf>
    <xf numFmtId="15" fontId="12" fillId="4" borderId="5" xfId="0" quotePrefix="1" applyNumberFormat="1" applyFont="1" applyFill="1" applyBorder="1" applyAlignment="1">
      <alignment horizontal="center" vertical="center" wrapText="1"/>
    </xf>
    <xf numFmtId="15" fontId="12" fillId="4" borderId="7" xfId="0" quotePrefix="1" applyNumberFormat="1" applyFont="1" applyFill="1" applyBorder="1" applyAlignment="1">
      <alignment horizontal="center" vertical="center" wrapText="1"/>
    </xf>
    <xf numFmtId="15" fontId="12" fillId="4" borderId="3" xfId="0" quotePrefix="1" applyNumberFormat="1" applyFont="1" applyFill="1" applyBorder="1" applyAlignment="1">
      <alignment horizontal="center" vertical="center" wrapText="1"/>
    </xf>
    <xf numFmtId="0" fontId="7" fillId="10" borderId="4" xfId="0" applyFont="1" applyFill="1" applyBorder="1" applyAlignment="1">
      <alignment horizontal="center" vertical="center"/>
    </xf>
    <xf numFmtId="0" fontId="7" fillId="10" borderId="8" xfId="0" applyFont="1" applyFill="1" applyBorder="1" applyAlignment="1">
      <alignment horizontal="center" vertical="center"/>
    </xf>
    <xf numFmtId="0" fontId="7" fillId="10" borderId="1" xfId="0" applyNumberFormat="1" applyFont="1" applyFill="1" applyBorder="1" applyAlignment="1">
      <alignment horizontal="center" vertical="center" wrapText="1"/>
    </xf>
    <xf numFmtId="0" fontId="9" fillId="9" borderId="0" xfId="0" applyFont="1" applyFill="1" applyAlignment="1">
      <alignment horizontal="center" vertical="center"/>
    </xf>
    <xf numFmtId="0" fontId="6" fillId="10" borderId="1" xfId="0" applyFont="1" applyFill="1" applyBorder="1" applyAlignment="1">
      <alignment horizontal="center" vertical="center"/>
    </xf>
    <xf numFmtId="0" fontId="6" fillId="10" borderId="4"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11" xfId="0" applyFont="1" applyFill="1" applyBorder="1" applyAlignment="1">
      <alignment horizontal="center" vertical="center"/>
    </xf>
    <xf numFmtId="0" fontId="6" fillId="10" borderId="12"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10" borderId="8" xfId="0" applyFont="1" applyFill="1" applyBorder="1" applyAlignment="1">
      <alignment horizontal="center" vertical="center"/>
    </xf>
    <xf numFmtId="0" fontId="7" fillId="3" borderId="0" xfId="0" applyFont="1" applyFill="1" applyAlignment="1">
      <alignment horizontal="center" vertical="center"/>
    </xf>
    <xf numFmtId="0" fontId="6" fillId="5" borderId="5"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10" borderId="6" xfId="0" applyFont="1" applyFill="1" applyBorder="1" applyAlignment="1">
      <alignment horizontal="center" vertical="center"/>
    </xf>
    <xf numFmtId="0" fontId="6" fillId="10" borderId="16" xfId="0" applyFont="1" applyFill="1" applyBorder="1" applyAlignment="1">
      <alignment horizontal="center" vertical="center"/>
    </xf>
    <xf numFmtId="0" fontId="6" fillId="12" borderId="13" xfId="0" applyFont="1" applyFill="1" applyBorder="1" applyAlignment="1">
      <alignment horizontal="center" vertical="center"/>
    </xf>
    <xf numFmtId="0" fontId="6" fillId="12" borderId="0" xfId="0" applyFont="1" applyFill="1" applyBorder="1" applyAlignment="1">
      <alignment horizontal="center" vertical="center"/>
    </xf>
    <xf numFmtId="0" fontId="6" fillId="12" borderId="15" xfId="0" applyFont="1" applyFill="1" applyBorder="1" applyAlignment="1">
      <alignment horizontal="center" vertical="center"/>
    </xf>
    <xf numFmtId="0" fontId="6" fillId="10" borderId="13" xfId="0" applyFont="1" applyFill="1" applyBorder="1" applyAlignment="1">
      <alignment horizontal="center" vertical="center"/>
    </xf>
    <xf numFmtId="0" fontId="6" fillId="10" borderId="0" xfId="0" applyFont="1" applyFill="1" applyBorder="1" applyAlignment="1">
      <alignment horizontal="center" vertical="center"/>
    </xf>
    <xf numFmtId="0" fontId="6" fillId="10" borderId="15" xfId="0" applyFont="1" applyFill="1" applyBorder="1" applyAlignment="1">
      <alignment horizontal="center" vertical="center"/>
    </xf>
    <xf numFmtId="0" fontId="23" fillId="0" borderId="0" xfId="0" applyFont="1" applyAlignment="1">
      <alignment horizontal="center" vertical="center"/>
    </xf>
    <xf numFmtId="167" fontId="16" fillId="13" borderId="0" xfId="0" applyNumberFormat="1" applyFont="1" applyFill="1" applyAlignment="1">
      <alignment horizontal="center" vertical="center"/>
    </xf>
    <xf numFmtId="0" fontId="9" fillId="9" borderId="6" xfId="0" applyFont="1" applyFill="1" applyBorder="1" applyAlignment="1">
      <alignment horizontal="center" vertical="center"/>
    </xf>
    <xf numFmtId="167" fontId="23" fillId="13" borderId="0" xfId="0" applyNumberFormat="1" applyFont="1" applyFill="1" applyAlignment="1">
      <alignment horizontal="center" vertical="center"/>
    </xf>
    <xf numFmtId="14" fontId="23" fillId="3" borderId="4" xfId="0" quotePrefix="1" applyNumberFormat="1" applyFont="1" applyFill="1" applyBorder="1" applyAlignment="1">
      <alignment horizontal="center" vertical="center"/>
    </xf>
    <xf numFmtId="14" fontId="23" fillId="3" borderId="2" xfId="0" quotePrefix="1" applyNumberFormat="1" applyFont="1" applyFill="1" applyBorder="1" applyAlignment="1">
      <alignment horizontal="center" vertical="center"/>
    </xf>
    <xf numFmtId="0" fontId="18" fillId="0" borderId="6" xfId="0" applyFont="1" applyBorder="1" applyAlignment="1">
      <alignment horizontal="center" vertical="center"/>
    </xf>
    <xf numFmtId="167" fontId="7" fillId="0" borderId="5" xfId="0" applyNumberFormat="1" applyFont="1" applyFill="1" applyBorder="1" applyAlignment="1">
      <alignment horizontal="center" vertical="center"/>
    </xf>
    <xf numFmtId="167" fontId="7" fillId="0" borderId="7" xfId="0" applyNumberFormat="1" applyFont="1" applyFill="1" applyBorder="1" applyAlignment="1">
      <alignment horizontal="center" vertical="center"/>
    </xf>
    <xf numFmtId="167" fontId="7" fillId="0" borderId="3" xfId="0" applyNumberFormat="1" applyFont="1" applyFill="1" applyBorder="1" applyAlignment="1">
      <alignment horizontal="center" vertical="center"/>
    </xf>
    <xf numFmtId="0" fontId="0" fillId="0" borderId="13" xfId="0" applyBorder="1" applyAlignment="1">
      <alignment horizontal="center" vertical="center"/>
    </xf>
    <xf numFmtId="167" fontId="11" fillId="19" borderId="5" xfId="1" applyNumberFormat="1" applyFont="1" applyFill="1" applyBorder="1" applyAlignment="1">
      <alignment horizontal="center" vertical="center" wrapText="1"/>
    </xf>
    <xf numFmtId="167" fontId="11" fillId="19" borderId="7" xfId="1" applyNumberFormat="1" applyFont="1" applyFill="1" applyBorder="1" applyAlignment="1">
      <alignment horizontal="center" vertical="center" wrapText="1"/>
    </xf>
    <xf numFmtId="167" fontId="11" fillId="19" borderId="3" xfId="1" applyNumberFormat="1" applyFont="1" applyFill="1" applyBorder="1" applyAlignment="1">
      <alignment horizontal="center" vertical="center" wrapText="1"/>
    </xf>
    <xf numFmtId="173" fontId="11" fillId="0" borderId="5" xfId="8" applyNumberFormat="1" applyFont="1" applyBorder="1" applyAlignment="1">
      <alignment horizontal="center" vertical="center" wrapText="1"/>
    </xf>
    <xf numFmtId="173" fontId="11" fillId="0" borderId="7" xfId="8" applyNumberFormat="1" applyFont="1" applyBorder="1" applyAlignment="1">
      <alignment horizontal="center" vertical="center" wrapText="1"/>
    </xf>
    <xf numFmtId="173" fontId="11" fillId="0" borderId="3" xfId="8" applyNumberFormat="1" applyFont="1" applyBorder="1" applyAlignment="1">
      <alignment horizontal="center" vertical="center" wrapText="1"/>
    </xf>
    <xf numFmtId="0" fontId="28" fillId="0" borderId="5" xfId="8" applyFont="1" applyFill="1" applyBorder="1" applyAlignment="1">
      <alignment horizontal="center" vertical="center"/>
    </xf>
    <xf numFmtId="0" fontId="28" fillId="0" borderId="7" xfId="8" applyFont="1" applyFill="1" applyBorder="1" applyAlignment="1">
      <alignment horizontal="center" vertical="center"/>
    </xf>
    <xf numFmtId="0" fontId="28" fillId="0" borderId="3" xfId="8" applyFont="1" applyFill="1" applyBorder="1" applyAlignment="1">
      <alignment horizontal="center" vertical="center"/>
    </xf>
    <xf numFmtId="0" fontId="7" fillId="0" borderId="7" xfId="8" applyFont="1" applyBorder="1" applyAlignment="1">
      <alignment horizontal="center" vertical="center"/>
    </xf>
    <xf numFmtId="15" fontId="11" fillId="0" borderId="5" xfId="8" applyNumberFormat="1" applyFont="1" applyBorder="1" applyAlignment="1">
      <alignment horizontal="center" vertical="center"/>
    </xf>
    <xf numFmtId="15" fontId="11" fillId="0" borderId="7" xfId="8" applyNumberFormat="1" applyFont="1" applyBorder="1" applyAlignment="1">
      <alignment horizontal="center" vertical="center"/>
    </xf>
    <xf numFmtId="15" fontId="11" fillId="0" borderId="3" xfId="8" applyNumberFormat="1" applyFont="1" applyBorder="1" applyAlignment="1">
      <alignment horizontal="center" vertical="center"/>
    </xf>
    <xf numFmtId="0" fontId="11" fillId="0" borderId="5" xfId="8" applyFont="1" applyBorder="1" applyAlignment="1">
      <alignment horizontal="center" vertical="center"/>
    </xf>
    <xf numFmtId="0" fontId="11" fillId="0" borderId="7" xfId="8" applyFont="1" applyBorder="1" applyAlignment="1">
      <alignment horizontal="center" vertical="center"/>
    </xf>
    <xf numFmtId="0" fontId="11" fillId="0" borderId="3" xfId="8" applyFont="1" applyBorder="1" applyAlignment="1">
      <alignment horizontal="center" vertical="center"/>
    </xf>
    <xf numFmtId="167" fontId="11" fillId="0" borderId="5" xfId="1" applyNumberFormat="1" applyFont="1" applyBorder="1" applyAlignment="1">
      <alignment horizontal="center" vertical="center"/>
    </xf>
    <xf numFmtId="167" fontId="11" fillId="0" borderId="7" xfId="1" applyNumberFormat="1" applyFont="1" applyBorder="1" applyAlignment="1">
      <alignment horizontal="center" vertical="center"/>
    </xf>
    <xf numFmtId="167" fontId="11" fillId="0" borderId="3" xfId="1" applyNumberFormat="1" applyFont="1" applyBorder="1" applyAlignment="1">
      <alignment horizontal="center" vertical="center"/>
    </xf>
    <xf numFmtId="0" fontId="11" fillId="0" borderId="5" xfId="8" applyFont="1" applyBorder="1" applyAlignment="1">
      <alignment horizontal="center" vertical="center" wrapText="1"/>
    </xf>
    <xf numFmtId="0" fontId="11" fillId="0" borderId="7" xfId="8"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3" xfId="0" applyFont="1" applyBorder="1" applyAlignment="1">
      <alignment horizontal="center" vertical="center" wrapText="1"/>
    </xf>
    <xf numFmtId="0" fontId="7" fillId="11" borderId="1" xfId="0" applyFont="1" applyFill="1" applyBorder="1" applyAlignment="1">
      <alignment horizontal="center" vertical="center" wrapText="1"/>
    </xf>
    <xf numFmtId="0" fontId="7" fillId="11" borderId="4" xfId="0" applyFont="1" applyFill="1" applyBorder="1" applyAlignment="1">
      <alignment horizontal="center" vertical="center"/>
    </xf>
    <xf numFmtId="0" fontId="7" fillId="11" borderId="8" xfId="0" applyFont="1" applyFill="1" applyBorder="1" applyAlignment="1">
      <alignment horizontal="center" vertical="center"/>
    </xf>
    <xf numFmtId="0" fontId="11" fillId="0" borderId="3" xfId="8" applyFont="1" applyBorder="1" applyAlignment="1">
      <alignment horizontal="center" vertical="center" wrapText="1"/>
    </xf>
    <xf numFmtId="0" fontId="31" fillId="10" borderId="1" xfId="0" applyFont="1" applyFill="1" applyBorder="1" applyAlignment="1">
      <alignment horizontal="center" vertical="center"/>
    </xf>
    <xf numFmtId="0" fontId="7" fillId="0" borderId="1" xfId="8" applyFont="1" applyBorder="1" applyAlignment="1">
      <alignment horizontal="center" vertical="center" wrapText="1"/>
    </xf>
    <xf numFmtId="0" fontId="7" fillId="0" borderId="1" xfId="0" applyFont="1" applyFill="1" applyBorder="1" applyAlignment="1">
      <alignment horizontal="center" vertical="center" wrapText="1"/>
    </xf>
    <xf numFmtId="169" fontId="16" fillId="9" borderId="19" xfId="0" applyNumberFormat="1" applyFont="1" applyFill="1" applyBorder="1" applyAlignment="1">
      <alignment horizontal="center" vertical="center"/>
    </xf>
    <xf numFmtId="169" fontId="16" fillId="9" borderId="20" xfId="0" applyNumberFormat="1" applyFont="1" applyFill="1" applyBorder="1" applyAlignment="1">
      <alignment horizontal="center" vertical="center"/>
    </xf>
    <xf numFmtId="0" fontId="9" fillId="5" borderId="5" xfId="0" applyFont="1" applyFill="1" applyBorder="1" applyAlignment="1">
      <alignment horizontal="center" vertical="center"/>
    </xf>
    <xf numFmtId="167" fontId="0" fillId="0" borderId="5" xfId="1" applyNumberFormat="1" applyFont="1" applyFill="1" applyBorder="1" applyAlignment="1">
      <alignment horizontal="center" vertical="center" wrapText="1"/>
    </xf>
    <xf numFmtId="167" fontId="0" fillId="0" borderId="3" xfId="1"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9" fillId="15" borderId="6" xfId="0" applyFont="1" applyFill="1" applyBorder="1" applyAlignment="1">
      <alignment horizontal="center" vertical="center"/>
    </xf>
    <xf numFmtId="0" fontId="0" fillId="10" borderId="1" xfId="0" applyFill="1" applyBorder="1" applyAlignment="1">
      <alignment horizontal="center" vertical="center"/>
    </xf>
    <xf numFmtId="0" fontId="18" fillId="5" borderId="1" xfId="0" applyFont="1" applyFill="1" applyBorder="1" applyAlignment="1">
      <alignment horizontal="center" vertical="center"/>
    </xf>
    <xf numFmtId="0" fontId="0" fillId="10" borderId="0" xfId="0" applyFill="1" applyAlignment="1">
      <alignment horizontal="center" vertical="center"/>
    </xf>
    <xf numFmtId="0" fontId="0" fillId="0" borderId="0" xfId="0" applyAlignment="1">
      <alignment horizontal="center" vertical="center"/>
    </xf>
    <xf numFmtId="0" fontId="9" fillId="12" borderId="1" xfId="0" applyFont="1" applyFill="1" applyBorder="1" applyAlignment="1">
      <alignment horizontal="center" vertical="center"/>
    </xf>
    <xf numFmtId="0" fontId="9" fillId="9" borderId="1" xfId="0" applyFont="1" applyFill="1" applyBorder="1" applyAlignment="1">
      <alignment horizontal="center" vertical="center"/>
    </xf>
    <xf numFmtId="167" fontId="0" fillId="3" borderId="5" xfId="1" applyNumberFormat="1" applyFont="1" applyFill="1" applyBorder="1" applyAlignment="1">
      <alignment horizontal="left" wrapText="1"/>
    </xf>
    <xf numFmtId="167" fontId="0" fillId="3" borderId="3" xfId="1" applyNumberFormat="1" applyFont="1" applyFill="1" applyBorder="1" applyAlignment="1">
      <alignment horizontal="left" wrapText="1"/>
    </xf>
    <xf numFmtId="167" fontId="0" fillId="3" borderId="5" xfId="1" applyNumberFormat="1" applyFont="1" applyFill="1" applyBorder="1" applyAlignment="1">
      <alignment horizontal="left" vertical="center" wrapText="1"/>
    </xf>
    <xf numFmtId="167" fontId="0" fillId="3" borderId="3" xfId="1" applyNumberFormat="1" applyFont="1" applyFill="1" applyBorder="1" applyAlignment="1">
      <alignment horizontal="left" vertical="center" wrapText="1"/>
    </xf>
    <xf numFmtId="167" fontId="0" fillId="3" borderId="5" xfId="1" applyNumberFormat="1" applyFont="1" applyFill="1" applyBorder="1" applyAlignment="1">
      <alignment horizontal="center" vertical="center"/>
    </xf>
    <xf numFmtId="167" fontId="0" fillId="3" borderId="3" xfId="1" applyNumberFormat="1" applyFont="1" applyFill="1" applyBorder="1" applyAlignment="1">
      <alignment horizontal="center" vertical="center"/>
    </xf>
    <xf numFmtId="167" fontId="0" fillId="16" borderId="5" xfId="1" applyNumberFormat="1" applyFont="1" applyFill="1" applyBorder="1" applyAlignment="1">
      <alignment horizontal="center" vertical="center"/>
    </xf>
    <xf numFmtId="167" fontId="0" fillId="16" borderId="3" xfId="1" applyNumberFormat="1" applyFont="1" applyFill="1" applyBorder="1" applyAlignment="1">
      <alignment horizontal="center" vertical="center"/>
    </xf>
    <xf numFmtId="167" fontId="0" fillId="16" borderId="5" xfId="1" applyNumberFormat="1" applyFont="1" applyFill="1" applyBorder="1" applyAlignment="1">
      <alignment horizontal="left" vertical="center"/>
    </xf>
    <xf numFmtId="167" fontId="0" fillId="16" borderId="3" xfId="1" applyNumberFormat="1" applyFont="1" applyFill="1" applyBorder="1" applyAlignment="1">
      <alignment horizontal="left" vertical="center"/>
    </xf>
    <xf numFmtId="167" fontId="0" fillId="14" borderId="5" xfId="1" applyNumberFormat="1" applyFont="1" applyFill="1" applyBorder="1" applyAlignment="1">
      <alignment horizontal="left" vertical="center"/>
    </xf>
    <xf numFmtId="167" fontId="0" fillId="14" borderId="3" xfId="1" applyNumberFormat="1" applyFont="1" applyFill="1" applyBorder="1" applyAlignment="1">
      <alignment horizontal="left" vertical="center"/>
    </xf>
    <xf numFmtId="167" fontId="21" fillId="14" borderId="5" xfId="1" applyNumberFormat="1" applyFont="1" applyFill="1" applyBorder="1" applyAlignment="1">
      <alignment horizontal="left" vertical="center" wrapText="1"/>
    </xf>
    <xf numFmtId="167" fontId="21" fillId="14" borderId="3" xfId="1" applyNumberFormat="1" applyFont="1" applyFill="1" applyBorder="1" applyAlignment="1">
      <alignment horizontal="left" vertical="center" wrapText="1"/>
    </xf>
    <xf numFmtId="167" fontId="21" fillId="14" borderId="5" xfId="1" applyNumberFormat="1" applyFont="1" applyFill="1" applyBorder="1" applyAlignment="1">
      <alignment horizontal="left" wrapText="1"/>
    </xf>
    <xf numFmtId="167" fontId="21" fillId="14" borderId="3" xfId="1" applyNumberFormat="1" applyFont="1" applyFill="1" applyBorder="1" applyAlignment="1">
      <alignment horizontal="left"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5" xfId="0" quotePrefix="1" applyBorder="1" applyAlignment="1">
      <alignment horizontal="center" vertical="center"/>
    </xf>
    <xf numFmtId="0" fontId="0" fillId="0" borderId="5" xfId="0" quotePrefix="1" applyBorder="1" applyAlignment="1">
      <alignment horizontal="center" vertical="center" wrapText="1"/>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7" xfId="0" quotePrefix="1" applyBorder="1" applyAlignment="1">
      <alignment horizontal="center" vertical="center"/>
    </xf>
    <xf numFmtId="0" fontId="0" fillId="0" borderId="3" xfId="0" quotePrefix="1" applyBorder="1" applyAlignment="1">
      <alignment horizontal="center" vertical="center"/>
    </xf>
    <xf numFmtId="0" fontId="0" fillId="0" borderId="5" xfId="0" applyFont="1" applyBorder="1" applyAlignment="1">
      <alignment horizontal="center" vertical="center"/>
    </xf>
    <xf numFmtId="0" fontId="0" fillId="0" borderId="3" xfId="0" applyFont="1" applyBorder="1" applyAlignment="1">
      <alignment horizontal="center" vertical="center"/>
    </xf>
    <xf numFmtId="14" fontId="0" fillId="0" borderId="5" xfId="0" applyNumberFormat="1" applyFill="1" applyBorder="1" applyAlignment="1">
      <alignment horizontal="center" vertical="center"/>
    </xf>
    <xf numFmtId="14" fontId="0" fillId="0" borderId="3" xfId="0" applyNumberFormat="1" applyFill="1" applyBorder="1" applyAlignment="1">
      <alignment horizontal="center" vertical="center"/>
    </xf>
    <xf numFmtId="167" fontId="0" fillId="0" borderId="5" xfId="1" applyNumberFormat="1" applyFont="1" applyBorder="1" applyAlignment="1">
      <alignment horizontal="center" vertical="center"/>
    </xf>
    <xf numFmtId="167" fontId="0" fillId="0" borderId="3" xfId="1" applyNumberFormat="1" applyFont="1" applyBorder="1" applyAlignment="1">
      <alignment horizontal="center" vertical="center"/>
    </xf>
    <xf numFmtId="14" fontId="0" fillId="0" borderId="5" xfId="0" quotePrefix="1" applyNumberFormat="1" applyBorder="1" applyAlignment="1">
      <alignment horizontal="center" vertical="center"/>
    </xf>
    <xf numFmtId="0" fontId="7" fillId="11" borderId="5"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1" xfId="0" applyNumberFormat="1" applyFont="1" applyFill="1" applyBorder="1" applyAlignment="1">
      <alignment horizontal="center" vertical="center"/>
    </xf>
    <xf numFmtId="0" fontId="7" fillId="11" borderId="1" xfId="8" applyFont="1" applyFill="1" applyBorder="1" applyAlignment="1">
      <alignment horizontal="center" vertical="center"/>
    </xf>
    <xf numFmtId="15" fontId="7" fillId="11" borderId="1" xfId="8" applyNumberFormat="1" applyFont="1" applyFill="1" applyBorder="1" applyAlignment="1">
      <alignment horizontal="center" vertical="center"/>
    </xf>
    <xf numFmtId="168" fontId="7" fillId="11" borderId="1" xfId="1" applyNumberFormat="1" applyFont="1" applyFill="1" applyBorder="1" applyAlignment="1">
      <alignment horizontal="center" vertical="center"/>
    </xf>
    <xf numFmtId="0" fontId="7" fillId="11" borderId="1" xfId="8" applyFont="1" applyFill="1" applyBorder="1" applyAlignment="1">
      <alignment horizontal="center" vertical="center" wrapText="1"/>
    </xf>
    <xf numFmtId="14" fontId="7" fillId="11" borderId="1" xfId="8" applyNumberFormat="1" applyFont="1" applyFill="1" applyBorder="1" applyAlignment="1">
      <alignment horizontal="center" vertical="center" wrapText="1"/>
    </xf>
    <xf numFmtId="14" fontId="7" fillId="11" borderId="5" xfId="8" applyNumberFormat="1" applyFont="1" applyFill="1" applyBorder="1" applyAlignment="1">
      <alignment horizontal="center" vertical="center" wrapText="1"/>
    </xf>
    <xf numFmtId="14" fontId="7" fillId="11" borderId="3" xfId="8" applyNumberFormat="1" applyFont="1" applyFill="1" applyBorder="1" applyAlignment="1">
      <alignment horizontal="center" vertical="center" wrapText="1"/>
    </xf>
    <xf numFmtId="171" fontId="0" fillId="0" borderId="5" xfId="1" quotePrefix="1" applyNumberFormat="1" applyFont="1" applyFill="1" applyBorder="1" applyAlignment="1">
      <alignment horizontal="center" vertical="center"/>
    </xf>
    <xf numFmtId="171" fontId="0" fillId="0" borderId="7" xfId="1" quotePrefix="1" applyNumberFormat="1" applyFont="1" applyFill="1" applyBorder="1" applyAlignment="1">
      <alignment horizontal="center" vertical="center"/>
    </xf>
    <xf numFmtId="171" fontId="0" fillId="0" borderId="3" xfId="1" quotePrefix="1" applyNumberFormat="1" applyFont="1" applyFill="1" applyBorder="1" applyAlignment="1">
      <alignment horizontal="center" vertical="center"/>
    </xf>
    <xf numFmtId="171" fontId="0" fillId="0" borderId="5" xfId="0" applyNumberFormat="1" applyFill="1" applyBorder="1" applyAlignment="1">
      <alignment horizontal="center" vertical="center"/>
    </xf>
    <xf numFmtId="171" fontId="0" fillId="0" borderId="7" xfId="0" applyNumberFormat="1" applyFill="1" applyBorder="1" applyAlignment="1">
      <alignment horizontal="center" vertical="center"/>
    </xf>
    <xf numFmtId="171" fontId="0" fillId="0" borderId="3" xfId="0" applyNumberFormat="1" applyFill="1" applyBorder="1" applyAlignment="1">
      <alignment horizontal="center" vertical="center"/>
    </xf>
    <xf numFmtId="0" fontId="0" fillId="0" borderId="5" xfId="0" applyFill="1" applyBorder="1" applyAlignment="1">
      <alignment horizontal="center" vertical="center"/>
    </xf>
    <xf numFmtId="0" fontId="0" fillId="0" borderId="7" xfId="0" applyFill="1" applyBorder="1" applyAlignment="1">
      <alignment horizontal="center" vertical="center"/>
    </xf>
    <xf numFmtId="0" fontId="0" fillId="0" borderId="3" xfId="0" applyFill="1" applyBorder="1" applyAlignment="1">
      <alignment horizontal="center" vertical="center"/>
    </xf>
    <xf numFmtId="164" fontId="3" fillId="0" borderId="5" xfId="0" applyNumberFormat="1" applyFont="1" applyFill="1" applyBorder="1" applyAlignment="1">
      <alignment horizontal="center" vertical="center"/>
    </xf>
    <xf numFmtId="164" fontId="3" fillId="0" borderId="7"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0" fontId="12" fillId="0" borderId="0" xfId="3" applyFont="1"/>
  </cellXfs>
  <cellStyles count="13">
    <cellStyle name="Accent4" xfId="12" builtinId="41"/>
    <cellStyle name="Comma" xfId="1" builtinId="3"/>
    <cellStyle name="Comma [0]" xfId="9" builtinId="6"/>
    <cellStyle name="Comma [0] 2" xfId="4"/>
    <cellStyle name="Comma 2" xfId="5"/>
    <cellStyle name="Comma 2 2" xfId="10"/>
    <cellStyle name="Currency 2" xfId="6"/>
    <cellStyle name="Neutral" xfId="2" builtinId="28"/>
    <cellStyle name="Normal" xfId="0" builtinId="0"/>
    <cellStyle name="Normal 2" xfId="3"/>
    <cellStyle name="Normal 2 2" xfId="7"/>
    <cellStyle name="Normal 2 3" xfId="8"/>
    <cellStyle name="Percent" xfId="11" builtinId="5"/>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00FF"/>
      <color rgb="FFCC66FF"/>
      <color rgb="FFCC99FF"/>
      <color rgb="FF9999FF"/>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66675</xdr:rowOff>
    </xdr:from>
    <xdr:to>
      <xdr:col>8</xdr:col>
      <xdr:colOff>87176</xdr:colOff>
      <xdr:row>21</xdr:row>
      <xdr:rowOff>133350</xdr:rowOff>
    </xdr:to>
    <xdr:pic>
      <xdr:nvPicPr>
        <xdr:cNvPr id="2" name="Picture 1">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209550" y="66675"/>
          <a:ext cx="4754426" cy="40671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DEDE\LAP.%20Piutang\Piutang%202021\Lap.%20Piutang_PaHenry%20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LAP.%20Piutang\Piutang%202020\Lap.%20Piutang_20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oleObject" Target="file:///\\PCI-dede\Users\Public\2021\INVOICE\Non%20PPn_Invoice\09_INV_Non%20PPn%20September%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uOutstanding"/>
      <sheetName val="PiuOutstanding Up date"/>
      <sheetName val="PiuGlobal"/>
      <sheetName val="PiuGlobal 9101112"/>
      <sheetName val="Phapros"/>
    </sheetNames>
    <sheetDataSet>
      <sheetData sheetId="0"/>
      <sheetData sheetId="1"/>
      <sheetData sheetId="2"/>
      <sheetData sheetId="3">
        <row r="40">
          <cell r="P40">
            <v>319302905</v>
          </cell>
        </row>
      </sheetData>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uOutstanding"/>
      <sheetName val="PiuOutstanding Up date"/>
      <sheetName val="PiuGlobal"/>
      <sheetName val="Phapros"/>
      <sheetName val="PiuGlobal 9101112"/>
      <sheetName val="Piutang Ari tirta"/>
    </sheetNames>
    <sheetDataSet>
      <sheetData sheetId="0"/>
      <sheetData sheetId="1"/>
      <sheetData sheetId="2"/>
      <sheetData sheetId="3">
        <row r="379">
          <cell r="H379">
            <v>299675900</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mc:AlternateContent xmlns:mc="http://schemas.openxmlformats.org/markup-compatibility/2006">
        <mc:Choice Requires="x14">
          <x14:oleItem name="!382_Karya Indo_Batam!R18C2" advise="1"/>
        </mc:Choice>
        <mc:Fallback>
          <oleItem name="!382_Karya Indo_Batam!R18C2" advise="1"/>
        </mc:Fallback>
      </mc:AlternateContent>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filterMode="1"/>
  <dimension ref="A2:AN601"/>
  <sheetViews>
    <sheetView showGridLines="0" zoomScale="96" zoomScaleNormal="96" workbookViewId="0">
      <pane xSplit="4" ySplit="3" topLeftCell="G64" activePane="bottomRight" state="frozen"/>
      <selection activeCell="J8" sqref="J8:J10"/>
      <selection pane="topRight" activeCell="J8" sqref="J8:J10"/>
      <selection pane="bottomLeft" activeCell="J8" sqref="J8:J10"/>
      <selection pane="bottomRight" activeCell="G96" sqref="G96"/>
    </sheetView>
  </sheetViews>
  <sheetFormatPr defaultRowHeight="15" x14ac:dyDescent="0.25"/>
  <cols>
    <col min="1" max="1" width="5.85546875" customWidth="1"/>
    <col min="2" max="2" width="11.5703125" style="8" customWidth="1"/>
    <col min="3" max="3" width="12.28515625" customWidth="1"/>
    <col min="4" max="4" width="18.5703125" customWidth="1"/>
    <col min="5" max="5" width="21.85546875" customWidth="1"/>
    <col min="6" max="6" width="14.7109375" style="9" customWidth="1"/>
    <col min="7" max="7" width="16.7109375" customWidth="1"/>
    <col min="8" max="8" width="13" customWidth="1"/>
    <col min="9" max="9" width="13.140625" style="11" customWidth="1"/>
    <col min="10" max="10" width="13" style="11" customWidth="1"/>
    <col min="11" max="11" width="10" style="11" customWidth="1"/>
    <col min="12" max="12" width="9.5703125" style="11" customWidth="1"/>
    <col min="13" max="13" width="10.140625" style="34" customWidth="1"/>
    <col min="14" max="14" width="12.28515625" style="11" customWidth="1"/>
    <col min="15" max="15" width="23.140625" style="11" customWidth="1"/>
    <col min="16" max="16" width="11.5703125" bestFit="1" customWidth="1"/>
    <col min="17" max="17" width="25.85546875" bestFit="1" customWidth="1"/>
    <col min="18" max="18" width="15.7109375" customWidth="1"/>
  </cols>
  <sheetData>
    <row r="2" spans="1:40" ht="42" customHeight="1" x14ac:dyDescent="0.25">
      <c r="A2" s="970" t="s">
        <v>6</v>
      </c>
      <c r="B2" s="983" t="s">
        <v>0</v>
      </c>
      <c r="C2" s="970" t="s">
        <v>7</v>
      </c>
      <c r="D2" s="970" t="s">
        <v>8</v>
      </c>
      <c r="E2" s="970" t="s">
        <v>9</v>
      </c>
      <c r="F2" s="971" t="s">
        <v>10</v>
      </c>
      <c r="G2" s="970" t="s">
        <v>11</v>
      </c>
      <c r="H2" s="959" t="s">
        <v>138</v>
      </c>
      <c r="I2" s="961" t="s">
        <v>49</v>
      </c>
      <c r="J2" s="972" t="s">
        <v>86</v>
      </c>
      <c r="K2" s="972"/>
      <c r="L2" s="972"/>
      <c r="M2" s="973"/>
      <c r="N2" s="972"/>
      <c r="O2" s="974" t="s">
        <v>2</v>
      </c>
      <c r="P2" s="972" t="s">
        <v>3</v>
      </c>
      <c r="Q2" s="974" t="s">
        <v>48</v>
      </c>
      <c r="R2" s="969" t="s">
        <v>50</v>
      </c>
      <c r="S2" s="96"/>
    </row>
    <row r="3" spans="1:40" ht="30.75" hidden="1" customHeight="1" x14ac:dyDescent="0.25">
      <c r="A3" s="970"/>
      <c r="B3" s="983"/>
      <c r="C3" s="970"/>
      <c r="D3" s="970"/>
      <c r="E3" s="970"/>
      <c r="F3" s="971"/>
      <c r="G3" s="970"/>
      <c r="H3" s="960"/>
      <c r="I3" s="962"/>
      <c r="J3" s="92" t="s">
        <v>1</v>
      </c>
      <c r="K3" s="92" t="s">
        <v>47</v>
      </c>
      <c r="L3" s="92" t="s">
        <v>185</v>
      </c>
      <c r="M3" s="303" t="s">
        <v>48</v>
      </c>
      <c r="N3" s="92" t="s">
        <v>40</v>
      </c>
      <c r="O3" s="974"/>
      <c r="P3" s="972"/>
      <c r="Q3" s="974"/>
      <c r="R3" s="969"/>
      <c r="S3" s="96"/>
    </row>
    <row r="4" spans="1:40" s="10" customFormat="1" hidden="1" x14ac:dyDescent="0.25">
      <c r="A4" s="90">
        <v>1</v>
      </c>
      <c r="B4" s="72">
        <v>44081</v>
      </c>
      <c r="C4" s="90">
        <v>260</v>
      </c>
      <c r="D4" s="69" t="s">
        <v>4</v>
      </c>
      <c r="E4" s="6" t="s">
        <v>22</v>
      </c>
      <c r="F4" s="97">
        <v>7500000</v>
      </c>
      <c r="G4" s="90" t="s">
        <v>60</v>
      </c>
      <c r="H4" s="25">
        <v>44112</v>
      </c>
      <c r="I4" s="4">
        <f>F4</f>
        <v>7500000</v>
      </c>
      <c r="J4" s="4"/>
      <c r="K4" s="4"/>
      <c r="L4" s="4"/>
      <c r="M4" s="3"/>
      <c r="N4" s="4">
        <v>7500000</v>
      </c>
      <c r="O4" s="4">
        <f>I4-J4-K4-M4-N4+L4</f>
        <v>0</v>
      </c>
      <c r="P4" s="89">
        <v>44244</v>
      </c>
      <c r="Q4" s="5"/>
      <c r="R4" s="5"/>
      <c r="S4"/>
      <c r="T4"/>
      <c r="U4"/>
      <c r="V4"/>
      <c r="W4"/>
      <c r="X4"/>
      <c r="Y4"/>
      <c r="Z4"/>
      <c r="AA4"/>
      <c r="AB4"/>
      <c r="AC4"/>
      <c r="AD4"/>
      <c r="AE4"/>
      <c r="AF4"/>
      <c r="AG4"/>
      <c r="AH4"/>
      <c r="AI4"/>
      <c r="AJ4"/>
      <c r="AK4"/>
      <c r="AL4"/>
      <c r="AM4"/>
      <c r="AN4"/>
    </row>
    <row r="5" spans="1:40" s="10" customFormat="1" hidden="1" x14ac:dyDescent="0.25">
      <c r="A5" s="90">
        <f>A4+1</f>
        <v>2</v>
      </c>
      <c r="B5" s="72">
        <v>44081</v>
      </c>
      <c r="C5" s="90"/>
      <c r="D5" s="53" t="s">
        <v>55</v>
      </c>
      <c r="E5" s="6" t="s">
        <v>16</v>
      </c>
      <c r="F5" s="97">
        <v>1236500</v>
      </c>
      <c r="G5" s="90" t="s">
        <v>62</v>
      </c>
      <c r="H5" s="25">
        <v>44084</v>
      </c>
      <c r="I5" s="4">
        <f t="shared" ref="I5:I18" si="0">F5</f>
        <v>1236500</v>
      </c>
      <c r="J5" s="4"/>
      <c r="K5" s="4"/>
      <c r="L5" s="4"/>
      <c r="M5" s="4"/>
      <c r="N5" s="4"/>
      <c r="O5" s="4">
        <f t="shared" ref="O5:O18" si="1">I5-J5-K5-M5-N5+L5</f>
        <v>1236500</v>
      </c>
      <c r="P5" s="5"/>
      <c r="Q5" s="5"/>
      <c r="R5" s="5"/>
      <c r="S5"/>
      <c r="T5"/>
      <c r="U5"/>
      <c r="V5"/>
      <c r="W5"/>
      <c r="X5"/>
      <c r="Y5"/>
      <c r="Z5"/>
      <c r="AA5"/>
      <c r="AB5"/>
      <c r="AC5"/>
      <c r="AD5"/>
      <c r="AE5"/>
      <c r="AF5"/>
      <c r="AG5"/>
      <c r="AH5"/>
      <c r="AI5"/>
      <c r="AJ5"/>
      <c r="AK5"/>
      <c r="AL5"/>
      <c r="AM5"/>
      <c r="AN5"/>
    </row>
    <row r="6" spans="1:40" s="10" customFormat="1" hidden="1" x14ac:dyDescent="0.25">
      <c r="A6" s="90">
        <f t="shared" ref="A6:A18" si="2">A5+1</f>
        <v>3</v>
      </c>
      <c r="B6" s="72">
        <v>44079</v>
      </c>
      <c r="C6" s="90"/>
      <c r="D6" s="53" t="s">
        <v>55</v>
      </c>
      <c r="E6" s="6" t="s">
        <v>136</v>
      </c>
      <c r="F6" s="98">
        <v>12966000</v>
      </c>
      <c r="G6" s="90" t="s">
        <v>54</v>
      </c>
      <c r="H6" s="25">
        <v>44104</v>
      </c>
      <c r="I6" s="4">
        <f t="shared" si="0"/>
        <v>12966000</v>
      </c>
      <c r="J6" s="4"/>
      <c r="K6" s="4"/>
      <c r="L6" s="4"/>
      <c r="M6" s="4"/>
      <c r="N6" s="4"/>
      <c r="O6" s="4">
        <f t="shared" si="1"/>
        <v>12966000</v>
      </c>
      <c r="P6" s="5"/>
      <c r="Q6" s="5"/>
      <c r="R6" s="5"/>
      <c r="S6"/>
      <c r="T6"/>
      <c r="U6"/>
      <c r="V6"/>
      <c r="W6"/>
      <c r="X6"/>
      <c r="Y6"/>
      <c r="Z6"/>
      <c r="AA6"/>
      <c r="AB6"/>
      <c r="AC6"/>
      <c r="AD6"/>
      <c r="AE6"/>
      <c r="AF6"/>
      <c r="AG6"/>
      <c r="AH6"/>
      <c r="AI6"/>
      <c r="AJ6"/>
      <c r="AK6"/>
      <c r="AL6"/>
      <c r="AM6"/>
      <c r="AN6"/>
    </row>
    <row r="7" spans="1:40" hidden="1" x14ac:dyDescent="0.25">
      <c r="A7" s="90">
        <f t="shared" si="2"/>
        <v>4</v>
      </c>
      <c r="B7" s="72">
        <v>44096</v>
      </c>
      <c r="C7" s="90"/>
      <c r="D7" s="53" t="s">
        <v>55</v>
      </c>
      <c r="E7" s="6" t="s">
        <v>131</v>
      </c>
      <c r="F7" s="99">
        <v>9712500</v>
      </c>
      <c r="G7" s="55" t="s">
        <v>63</v>
      </c>
      <c r="H7" s="32">
        <v>44125</v>
      </c>
      <c r="I7" s="4">
        <f t="shared" si="0"/>
        <v>9712500</v>
      </c>
      <c r="J7" s="4"/>
      <c r="K7" s="4"/>
      <c r="L7" s="4"/>
      <c r="M7" s="4"/>
      <c r="N7" s="4"/>
      <c r="O7" s="4">
        <f t="shared" si="1"/>
        <v>9712500</v>
      </c>
      <c r="P7" s="5"/>
      <c r="Q7" s="5"/>
      <c r="R7" s="5"/>
    </row>
    <row r="8" spans="1:40" hidden="1" x14ac:dyDescent="0.25">
      <c r="A8" s="90">
        <f t="shared" si="2"/>
        <v>5</v>
      </c>
      <c r="B8" s="72">
        <v>44091</v>
      </c>
      <c r="C8" s="90"/>
      <c r="D8" s="6" t="s">
        <v>64</v>
      </c>
      <c r="E8" s="6" t="s">
        <v>137</v>
      </c>
      <c r="F8" s="100">
        <v>9000000</v>
      </c>
      <c r="G8" s="55" t="s">
        <v>56</v>
      </c>
      <c r="H8" s="32">
        <v>44106</v>
      </c>
      <c r="I8" s="4">
        <f t="shared" si="0"/>
        <v>9000000</v>
      </c>
      <c r="J8" s="28"/>
      <c r="K8" s="28"/>
      <c r="L8" s="28"/>
      <c r="M8" s="4"/>
      <c r="N8" s="4"/>
      <c r="O8" s="4">
        <f t="shared" si="1"/>
        <v>9000000</v>
      </c>
      <c r="P8" s="5"/>
      <c r="Q8" s="5"/>
      <c r="R8" s="5"/>
    </row>
    <row r="9" spans="1:40" hidden="1" x14ac:dyDescent="0.25">
      <c r="A9" s="90">
        <f t="shared" si="2"/>
        <v>6</v>
      </c>
      <c r="B9" s="32">
        <v>44097</v>
      </c>
      <c r="C9" s="90"/>
      <c r="D9" s="6" t="s">
        <v>65</v>
      </c>
      <c r="E9" s="6" t="s">
        <v>132</v>
      </c>
      <c r="F9" s="101">
        <v>1850000</v>
      </c>
      <c r="G9" s="90" t="s">
        <v>61</v>
      </c>
      <c r="H9" s="25">
        <v>44113</v>
      </c>
      <c r="I9" s="4">
        <f t="shared" si="0"/>
        <v>1850000</v>
      </c>
      <c r="J9" s="28"/>
      <c r="K9" s="28"/>
      <c r="L9" s="28"/>
      <c r="M9" s="4"/>
      <c r="N9" s="4"/>
      <c r="O9" s="4">
        <f t="shared" si="1"/>
        <v>1850000</v>
      </c>
      <c r="P9" s="5"/>
      <c r="Q9" s="5"/>
      <c r="R9" s="5"/>
    </row>
    <row r="10" spans="1:40" s="10" customFormat="1" hidden="1" x14ac:dyDescent="0.25">
      <c r="A10" s="90">
        <f t="shared" si="2"/>
        <v>7</v>
      </c>
      <c r="B10" s="72">
        <v>44098</v>
      </c>
      <c r="C10" s="90"/>
      <c r="D10" s="6" t="s">
        <v>66</v>
      </c>
      <c r="E10" s="6" t="s">
        <v>133</v>
      </c>
      <c r="F10" s="101">
        <v>3522000</v>
      </c>
      <c r="G10" s="90" t="s">
        <v>88</v>
      </c>
      <c r="H10" s="25">
        <v>44155</v>
      </c>
      <c r="I10" s="4">
        <f t="shared" si="0"/>
        <v>3522000</v>
      </c>
      <c r="J10" s="28"/>
      <c r="K10" s="28"/>
      <c r="L10" s="28"/>
      <c r="M10" s="3"/>
      <c r="N10" s="4">
        <v>3522000</v>
      </c>
      <c r="O10" s="4">
        <f t="shared" si="1"/>
        <v>0</v>
      </c>
      <c r="P10" s="5" t="s">
        <v>272</v>
      </c>
      <c r="Q10" s="5"/>
      <c r="R10" s="5"/>
      <c r="S10"/>
      <c r="T10"/>
      <c r="U10"/>
      <c r="V10"/>
      <c r="W10"/>
      <c r="X10"/>
      <c r="Y10"/>
      <c r="Z10"/>
      <c r="AA10"/>
      <c r="AB10"/>
      <c r="AC10"/>
      <c r="AD10"/>
      <c r="AE10"/>
      <c r="AF10"/>
      <c r="AG10"/>
      <c r="AH10"/>
      <c r="AI10"/>
      <c r="AJ10"/>
      <c r="AK10"/>
      <c r="AL10"/>
      <c r="AM10"/>
      <c r="AN10"/>
    </row>
    <row r="11" spans="1:40" s="10" customFormat="1" x14ac:dyDescent="0.25">
      <c r="A11" s="90">
        <f t="shared" si="2"/>
        <v>8</v>
      </c>
      <c r="B11" s="72">
        <v>44092</v>
      </c>
      <c r="C11" s="90"/>
      <c r="D11" s="23" t="s">
        <v>215</v>
      </c>
      <c r="E11" s="6" t="s">
        <v>134</v>
      </c>
      <c r="F11" s="101">
        <v>22500000</v>
      </c>
      <c r="G11" s="90" t="s">
        <v>59</v>
      </c>
      <c r="H11" s="25">
        <v>44110</v>
      </c>
      <c r="I11" s="4">
        <f t="shared" si="0"/>
        <v>22500000</v>
      </c>
      <c r="J11" s="28">
        <f>16500000+2200000+2000000</f>
        <v>20700000</v>
      </c>
      <c r="K11" s="28">
        <v>400000</v>
      </c>
      <c r="L11" s="28"/>
      <c r="M11" s="4"/>
      <c r="N11" s="4">
        <v>1400000</v>
      </c>
      <c r="O11" s="4">
        <f t="shared" si="1"/>
        <v>0</v>
      </c>
      <c r="P11" s="89">
        <v>44351</v>
      </c>
      <c r="Q11" s="5"/>
      <c r="R11" s="5"/>
      <c r="S11"/>
      <c r="T11"/>
      <c r="U11"/>
      <c r="V11"/>
      <c r="W11"/>
      <c r="X11"/>
      <c r="Y11"/>
      <c r="Z11"/>
      <c r="AA11"/>
      <c r="AB11"/>
      <c r="AC11"/>
      <c r="AD11"/>
      <c r="AE11"/>
      <c r="AF11"/>
      <c r="AG11"/>
      <c r="AH11"/>
      <c r="AI11"/>
      <c r="AJ11"/>
      <c r="AK11"/>
      <c r="AL11"/>
      <c r="AM11"/>
      <c r="AN11"/>
    </row>
    <row r="12" spans="1:40" s="10" customFormat="1" hidden="1" x14ac:dyDescent="0.25">
      <c r="A12" s="90">
        <f t="shared" si="2"/>
        <v>9</v>
      </c>
      <c r="B12" s="72">
        <v>44099</v>
      </c>
      <c r="C12" s="90"/>
      <c r="D12" s="53" t="s">
        <v>55</v>
      </c>
      <c r="E12" s="6" t="s">
        <v>20</v>
      </c>
      <c r="F12" s="101">
        <v>1481500</v>
      </c>
      <c r="G12" s="90" t="s">
        <v>69</v>
      </c>
      <c r="H12" s="25">
        <v>44138</v>
      </c>
      <c r="I12" s="4">
        <f t="shared" si="0"/>
        <v>1481500</v>
      </c>
      <c r="J12" s="28"/>
      <c r="K12" s="28"/>
      <c r="L12" s="28"/>
      <c r="M12" s="4"/>
      <c r="N12" s="4"/>
      <c r="O12" s="4">
        <f t="shared" si="1"/>
        <v>1481500</v>
      </c>
      <c r="P12" s="5"/>
      <c r="Q12" s="5"/>
      <c r="R12" s="5"/>
      <c r="S12"/>
      <c r="T12"/>
      <c r="U12"/>
      <c r="V12"/>
      <c r="W12"/>
      <c r="X12"/>
      <c r="Y12"/>
      <c r="Z12"/>
      <c r="AA12"/>
      <c r="AB12"/>
      <c r="AC12"/>
      <c r="AD12"/>
      <c r="AE12"/>
      <c r="AF12"/>
      <c r="AG12"/>
      <c r="AH12"/>
      <c r="AI12"/>
      <c r="AJ12"/>
      <c r="AK12"/>
      <c r="AL12"/>
      <c r="AM12"/>
      <c r="AN12"/>
    </row>
    <row r="13" spans="1:40" s="10" customFormat="1" hidden="1" x14ac:dyDescent="0.25">
      <c r="A13" s="90">
        <f t="shared" si="2"/>
        <v>10</v>
      </c>
      <c r="B13" s="72">
        <v>44104</v>
      </c>
      <c r="C13" s="90"/>
      <c r="D13" s="6" t="s">
        <v>67</v>
      </c>
      <c r="E13" s="6" t="s">
        <v>32</v>
      </c>
      <c r="F13" s="101">
        <v>250000</v>
      </c>
      <c r="G13" s="90" t="s">
        <v>57</v>
      </c>
      <c r="H13" s="25">
        <v>44109</v>
      </c>
      <c r="I13" s="4">
        <f t="shared" si="0"/>
        <v>250000</v>
      </c>
      <c r="J13" s="28"/>
      <c r="K13" s="28"/>
      <c r="L13" s="28"/>
      <c r="M13" s="4"/>
      <c r="N13" s="4"/>
      <c r="O13" s="4">
        <f t="shared" si="1"/>
        <v>250000</v>
      </c>
      <c r="P13" s="5"/>
      <c r="Q13" s="5"/>
      <c r="R13" s="5"/>
      <c r="S13"/>
      <c r="T13"/>
      <c r="U13"/>
      <c r="V13"/>
      <c r="W13"/>
      <c r="X13"/>
      <c r="Y13"/>
      <c r="Z13"/>
      <c r="AA13"/>
      <c r="AB13"/>
      <c r="AC13"/>
      <c r="AD13"/>
      <c r="AE13"/>
      <c r="AF13"/>
      <c r="AG13"/>
      <c r="AH13"/>
      <c r="AI13"/>
      <c r="AJ13"/>
      <c r="AK13"/>
      <c r="AL13"/>
      <c r="AM13"/>
      <c r="AN13"/>
    </row>
    <row r="14" spans="1:40" s="10" customFormat="1" hidden="1" x14ac:dyDescent="0.25">
      <c r="A14" s="90">
        <f t="shared" si="2"/>
        <v>11</v>
      </c>
      <c r="B14" s="72">
        <v>44104</v>
      </c>
      <c r="C14" s="90"/>
      <c r="D14" s="6" t="s">
        <v>130</v>
      </c>
      <c r="E14" s="6" t="s">
        <v>135</v>
      </c>
      <c r="F14" s="101">
        <v>200000</v>
      </c>
      <c r="G14" s="90"/>
      <c r="H14" s="25"/>
      <c r="I14" s="4">
        <f t="shared" si="0"/>
        <v>200000</v>
      </c>
      <c r="J14" s="28"/>
      <c r="K14" s="28"/>
      <c r="L14" s="28"/>
      <c r="M14" s="4"/>
      <c r="N14" s="4"/>
      <c r="O14" s="4">
        <f t="shared" si="1"/>
        <v>200000</v>
      </c>
      <c r="P14" s="5"/>
      <c r="Q14" s="5"/>
      <c r="R14" s="5"/>
      <c r="S14"/>
      <c r="T14"/>
      <c r="U14"/>
      <c r="V14"/>
      <c r="W14"/>
      <c r="X14"/>
      <c r="Y14"/>
      <c r="Z14"/>
      <c r="AA14"/>
      <c r="AB14"/>
      <c r="AC14"/>
      <c r="AD14"/>
      <c r="AE14"/>
      <c r="AF14"/>
      <c r="AG14"/>
      <c r="AH14"/>
      <c r="AI14"/>
      <c r="AJ14"/>
      <c r="AK14"/>
      <c r="AL14"/>
      <c r="AM14"/>
      <c r="AN14"/>
    </row>
    <row r="15" spans="1:40" s="10" customFormat="1" hidden="1" x14ac:dyDescent="0.25">
      <c r="A15" s="90">
        <f t="shared" si="2"/>
        <v>12</v>
      </c>
      <c r="B15" s="72">
        <v>44078</v>
      </c>
      <c r="C15" s="90"/>
      <c r="D15" s="6" t="s">
        <v>87</v>
      </c>
      <c r="E15" s="6" t="s">
        <v>140</v>
      </c>
      <c r="F15" s="101">
        <v>33000000</v>
      </c>
      <c r="G15" s="90" t="s">
        <v>141</v>
      </c>
      <c r="H15" s="25">
        <v>44083</v>
      </c>
      <c r="I15" s="4">
        <f t="shared" si="0"/>
        <v>33000000</v>
      </c>
      <c r="J15" s="28">
        <v>18000000</v>
      </c>
      <c r="K15" s="26"/>
      <c r="L15" s="26"/>
      <c r="M15" s="3"/>
      <c r="N15" s="3"/>
      <c r="O15" s="4">
        <f t="shared" si="1"/>
        <v>15000000</v>
      </c>
      <c r="P15" s="5"/>
      <c r="Q15" s="5"/>
      <c r="R15" s="5"/>
      <c r="S15"/>
      <c r="T15"/>
      <c r="U15"/>
      <c r="V15"/>
      <c r="W15"/>
      <c r="X15"/>
      <c r="Y15"/>
      <c r="Z15"/>
      <c r="AA15"/>
      <c r="AB15"/>
      <c r="AC15"/>
      <c r="AD15"/>
      <c r="AE15"/>
      <c r="AF15"/>
      <c r="AG15"/>
      <c r="AH15"/>
      <c r="AI15"/>
      <c r="AJ15"/>
      <c r="AK15"/>
      <c r="AL15"/>
      <c r="AM15"/>
      <c r="AN15"/>
    </row>
    <row r="16" spans="1:40" s="10" customFormat="1" x14ac:dyDescent="0.25">
      <c r="A16" s="90">
        <f t="shared" si="2"/>
        <v>13</v>
      </c>
      <c r="B16" s="72">
        <v>44078</v>
      </c>
      <c r="C16" s="67">
        <v>400000</v>
      </c>
      <c r="D16" s="23" t="s">
        <v>215</v>
      </c>
      <c r="E16" s="102" t="s">
        <v>209</v>
      </c>
      <c r="F16" s="101">
        <v>6500000</v>
      </c>
      <c r="G16" s="199" t="s">
        <v>52</v>
      </c>
      <c r="H16" s="25"/>
      <c r="I16" s="4">
        <f t="shared" si="0"/>
        <v>6500000</v>
      </c>
      <c r="J16" s="28">
        <v>4300000</v>
      </c>
      <c r="K16" s="26"/>
      <c r="L16" s="26"/>
      <c r="M16" s="3"/>
      <c r="N16" s="3">
        <v>2200000</v>
      </c>
      <c r="O16" s="4">
        <f t="shared" si="1"/>
        <v>0</v>
      </c>
      <c r="P16" s="89">
        <v>44257</v>
      </c>
      <c r="Q16" s="5"/>
      <c r="R16" s="5"/>
      <c r="S16"/>
      <c r="T16"/>
      <c r="U16"/>
      <c r="V16"/>
      <c r="W16"/>
      <c r="X16"/>
      <c r="Y16"/>
      <c r="Z16"/>
      <c r="AA16"/>
      <c r="AB16"/>
      <c r="AC16"/>
      <c r="AD16"/>
      <c r="AE16"/>
      <c r="AF16"/>
      <c r="AG16"/>
      <c r="AH16"/>
      <c r="AI16"/>
      <c r="AJ16"/>
      <c r="AK16"/>
      <c r="AL16"/>
      <c r="AM16"/>
      <c r="AN16"/>
    </row>
    <row r="17" spans="1:40" s="10" customFormat="1" ht="15.75" hidden="1" x14ac:dyDescent="0.25">
      <c r="A17" s="90">
        <f t="shared" si="2"/>
        <v>14</v>
      </c>
      <c r="B17" s="72">
        <v>44073</v>
      </c>
      <c r="C17" s="58">
        <v>223</v>
      </c>
      <c r="D17" s="69" t="s">
        <v>4</v>
      </c>
      <c r="E17" s="6" t="s">
        <v>211</v>
      </c>
      <c r="F17" s="101">
        <v>3000000</v>
      </c>
      <c r="G17" s="68" t="s">
        <v>210</v>
      </c>
      <c r="H17" s="25">
        <v>44084</v>
      </c>
      <c r="I17" s="4">
        <f t="shared" si="0"/>
        <v>3000000</v>
      </c>
      <c r="J17" s="28"/>
      <c r="K17" s="26"/>
      <c r="L17" s="26"/>
      <c r="M17" s="3"/>
      <c r="N17" s="3">
        <v>3000000</v>
      </c>
      <c r="O17" s="4">
        <f t="shared" si="1"/>
        <v>0</v>
      </c>
      <c r="P17" s="89">
        <v>44258</v>
      </c>
      <c r="Q17" s="5"/>
      <c r="R17" s="5"/>
      <c r="S17"/>
      <c r="T17"/>
      <c r="U17"/>
      <c r="V17"/>
      <c r="W17"/>
      <c r="X17"/>
      <c r="Y17"/>
      <c r="Z17"/>
      <c r="AA17"/>
      <c r="AB17"/>
      <c r="AC17"/>
      <c r="AD17"/>
      <c r="AE17"/>
      <c r="AF17"/>
      <c r="AG17"/>
      <c r="AH17"/>
      <c r="AI17"/>
      <c r="AJ17"/>
      <c r="AK17"/>
      <c r="AL17"/>
      <c r="AM17"/>
      <c r="AN17"/>
    </row>
    <row r="18" spans="1:40" s="10" customFormat="1" hidden="1" x14ac:dyDescent="0.25">
      <c r="A18" s="90">
        <f t="shared" si="2"/>
        <v>15</v>
      </c>
      <c r="B18" s="72">
        <v>44036</v>
      </c>
      <c r="C18" s="90">
        <v>196</v>
      </c>
      <c r="D18" s="69" t="s">
        <v>4</v>
      </c>
      <c r="E18" s="6" t="s">
        <v>213</v>
      </c>
      <c r="F18" s="101">
        <v>13000000</v>
      </c>
      <c r="G18" s="90" t="s">
        <v>212</v>
      </c>
      <c r="H18" s="25">
        <v>44103</v>
      </c>
      <c r="I18" s="4">
        <f t="shared" si="0"/>
        <v>13000000</v>
      </c>
      <c r="J18" s="28"/>
      <c r="K18" s="26"/>
      <c r="L18" s="26"/>
      <c r="M18" s="3"/>
      <c r="N18" s="3">
        <v>13000000</v>
      </c>
      <c r="O18" s="4">
        <f t="shared" si="1"/>
        <v>0</v>
      </c>
      <c r="P18" s="89">
        <v>44244</v>
      </c>
      <c r="Q18" s="5"/>
      <c r="R18" s="5"/>
      <c r="S18"/>
      <c r="T18"/>
      <c r="U18"/>
      <c r="V18"/>
      <c r="W18"/>
      <c r="X18"/>
      <c r="Y18"/>
      <c r="Z18"/>
      <c r="AA18"/>
      <c r="AB18"/>
      <c r="AC18"/>
      <c r="AD18"/>
      <c r="AE18"/>
      <c r="AF18"/>
      <c r="AG18"/>
      <c r="AH18"/>
      <c r="AI18"/>
      <c r="AJ18"/>
      <c r="AK18"/>
      <c r="AL18"/>
      <c r="AM18"/>
      <c r="AN18"/>
    </row>
    <row r="19" spans="1:40" s="10" customFormat="1" ht="32.25" hidden="1" customHeight="1" x14ac:dyDescent="0.25">
      <c r="A19" s="966" t="s">
        <v>207</v>
      </c>
      <c r="B19" s="975"/>
      <c r="C19" s="975"/>
      <c r="D19" s="975"/>
      <c r="E19" s="975"/>
      <c r="F19" s="975"/>
      <c r="G19" s="975"/>
      <c r="H19" s="975"/>
      <c r="I19" s="975"/>
      <c r="J19" s="975"/>
      <c r="K19" s="975"/>
      <c r="L19" s="975"/>
      <c r="M19" s="975"/>
      <c r="N19" s="976"/>
      <c r="O19" s="65">
        <f>SUM(O4:O18)</f>
        <v>51696500</v>
      </c>
      <c r="P19" s="48"/>
      <c r="Q19" s="48"/>
      <c r="R19" s="48"/>
      <c r="S19"/>
      <c r="T19"/>
      <c r="U19"/>
      <c r="V19"/>
      <c r="W19"/>
      <c r="X19"/>
      <c r="Y19"/>
      <c r="Z19"/>
      <c r="AA19"/>
      <c r="AB19"/>
      <c r="AC19"/>
      <c r="AD19"/>
      <c r="AE19"/>
      <c r="AF19"/>
      <c r="AG19"/>
      <c r="AH19"/>
      <c r="AI19"/>
      <c r="AJ19"/>
      <c r="AK19"/>
      <c r="AL19"/>
      <c r="AM19"/>
      <c r="AN19"/>
    </row>
    <row r="20" spans="1:40" ht="42" hidden="1" customHeight="1" x14ac:dyDescent="0.25">
      <c r="A20" s="970" t="s">
        <v>6</v>
      </c>
      <c r="B20" s="983" t="s">
        <v>0</v>
      </c>
      <c r="C20" s="970" t="s">
        <v>7</v>
      </c>
      <c r="D20" s="970" t="s">
        <v>8</v>
      </c>
      <c r="E20" s="970" t="s">
        <v>9</v>
      </c>
      <c r="F20" s="971" t="s">
        <v>10</v>
      </c>
      <c r="G20" s="970" t="s">
        <v>11</v>
      </c>
      <c r="H20" s="959" t="s">
        <v>138</v>
      </c>
      <c r="I20" s="961" t="s">
        <v>49</v>
      </c>
      <c r="J20" s="972" t="s">
        <v>86</v>
      </c>
      <c r="K20" s="972"/>
      <c r="L20" s="972"/>
      <c r="M20" s="973"/>
      <c r="N20" s="972"/>
      <c r="O20" s="974" t="s">
        <v>2</v>
      </c>
      <c r="P20" s="972" t="s">
        <v>3</v>
      </c>
      <c r="Q20" s="974" t="s">
        <v>48</v>
      </c>
      <c r="R20" s="969" t="s">
        <v>50</v>
      </c>
      <c r="S20" s="96"/>
    </row>
    <row r="21" spans="1:40" ht="33" hidden="1" customHeight="1" x14ac:dyDescent="0.25">
      <c r="A21" s="970"/>
      <c r="B21" s="983"/>
      <c r="C21" s="970"/>
      <c r="D21" s="970"/>
      <c r="E21" s="970"/>
      <c r="F21" s="971"/>
      <c r="G21" s="970"/>
      <c r="H21" s="960"/>
      <c r="I21" s="962"/>
      <c r="J21" s="300" t="s">
        <v>1</v>
      </c>
      <c r="K21" s="300" t="s">
        <v>47</v>
      </c>
      <c r="L21" s="300" t="s">
        <v>185</v>
      </c>
      <c r="M21" s="303" t="s">
        <v>48</v>
      </c>
      <c r="N21" s="300" t="s">
        <v>40</v>
      </c>
      <c r="O21" s="974"/>
      <c r="P21" s="972"/>
      <c r="Q21" s="974"/>
      <c r="R21" s="969"/>
      <c r="S21" s="96"/>
    </row>
    <row r="22" spans="1:40" s="10" customFormat="1" hidden="1" x14ac:dyDescent="0.25">
      <c r="A22" s="90">
        <v>16</v>
      </c>
      <c r="B22" s="27">
        <v>44117</v>
      </c>
      <c r="C22" s="90"/>
      <c r="D22" s="6" t="s">
        <v>5</v>
      </c>
      <c r="E22" s="30" t="s">
        <v>142</v>
      </c>
      <c r="F22" s="101">
        <v>2300000</v>
      </c>
      <c r="G22" s="2" t="s">
        <v>72</v>
      </c>
      <c r="H22" s="24">
        <v>44119</v>
      </c>
      <c r="I22" s="26">
        <f>F22</f>
        <v>2300000</v>
      </c>
      <c r="J22" s="26"/>
      <c r="K22" s="26"/>
      <c r="L22" s="26"/>
      <c r="M22" s="3">
        <f>I22*2%</f>
        <v>46000</v>
      </c>
      <c r="N22" s="4">
        <v>2254000</v>
      </c>
      <c r="O22" s="4">
        <f t="shared" ref="O22:O88" si="3">I22-J22-K22-M22-N22+L22</f>
        <v>0</v>
      </c>
      <c r="P22" s="89">
        <v>44245</v>
      </c>
      <c r="Q22" s="3">
        <v>46000</v>
      </c>
      <c r="R22" s="3">
        <v>2254000</v>
      </c>
      <c r="S22"/>
      <c r="T22"/>
      <c r="U22"/>
      <c r="V22"/>
      <c r="W22"/>
      <c r="X22"/>
      <c r="Y22"/>
      <c r="Z22"/>
      <c r="AA22"/>
      <c r="AB22"/>
      <c r="AC22"/>
      <c r="AD22"/>
      <c r="AE22"/>
      <c r="AF22"/>
      <c r="AG22"/>
      <c r="AH22"/>
      <c r="AI22"/>
      <c r="AJ22"/>
      <c r="AK22"/>
      <c r="AL22"/>
      <c r="AM22"/>
      <c r="AN22"/>
    </row>
    <row r="23" spans="1:40" s="10" customFormat="1" hidden="1" x14ac:dyDescent="0.25">
      <c r="A23" s="90">
        <f>A22+1</f>
        <v>17</v>
      </c>
      <c r="B23" s="27">
        <v>44113</v>
      </c>
      <c r="C23" s="90"/>
      <c r="D23" s="6" t="s">
        <v>85</v>
      </c>
      <c r="E23" s="30" t="s">
        <v>13</v>
      </c>
      <c r="F23" s="101">
        <v>8500000</v>
      </c>
      <c r="G23" s="35" t="s">
        <v>89</v>
      </c>
      <c r="H23" s="24">
        <v>44109</v>
      </c>
      <c r="I23" s="26">
        <f t="shared" ref="I23:I88" si="4">F23</f>
        <v>8500000</v>
      </c>
      <c r="J23" s="28">
        <v>5500000</v>
      </c>
      <c r="K23" s="28"/>
      <c r="L23" s="28"/>
      <c r="M23" s="4"/>
      <c r="N23" s="4">
        <v>2254000</v>
      </c>
      <c r="O23" s="4">
        <f t="shared" si="3"/>
        <v>746000</v>
      </c>
      <c r="P23" s="5"/>
      <c r="Q23" s="5"/>
      <c r="R23" s="5">
        <v>2254000</v>
      </c>
      <c r="S23"/>
      <c r="T23"/>
      <c r="U23"/>
      <c r="V23"/>
      <c r="W23"/>
      <c r="X23"/>
      <c r="Y23"/>
      <c r="Z23"/>
      <c r="AA23"/>
      <c r="AB23"/>
      <c r="AC23"/>
      <c r="AD23"/>
      <c r="AE23"/>
      <c r="AF23"/>
      <c r="AG23"/>
      <c r="AH23"/>
      <c r="AI23"/>
      <c r="AJ23"/>
      <c r="AK23"/>
      <c r="AL23"/>
      <c r="AM23"/>
      <c r="AN23"/>
    </row>
    <row r="24" spans="1:40" s="10" customFormat="1" hidden="1" x14ac:dyDescent="0.25">
      <c r="A24" s="90">
        <f t="shared" ref="A24:A43" si="5">A23+1</f>
        <v>18</v>
      </c>
      <c r="B24" s="27">
        <v>44119</v>
      </c>
      <c r="C24" s="90"/>
      <c r="D24" s="23" t="s">
        <v>71</v>
      </c>
      <c r="E24" s="30" t="s">
        <v>143</v>
      </c>
      <c r="F24" s="101">
        <v>800000</v>
      </c>
      <c r="G24" s="90" t="s">
        <v>74</v>
      </c>
      <c r="H24" s="25">
        <v>44125</v>
      </c>
      <c r="I24" s="26">
        <f t="shared" si="4"/>
        <v>800000</v>
      </c>
      <c r="J24" s="28"/>
      <c r="K24" s="28"/>
      <c r="L24" s="28"/>
      <c r="M24" s="3">
        <f>I24*2%</f>
        <v>16000</v>
      </c>
      <c r="N24" s="4">
        <v>784000</v>
      </c>
      <c r="O24" s="4">
        <f t="shared" si="3"/>
        <v>0</v>
      </c>
      <c r="P24" s="89">
        <v>44193</v>
      </c>
      <c r="Q24" s="5"/>
      <c r="R24" s="5">
        <v>17640000</v>
      </c>
      <c r="S24"/>
      <c r="T24"/>
      <c r="U24"/>
      <c r="V24"/>
      <c r="W24"/>
      <c r="X24"/>
      <c r="Y24"/>
      <c r="Z24"/>
      <c r="AA24"/>
      <c r="AB24"/>
      <c r="AC24"/>
      <c r="AD24"/>
      <c r="AE24"/>
      <c r="AF24"/>
      <c r="AG24"/>
      <c r="AH24"/>
      <c r="AI24"/>
      <c r="AJ24"/>
      <c r="AK24"/>
      <c r="AL24"/>
      <c r="AM24"/>
      <c r="AN24"/>
    </row>
    <row r="25" spans="1:40" s="10" customFormat="1" hidden="1" x14ac:dyDescent="0.25">
      <c r="A25" s="90">
        <f t="shared" si="5"/>
        <v>19</v>
      </c>
      <c r="B25" s="27">
        <v>44124</v>
      </c>
      <c r="C25" s="90"/>
      <c r="D25" s="6" t="s">
        <v>5</v>
      </c>
      <c r="E25" s="30" t="s">
        <v>144</v>
      </c>
      <c r="F25" s="101">
        <v>2300000</v>
      </c>
      <c r="G25" s="35" t="s">
        <v>76</v>
      </c>
      <c r="H25" s="25">
        <v>44125</v>
      </c>
      <c r="I25" s="26">
        <f t="shared" si="4"/>
        <v>2300000</v>
      </c>
      <c r="J25" s="28"/>
      <c r="K25" s="28"/>
      <c r="L25" s="28"/>
      <c r="M25" s="3">
        <f>I25*2%</f>
        <v>46000</v>
      </c>
      <c r="N25" s="4">
        <v>2254000</v>
      </c>
      <c r="O25" s="4">
        <f t="shared" si="3"/>
        <v>0</v>
      </c>
      <c r="P25" s="89">
        <v>44245</v>
      </c>
      <c r="Q25" s="3">
        <v>46000</v>
      </c>
      <c r="R25" s="3">
        <v>2254000</v>
      </c>
      <c r="S25"/>
      <c r="T25"/>
      <c r="U25"/>
      <c r="V25"/>
      <c r="W25"/>
      <c r="X25"/>
      <c r="Y25"/>
      <c r="Z25"/>
      <c r="AA25"/>
      <c r="AB25"/>
      <c r="AC25"/>
      <c r="AD25"/>
      <c r="AE25"/>
      <c r="AF25"/>
      <c r="AG25"/>
      <c r="AH25"/>
      <c r="AI25"/>
      <c r="AJ25"/>
      <c r="AK25"/>
      <c r="AL25"/>
      <c r="AM25"/>
      <c r="AN25"/>
    </row>
    <row r="26" spans="1:40" s="10" customFormat="1" hidden="1" x14ac:dyDescent="0.25">
      <c r="A26" s="90">
        <f t="shared" si="5"/>
        <v>20</v>
      </c>
      <c r="B26" s="27">
        <v>44107</v>
      </c>
      <c r="C26" s="90"/>
      <c r="D26" s="53" t="s">
        <v>55</v>
      </c>
      <c r="E26" s="29" t="s">
        <v>136</v>
      </c>
      <c r="F26" s="101">
        <v>3757000</v>
      </c>
      <c r="G26" s="90" t="s">
        <v>68</v>
      </c>
      <c r="H26" s="72">
        <v>44115</v>
      </c>
      <c r="I26" s="26">
        <f t="shared" si="4"/>
        <v>3757000</v>
      </c>
      <c r="J26" s="26"/>
      <c r="K26" s="26"/>
      <c r="L26" s="26"/>
      <c r="M26" s="3"/>
      <c r="N26" s="3"/>
      <c r="O26" s="4">
        <f t="shared" si="3"/>
        <v>3757000</v>
      </c>
      <c r="P26" s="5"/>
      <c r="Q26" s="5"/>
      <c r="R26" s="5"/>
      <c r="S26"/>
      <c r="T26"/>
      <c r="U26"/>
      <c r="V26"/>
      <c r="W26"/>
      <c r="X26"/>
      <c r="Y26"/>
      <c r="Z26"/>
      <c r="AA26"/>
      <c r="AB26"/>
      <c r="AC26"/>
      <c r="AD26"/>
      <c r="AE26"/>
      <c r="AF26"/>
      <c r="AG26"/>
      <c r="AH26"/>
      <c r="AI26"/>
      <c r="AJ26"/>
      <c r="AK26"/>
      <c r="AL26"/>
      <c r="AM26"/>
      <c r="AN26"/>
    </row>
    <row r="27" spans="1:40" s="10" customFormat="1" hidden="1" x14ac:dyDescent="0.25">
      <c r="A27" s="90">
        <f t="shared" si="5"/>
        <v>21</v>
      </c>
      <c r="B27" s="27">
        <v>44131</v>
      </c>
      <c r="C27" s="90"/>
      <c r="D27" s="53" t="s">
        <v>71</v>
      </c>
      <c r="E27" s="29" t="s">
        <v>13</v>
      </c>
      <c r="F27" s="101">
        <v>13000000</v>
      </c>
      <c r="G27" s="90" t="s">
        <v>79</v>
      </c>
      <c r="H27" s="72">
        <v>44146</v>
      </c>
      <c r="I27" s="26">
        <f t="shared" si="4"/>
        <v>13000000</v>
      </c>
      <c r="J27" s="28"/>
      <c r="K27" s="28"/>
      <c r="L27" s="28"/>
      <c r="M27" s="3">
        <f>I27*2%</f>
        <v>260000</v>
      </c>
      <c r="N27" s="4">
        <v>12740000</v>
      </c>
      <c r="O27" s="4">
        <f t="shared" si="3"/>
        <v>0</v>
      </c>
      <c r="P27" s="89">
        <v>44245</v>
      </c>
      <c r="Q27" s="5"/>
      <c r="R27" s="5"/>
      <c r="S27"/>
      <c r="T27"/>
      <c r="U27"/>
      <c r="V27"/>
      <c r="W27"/>
      <c r="X27"/>
      <c r="Y27"/>
      <c r="Z27"/>
      <c r="AA27"/>
      <c r="AB27"/>
      <c r="AC27"/>
      <c r="AD27"/>
      <c r="AE27"/>
      <c r="AF27"/>
      <c r="AG27"/>
      <c r="AH27"/>
      <c r="AI27"/>
      <c r="AJ27"/>
      <c r="AK27"/>
      <c r="AL27"/>
      <c r="AM27"/>
      <c r="AN27"/>
    </row>
    <row r="28" spans="1:40" s="10" customFormat="1" hidden="1" x14ac:dyDescent="0.25">
      <c r="A28" s="90">
        <f t="shared" si="5"/>
        <v>22</v>
      </c>
      <c r="B28" s="27">
        <v>44112</v>
      </c>
      <c r="C28" s="90"/>
      <c r="D28" s="6" t="s">
        <v>70</v>
      </c>
      <c r="E28" s="30" t="s">
        <v>24</v>
      </c>
      <c r="F28" s="38">
        <v>8000000</v>
      </c>
      <c r="G28" s="90" t="s">
        <v>145</v>
      </c>
      <c r="H28" s="72">
        <v>44173</v>
      </c>
      <c r="I28" s="26">
        <f t="shared" si="4"/>
        <v>8000000</v>
      </c>
      <c r="J28" s="28">
        <v>5000000</v>
      </c>
      <c r="K28" s="28"/>
      <c r="L28" s="28"/>
      <c r="M28" s="28"/>
      <c r="N28" s="28">
        <v>3000000</v>
      </c>
      <c r="O28" s="4">
        <f t="shared" si="3"/>
        <v>0</v>
      </c>
      <c r="P28" s="5" t="s">
        <v>273</v>
      </c>
      <c r="Q28" s="5"/>
      <c r="R28" s="5"/>
      <c r="S28"/>
      <c r="T28"/>
      <c r="U28"/>
      <c r="V28"/>
      <c r="W28"/>
      <c r="X28"/>
      <c r="Y28"/>
      <c r="Z28"/>
      <c r="AA28"/>
      <c r="AB28"/>
      <c r="AC28"/>
      <c r="AD28"/>
      <c r="AE28"/>
      <c r="AF28"/>
      <c r="AG28"/>
      <c r="AH28"/>
      <c r="AI28"/>
      <c r="AJ28"/>
      <c r="AK28"/>
      <c r="AL28"/>
      <c r="AM28"/>
      <c r="AN28"/>
    </row>
    <row r="29" spans="1:40" s="10" customFormat="1" hidden="1" x14ac:dyDescent="0.25">
      <c r="A29" s="90">
        <f t="shared" si="5"/>
        <v>23</v>
      </c>
      <c r="B29" s="27">
        <v>44126</v>
      </c>
      <c r="C29" s="90"/>
      <c r="D29" s="53" t="s">
        <v>4</v>
      </c>
      <c r="E29" s="43" t="s">
        <v>146</v>
      </c>
      <c r="F29" s="101">
        <v>5000000</v>
      </c>
      <c r="G29" s="35" t="s">
        <v>92</v>
      </c>
      <c r="H29" s="72">
        <v>44176</v>
      </c>
      <c r="I29" s="26">
        <f t="shared" si="4"/>
        <v>5000000</v>
      </c>
      <c r="J29" s="28"/>
      <c r="K29" s="28"/>
      <c r="L29" s="28"/>
      <c r="M29" s="4"/>
      <c r="N29" s="4">
        <v>5000000</v>
      </c>
      <c r="O29" s="4">
        <f t="shared" si="3"/>
        <v>0</v>
      </c>
      <c r="P29" s="89">
        <v>44258</v>
      </c>
      <c r="Q29" s="5"/>
      <c r="R29" s="5"/>
      <c r="S29"/>
      <c r="T29"/>
      <c r="U29"/>
      <c r="V29"/>
      <c r="W29"/>
      <c r="X29"/>
      <c r="Y29"/>
      <c r="Z29"/>
      <c r="AA29"/>
      <c r="AB29"/>
      <c r="AC29"/>
      <c r="AD29"/>
      <c r="AE29"/>
      <c r="AF29"/>
      <c r="AG29"/>
      <c r="AH29"/>
      <c r="AI29"/>
      <c r="AJ29"/>
      <c r="AK29"/>
      <c r="AL29"/>
      <c r="AM29"/>
      <c r="AN29"/>
    </row>
    <row r="30" spans="1:40" s="10" customFormat="1" hidden="1" x14ac:dyDescent="0.25">
      <c r="A30" s="90">
        <f t="shared" si="5"/>
        <v>24</v>
      </c>
      <c r="B30" s="27">
        <v>44128</v>
      </c>
      <c r="C30" s="90"/>
      <c r="D30" s="53" t="s">
        <v>4</v>
      </c>
      <c r="E30" s="29" t="s">
        <v>20</v>
      </c>
      <c r="F30" s="101">
        <v>5000000</v>
      </c>
      <c r="G30" s="90" t="s">
        <v>93</v>
      </c>
      <c r="H30" s="72">
        <v>44176</v>
      </c>
      <c r="I30" s="26">
        <f t="shared" si="4"/>
        <v>5000000</v>
      </c>
      <c r="J30" s="28"/>
      <c r="K30" s="28"/>
      <c r="L30" s="28"/>
      <c r="M30" s="4"/>
      <c r="N30" s="4">
        <v>5000000</v>
      </c>
      <c r="O30" s="4">
        <f t="shared" si="3"/>
        <v>0</v>
      </c>
      <c r="P30" s="89">
        <v>44258</v>
      </c>
      <c r="Q30" s="5"/>
      <c r="R30" s="5"/>
      <c r="S30"/>
      <c r="T30"/>
      <c r="U30"/>
      <c r="V30"/>
      <c r="W30"/>
      <c r="X30"/>
      <c r="Y30"/>
      <c r="Z30"/>
      <c r="AA30"/>
      <c r="AB30"/>
      <c r="AC30"/>
      <c r="AD30"/>
      <c r="AE30"/>
      <c r="AF30"/>
      <c r="AG30"/>
      <c r="AH30"/>
      <c r="AI30"/>
      <c r="AJ30"/>
      <c r="AK30"/>
      <c r="AL30"/>
      <c r="AM30"/>
      <c r="AN30"/>
    </row>
    <row r="31" spans="1:40" s="10" customFormat="1" hidden="1" x14ac:dyDescent="0.25">
      <c r="A31" s="90">
        <f t="shared" si="5"/>
        <v>25</v>
      </c>
      <c r="B31" s="27">
        <v>44125</v>
      </c>
      <c r="C31" s="90"/>
      <c r="D31" s="53" t="s">
        <v>55</v>
      </c>
      <c r="E31" s="29" t="s">
        <v>136</v>
      </c>
      <c r="F31" s="101">
        <v>2077000</v>
      </c>
      <c r="G31" s="35" t="s">
        <v>167</v>
      </c>
      <c r="H31" s="24">
        <v>44165</v>
      </c>
      <c r="I31" s="26">
        <f t="shared" si="4"/>
        <v>2077000</v>
      </c>
      <c r="J31" s="28"/>
      <c r="K31" s="28"/>
      <c r="L31" s="28"/>
      <c r="M31" s="4"/>
      <c r="N31" s="4"/>
      <c r="O31" s="4">
        <f t="shared" si="3"/>
        <v>2077000</v>
      </c>
      <c r="P31" s="5"/>
      <c r="Q31" s="5"/>
      <c r="R31" s="5"/>
      <c r="S31"/>
      <c r="T31"/>
      <c r="U31"/>
      <c r="V31"/>
      <c r="W31"/>
      <c r="X31"/>
      <c r="Y31"/>
      <c r="Z31"/>
      <c r="AA31"/>
      <c r="AB31"/>
      <c r="AC31"/>
      <c r="AD31"/>
      <c r="AE31"/>
      <c r="AF31"/>
      <c r="AG31"/>
      <c r="AH31"/>
      <c r="AI31"/>
      <c r="AJ31"/>
      <c r="AK31"/>
      <c r="AL31"/>
      <c r="AM31"/>
      <c r="AN31"/>
    </row>
    <row r="32" spans="1:40" s="10" customFormat="1" hidden="1" x14ac:dyDescent="0.25">
      <c r="A32" s="90">
        <f t="shared" si="5"/>
        <v>26</v>
      </c>
      <c r="B32" s="72">
        <v>44166</v>
      </c>
      <c r="C32" s="90"/>
      <c r="D32" s="23" t="s">
        <v>71</v>
      </c>
      <c r="E32" s="30" t="s">
        <v>28</v>
      </c>
      <c r="F32" s="101">
        <v>1200000</v>
      </c>
      <c r="G32" s="35" t="s">
        <v>91</v>
      </c>
      <c r="H32" s="72">
        <v>44166</v>
      </c>
      <c r="I32" s="26">
        <f t="shared" si="4"/>
        <v>1200000</v>
      </c>
      <c r="J32" s="28"/>
      <c r="K32" s="28"/>
      <c r="L32" s="28"/>
      <c r="M32" s="3">
        <f>I32*2%</f>
        <v>24000</v>
      </c>
      <c r="N32" s="28">
        <v>1176000</v>
      </c>
      <c r="O32" s="4">
        <f t="shared" si="3"/>
        <v>0</v>
      </c>
      <c r="P32" s="89">
        <v>44245</v>
      </c>
      <c r="Q32" s="5"/>
      <c r="R32" s="5"/>
      <c r="S32"/>
      <c r="T32"/>
      <c r="U32"/>
      <c r="V32"/>
      <c r="W32"/>
      <c r="X32"/>
      <c r="Y32"/>
      <c r="Z32"/>
      <c r="AA32"/>
      <c r="AB32"/>
      <c r="AC32"/>
      <c r="AD32"/>
      <c r="AE32"/>
      <c r="AF32"/>
      <c r="AG32"/>
      <c r="AH32"/>
      <c r="AI32"/>
      <c r="AJ32"/>
      <c r="AK32"/>
      <c r="AL32"/>
      <c r="AM32"/>
      <c r="AN32"/>
    </row>
    <row r="33" spans="1:40" s="10" customFormat="1" hidden="1" x14ac:dyDescent="0.25">
      <c r="A33" s="90">
        <f t="shared" si="5"/>
        <v>27</v>
      </c>
      <c r="B33" s="72">
        <v>44135</v>
      </c>
      <c r="C33" s="90"/>
      <c r="D33" s="53" t="s">
        <v>4</v>
      </c>
      <c r="E33" s="43" t="s">
        <v>147</v>
      </c>
      <c r="F33" s="101">
        <v>3000000</v>
      </c>
      <c r="G33" s="35" t="s">
        <v>94</v>
      </c>
      <c r="H33" s="72">
        <v>44173</v>
      </c>
      <c r="I33" s="26">
        <f t="shared" si="4"/>
        <v>3000000</v>
      </c>
      <c r="J33" s="28"/>
      <c r="K33" s="28"/>
      <c r="L33" s="28"/>
      <c r="M33" s="4"/>
      <c r="N33" s="4">
        <v>3000000</v>
      </c>
      <c r="O33" s="4">
        <f t="shared" si="3"/>
        <v>0</v>
      </c>
      <c r="P33" s="89">
        <v>44315</v>
      </c>
      <c r="Q33" s="5"/>
      <c r="R33" s="5"/>
      <c r="S33"/>
      <c r="T33"/>
      <c r="U33"/>
      <c r="V33"/>
      <c r="W33"/>
      <c r="X33"/>
      <c r="Y33"/>
      <c r="Z33"/>
      <c r="AA33"/>
      <c r="AB33"/>
      <c r="AC33"/>
      <c r="AD33"/>
      <c r="AE33"/>
      <c r="AF33"/>
      <c r="AG33"/>
      <c r="AH33"/>
      <c r="AI33"/>
      <c r="AJ33"/>
      <c r="AK33"/>
      <c r="AL33"/>
      <c r="AM33"/>
      <c r="AN33"/>
    </row>
    <row r="34" spans="1:40" s="10" customFormat="1" hidden="1" x14ac:dyDescent="0.25">
      <c r="A34" s="90">
        <f t="shared" si="5"/>
        <v>28</v>
      </c>
      <c r="B34" s="27">
        <v>44119</v>
      </c>
      <c r="C34" s="90"/>
      <c r="D34" s="23" t="s">
        <v>73</v>
      </c>
      <c r="E34" s="29" t="s">
        <v>136</v>
      </c>
      <c r="F34" s="91">
        <v>4622160</v>
      </c>
      <c r="G34" s="90" t="s">
        <v>90</v>
      </c>
      <c r="H34" s="72">
        <v>44182</v>
      </c>
      <c r="I34" s="26">
        <f t="shared" si="4"/>
        <v>4622160</v>
      </c>
      <c r="J34" s="28"/>
      <c r="K34" s="28"/>
      <c r="L34" s="28"/>
      <c r="M34" s="3">
        <f>I34*2%</f>
        <v>92443.199999999997</v>
      </c>
      <c r="N34" s="28">
        <v>4529717</v>
      </c>
      <c r="O34" s="4">
        <f t="shared" si="3"/>
        <v>-0.20000000018626451</v>
      </c>
      <c r="P34" s="89">
        <v>44238</v>
      </c>
      <c r="Q34" s="103">
        <f>I34-M34</f>
        <v>4529716.8</v>
      </c>
      <c r="R34" s="5"/>
      <c r="S34"/>
      <c r="T34"/>
      <c r="U34"/>
      <c r="V34"/>
      <c r="W34"/>
      <c r="X34"/>
      <c r="Y34"/>
      <c r="Z34"/>
      <c r="AA34"/>
      <c r="AB34"/>
      <c r="AC34"/>
      <c r="AD34"/>
      <c r="AE34"/>
      <c r="AF34"/>
      <c r="AG34"/>
      <c r="AH34"/>
      <c r="AI34"/>
      <c r="AJ34"/>
      <c r="AK34"/>
      <c r="AL34"/>
      <c r="AM34"/>
      <c r="AN34"/>
    </row>
    <row r="35" spans="1:40" s="10" customFormat="1" x14ac:dyDescent="0.25">
      <c r="A35" s="298">
        <f t="shared" si="5"/>
        <v>29</v>
      </c>
      <c r="B35" s="27">
        <v>37546</v>
      </c>
      <c r="C35" s="90"/>
      <c r="D35" s="23" t="s">
        <v>215</v>
      </c>
      <c r="E35" s="30" t="s">
        <v>148</v>
      </c>
      <c r="F35" s="91">
        <v>10000000</v>
      </c>
      <c r="G35" s="90"/>
      <c r="H35" s="72"/>
      <c r="I35" s="26">
        <f t="shared" si="4"/>
        <v>10000000</v>
      </c>
      <c r="J35" s="28">
        <f>I35*60%</f>
        <v>6000000</v>
      </c>
      <c r="K35" s="28">
        <v>200000</v>
      </c>
      <c r="L35" s="28"/>
      <c r="M35" s="28"/>
      <c r="N35" s="28">
        <v>3800000</v>
      </c>
      <c r="O35" s="4">
        <f t="shared" si="3"/>
        <v>0</v>
      </c>
      <c r="P35" s="89">
        <v>44358</v>
      </c>
      <c r="Q35" s="5"/>
      <c r="R35" s="5"/>
      <c r="S35"/>
      <c r="T35"/>
      <c r="U35"/>
      <c r="V35"/>
      <c r="W35"/>
      <c r="X35"/>
      <c r="Y35"/>
      <c r="Z35"/>
      <c r="AA35"/>
      <c r="AB35"/>
      <c r="AC35"/>
      <c r="AD35"/>
      <c r="AE35"/>
      <c r="AF35"/>
      <c r="AG35"/>
      <c r="AH35"/>
      <c r="AI35"/>
      <c r="AJ35"/>
      <c r="AK35"/>
      <c r="AL35"/>
      <c r="AM35"/>
      <c r="AN35"/>
    </row>
    <row r="36" spans="1:40" s="10" customFormat="1" x14ac:dyDescent="0.25">
      <c r="A36" s="298">
        <f t="shared" si="5"/>
        <v>30</v>
      </c>
      <c r="B36" s="27">
        <v>44125</v>
      </c>
      <c r="C36" s="35" t="s">
        <v>149</v>
      </c>
      <c r="D36" s="23" t="s">
        <v>215</v>
      </c>
      <c r="E36" s="30" t="s">
        <v>30</v>
      </c>
      <c r="F36" s="91">
        <v>750000</v>
      </c>
      <c r="G36" s="977"/>
      <c r="H36" s="987"/>
      <c r="I36" s="978">
        <f>F36+F37+F38</f>
        <v>2250000</v>
      </c>
      <c r="J36" s="979">
        <f>I36*60%</f>
        <v>1350000</v>
      </c>
      <c r="K36" s="990"/>
      <c r="L36" s="28"/>
      <c r="M36" s="28"/>
      <c r="N36" s="980">
        <v>900000</v>
      </c>
      <c r="O36" s="980">
        <f t="shared" si="3"/>
        <v>0</v>
      </c>
      <c r="P36" s="984" t="s">
        <v>1119</v>
      </c>
      <c r="Q36" s="5"/>
      <c r="R36" s="5"/>
      <c r="S36"/>
      <c r="T36"/>
      <c r="U36"/>
      <c r="V36"/>
      <c r="W36"/>
      <c r="X36"/>
      <c r="Y36"/>
      <c r="Z36"/>
      <c r="AA36"/>
      <c r="AB36"/>
      <c r="AC36"/>
      <c r="AD36"/>
      <c r="AE36"/>
      <c r="AF36"/>
      <c r="AG36"/>
      <c r="AH36"/>
      <c r="AI36"/>
      <c r="AJ36"/>
      <c r="AK36"/>
      <c r="AL36"/>
      <c r="AM36"/>
      <c r="AN36"/>
    </row>
    <row r="37" spans="1:40" s="10" customFormat="1" x14ac:dyDescent="0.25">
      <c r="A37" s="298">
        <f t="shared" si="5"/>
        <v>31</v>
      </c>
      <c r="B37" s="27">
        <v>44125</v>
      </c>
      <c r="C37" s="35" t="s">
        <v>150</v>
      </c>
      <c r="D37" s="23" t="s">
        <v>215</v>
      </c>
      <c r="E37" s="30" t="s">
        <v>30</v>
      </c>
      <c r="F37" s="91">
        <v>750000</v>
      </c>
      <c r="G37" s="977"/>
      <c r="H37" s="988"/>
      <c r="I37" s="978"/>
      <c r="J37" s="979"/>
      <c r="K37" s="991"/>
      <c r="L37" s="28"/>
      <c r="M37" s="28"/>
      <c r="N37" s="981"/>
      <c r="O37" s="981"/>
      <c r="P37" s="985"/>
      <c r="Q37" s="5"/>
      <c r="R37" s="5"/>
      <c r="S37"/>
      <c r="T37"/>
      <c r="U37"/>
      <c r="V37"/>
      <c r="W37"/>
      <c r="X37"/>
      <c r="Y37"/>
      <c r="Z37"/>
      <c r="AA37"/>
      <c r="AB37"/>
      <c r="AC37"/>
      <c r="AD37"/>
      <c r="AE37"/>
      <c r="AF37"/>
      <c r="AG37"/>
      <c r="AH37"/>
      <c r="AI37"/>
      <c r="AJ37"/>
      <c r="AK37"/>
      <c r="AL37"/>
      <c r="AM37"/>
      <c r="AN37"/>
    </row>
    <row r="38" spans="1:40" s="10" customFormat="1" x14ac:dyDescent="0.25">
      <c r="A38" s="298">
        <f t="shared" si="5"/>
        <v>32</v>
      </c>
      <c r="B38" s="27">
        <v>44125</v>
      </c>
      <c r="C38" s="35" t="s">
        <v>151</v>
      </c>
      <c r="D38" s="23" t="s">
        <v>215</v>
      </c>
      <c r="E38" s="30" t="s">
        <v>152</v>
      </c>
      <c r="F38" s="91">
        <v>750000</v>
      </c>
      <c r="G38" s="977"/>
      <c r="H38" s="989"/>
      <c r="I38" s="978"/>
      <c r="J38" s="979"/>
      <c r="K38" s="992"/>
      <c r="L38" s="28"/>
      <c r="M38" s="28"/>
      <c r="N38" s="982"/>
      <c r="O38" s="982"/>
      <c r="P38" s="986"/>
      <c r="Q38" s="5"/>
      <c r="R38" s="5"/>
      <c r="S38"/>
      <c r="T38"/>
      <c r="U38"/>
      <c r="V38"/>
      <c r="W38"/>
      <c r="X38"/>
      <c r="Y38"/>
      <c r="Z38"/>
      <c r="AA38"/>
      <c r="AB38"/>
      <c r="AC38"/>
      <c r="AD38"/>
      <c r="AE38"/>
      <c r="AF38"/>
      <c r="AG38"/>
      <c r="AH38"/>
      <c r="AI38"/>
      <c r="AJ38"/>
      <c r="AK38"/>
      <c r="AL38"/>
      <c r="AM38"/>
      <c r="AN38"/>
    </row>
    <row r="39" spans="1:40" s="10" customFormat="1" hidden="1" x14ac:dyDescent="0.25">
      <c r="A39" s="298">
        <f t="shared" si="5"/>
        <v>33</v>
      </c>
      <c r="B39" s="27">
        <v>44126</v>
      </c>
      <c r="C39" s="35"/>
      <c r="D39" s="23" t="s">
        <v>78</v>
      </c>
      <c r="E39" s="30" t="s">
        <v>153</v>
      </c>
      <c r="F39" s="91">
        <v>4000000</v>
      </c>
      <c r="G39" s="90"/>
      <c r="H39" s="72"/>
      <c r="I39" s="26">
        <f t="shared" si="4"/>
        <v>4000000</v>
      </c>
      <c r="J39" s="28"/>
      <c r="K39" s="28"/>
      <c r="L39" s="28"/>
      <c r="M39" s="28"/>
      <c r="N39" s="28"/>
      <c r="O39" s="4">
        <f t="shared" si="3"/>
        <v>4000000</v>
      </c>
      <c r="P39" s="5"/>
      <c r="Q39" s="5"/>
      <c r="R39" s="5"/>
      <c r="S39"/>
      <c r="T39"/>
      <c r="U39"/>
      <c r="V39"/>
      <c r="W39"/>
      <c r="X39"/>
      <c r="Y39"/>
      <c r="Z39"/>
      <c r="AA39"/>
      <c r="AB39"/>
      <c r="AC39"/>
      <c r="AD39"/>
      <c r="AE39"/>
      <c r="AF39"/>
      <c r="AG39"/>
      <c r="AH39"/>
      <c r="AI39"/>
      <c r="AJ39"/>
      <c r="AK39"/>
      <c r="AL39"/>
      <c r="AM39"/>
      <c r="AN39"/>
    </row>
    <row r="40" spans="1:40" s="10" customFormat="1" x14ac:dyDescent="0.25">
      <c r="A40" s="298">
        <f t="shared" si="5"/>
        <v>34</v>
      </c>
      <c r="B40" s="27">
        <v>44126</v>
      </c>
      <c r="C40" s="35"/>
      <c r="D40" s="23" t="s">
        <v>215</v>
      </c>
      <c r="E40" s="30" t="s">
        <v>24</v>
      </c>
      <c r="F40" s="91">
        <v>6200000</v>
      </c>
      <c r="G40" s="90"/>
      <c r="H40" s="72"/>
      <c r="I40" s="26">
        <f t="shared" si="4"/>
        <v>6200000</v>
      </c>
      <c r="J40" s="28">
        <v>3900000</v>
      </c>
      <c r="K40" s="28"/>
      <c r="L40" s="28"/>
      <c r="M40" s="28"/>
      <c r="N40" s="28">
        <v>2300000</v>
      </c>
      <c r="O40" s="4">
        <f t="shared" si="3"/>
        <v>0</v>
      </c>
      <c r="P40" s="89">
        <v>44383</v>
      </c>
      <c r="Q40" s="5"/>
      <c r="R40" s="5"/>
      <c r="S40"/>
      <c r="T40"/>
      <c r="U40"/>
      <c r="V40"/>
      <c r="W40"/>
      <c r="X40"/>
      <c r="Y40"/>
      <c r="Z40"/>
      <c r="AA40"/>
      <c r="AB40"/>
      <c r="AC40"/>
      <c r="AD40"/>
      <c r="AE40"/>
      <c r="AF40"/>
      <c r="AG40"/>
      <c r="AH40"/>
      <c r="AI40"/>
      <c r="AJ40"/>
      <c r="AK40"/>
      <c r="AL40"/>
      <c r="AM40"/>
      <c r="AN40"/>
    </row>
    <row r="41" spans="1:40" s="10" customFormat="1" x14ac:dyDescent="0.25">
      <c r="A41" s="298">
        <f t="shared" si="5"/>
        <v>35</v>
      </c>
      <c r="B41" s="27">
        <v>44134</v>
      </c>
      <c r="C41" s="35">
        <v>401670</v>
      </c>
      <c r="D41" s="23" t="s">
        <v>215</v>
      </c>
      <c r="E41" s="30" t="s">
        <v>148</v>
      </c>
      <c r="F41" s="91">
        <v>8000000</v>
      </c>
      <c r="G41" s="90"/>
      <c r="H41" s="72"/>
      <c r="I41" s="26">
        <f t="shared" si="4"/>
        <v>8000000</v>
      </c>
      <c r="J41" s="28">
        <v>7000000</v>
      </c>
      <c r="K41" s="28"/>
      <c r="L41" s="28"/>
      <c r="M41" s="28"/>
      <c r="N41" s="28"/>
      <c r="O41" s="4">
        <f t="shared" si="3"/>
        <v>1000000</v>
      </c>
      <c r="P41" s="89"/>
      <c r="Q41" s="5"/>
      <c r="R41" s="5"/>
      <c r="S41"/>
      <c r="T41"/>
      <c r="U41"/>
      <c r="V41"/>
      <c r="W41"/>
      <c r="X41"/>
      <c r="Y41"/>
      <c r="Z41"/>
      <c r="AA41"/>
      <c r="AB41"/>
      <c r="AC41"/>
      <c r="AD41"/>
      <c r="AE41"/>
      <c r="AF41"/>
      <c r="AG41"/>
      <c r="AH41"/>
      <c r="AI41"/>
      <c r="AJ41"/>
      <c r="AK41"/>
      <c r="AL41"/>
      <c r="AM41"/>
      <c r="AN41"/>
    </row>
    <row r="42" spans="1:40" s="10" customFormat="1" hidden="1" x14ac:dyDescent="0.25">
      <c r="A42" s="298">
        <f t="shared" si="5"/>
        <v>36</v>
      </c>
      <c r="B42" s="27">
        <v>44131</v>
      </c>
      <c r="C42" s="35"/>
      <c r="D42" s="53" t="s">
        <v>154</v>
      </c>
      <c r="E42" s="30" t="s">
        <v>136</v>
      </c>
      <c r="F42" s="91">
        <v>1991000</v>
      </c>
      <c r="G42" s="2"/>
      <c r="H42" s="72"/>
      <c r="I42" s="26">
        <f t="shared" si="4"/>
        <v>1991000</v>
      </c>
      <c r="J42" s="28"/>
      <c r="K42" s="28"/>
      <c r="L42" s="28"/>
      <c r="M42" s="3">
        <f>I42*2%</f>
        <v>39820</v>
      </c>
      <c r="N42" s="28">
        <v>1951180</v>
      </c>
      <c r="O42" s="4">
        <f t="shared" si="3"/>
        <v>0</v>
      </c>
      <c r="P42" s="5"/>
      <c r="Q42" s="5"/>
      <c r="R42" s="5"/>
      <c r="S42"/>
      <c r="T42"/>
      <c r="U42"/>
      <c r="V42"/>
      <c r="W42"/>
      <c r="X42"/>
      <c r="Y42"/>
      <c r="Z42"/>
      <c r="AA42"/>
      <c r="AB42"/>
      <c r="AC42"/>
      <c r="AD42"/>
      <c r="AE42"/>
      <c r="AF42"/>
      <c r="AG42"/>
      <c r="AH42"/>
      <c r="AI42"/>
      <c r="AJ42"/>
      <c r="AK42"/>
      <c r="AL42"/>
      <c r="AM42"/>
      <c r="AN42"/>
    </row>
    <row r="43" spans="1:40" s="10" customFormat="1" ht="15.75" hidden="1" x14ac:dyDescent="0.25">
      <c r="A43" s="298">
        <f t="shared" si="5"/>
        <v>37</v>
      </c>
      <c r="B43" s="27">
        <v>44058</v>
      </c>
      <c r="C43" s="35"/>
      <c r="D43" s="5" t="s">
        <v>58</v>
      </c>
      <c r="E43" s="30" t="s">
        <v>13</v>
      </c>
      <c r="F43" s="91">
        <v>6960000</v>
      </c>
      <c r="G43" s="59" t="s">
        <v>214</v>
      </c>
      <c r="H43" s="52" t="s">
        <v>139</v>
      </c>
      <c r="I43" s="26">
        <f t="shared" si="4"/>
        <v>6960000</v>
      </c>
      <c r="J43" s="28">
        <v>5000000</v>
      </c>
      <c r="K43" s="28"/>
      <c r="L43" s="28"/>
      <c r="M43" s="3"/>
      <c r="N43" s="28"/>
      <c r="O43" s="4">
        <f t="shared" si="3"/>
        <v>1960000</v>
      </c>
      <c r="P43" s="5"/>
      <c r="Q43" s="5"/>
      <c r="R43" s="5"/>
      <c r="S43"/>
      <c r="T43"/>
      <c r="U43"/>
      <c r="V43"/>
      <c r="W43"/>
      <c r="X43"/>
      <c r="Y43"/>
      <c r="Z43"/>
      <c r="AA43"/>
      <c r="AB43"/>
      <c r="AC43"/>
      <c r="AD43"/>
      <c r="AE43"/>
      <c r="AF43"/>
      <c r="AG43"/>
      <c r="AH43"/>
      <c r="AI43"/>
      <c r="AJ43"/>
      <c r="AK43"/>
      <c r="AL43"/>
      <c r="AM43"/>
      <c r="AN43"/>
    </row>
    <row r="44" spans="1:40" s="10" customFormat="1" ht="31.5" hidden="1" customHeight="1" x14ac:dyDescent="0.25">
      <c r="A44" s="966" t="s">
        <v>206</v>
      </c>
      <c r="B44" s="975"/>
      <c r="C44" s="975"/>
      <c r="D44" s="975"/>
      <c r="E44" s="975"/>
      <c r="F44" s="975"/>
      <c r="G44" s="975"/>
      <c r="H44" s="975"/>
      <c r="I44" s="975"/>
      <c r="J44" s="975"/>
      <c r="K44" s="975"/>
      <c r="L44" s="975"/>
      <c r="M44" s="975"/>
      <c r="N44" s="976"/>
      <c r="O44" s="65">
        <f>SUM(O22:O43)</f>
        <v>13539999.800000001</v>
      </c>
      <c r="P44" s="48"/>
      <c r="Q44" s="48"/>
      <c r="R44" s="48"/>
      <c r="S44"/>
      <c r="T44"/>
      <c r="U44"/>
      <c r="V44"/>
      <c r="W44"/>
      <c r="X44"/>
      <c r="Y44"/>
      <c r="Z44"/>
      <c r="AA44"/>
      <c r="AB44"/>
      <c r="AC44"/>
      <c r="AD44"/>
      <c r="AE44"/>
      <c r="AF44"/>
      <c r="AG44"/>
      <c r="AH44"/>
      <c r="AI44"/>
      <c r="AJ44"/>
      <c r="AK44"/>
      <c r="AL44"/>
      <c r="AM44"/>
      <c r="AN44"/>
    </row>
    <row r="45" spans="1:40" ht="42" hidden="1" customHeight="1" x14ac:dyDescent="0.25">
      <c r="A45" s="304" t="s">
        <v>6</v>
      </c>
      <c r="B45" s="305" t="s">
        <v>0</v>
      </c>
      <c r="C45" s="304" t="s">
        <v>7</v>
      </c>
      <c r="D45" s="304" t="s">
        <v>8</v>
      </c>
      <c r="E45" s="304" t="s">
        <v>9</v>
      </c>
      <c r="F45" s="306" t="s">
        <v>10</v>
      </c>
      <c r="G45" s="304" t="s">
        <v>11</v>
      </c>
      <c r="H45" s="307" t="s">
        <v>138</v>
      </c>
      <c r="I45" s="308" t="s">
        <v>49</v>
      </c>
      <c r="J45" s="309" t="s">
        <v>86</v>
      </c>
      <c r="K45" s="309"/>
      <c r="L45" s="309"/>
      <c r="M45" s="310"/>
      <c r="N45" s="309"/>
      <c r="O45" s="311" t="s">
        <v>2</v>
      </c>
      <c r="P45" s="309" t="s">
        <v>3</v>
      </c>
      <c r="Q45" s="946" t="s">
        <v>48</v>
      </c>
      <c r="R45" s="948" t="s">
        <v>50</v>
      </c>
      <c r="S45" s="96"/>
    </row>
    <row r="46" spans="1:40" ht="34.5" hidden="1" customHeight="1" x14ac:dyDescent="0.25">
      <c r="A46" s="304"/>
      <c r="B46" s="305"/>
      <c r="C46" s="304"/>
      <c r="D46" s="304"/>
      <c r="E46" s="304"/>
      <c r="F46" s="306"/>
      <c r="G46" s="304"/>
      <c r="H46" s="312"/>
      <c r="I46" s="313"/>
      <c r="J46" s="300" t="s">
        <v>1</v>
      </c>
      <c r="K46" s="300" t="s">
        <v>47</v>
      </c>
      <c r="L46" s="300" t="s">
        <v>185</v>
      </c>
      <c r="M46" s="303" t="s">
        <v>48</v>
      </c>
      <c r="N46" s="300" t="s">
        <v>40</v>
      </c>
      <c r="O46" s="311"/>
      <c r="P46" s="309"/>
      <c r="Q46" s="947"/>
      <c r="R46" s="949"/>
      <c r="S46" s="96"/>
    </row>
    <row r="47" spans="1:40" s="10" customFormat="1" ht="15.75" hidden="1" x14ac:dyDescent="0.25">
      <c r="A47" s="298">
        <v>38</v>
      </c>
      <c r="B47" s="25">
        <v>44154</v>
      </c>
      <c r="C47" s="298">
        <v>400801</v>
      </c>
      <c r="D47" s="53" t="s">
        <v>4</v>
      </c>
      <c r="E47" s="6" t="s">
        <v>155</v>
      </c>
      <c r="F47" s="101">
        <v>23000000</v>
      </c>
      <c r="G47" s="49" t="s">
        <v>104</v>
      </c>
      <c r="H47" s="60">
        <v>44203</v>
      </c>
      <c r="I47" s="26">
        <f t="shared" si="4"/>
        <v>23000000</v>
      </c>
      <c r="J47" s="28"/>
      <c r="K47" s="28"/>
      <c r="L47" s="28"/>
      <c r="M47" s="28"/>
      <c r="N47" s="28">
        <v>23000000</v>
      </c>
      <c r="O47" s="4">
        <f t="shared" si="3"/>
        <v>0</v>
      </c>
      <c r="P47" s="89">
        <v>44291</v>
      </c>
      <c r="Q47" s="5"/>
      <c r="R47" s="5"/>
      <c r="S47"/>
      <c r="T47"/>
      <c r="U47"/>
      <c r="V47"/>
      <c r="W47"/>
      <c r="X47"/>
      <c r="Y47"/>
      <c r="Z47"/>
      <c r="AA47"/>
      <c r="AB47"/>
      <c r="AC47"/>
      <c r="AD47"/>
      <c r="AE47"/>
      <c r="AF47"/>
      <c r="AG47"/>
      <c r="AH47"/>
      <c r="AI47"/>
      <c r="AJ47"/>
      <c r="AK47"/>
      <c r="AL47"/>
      <c r="AM47"/>
      <c r="AN47"/>
    </row>
    <row r="48" spans="1:40" s="10" customFormat="1" hidden="1" x14ac:dyDescent="0.25">
      <c r="A48" s="298">
        <f>A47+1</f>
        <v>39</v>
      </c>
      <c r="B48" s="25">
        <v>44139</v>
      </c>
      <c r="C48" s="298">
        <v>401355</v>
      </c>
      <c r="D48" s="6" t="s">
        <v>156</v>
      </c>
      <c r="E48" s="6" t="s">
        <v>27</v>
      </c>
      <c r="F48" s="101">
        <v>375000</v>
      </c>
      <c r="G48" s="298" t="s">
        <v>102</v>
      </c>
      <c r="H48" s="25">
        <v>44519</v>
      </c>
      <c r="I48" s="28">
        <f t="shared" si="4"/>
        <v>375000</v>
      </c>
      <c r="J48" s="28"/>
      <c r="K48" s="28"/>
      <c r="L48" s="28"/>
      <c r="M48" s="28"/>
      <c r="N48" s="28"/>
      <c r="O48" s="4">
        <f t="shared" si="3"/>
        <v>375000</v>
      </c>
      <c r="P48" s="5"/>
      <c r="Q48" s="5"/>
      <c r="R48" s="5"/>
      <c r="S48"/>
      <c r="T48"/>
      <c r="U48"/>
      <c r="V48"/>
      <c r="W48"/>
      <c r="X48"/>
      <c r="Y48"/>
      <c r="Z48"/>
      <c r="AA48"/>
      <c r="AB48"/>
      <c r="AC48"/>
      <c r="AD48"/>
      <c r="AE48"/>
      <c r="AF48"/>
      <c r="AG48"/>
      <c r="AH48"/>
      <c r="AI48"/>
      <c r="AJ48"/>
      <c r="AK48"/>
      <c r="AL48"/>
      <c r="AM48"/>
      <c r="AN48"/>
    </row>
    <row r="49" spans="1:40" s="10" customFormat="1" hidden="1" x14ac:dyDescent="0.25">
      <c r="A49" s="298">
        <f t="shared" ref="A49:A82" si="6">A48+1</f>
        <v>40</v>
      </c>
      <c r="B49" s="197">
        <v>44176</v>
      </c>
      <c r="C49" s="199">
        <v>400572</v>
      </c>
      <c r="D49" s="6" t="s">
        <v>156</v>
      </c>
      <c r="E49" s="6" t="s">
        <v>27</v>
      </c>
      <c r="F49" s="101">
        <v>3800000</v>
      </c>
      <c r="G49" s="298" t="s">
        <v>80</v>
      </c>
      <c r="H49" s="197">
        <v>44158</v>
      </c>
      <c r="I49" s="28">
        <f t="shared" si="4"/>
        <v>3800000</v>
      </c>
      <c r="J49" s="28"/>
      <c r="K49" s="28"/>
      <c r="L49" s="28"/>
      <c r="M49" s="4"/>
      <c r="N49" s="4"/>
      <c r="O49" s="4">
        <f t="shared" si="3"/>
        <v>3800000</v>
      </c>
      <c r="P49" s="5"/>
      <c r="Q49" s="5"/>
      <c r="R49" s="5"/>
      <c r="S49"/>
      <c r="T49"/>
      <c r="U49"/>
      <c r="V49"/>
      <c r="W49"/>
      <c r="X49"/>
      <c r="Y49"/>
      <c r="Z49"/>
      <c r="AA49"/>
      <c r="AB49"/>
      <c r="AC49"/>
      <c r="AD49"/>
      <c r="AE49"/>
      <c r="AF49"/>
      <c r="AG49"/>
      <c r="AH49"/>
      <c r="AI49"/>
      <c r="AJ49"/>
      <c r="AK49"/>
      <c r="AL49"/>
      <c r="AM49"/>
      <c r="AN49"/>
    </row>
    <row r="50" spans="1:40" s="10" customFormat="1" hidden="1" x14ac:dyDescent="0.25">
      <c r="A50" s="298">
        <f t="shared" si="6"/>
        <v>41</v>
      </c>
      <c r="B50" s="25"/>
      <c r="C50" s="298"/>
      <c r="D50" s="6" t="s">
        <v>157</v>
      </c>
      <c r="E50" s="6" t="s">
        <v>132</v>
      </c>
      <c r="F50" s="101">
        <v>700000</v>
      </c>
      <c r="G50" s="298" t="s">
        <v>107</v>
      </c>
      <c r="H50" s="25">
        <v>44158</v>
      </c>
      <c r="I50" s="28">
        <f t="shared" si="4"/>
        <v>700000</v>
      </c>
      <c r="J50" s="28"/>
      <c r="K50" s="28"/>
      <c r="L50" s="28"/>
      <c r="M50" s="4"/>
      <c r="N50" s="4">
        <v>700000</v>
      </c>
      <c r="O50" s="4">
        <f t="shared" si="3"/>
        <v>0</v>
      </c>
      <c r="P50" s="5" t="s">
        <v>273</v>
      </c>
      <c r="Q50" s="5"/>
      <c r="R50" s="5"/>
      <c r="S50"/>
      <c r="T50"/>
      <c r="U50"/>
      <c r="V50"/>
      <c r="W50"/>
      <c r="X50"/>
      <c r="Y50"/>
      <c r="Z50"/>
      <c r="AA50"/>
      <c r="AB50"/>
      <c r="AC50"/>
      <c r="AD50"/>
      <c r="AE50"/>
      <c r="AF50"/>
      <c r="AG50"/>
      <c r="AH50"/>
      <c r="AI50"/>
      <c r="AJ50"/>
      <c r="AK50"/>
      <c r="AL50"/>
      <c r="AM50"/>
      <c r="AN50"/>
    </row>
    <row r="51" spans="1:40" s="10" customFormat="1" hidden="1" x14ac:dyDescent="0.25">
      <c r="A51" s="298">
        <f t="shared" si="6"/>
        <v>42</v>
      </c>
      <c r="B51" s="25"/>
      <c r="C51" s="298"/>
      <c r="D51" s="6" t="s">
        <v>157</v>
      </c>
      <c r="E51" s="6" t="s">
        <v>158</v>
      </c>
      <c r="F51" s="100">
        <v>1300000</v>
      </c>
      <c r="G51" s="55" t="s">
        <v>106</v>
      </c>
      <c r="H51" s="301">
        <v>44158</v>
      </c>
      <c r="I51" s="28">
        <f t="shared" si="4"/>
        <v>1300000</v>
      </c>
      <c r="J51" s="28"/>
      <c r="K51" s="28"/>
      <c r="L51" s="28"/>
      <c r="M51" s="4"/>
      <c r="N51" s="4">
        <v>1300000</v>
      </c>
      <c r="O51" s="4">
        <f t="shared" si="3"/>
        <v>0</v>
      </c>
      <c r="P51" s="5" t="s">
        <v>273</v>
      </c>
      <c r="Q51" s="5"/>
      <c r="R51" s="5"/>
      <c r="S51"/>
      <c r="T51"/>
      <c r="U51"/>
      <c r="V51"/>
      <c r="W51"/>
      <c r="X51"/>
      <c r="Y51"/>
      <c r="Z51"/>
      <c r="AA51"/>
      <c r="AB51"/>
      <c r="AC51"/>
      <c r="AD51"/>
      <c r="AE51"/>
      <c r="AF51"/>
      <c r="AG51"/>
      <c r="AH51"/>
      <c r="AI51"/>
      <c r="AJ51"/>
      <c r="AK51"/>
      <c r="AL51"/>
      <c r="AM51"/>
      <c r="AN51"/>
    </row>
    <row r="52" spans="1:40" s="10" customFormat="1" hidden="1" x14ac:dyDescent="0.25">
      <c r="A52" s="298">
        <f t="shared" si="6"/>
        <v>43</v>
      </c>
      <c r="B52" s="25">
        <v>44142</v>
      </c>
      <c r="C52" s="46" t="s">
        <v>160</v>
      </c>
      <c r="D52" s="6" t="s">
        <v>159</v>
      </c>
      <c r="E52" s="69" t="s">
        <v>161</v>
      </c>
      <c r="F52" s="26">
        <v>193000</v>
      </c>
      <c r="G52" s="55" t="s">
        <v>98</v>
      </c>
      <c r="H52" s="301">
        <v>44160</v>
      </c>
      <c r="I52" s="28">
        <f t="shared" si="4"/>
        <v>193000</v>
      </c>
      <c r="J52" s="28"/>
      <c r="K52" s="28"/>
      <c r="L52" s="28"/>
      <c r="M52" s="4"/>
      <c r="N52" s="4"/>
      <c r="O52" s="4">
        <f t="shared" si="3"/>
        <v>193000</v>
      </c>
      <c r="P52" s="5"/>
      <c r="Q52" s="5"/>
      <c r="R52" s="5"/>
      <c r="S52"/>
      <c r="T52"/>
      <c r="U52"/>
      <c r="V52"/>
      <c r="W52"/>
      <c r="X52"/>
      <c r="Y52"/>
      <c r="Z52"/>
      <c r="AA52"/>
      <c r="AB52"/>
      <c r="AC52"/>
      <c r="AD52"/>
      <c r="AE52"/>
      <c r="AF52"/>
      <c r="AG52"/>
      <c r="AH52"/>
      <c r="AI52"/>
      <c r="AJ52"/>
      <c r="AK52"/>
      <c r="AL52"/>
      <c r="AM52"/>
      <c r="AN52"/>
    </row>
    <row r="53" spans="1:40" s="10" customFormat="1" hidden="1" x14ac:dyDescent="0.25">
      <c r="A53" s="298">
        <f t="shared" si="6"/>
        <v>44</v>
      </c>
      <c r="B53" s="25">
        <v>44108</v>
      </c>
      <c r="C53" s="298">
        <v>401351</v>
      </c>
      <c r="D53" s="6" t="s">
        <v>5</v>
      </c>
      <c r="E53" s="6" t="s">
        <v>34</v>
      </c>
      <c r="F53" s="100">
        <v>18000000</v>
      </c>
      <c r="G53" s="298" t="s">
        <v>95</v>
      </c>
      <c r="H53" s="25">
        <v>44162</v>
      </c>
      <c r="I53" s="28">
        <f t="shared" si="4"/>
        <v>18000000</v>
      </c>
      <c r="J53" s="26"/>
      <c r="K53" s="26"/>
      <c r="L53" s="26"/>
      <c r="M53" s="3">
        <f>I53*2%</f>
        <v>360000</v>
      </c>
      <c r="N53" s="3">
        <v>17640000</v>
      </c>
      <c r="O53" s="4">
        <f t="shared" si="3"/>
        <v>0</v>
      </c>
      <c r="P53" s="89">
        <v>44245</v>
      </c>
      <c r="Q53" s="3">
        <v>360000</v>
      </c>
      <c r="R53" s="3">
        <v>17640000</v>
      </c>
      <c r="S53"/>
      <c r="T53"/>
      <c r="U53"/>
      <c r="V53"/>
      <c r="W53"/>
      <c r="X53"/>
      <c r="Y53"/>
      <c r="Z53"/>
      <c r="AA53"/>
      <c r="AB53"/>
      <c r="AC53"/>
      <c r="AD53"/>
      <c r="AE53"/>
      <c r="AF53"/>
      <c r="AG53"/>
      <c r="AH53"/>
      <c r="AI53"/>
      <c r="AJ53"/>
      <c r="AK53"/>
      <c r="AL53"/>
      <c r="AM53"/>
      <c r="AN53"/>
    </row>
    <row r="54" spans="1:40" s="10" customFormat="1" hidden="1" x14ac:dyDescent="0.25">
      <c r="A54" s="298">
        <f t="shared" si="6"/>
        <v>45</v>
      </c>
      <c r="B54" s="25">
        <v>44154</v>
      </c>
      <c r="C54" s="298"/>
      <c r="D54" s="6" t="s">
        <v>157</v>
      </c>
      <c r="E54" s="6" t="s">
        <v>162</v>
      </c>
      <c r="F54" s="104">
        <v>750000</v>
      </c>
      <c r="G54" s="298" t="s">
        <v>105</v>
      </c>
      <c r="H54" s="25">
        <v>44162</v>
      </c>
      <c r="I54" s="28">
        <f t="shared" si="4"/>
        <v>750000</v>
      </c>
      <c r="J54" s="26"/>
      <c r="K54" s="26"/>
      <c r="L54" s="26"/>
      <c r="M54" s="3"/>
      <c r="N54" s="3">
        <v>750000</v>
      </c>
      <c r="O54" s="4">
        <f t="shared" si="3"/>
        <v>0</v>
      </c>
      <c r="P54" s="5" t="s">
        <v>273</v>
      </c>
      <c r="Q54" s="5"/>
      <c r="R54" s="5"/>
      <c r="S54"/>
      <c r="T54"/>
      <c r="U54"/>
      <c r="V54"/>
      <c r="W54"/>
      <c r="X54"/>
      <c r="Y54"/>
      <c r="Z54"/>
      <c r="AA54"/>
      <c r="AB54"/>
      <c r="AC54"/>
      <c r="AD54"/>
      <c r="AE54"/>
      <c r="AF54"/>
      <c r="AG54"/>
      <c r="AH54"/>
      <c r="AI54"/>
      <c r="AJ54"/>
      <c r="AK54"/>
      <c r="AL54"/>
      <c r="AM54"/>
      <c r="AN54"/>
    </row>
    <row r="55" spans="1:40" hidden="1" x14ac:dyDescent="0.25">
      <c r="A55" s="298">
        <f t="shared" si="6"/>
        <v>46</v>
      </c>
      <c r="B55" s="25">
        <v>44161</v>
      </c>
      <c r="C55" s="298">
        <v>400071</v>
      </c>
      <c r="D55" s="6" t="s">
        <v>75</v>
      </c>
      <c r="E55" s="6" t="s">
        <v>163</v>
      </c>
      <c r="F55" s="26">
        <v>5500000</v>
      </c>
      <c r="G55" s="298" t="s">
        <v>109</v>
      </c>
      <c r="H55" s="25">
        <v>44162</v>
      </c>
      <c r="I55" s="28">
        <f t="shared" si="4"/>
        <v>5500000</v>
      </c>
      <c r="J55" s="28"/>
      <c r="K55" s="28"/>
      <c r="L55" s="28"/>
      <c r="M55" s="4"/>
      <c r="N55" s="4"/>
      <c r="O55" s="4">
        <f t="shared" si="3"/>
        <v>5500000</v>
      </c>
      <c r="P55" s="5"/>
      <c r="Q55" s="5"/>
      <c r="R55" s="5"/>
    </row>
    <row r="56" spans="1:40" hidden="1" x14ac:dyDescent="0.25">
      <c r="A56" s="298">
        <f t="shared" si="6"/>
        <v>47</v>
      </c>
      <c r="B56" s="25">
        <v>44155</v>
      </c>
      <c r="C56" s="46" t="s">
        <v>165</v>
      </c>
      <c r="D56" s="6" t="s">
        <v>156</v>
      </c>
      <c r="E56" s="6" t="s">
        <v>166</v>
      </c>
      <c r="F56" s="101">
        <v>3800000</v>
      </c>
      <c r="G56" s="298" t="s">
        <v>164</v>
      </c>
      <c r="H56" s="25">
        <v>44165</v>
      </c>
      <c r="I56" s="28">
        <f t="shared" si="4"/>
        <v>3800000</v>
      </c>
      <c r="J56" s="28"/>
      <c r="K56" s="28"/>
      <c r="L56" s="28"/>
      <c r="M56" s="4"/>
      <c r="N56" s="4"/>
      <c r="O56" s="4">
        <f t="shared" si="3"/>
        <v>3800000</v>
      </c>
      <c r="P56" s="5"/>
      <c r="Q56" s="5"/>
      <c r="R56" s="5"/>
    </row>
    <row r="57" spans="1:40" hidden="1" x14ac:dyDescent="0.25">
      <c r="A57" s="298">
        <f t="shared" si="6"/>
        <v>48</v>
      </c>
      <c r="B57" s="25">
        <v>44165</v>
      </c>
      <c r="C57" s="298">
        <v>400705</v>
      </c>
      <c r="D57" s="6" t="s">
        <v>84</v>
      </c>
      <c r="E57" s="6" t="s">
        <v>14</v>
      </c>
      <c r="F57" s="299">
        <v>1800000</v>
      </c>
      <c r="G57" s="298" t="s">
        <v>111</v>
      </c>
      <c r="H57" s="25">
        <v>44166</v>
      </c>
      <c r="I57" s="28">
        <f t="shared" si="4"/>
        <v>1800000</v>
      </c>
      <c r="J57" s="28"/>
      <c r="K57" s="28"/>
      <c r="L57" s="28"/>
      <c r="M57" s="4"/>
      <c r="N57" s="4"/>
      <c r="O57" s="4">
        <f t="shared" si="3"/>
        <v>1800000</v>
      </c>
      <c r="P57" s="5"/>
      <c r="Q57" s="5"/>
      <c r="R57" s="5"/>
    </row>
    <row r="58" spans="1:40" hidden="1" x14ac:dyDescent="0.25">
      <c r="A58" s="298">
        <f t="shared" si="6"/>
        <v>49</v>
      </c>
      <c r="B58" s="25">
        <v>44138</v>
      </c>
      <c r="C58" s="298">
        <v>401357</v>
      </c>
      <c r="D58" s="6" t="s">
        <v>71</v>
      </c>
      <c r="E58" s="6" t="s">
        <v>168</v>
      </c>
      <c r="F58" s="101">
        <v>4500000</v>
      </c>
      <c r="G58" s="298" t="s">
        <v>97</v>
      </c>
      <c r="H58" s="25">
        <v>44166</v>
      </c>
      <c r="I58" s="28">
        <f t="shared" si="4"/>
        <v>4500000</v>
      </c>
      <c r="J58" s="28"/>
      <c r="K58" s="28"/>
      <c r="L58" s="28"/>
      <c r="M58" s="3">
        <f>I58*2%</f>
        <v>90000</v>
      </c>
      <c r="N58" s="4">
        <v>4410000</v>
      </c>
      <c r="O58" s="4">
        <f t="shared" si="3"/>
        <v>0</v>
      </c>
      <c r="P58" s="89">
        <v>44245</v>
      </c>
      <c r="Q58" s="5"/>
      <c r="R58" s="5"/>
    </row>
    <row r="59" spans="1:40" hidden="1" x14ac:dyDescent="0.25">
      <c r="A59" s="298">
        <f t="shared" si="6"/>
        <v>50</v>
      </c>
      <c r="B59" s="25">
        <v>44153</v>
      </c>
      <c r="C59" s="298"/>
      <c r="D59" s="6" t="s">
        <v>4</v>
      </c>
      <c r="E59" s="6" t="s">
        <v>29</v>
      </c>
      <c r="F59" s="101">
        <v>14000000</v>
      </c>
      <c r="G59" s="298" t="s">
        <v>96</v>
      </c>
      <c r="H59" s="25">
        <v>44168</v>
      </c>
      <c r="I59" s="28">
        <f t="shared" si="4"/>
        <v>14000000</v>
      </c>
      <c r="J59" s="28"/>
      <c r="K59" s="28"/>
      <c r="L59" s="28"/>
      <c r="M59" s="28"/>
      <c r="N59" s="28">
        <v>14000000</v>
      </c>
      <c r="O59" s="4">
        <f t="shared" si="3"/>
        <v>0</v>
      </c>
      <c r="P59" s="89">
        <v>44291</v>
      </c>
      <c r="Q59" s="5"/>
      <c r="R59" s="5"/>
    </row>
    <row r="60" spans="1:40" hidden="1" x14ac:dyDescent="0.25">
      <c r="A60" s="298">
        <f t="shared" si="6"/>
        <v>51</v>
      </c>
      <c r="B60" s="25">
        <v>44159</v>
      </c>
      <c r="C60" s="25">
        <v>44159</v>
      </c>
      <c r="D60" s="6" t="s">
        <v>71</v>
      </c>
      <c r="E60" s="6" t="s">
        <v>169</v>
      </c>
      <c r="F60" s="101">
        <v>10000000</v>
      </c>
      <c r="G60" s="298" t="s">
        <v>108</v>
      </c>
      <c r="H60" s="25">
        <v>44168</v>
      </c>
      <c r="I60" s="28">
        <f t="shared" si="4"/>
        <v>10000000</v>
      </c>
      <c r="J60" s="28"/>
      <c r="K60" s="28"/>
      <c r="L60" s="28"/>
      <c r="M60" s="3">
        <f>I60*2%</f>
        <v>200000</v>
      </c>
      <c r="N60" s="28">
        <v>9800000</v>
      </c>
      <c r="O60" s="4">
        <f t="shared" si="3"/>
        <v>0</v>
      </c>
      <c r="P60" s="89">
        <v>44245</v>
      </c>
      <c r="Q60" s="5"/>
      <c r="R60" s="5"/>
    </row>
    <row r="61" spans="1:40" hidden="1" x14ac:dyDescent="0.25">
      <c r="A61" s="298">
        <f t="shared" si="6"/>
        <v>52</v>
      </c>
      <c r="B61" s="25">
        <v>44142</v>
      </c>
      <c r="C61" s="298">
        <v>534</v>
      </c>
      <c r="D61" s="6" t="s">
        <v>4</v>
      </c>
      <c r="E61" s="6" t="s">
        <v>170</v>
      </c>
      <c r="F61" s="101">
        <v>25500000</v>
      </c>
      <c r="G61" s="298" t="s">
        <v>99</v>
      </c>
      <c r="H61" s="25">
        <v>44173</v>
      </c>
      <c r="I61" s="28">
        <f t="shared" si="4"/>
        <v>25500000</v>
      </c>
      <c r="J61" s="28"/>
      <c r="K61" s="28"/>
      <c r="L61" s="28"/>
      <c r="M61" s="28"/>
      <c r="N61" s="28">
        <v>25500000</v>
      </c>
      <c r="O61" s="4">
        <f t="shared" si="3"/>
        <v>0</v>
      </c>
      <c r="P61" s="89">
        <v>44307</v>
      </c>
      <c r="Q61" s="5"/>
      <c r="R61" s="5"/>
    </row>
    <row r="62" spans="1:40" hidden="1" x14ac:dyDescent="0.25">
      <c r="A62" s="298">
        <f t="shared" si="6"/>
        <v>53</v>
      </c>
      <c r="B62" s="25">
        <v>44145</v>
      </c>
      <c r="C62" s="298">
        <v>537</v>
      </c>
      <c r="D62" s="6" t="s">
        <v>4</v>
      </c>
      <c r="E62" s="53" t="s">
        <v>146</v>
      </c>
      <c r="F62" s="299">
        <v>3000000</v>
      </c>
      <c r="G62" s="298" t="s">
        <v>100</v>
      </c>
      <c r="H62" s="25">
        <v>44173</v>
      </c>
      <c r="I62" s="28">
        <f t="shared" si="4"/>
        <v>3000000</v>
      </c>
      <c r="J62" s="28"/>
      <c r="K62" s="28"/>
      <c r="L62" s="28"/>
      <c r="M62" s="4"/>
      <c r="N62" s="4">
        <v>3000000</v>
      </c>
      <c r="O62" s="4">
        <f t="shared" si="3"/>
        <v>0</v>
      </c>
      <c r="P62" s="89">
        <v>44279</v>
      </c>
      <c r="Q62" s="5"/>
      <c r="R62" s="5"/>
    </row>
    <row r="63" spans="1:40" hidden="1" x14ac:dyDescent="0.25">
      <c r="A63" s="298">
        <f t="shared" si="6"/>
        <v>54</v>
      </c>
      <c r="B63" s="25"/>
      <c r="C63" s="199">
        <v>575</v>
      </c>
      <c r="D63" s="6" t="s">
        <v>4</v>
      </c>
      <c r="E63" s="53" t="s">
        <v>147</v>
      </c>
      <c r="F63" s="299">
        <v>8000000</v>
      </c>
      <c r="G63" s="298" t="s">
        <v>101</v>
      </c>
      <c r="H63" s="25">
        <v>44173</v>
      </c>
      <c r="I63" s="28">
        <f t="shared" si="4"/>
        <v>8000000</v>
      </c>
      <c r="J63" s="28"/>
      <c r="K63" s="28"/>
      <c r="L63" s="28"/>
      <c r="M63" s="4"/>
      <c r="N63" s="4">
        <v>8000000</v>
      </c>
      <c r="O63" s="4">
        <f t="shared" si="3"/>
        <v>0</v>
      </c>
      <c r="P63" s="89">
        <v>44279</v>
      </c>
      <c r="Q63" s="5"/>
      <c r="R63" s="5"/>
    </row>
    <row r="64" spans="1:40" hidden="1" x14ac:dyDescent="0.25">
      <c r="A64" s="298">
        <f t="shared" si="6"/>
        <v>55</v>
      </c>
      <c r="B64" s="25">
        <v>44143</v>
      </c>
      <c r="C64" s="298"/>
      <c r="D64" s="6" t="s">
        <v>4</v>
      </c>
      <c r="E64" s="69" t="s">
        <v>171</v>
      </c>
      <c r="F64" s="26">
        <v>7500000</v>
      </c>
      <c r="G64" s="298" t="s">
        <v>103</v>
      </c>
      <c r="H64" s="25">
        <v>44186</v>
      </c>
      <c r="I64" s="28">
        <f t="shared" si="4"/>
        <v>7500000</v>
      </c>
      <c r="J64" s="28"/>
      <c r="K64" s="28"/>
      <c r="L64" s="28"/>
      <c r="M64" s="4"/>
      <c r="N64" s="4">
        <v>7500000</v>
      </c>
      <c r="O64" s="4">
        <f t="shared" si="3"/>
        <v>0</v>
      </c>
      <c r="P64" s="89">
        <v>44315</v>
      </c>
      <c r="Q64" s="5"/>
      <c r="R64" s="5"/>
    </row>
    <row r="65" spans="1:18" hidden="1" x14ac:dyDescent="0.25">
      <c r="A65" s="298">
        <f t="shared" si="6"/>
        <v>56</v>
      </c>
      <c r="B65" s="24">
        <v>44193</v>
      </c>
      <c r="C65" s="2" t="s">
        <v>173</v>
      </c>
      <c r="D65" s="6" t="s">
        <v>172</v>
      </c>
      <c r="E65" s="6" t="s">
        <v>14</v>
      </c>
      <c r="F65" s="26">
        <f>11000000+242500</f>
        <v>11242500</v>
      </c>
      <c r="G65" s="298" t="s">
        <v>110</v>
      </c>
      <c r="H65" s="25">
        <v>44187</v>
      </c>
      <c r="I65" s="28">
        <v>11000000</v>
      </c>
      <c r="J65" s="28"/>
      <c r="K65" s="28"/>
      <c r="L65" s="28"/>
      <c r="M65" s="4"/>
      <c r="N65" s="4">
        <v>11000000</v>
      </c>
      <c r="O65" s="4">
        <f t="shared" si="3"/>
        <v>0</v>
      </c>
      <c r="P65" s="89">
        <v>44267</v>
      </c>
      <c r="Q65" s="5"/>
      <c r="R65" s="5"/>
    </row>
    <row r="66" spans="1:18" hidden="1" x14ac:dyDescent="0.25">
      <c r="A66" s="298">
        <f t="shared" si="6"/>
        <v>57</v>
      </c>
      <c r="B66" s="24">
        <v>44132</v>
      </c>
      <c r="C66" s="298"/>
      <c r="D66" s="6" t="s">
        <v>83</v>
      </c>
      <c r="E66" s="6" t="s">
        <v>34</v>
      </c>
      <c r="F66" s="26">
        <v>8000000</v>
      </c>
      <c r="G66" s="2" t="s">
        <v>174</v>
      </c>
      <c r="H66" s="24">
        <v>44134</v>
      </c>
      <c r="I66" s="28">
        <f t="shared" si="4"/>
        <v>8000000</v>
      </c>
      <c r="J66" s="28">
        <v>5000000</v>
      </c>
      <c r="K66" s="28"/>
      <c r="L66" s="28"/>
      <c r="M66" s="4"/>
      <c r="N66" s="4"/>
      <c r="O66" s="4">
        <f t="shared" si="3"/>
        <v>3000000</v>
      </c>
      <c r="P66" s="5"/>
      <c r="Q66" s="5"/>
      <c r="R66" s="5"/>
    </row>
    <row r="67" spans="1:18" x14ac:dyDescent="0.25">
      <c r="A67" s="298">
        <f t="shared" si="6"/>
        <v>58</v>
      </c>
      <c r="B67" s="56">
        <v>44140</v>
      </c>
      <c r="C67" s="298"/>
      <c r="D67" s="23" t="s">
        <v>215</v>
      </c>
      <c r="E67" s="6" t="s">
        <v>24</v>
      </c>
      <c r="F67" s="13">
        <v>6500000</v>
      </c>
      <c r="G67" s="298"/>
      <c r="H67" s="25"/>
      <c r="I67" s="28">
        <f t="shared" si="4"/>
        <v>6500000</v>
      </c>
      <c r="J67" s="26">
        <v>4500000</v>
      </c>
      <c r="K67" s="26"/>
      <c r="L67" s="26"/>
      <c r="M67" s="3"/>
      <c r="N67" s="3">
        <v>2000000</v>
      </c>
      <c r="O67" s="4">
        <f t="shared" si="3"/>
        <v>0</v>
      </c>
      <c r="P67" s="89">
        <v>44509</v>
      </c>
      <c r="Q67" s="5"/>
      <c r="R67" s="5"/>
    </row>
    <row r="68" spans="1:18" x14ac:dyDescent="0.25">
      <c r="A68" s="298">
        <f t="shared" si="6"/>
        <v>59</v>
      </c>
      <c r="B68" s="25">
        <v>44149</v>
      </c>
      <c r="C68" s="298"/>
      <c r="D68" s="23" t="s">
        <v>215</v>
      </c>
      <c r="E68" s="6" t="s">
        <v>23</v>
      </c>
      <c r="F68" s="101">
        <v>8000000</v>
      </c>
      <c r="G68" s="298"/>
      <c r="H68" s="25"/>
      <c r="I68" s="28">
        <f t="shared" si="4"/>
        <v>8000000</v>
      </c>
      <c r="J68" s="26">
        <v>5000000</v>
      </c>
      <c r="K68" s="28"/>
      <c r="L68" s="28"/>
      <c r="M68" s="4"/>
      <c r="N68" s="4">
        <v>3000000</v>
      </c>
      <c r="O68" s="4">
        <f t="shared" si="3"/>
        <v>0</v>
      </c>
      <c r="P68" s="89">
        <v>44530</v>
      </c>
      <c r="Q68" s="5"/>
      <c r="R68" s="5"/>
    </row>
    <row r="69" spans="1:18" hidden="1" x14ac:dyDescent="0.25">
      <c r="A69" s="298">
        <f t="shared" si="6"/>
        <v>60</v>
      </c>
      <c r="B69" s="197">
        <v>44149</v>
      </c>
      <c r="C69" s="298"/>
      <c r="D69" s="53" t="s">
        <v>81</v>
      </c>
      <c r="E69" s="53" t="s">
        <v>175</v>
      </c>
      <c r="F69" s="13">
        <f>4000*100</f>
        <v>400000</v>
      </c>
      <c r="G69" s="298"/>
      <c r="H69" s="25"/>
      <c r="I69" s="28">
        <f t="shared" si="4"/>
        <v>400000</v>
      </c>
      <c r="J69" s="28"/>
      <c r="K69" s="28"/>
      <c r="L69" s="28"/>
      <c r="M69" s="4"/>
      <c r="N69" s="4"/>
      <c r="O69" s="4">
        <f t="shared" si="3"/>
        <v>400000</v>
      </c>
      <c r="P69" s="5"/>
      <c r="Q69" s="5"/>
      <c r="R69" s="5"/>
    </row>
    <row r="70" spans="1:18" hidden="1" x14ac:dyDescent="0.25">
      <c r="A70" s="298">
        <f t="shared" si="6"/>
        <v>61</v>
      </c>
      <c r="B70" s="197">
        <v>44152</v>
      </c>
      <c r="C70" s="199">
        <v>400141</v>
      </c>
      <c r="D70" s="53" t="s">
        <v>82</v>
      </c>
      <c r="E70" s="53" t="s">
        <v>14</v>
      </c>
      <c r="F70" s="101">
        <v>600000</v>
      </c>
      <c r="G70" s="298" t="s">
        <v>2739</v>
      </c>
      <c r="H70" s="25" t="s">
        <v>2740</v>
      </c>
      <c r="I70" s="28">
        <f t="shared" si="4"/>
        <v>600000</v>
      </c>
      <c r="J70" s="28"/>
      <c r="K70" s="26"/>
      <c r="L70" s="26"/>
      <c r="M70" s="3"/>
      <c r="N70" s="3">
        <v>600000</v>
      </c>
      <c r="O70" s="4">
        <f t="shared" si="3"/>
        <v>0</v>
      </c>
      <c r="P70" s="197">
        <v>44532</v>
      </c>
      <c r="Q70" s="5"/>
      <c r="R70" s="5"/>
    </row>
    <row r="71" spans="1:18" x14ac:dyDescent="0.25">
      <c r="A71" s="298">
        <f t="shared" si="6"/>
        <v>62</v>
      </c>
      <c r="B71" s="25">
        <v>44153</v>
      </c>
      <c r="C71" s="199">
        <v>400142</v>
      </c>
      <c r="D71" s="23" t="s">
        <v>215</v>
      </c>
      <c r="E71" s="53" t="s">
        <v>30</v>
      </c>
      <c r="F71" s="13">
        <v>1000000</v>
      </c>
      <c r="G71" s="298"/>
      <c r="H71" s="25"/>
      <c r="I71" s="28">
        <f t="shared" si="4"/>
        <v>1000000</v>
      </c>
      <c r="J71" s="26">
        <f>I71*60%</f>
        <v>600000</v>
      </c>
      <c r="K71" s="26"/>
      <c r="L71" s="26"/>
      <c r="M71" s="3"/>
      <c r="N71" s="3"/>
      <c r="O71" s="4">
        <f t="shared" si="3"/>
        <v>400000</v>
      </c>
      <c r="P71" s="5"/>
      <c r="Q71" s="5"/>
      <c r="R71" s="5"/>
    </row>
    <row r="72" spans="1:18" ht="15" customHeight="1" x14ac:dyDescent="0.25">
      <c r="A72" s="298">
        <f t="shared" si="6"/>
        <v>63</v>
      </c>
      <c r="B72" s="197">
        <v>44154</v>
      </c>
      <c r="C72" s="298"/>
      <c r="D72" s="23" t="s">
        <v>215</v>
      </c>
      <c r="E72" s="6" t="s">
        <v>176</v>
      </c>
      <c r="F72" s="101">
        <v>3500000</v>
      </c>
      <c r="G72" s="298"/>
      <c r="H72" s="25"/>
      <c r="I72" s="28">
        <f t="shared" si="4"/>
        <v>3500000</v>
      </c>
      <c r="J72" s="26">
        <f>I72*60%</f>
        <v>2100000</v>
      </c>
      <c r="K72" s="28"/>
      <c r="L72" s="28"/>
      <c r="M72" s="4"/>
      <c r="N72" s="4">
        <v>1400000</v>
      </c>
      <c r="O72" s="4">
        <f t="shared" si="3"/>
        <v>0</v>
      </c>
      <c r="P72" s="314" t="s">
        <v>1118</v>
      </c>
      <c r="Q72" s="5"/>
      <c r="R72" s="5"/>
    </row>
    <row r="73" spans="1:18" x14ac:dyDescent="0.25">
      <c r="A73" s="298">
        <f t="shared" si="6"/>
        <v>64</v>
      </c>
      <c r="B73" s="197">
        <v>44154</v>
      </c>
      <c r="C73" s="298"/>
      <c r="D73" s="23" t="s">
        <v>215</v>
      </c>
      <c r="E73" s="6" t="s">
        <v>177</v>
      </c>
      <c r="F73" s="101">
        <v>3500000</v>
      </c>
      <c r="G73" s="298"/>
      <c r="H73" s="25"/>
      <c r="I73" s="28">
        <f t="shared" si="4"/>
        <v>3500000</v>
      </c>
      <c r="J73" s="26">
        <f>I73*60%</f>
        <v>2100000</v>
      </c>
      <c r="K73" s="28"/>
      <c r="L73" s="28"/>
      <c r="M73" s="4"/>
      <c r="N73" s="4">
        <v>1400000</v>
      </c>
      <c r="O73" s="4">
        <f t="shared" si="3"/>
        <v>0</v>
      </c>
      <c r="P73" s="315"/>
      <c r="Q73" s="5"/>
      <c r="R73" s="5"/>
    </row>
    <row r="74" spans="1:18" hidden="1" x14ac:dyDescent="0.25">
      <c r="A74" s="298">
        <f t="shared" si="6"/>
        <v>65</v>
      </c>
      <c r="B74" s="197">
        <v>44162</v>
      </c>
      <c r="C74" s="199" t="s">
        <v>178</v>
      </c>
      <c r="D74" s="6" t="s">
        <v>172</v>
      </c>
      <c r="E74" s="6" t="s">
        <v>13</v>
      </c>
      <c r="F74" s="101">
        <v>5500000</v>
      </c>
      <c r="G74" s="298" t="s">
        <v>393</v>
      </c>
      <c r="H74" s="197">
        <v>44148</v>
      </c>
      <c r="I74" s="28">
        <f t="shared" si="4"/>
        <v>5500000</v>
      </c>
      <c r="J74" s="28"/>
      <c r="K74" s="28"/>
      <c r="L74" s="28"/>
      <c r="M74" s="4"/>
      <c r="N74" s="4">
        <v>5500000</v>
      </c>
      <c r="O74" s="4">
        <f t="shared" si="3"/>
        <v>0</v>
      </c>
      <c r="P74" s="89">
        <v>44527</v>
      </c>
      <c r="Q74" s="5"/>
      <c r="R74" s="5"/>
    </row>
    <row r="75" spans="1:18" x14ac:dyDescent="0.25">
      <c r="A75" s="298">
        <f t="shared" si="6"/>
        <v>66</v>
      </c>
      <c r="B75" s="197">
        <v>44162</v>
      </c>
      <c r="C75" s="298"/>
      <c r="D75" s="23" t="s">
        <v>215</v>
      </c>
      <c r="E75" s="53" t="s">
        <v>23</v>
      </c>
      <c r="F75" s="101">
        <v>8000000</v>
      </c>
      <c r="G75" s="298"/>
      <c r="H75" s="25"/>
      <c r="I75" s="28">
        <f t="shared" si="4"/>
        <v>8000000</v>
      </c>
      <c r="J75" s="26">
        <f>I75*60%</f>
        <v>4800000</v>
      </c>
      <c r="K75" s="28"/>
      <c r="L75" s="28"/>
      <c r="M75" s="4"/>
      <c r="N75" s="4"/>
      <c r="O75" s="4">
        <f t="shared" si="3"/>
        <v>3200000</v>
      </c>
      <c r="P75" s="5"/>
      <c r="Q75" s="5"/>
      <c r="R75" s="5"/>
    </row>
    <row r="76" spans="1:18" ht="15.75" hidden="1" x14ac:dyDescent="0.25">
      <c r="A76" s="298">
        <f t="shared" si="6"/>
        <v>67</v>
      </c>
      <c r="B76" s="25"/>
      <c r="C76" s="298"/>
      <c r="D76" s="53" t="s">
        <v>154</v>
      </c>
      <c r="E76" s="6" t="s">
        <v>136</v>
      </c>
      <c r="F76" s="101">
        <v>6942800</v>
      </c>
      <c r="G76" s="298" t="s">
        <v>179</v>
      </c>
      <c r="H76" s="61">
        <v>44203</v>
      </c>
      <c r="I76" s="28">
        <f t="shared" si="4"/>
        <v>6942800</v>
      </c>
      <c r="J76" s="28"/>
      <c r="K76" s="28"/>
      <c r="L76" s="28">
        <f>I76*1%</f>
        <v>69428</v>
      </c>
      <c r="M76" s="4">
        <f>I76*2%</f>
        <v>138856</v>
      </c>
      <c r="N76" s="4">
        <v>6873372</v>
      </c>
      <c r="O76" s="4">
        <f t="shared" si="3"/>
        <v>0</v>
      </c>
      <c r="P76" s="130">
        <v>44259</v>
      </c>
      <c r="Q76" s="5"/>
      <c r="R76" s="5"/>
    </row>
    <row r="77" spans="1:18" hidden="1" x14ac:dyDescent="0.25">
      <c r="A77" s="298">
        <f t="shared" si="6"/>
        <v>68</v>
      </c>
      <c r="B77" s="25">
        <v>44156</v>
      </c>
      <c r="C77" s="298"/>
      <c r="D77" s="53" t="s">
        <v>154</v>
      </c>
      <c r="E77" s="6" t="s">
        <v>136</v>
      </c>
      <c r="F77" s="101">
        <v>17924800</v>
      </c>
      <c r="G77" s="37" t="s">
        <v>180</v>
      </c>
      <c r="H77" s="62">
        <v>44172</v>
      </c>
      <c r="I77" s="28">
        <f t="shared" si="4"/>
        <v>17924800</v>
      </c>
      <c r="J77" s="28"/>
      <c r="K77" s="28"/>
      <c r="L77" s="28"/>
      <c r="M77" s="4">
        <f t="shared" ref="M77:M82" si="7">I77*2%</f>
        <v>358496</v>
      </c>
      <c r="N77" s="4">
        <v>17566304</v>
      </c>
      <c r="O77" s="4">
        <f t="shared" si="3"/>
        <v>0</v>
      </c>
      <c r="P77" s="130">
        <v>44238</v>
      </c>
      <c r="Q77" s="5"/>
      <c r="R77" s="5"/>
    </row>
    <row r="78" spans="1:18" hidden="1" x14ac:dyDescent="0.25">
      <c r="A78" s="298">
        <f t="shared" si="6"/>
        <v>69</v>
      </c>
      <c r="B78" s="25">
        <v>44154</v>
      </c>
      <c r="C78" s="298"/>
      <c r="D78" s="53" t="s">
        <v>154</v>
      </c>
      <c r="E78" s="6" t="s">
        <v>136</v>
      </c>
      <c r="F78" s="101">
        <v>10476800</v>
      </c>
      <c r="G78" s="2" t="s">
        <v>114</v>
      </c>
      <c r="H78" s="62">
        <v>44182</v>
      </c>
      <c r="I78" s="28">
        <f t="shared" si="4"/>
        <v>10476800</v>
      </c>
      <c r="J78" s="28"/>
      <c r="K78" s="28"/>
      <c r="L78" s="28"/>
      <c r="M78" s="4">
        <f t="shared" si="7"/>
        <v>209536</v>
      </c>
      <c r="N78" s="4">
        <v>10267264</v>
      </c>
      <c r="O78" s="4">
        <f t="shared" si="3"/>
        <v>0</v>
      </c>
      <c r="P78" s="130">
        <v>44259</v>
      </c>
      <c r="Q78" s="5"/>
      <c r="R78" s="5"/>
    </row>
    <row r="79" spans="1:18" hidden="1" x14ac:dyDescent="0.25">
      <c r="A79" s="298">
        <f t="shared" si="6"/>
        <v>70</v>
      </c>
      <c r="B79" s="25">
        <v>44158</v>
      </c>
      <c r="C79" s="298"/>
      <c r="D79" s="6" t="s">
        <v>181</v>
      </c>
      <c r="E79" s="6" t="s">
        <v>161</v>
      </c>
      <c r="F79" s="101">
        <v>1212300</v>
      </c>
      <c r="G79" s="298" t="s">
        <v>112</v>
      </c>
      <c r="H79" s="25">
        <v>44182</v>
      </c>
      <c r="I79" s="28">
        <f t="shared" si="4"/>
        <v>1212300</v>
      </c>
      <c r="J79" s="28"/>
      <c r="K79" s="28"/>
      <c r="L79" s="28"/>
      <c r="M79" s="4">
        <f t="shared" si="7"/>
        <v>24246</v>
      </c>
      <c r="N79" s="4">
        <v>1188054</v>
      </c>
      <c r="O79" s="4">
        <f t="shared" si="3"/>
        <v>0</v>
      </c>
      <c r="P79" s="5"/>
      <c r="Q79" s="5"/>
      <c r="R79" s="5"/>
    </row>
    <row r="80" spans="1:18" hidden="1" x14ac:dyDescent="0.25">
      <c r="A80" s="298">
        <f t="shared" si="6"/>
        <v>71</v>
      </c>
      <c r="B80" s="25">
        <v>44151</v>
      </c>
      <c r="C80" s="298"/>
      <c r="D80" s="6" t="s">
        <v>182</v>
      </c>
      <c r="E80" s="6" t="s">
        <v>161</v>
      </c>
      <c r="F80" s="299">
        <v>398700</v>
      </c>
      <c r="G80" s="298" t="s">
        <v>113</v>
      </c>
      <c r="H80" s="25">
        <v>44182</v>
      </c>
      <c r="I80" s="28">
        <f t="shared" si="4"/>
        <v>398700</v>
      </c>
      <c r="J80" s="28"/>
      <c r="K80" s="28"/>
      <c r="L80" s="28"/>
      <c r="M80" s="4">
        <f t="shared" si="7"/>
        <v>7974</v>
      </c>
      <c r="N80" s="4">
        <v>390726</v>
      </c>
      <c r="O80" s="4">
        <f t="shared" si="3"/>
        <v>0</v>
      </c>
      <c r="P80" s="89">
        <v>44218</v>
      </c>
      <c r="Q80" s="5"/>
      <c r="R80" s="5"/>
    </row>
    <row r="81" spans="1:19" hidden="1" x14ac:dyDescent="0.25">
      <c r="A81" s="298">
        <f t="shared" si="6"/>
        <v>72</v>
      </c>
      <c r="B81" s="25">
        <v>44138</v>
      </c>
      <c r="C81" s="298"/>
      <c r="D81" s="23" t="s">
        <v>73</v>
      </c>
      <c r="E81" s="6" t="s">
        <v>136</v>
      </c>
      <c r="F81" s="299">
        <v>308500</v>
      </c>
      <c r="G81" s="298"/>
      <c r="H81" s="25"/>
      <c r="I81" s="28">
        <f t="shared" si="4"/>
        <v>308500</v>
      </c>
      <c r="J81" s="28"/>
      <c r="K81" s="28"/>
      <c r="L81" s="28"/>
      <c r="M81" s="4">
        <f t="shared" si="7"/>
        <v>6170</v>
      </c>
      <c r="N81" s="4"/>
      <c r="O81" s="4">
        <f t="shared" si="3"/>
        <v>302330</v>
      </c>
      <c r="P81" s="5"/>
      <c r="Q81" s="5"/>
      <c r="R81" s="5"/>
    </row>
    <row r="82" spans="1:19" hidden="1" x14ac:dyDescent="0.25">
      <c r="A82" s="298">
        <f t="shared" si="6"/>
        <v>73</v>
      </c>
      <c r="B82" s="25">
        <v>44137</v>
      </c>
      <c r="C82" s="298"/>
      <c r="D82" s="53" t="s">
        <v>154</v>
      </c>
      <c r="E82" s="6" t="s">
        <v>136</v>
      </c>
      <c r="F82" s="299">
        <f>725600-73700</f>
        <v>651900</v>
      </c>
      <c r="G82" s="298"/>
      <c r="H82" s="25"/>
      <c r="I82" s="28">
        <f t="shared" si="4"/>
        <v>651900</v>
      </c>
      <c r="J82" s="28"/>
      <c r="K82" s="28"/>
      <c r="L82" s="28"/>
      <c r="M82" s="4">
        <f t="shared" si="7"/>
        <v>13038</v>
      </c>
      <c r="N82" s="4"/>
      <c r="O82" s="4">
        <f t="shared" si="3"/>
        <v>638862</v>
      </c>
      <c r="P82" s="5"/>
      <c r="Q82" s="5"/>
      <c r="R82" s="5"/>
    </row>
    <row r="83" spans="1:19" ht="27.75" hidden="1" customHeight="1" x14ac:dyDescent="0.25">
      <c r="A83" s="316" t="s">
        <v>205</v>
      </c>
      <c r="B83" s="317"/>
      <c r="C83" s="317"/>
      <c r="D83" s="317"/>
      <c r="E83" s="317"/>
      <c r="F83" s="317"/>
      <c r="G83" s="317"/>
      <c r="H83" s="317"/>
      <c r="I83" s="317"/>
      <c r="J83" s="317"/>
      <c r="K83" s="317"/>
      <c r="L83" s="317"/>
      <c r="M83" s="317"/>
      <c r="N83" s="318"/>
      <c r="O83" s="51">
        <f>SUM(O47:O82)</f>
        <v>23409192</v>
      </c>
      <c r="P83" s="48"/>
      <c r="Q83" s="48"/>
      <c r="R83" s="48"/>
    </row>
    <row r="84" spans="1:19" ht="42" hidden="1" customHeight="1" x14ac:dyDescent="0.25">
      <c r="A84" s="953" t="s">
        <v>6</v>
      </c>
      <c r="B84" s="955" t="s">
        <v>0</v>
      </c>
      <c r="C84" s="953" t="s">
        <v>7</v>
      </c>
      <c r="D84" s="953" t="s">
        <v>8</v>
      </c>
      <c r="E84" s="953" t="s">
        <v>9</v>
      </c>
      <c r="F84" s="957" t="s">
        <v>10</v>
      </c>
      <c r="G84" s="953" t="s">
        <v>11</v>
      </c>
      <c r="H84" s="959" t="s">
        <v>138</v>
      </c>
      <c r="I84" s="961" t="s">
        <v>49</v>
      </c>
      <c r="J84" s="963" t="s">
        <v>86</v>
      </c>
      <c r="K84" s="964"/>
      <c r="L84" s="964"/>
      <c r="M84" s="964"/>
      <c r="N84" s="965"/>
      <c r="O84" s="946" t="s">
        <v>2</v>
      </c>
      <c r="P84" s="993" t="s">
        <v>3</v>
      </c>
      <c r="Q84" s="946" t="s">
        <v>48</v>
      </c>
      <c r="R84" s="948" t="s">
        <v>50</v>
      </c>
      <c r="S84" s="96"/>
    </row>
    <row r="85" spans="1:19" ht="33" hidden="1" customHeight="1" x14ac:dyDescent="0.25">
      <c r="A85" s="954"/>
      <c r="B85" s="956"/>
      <c r="C85" s="954"/>
      <c r="D85" s="954"/>
      <c r="E85" s="954"/>
      <c r="F85" s="958"/>
      <c r="G85" s="954"/>
      <c r="H85" s="960"/>
      <c r="I85" s="962"/>
      <c r="J85" s="300" t="s">
        <v>1</v>
      </c>
      <c r="K85" s="300" t="s">
        <v>47</v>
      </c>
      <c r="L85" s="300" t="s">
        <v>185</v>
      </c>
      <c r="M85" s="303" t="s">
        <v>48</v>
      </c>
      <c r="N85" s="300" t="s">
        <v>40</v>
      </c>
      <c r="O85" s="947"/>
      <c r="P85" s="994"/>
      <c r="Q85" s="947"/>
      <c r="R85" s="949"/>
      <c r="S85" s="96"/>
    </row>
    <row r="86" spans="1:19" x14ac:dyDescent="0.25">
      <c r="A86" s="90">
        <v>74</v>
      </c>
      <c r="B86" s="72">
        <v>44168</v>
      </c>
      <c r="C86" s="90"/>
      <c r="D86" s="23" t="s">
        <v>215</v>
      </c>
      <c r="E86" s="54" t="s">
        <v>26</v>
      </c>
      <c r="F86" s="101">
        <v>9500000</v>
      </c>
      <c r="G86" s="90"/>
      <c r="H86" s="25"/>
      <c r="I86" s="28">
        <f t="shared" si="4"/>
        <v>9500000</v>
      </c>
      <c r="J86" s="28">
        <v>6700000</v>
      </c>
      <c r="K86" s="28">
        <v>200000</v>
      </c>
      <c r="L86" s="28"/>
      <c r="M86" s="4"/>
      <c r="N86" s="4">
        <v>2600000</v>
      </c>
      <c r="O86" s="4">
        <f t="shared" si="3"/>
        <v>0</v>
      </c>
      <c r="P86" s="89">
        <v>44589</v>
      </c>
      <c r="Q86" s="5"/>
      <c r="R86" s="5"/>
    </row>
    <row r="87" spans="1:19" hidden="1" x14ac:dyDescent="0.25">
      <c r="A87" s="90">
        <f>A86+1</f>
        <v>75</v>
      </c>
      <c r="B87" s="25">
        <v>44169</v>
      </c>
      <c r="C87" s="90">
        <v>400079</v>
      </c>
      <c r="D87" s="6" t="s">
        <v>5</v>
      </c>
      <c r="E87" s="6" t="s">
        <v>183</v>
      </c>
      <c r="F87" s="101">
        <v>20500000</v>
      </c>
      <c r="G87" s="90" t="s">
        <v>116</v>
      </c>
      <c r="H87" s="25">
        <v>44186</v>
      </c>
      <c r="I87" s="28">
        <f t="shared" si="4"/>
        <v>20500000</v>
      </c>
      <c r="J87" s="26"/>
      <c r="K87" s="26"/>
      <c r="L87" s="26"/>
      <c r="M87" s="4">
        <f>I87*2%</f>
        <v>410000</v>
      </c>
      <c r="N87" s="3">
        <v>20090000</v>
      </c>
      <c r="O87" s="4">
        <f t="shared" si="3"/>
        <v>0</v>
      </c>
      <c r="P87" s="89">
        <v>44291</v>
      </c>
      <c r="Q87" s="5"/>
      <c r="R87" s="5"/>
    </row>
    <row r="88" spans="1:19" ht="15.75" hidden="1" x14ac:dyDescent="0.25">
      <c r="A88" s="90">
        <f t="shared" ref="A88:A108" si="8">A87+1</f>
        <v>76</v>
      </c>
      <c r="B88" s="25">
        <v>44169</v>
      </c>
      <c r="C88" s="90"/>
      <c r="D88" s="6" t="s">
        <v>117</v>
      </c>
      <c r="E88" s="6" t="s">
        <v>186</v>
      </c>
      <c r="F88" s="63">
        <v>8500000</v>
      </c>
      <c r="G88" s="90" t="s">
        <v>184</v>
      </c>
      <c r="H88" s="25">
        <v>44226</v>
      </c>
      <c r="I88" s="28">
        <f t="shared" si="4"/>
        <v>8500000</v>
      </c>
      <c r="J88" s="28"/>
      <c r="K88" s="28"/>
      <c r="L88" s="28">
        <f>F88*1%</f>
        <v>85000</v>
      </c>
      <c r="M88" s="4">
        <f>F88*2%</f>
        <v>170000</v>
      </c>
      <c r="N88" s="4">
        <v>8415000</v>
      </c>
      <c r="O88" s="4">
        <f t="shared" si="3"/>
        <v>0</v>
      </c>
      <c r="P88" s="89">
        <v>44307</v>
      </c>
      <c r="Q88" s="5"/>
      <c r="R88" s="5"/>
    </row>
    <row r="89" spans="1:19" hidden="1" x14ac:dyDescent="0.25">
      <c r="A89" s="90">
        <f t="shared" si="8"/>
        <v>77</v>
      </c>
      <c r="B89" s="25">
        <v>44159</v>
      </c>
      <c r="C89" s="90"/>
      <c r="D89" s="6" t="s">
        <v>157</v>
      </c>
      <c r="E89" s="6"/>
      <c r="F89" s="26">
        <v>8327200</v>
      </c>
      <c r="G89" s="90" t="s">
        <v>119</v>
      </c>
      <c r="H89" s="25">
        <v>44188</v>
      </c>
      <c r="I89" s="28">
        <f>F89</f>
        <v>8327200</v>
      </c>
      <c r="J89" s="28"/>
      <c r="K89" s="28"/>
      <c r="L89" s="28"/>
      <c r="M89" s="4"/>
      <c r="N89" s="4">
        <v>8327200</v>
      </c>
      <c r="O89" s="4">
        <f t="shared" ref="O89:O108" si="9">I89-J89-K89-M89-N89+L89</f>
        <v>0</v>
      </c>
      <c r="P89" s="5" t="s">
        <v>273</v>
      </c>
      <c r="Q89" s="5"/>
      <c r="R89" s="5"/>
    </row>
    <row r="90" spans="1:19" hidden="1" x14ac:dyDescent="0.25">
      <c r="A90" s="90">
        <f t="shared" si="8"/>
        <v>78</v>
      </c>
      <c r="B90" s="25">
        <v>44173</v>
      </c>
      <c r="C90" s="25"/>
      <c r="D90" s="69" t="s">
        <v>187</v>
      </c>
      <c r="E90" s="6" t="s">
        <v>19</v>
      </c>
      <c r="F90" s="105">
        <v>1800000</v>
      </c>
      <c r="G90" s="166" t="s">
        <v>614</v>
      </c>
      <c r="H90" s="25">
        <v>44294</v>
      </c>
      <c r="I90" s="28">
        <f t="shared" ref="I90:I108" si="10">F90</f>
        <v>1800000</v>
      </c>
      <c r="J90" s="28"/>
      <c r="K90" s="28"/>
      <c r="L90" s="28"/>
      <c r="M90" s="4"/>
      <c r="N90" s="4">
        <v>1800000</v>
      </c>
      <c r="O90" s="4">
        <f t="shared" si="9"/>
        <v>0</v>
      </c>
      <c r="P90" s="5"/>
      <c r="Q90" s="5"/>
      <c r="R90" s="5"/>
    </row>
    <row r="91" spans="1:19" hidden="1" x14ac:dyDescent="0.25">
      <c r="A91" s="90">
        <f t="shared" si="8"/>
        <v>79</v>
      </c>
      <c r="B91" s="25">
        <v>44177</v>
      </c>
      <c r="C91" s="90"/>
      <c r="D91" s="6" t="s">
        <v>4</v>
      </c>
      <c r="E91" s="69" t="s">
        <v>188</v>
      </c>
      <c r="F91" s="105">
        <v>3400000</v>
      </c>
      <c r="G91" s="134" t="s">
        <v>449</v>
      </c>
      <c r="H91" s="25">
        <v>44264</v>
      </c>
      <c r="I91" s="28">
        <f t="shared" si="10"/>
        <v>3400000</v>
      </c>
      <c r="J91" s="28"/>
      <c r="K91" s="28"/>
      <c r="L91" s="28"/>
      <c r="M91" s="4"/>
      <c r="N91" s="276">
        <v>3400000</v>
      </c>
      <c r="O91" s="4">
        <f t="shared" si="9"/>
        <v>0</v>
      </c>
      <c r="P91" s="89">
        <v>44365</v>
      </c>
      <c r="Q91" s="5"/>
      <c r="R91" s="5"/>
    </row>
    <row r="92" spans="1:19" hidden="1" x14ac:dyDescent="0.25">
      <c r="A92" s="90">
        <f t="shared" si="8"/>
        <v>80</v>
      </c>
      <c r="B92" s="25">
        <v>44175</v>
      </c>
      <c r="C92" s="2">
        <v>401966</v>
      </c>
      <c r="D92" s="6" t="s">
        <v>4</v>
      </c>
      <c r="E92" s="69" t="s">
        <v>41</v>
      </c>
      <c r="F92" s="105">
        <v>800000</v>
      </c>
      <c r="G92" s="2" t="s">
        <v>189</v>
      </c>
      <c r="H92" s="25">
        <v>44216</v>
      </c>
      <c r="I92" s="28">
        <f t="shared" si="10"/>
        <v>800000</v>
      </c>
      <c r="J92" s="28"/>
      <c r="K92" s="28"/>
      <c r="L92" s="28"/>
      <c r="M92" s="4"/>
      <c r="N92" s="4">
        <v>800000</v>
      </c>
      <c r="O92" s="4">
        <f t="shared" si="9"/>
        <v>0</v>
      </c>
      <c r="P92" s="89">
        <v>44237</v>
      </c>
      <c r="Q92" s="5"/>
      <c r="R92" s="5"/>
    </row>
    <row r="93" spans="1:19" hidden="1" x14ac:dyDescent="0.25">
      <c r="A93" s="90">
        <f t="shared" si="8"/>
        <v>81</v>
      </c>
      <c r="B93" s="25">
        <v>44179</v>
      </c>
      <c r="C93" s="90"/>
      <c r="D93" s="6" t="s">
        <v>71</v>
      </c>
      <c r="E93" s="53" t="s">
        <v>190</v>
      </c>
      <c r="F93" s="91">
        <v>3600000</v>
      </c>
      <c r="G93" s="90" t="s">
        <v>120</v>
      </c>
      <c r="H93" s="25">
        <v>44180</v>
      </c>
      <c r="I93" s="28">
        <f t="shared" si="10"/>
        <v>3600000</v>
      </c>
      <c r="J93" s="28"/>
      <c r="K93" s="28"/>
      <c r="L93" s="28"/>
      <c r="M93" s="4">
        <f>I93*2%</f>
        <v>72000</v>
      </c>
      <c r="N93" s="28">
        <v>3528000</v>
      </c>
      <c r="O93" s="4">
        <f t="shared" si="9"/>
        <v>0</v>
      </c>
      <c r="P93" s="89">
        <v>44245</v>
      </c>
      <c r="Q93" s="5"/>
      <c r="R93" s="5"/>
    </row>
    <row r="94" spans="1:19" hidden="1" x14ac:dyDescent="0.25">
      <c r="A94" s="90">
        <f t="shared" si="8"/>
        <v>82</v>
      </c>
      <c r="B94" s="72">
        <v>44180</v>
      </c>
      <c r="C94" s="90" t="s">
        <v>192</v>
      </c>
      <c r="D94" s="6" t="s">
        <v>191</v>
      </c>
      <c r="E94" s="53" t="s">
        <v>193</v>
      </c>
      <c r="F94" s="91">
        <v>15060000</v>
      </c>
      <c r="G94" s="36" t="s">
        <v>121</v>
      </c>
      <c r="H94" s="57">
        <v>44181</v>
      </c>
      <c r="I94" s="28">
        <f t="shared" si="10"/>
        <v>15060000</v>
      </c>
      <c r="J94" s="4"/>
      <c r="K94" s="4"/>
      <c r="L94" s="4"/>
      <c r="M94" s="4"/>
      <c r="N94" s="4">
        <v>15060000</v>
      </c>
      <c r="O94" s="4">
        <f t="shared" si="9"/>
        <v>0</v>
      </c>
      <c r="P94" s="89">
        <v>44203</v>
      </c>
      <c r="Q94" s="5"/>
      <c r="R94" s="5"/>
    </row>
    <row r="95" spans="1:19" hidden="1" x14ac:dyDescent="0.25">
      <c r="A95" s="90">
        <f t="shared" si="8"/>
        <v>83</v>
      </c>
      <c r="B95" s="72">
        <v>44180</v>
      </c>
      <c r="C95" s="2">
        <v>401668</v>
      </c>
      <c r="D95" s="69" t="s">
        <v>122</v>
      </c>
      <c r="E95" s="6" t="s">
        <v>14</v>
      </c>
      <c r="F95" s="12">
        <v>9000000</v>
      </c>
      <c r="G95" s="90"/>
      <c r="H95" s="25"/>
      <c r="I95" s="28">
        <f t="shared" si="10"/>
        <v>9000000</v>
      </c>
      <c r="J95" s="4"/>
      <c r="K95" s="4"/>
      <c r="L95" s="4"/>
      <c r="M95" s="4"/>
      <c r="N95" s="4"/>
      <c r="O95" s="4">
        <f t="shared" si="9"/>
        <v>9000000</v>
      </c>
      <c r="P95" s="5"/>
      <c r="Q95" s="5"/>
      <c r="R95" s="5"/>
    </row>
    <row r="96" spans="1:19" x14ac:dyDescent="0.25">
      <c r="A96" s="90">
        <f t="shared" si="8"/>
        <v>84</v>
      </c>
      <c r="B96" s="24">
        <v>44184</v>
      </c>
      <c r="C96" s="90"/>
      <c r="D96" s="23" t="s">
        <v>215</v>
      </c>
      <c r="E96" s="69" t="s">
        <v>26</v>
      </c>
      <c r="F96" s="26">
        <v>14000000</v>
      </c>
      <c r="G96" s="90" t="s">
        <v>123</v>
      </c>
      <c r="H96" s="24">
        <v>44186</v>
      </c>
      <c r="I96" s="28">
        <f t="shared" si="10"/>
        <v>14000000</v>
      </c>
      <c r="J96" s="4">
        <f>8400000+2000000</f>
        <v>10400000</v>
      </c>
      <c r="K96" s="4"/>
      <c r="L96" s="4"/>
      <c r="M96" s="4"/>
      <c r="N96" s="4"/>
      <c r="O96" s="4">
        <f t="shared" si="9"/>
        <v>3600000</v>
      </c>
      <c r="P96" s="5"/>
      <c r="Q96" s="5"/>
      <c r="R96" s="5"/>
    </row>
    <row r="97" spans="1:18" ht="15.75" hidden="1" x14ac:dyDescent="0.25">
      <c r="A97" s="90">
        <f t="shared" si="8"/>
        <v>85</v>
      </c>
      <c r="B97" s="72">
        <v>44183</v>
      </c>
      <c r="C97" s="58">
        <v>319</v>
      </c>
      <c r="D97" s="6" t="s">
        <v>4</v>
      </c>
      <c r="E97" s="6" t="s">
        <v>195</v>
      </c>
      <c r="F97" s="12">
        <v>3000000</v>
      </c>
      <c r="G97" s="90" t="s">
        <v>194</v>
      </c>
      <c r="H97" s="61">
        <v>44203</v>
      </c>
      <c r="I97" s="28">
        <f t="shared" si="10"/>
        <v>3000000</v>
      </c>
      <c r="J97" s="28"/>
      <c r="K97" s="28"/>
      <c r="L97" s="28"/>
      <c r="M97" s="28"/>
      <c r="N97" s="28">
        <v>3000000</v>
      </c>
      <c r="O97" s="4">
        <f t="shared" si="9"/>
        <v>0</v>
      </c>
      <c r="P97" s="89">
        <v>44344</v>
      </c>
      <c r="Q97" s="5"/>
      <c r="R97" s="5"/>
    </row>
    <row r="98" spans="1:18" hidden="1" x14ac:dyDescent="0.25">
      <c r="A98" s="90">
        <f t="shared" si="8"/>
        <v>86</v>
      </c>
      <c r="B98" s="24">
        <v>44174</v>
      </c>
      <c r="C98" s="2">
        <v>400756</v>
      </c>
      <c r="D98" s="69" t="s">
        <v>196</v>
      </c>
      <c r="E98" s="6" t="s">
        <v>33</v>
      </c>
      <c r="F98" s="26">
        <v>16000000</v>
      </c>
      <c r="G98" s="90" t="s">
        <v>125</v>
      </c>
      <c r="H98" s="24">
        <v>44188</v>
      </c>
      <c r="I98" s="28">
        <f t="shared" si="10"/>
        <v>16000000</v>
      </c>
      <c r="J98" s="4">
        <v>13000000</v>
      </c>
      <c r="K98" s="4"/>
      <c r="L98" s="4"/>
      <c r="M98" s="4"/>
      <c r="N98" s="4">
        <v>3000000</v>
      </c>
      <c r="O98" s="4">
        <f t="shared" si="9"/>
        <v>0</v>
      </c>
      <c r="P98" s="5"/>
      <c r="Q98" s="5"/>
      <c r="R98" s="5"/>
    </row>
    <row r="99" spans="1:18" x14ac:dyDescent="0.25">
      <c r="A99" s="90">
        <f t="shared" si="8"/>
        <v>87</v>
      </c>
      <c r="B99" s="24">
        <v>44184</v>
      </c>
      <c r="C99" s="90"/>
      <c r="D99" s="23" t="s">
        <v>215</v>
      </c>
      <c r="E99" s="6" t="s">
        <v>21</v>
      </c>
      <c r="F99" s="26">
        <v>10000000</v>
      </c>
      <c r="G99" s="90" t="s">
        <v>126</v>
      </c>
      <c r="H99" s="24">
        <v>44186</v>
      </c>
      <c r="I99" s="28">
        <f t="shared" si="10"/>
        <v>10000000</v>
      </c>
      <c r="J99" s="3">
        <v>6000000</v>
      </c>
      <c r="K99" s="3"/>
      <c r="L99" s="3"/>
      <c r="M99" s="3"/>
      <c r="N99" s="3"/>
      <c r="O99" s="4">
        <f t="shared" si="9"/>
        <v>4000000</v>
      </c>
      <c r="P99" s="5"/>
      <c r="Q99" s="5"/>
      <c r="R99" s="5"/>
    </row>
    <row r="100" spans="1:18" hidden="1" x14ac:dyDescent="0.25">
      <c r="A100" s="90">
        <f t="shared" si="8"/>
        <v>88</v>
      </c>
      <c r="B100" s="24">
        <v>44181</v>
      </c>
      <c r="C100" s="90"/>
      <c r="D100" s="6" t="s">
        <v>197</v>
      </c>
      <c r="E100" s="6" t="s">
        <v>136</v>
      </c>
      <c r="F100" s="12">
        <v>58500000</v>
      </c>
      <c r="G100" s="37" t="s">
        <v>127</v>
      </c>
      <c r="H100" s="64">
        <v>44194</v>
      </c>
      <c r="I100" s="28">
        <f t="shared" si="10"/>
        <v>58500000</v>
      </c>
      <c r="J100" s="4">
        <f>27000000+20000000+5000000</f>
        <v>52000000</v>
      </c>
      <c r="K100" s="4"/>
      <c r="L100" s="4"/>
      <c r="M100" s="4"/>
      <c r="N100" s="4"/>
      <c r="O100" s="4">
        <f t="shared" si="9"/>
        <v>6500000</v>
      </c>
      <c r="P100" s="89">
        <v>44244</v>
      </c>
      <c r="Q100" s="5"/>
      <c r="R100" s="5"/>
    </row>
    <row r="101" spans="1:18" ht="15.75" hidden="1" x14ac:dyDescent="0.25">
      <c r="A101" s="90">
        <f t="shared" si="8"/>
        <v>89</v>
      </c>
      <c r="B101" s="24">
        <v>44176</v>
      </c>
      <c r="C101" s="58" t="s">
        <v>199</v>
      </c>
      <c r="D101" s="6" t="s">
        <v>4</v>
      </c>
      <c r="E101" s="6" t="s">
        <v>200</v>
      </c>
      <c r="F101" s="12">
        <v>6800000</v>
      </c>
      <c r="G101" s="90" t="s">
        <v>198</v>
      </c>
      <c r="H101" s="64">
        <v>44210</v>
      </c>
      <c r="I101" s="3">
        <f t="shared" si="10"/>
        <v>6800000</v>
      </c>
      <c r="J101" s="3"/>
      <c r="K101" s="3"/>
      <c r="L101" s="3"/>
      <c r="M101" s="50"/>
      <c r="N101" s="3">
        <v>6800000</v>
      </c>
      <c r="O101" s="4">
        <f t="shared" si="9"/>
        <v>0</v>
      </c>
      <c r="P101" s="89">
        <v>44344</v>
      </c>
      <c r="Q101" s="5"/>
      <c r="R101" s="5"/>
    </row>
    <row r="102" spans="1:18" hidden="1" x14ac:dyDescent="0.25">
      <c r="A102" s="90">
        <f t="shared" si="8"/>
        <v>90</v>
      </c>
      <c r="B102" s="24">
        <v>44175</v>
      </c>
      <c r="C102" s="90"/>
      <c r="D102" s="69" t="s">
        <v>129</v>
      </c>
      <c r="E102" s="69" t="s">
        <v>201</v>
      </c>
      <c r="F102" s="26">
        <v>3000000</v>
      </c>
      <c r="G102" s="2" t="s">
        <v>128</v>
      </c>
      <c r="H102" s="24">
        <v>44194</v>
      </c>
      <c r="I102" s="3">
        <f t="shared" si="10"/>
        <v>3000000</v>
      </c>
      <c r="J102" s="4"/>
      <c r="K102" s="4"/>
      <c r="L102" s="4"/>
      <c r="M102" s="4"/>
      <c r="N102" s="4"/>
      <c r="O102" s="4">
        <f t="shared" si="9"/>
        <v>3000000</v>
      </c>
      <c r="P102" s="5"/>
      <c r="Q102" s="5"/>
      <c r="R102" s="5"/>
    </row>
    <row r="103" spans="1:18" hidden="1" x14ac:dyDescent="0.25">
      <c r="A103" s="90">
        <f t="shared" si="8"/>
        <v>91</v>
      </c>
      <c r="B103" s="24">
        <v>44193</v>
      </c>
      <c r="C103" s="90"/>
      <c r="D103" s="69" t="s">
        <v>172</v>
      </c>
      <c r="E103" s="69" t="s">
        <v>14</v>
      </c>
      <c r="F103" s="26">
        <v>14500000</v>
      </c>
      <c r="G103" s="2" t="s">
        <v>202</v>
      </c>
      <c r="H103" s="24">
        <v>44194</v>
      </c>
      <c r="I103" s="3">
        <f t="shared" si="10"/>
        <v>14500000</v>
      </c>
      <c r="J103" s="3"/>
      <c r="K103" s="3"/>
      <c r="L103" s="3"/>
      <c r="M103" s="3"/>
      <c r="N103" s="3">
        <v>14500000</v>
      </c>
      <c r="O103" s="4">
        <f t="shared" si="9"/>
        <v>0</v>
      </c>
      <c r="P103" s="89">
        <v>44302</v>
      </c>
      <c r="Q103" s="5"/>
      <c r="R103" s="5"/>
    </row>
    <row r="104" spans="1:18" hidden="1" x14ac:dyDescent="0.25">
      <c r="A104" s="90">
        <f t="shared" si="8"/>
        <v>92</v>
      </c>
      <c r="B104" s="25"/>
      <c r="C104" s="90"/>
      <c r="D104" s="69" t="s">
        <v>118</v>
      </c>
      <c r="E104" s="6" t="s">
        <v>33</v>
      </c>
      <c r="F104" s="3">
        <v>3800000</v>
      </c>
      <c r="G104" s="90"/>
      <c r="H104" s="25"/>
      <c r="I104" s="3">
        <f t="shared" si="10"/>
        <v>3800000</v>
      </c>
      <c r="J104" s="4"/>
      <c r="K104" s="4"/>
      <c r="L104" s="4"/>
      <c r="M104" s="4"/>
      <c r="N104" s="4"/>
      <c r="O104" s="4">
        <f t="shared" si="9"/>
        <v>3800000</v>
      </c>
      <c r="P104" s="5"/>
      <c r="Q104" s="5"/>
      <c r="R104" s="5"/>
    </row>
    <row r="105" spans="1:18" x14ac:dyDescent="0.25">
      <c r="A105" s="90">
        <f>A104+1</f>
        <v>93</v>
      </c>
      <c r="B105" s="24">
        <v>44189</v>
      </c>
      <c r="C105" s="90"/>
      <c r="D105" s="23" t="s">
        <v>215</v>
      </c>
      <c r="E105" s="6" t="s">
        <v>23</v>
      </c>
      <c r="F105" s="26">
        <v>9500000</v>
      </c>
      <c r="G105" s="90" t="s">
        <v>203</v>
      </c>
      <c r="H105" s="24">
        <v>44191</v>
      </c>
      <c r="I105" s="3">
        <f t="shared" si="10"/>
        <v>9500000</v>
      </c>
      <c r="J105" s="4">
        <v>5700000</v>
      </c>
      <c r="K105" s="4"/>
      <c r="L105" s="4"/>
      <c r="M105" s="4"/>
      <c r="N105" s="4"/>
      <c r="O105" s="4">
        <f t="shared" si="9"/>
        <v>3800000</v>
      </c>
      <c r="P105" s="5"/>
      <c r="Q105" s="5"/>
      <c r="R105" s="5"/>
    </row>
    <row r="106" spans="1:18" x14ac:dyDescent="0.25">
      <c r="A106" s="90">
        <f t="shared" si="8"/>
        <v>94</v>
      </c>
      <c r="B106" s="24">
        <v>44184</v>
      </c>
      <c r="C106" s="90"/>
      <c r="D106" s="23" t="s">
        <v>215</v>
      </c>
      <c r="E106" s="6" t="s">
        <v>25</v>
      </c>
      <c r="F106" s="26">
        <v>8000000</v>
      </c>
      <c r="G106" s="90" t="s">
        <v>124</v>
      </c>
      <c r="H106" s="24">
        <v>44186</v>
      </c>
      <c r="I106" s="3">
        <f t="shared" si="10"/>
        <v>8000000</v>
      </c>
      <c r="J106" s="4">
        <v>4800000</v>
      </c>
      <c r="K106" s="4"/>
      <c r="L106" s="4"/>
      <c r="M106" s="4"/>
      <c r="N106" s="4"/>
      <c r="O106" s="4">
        <f t="shared" si="9"/>
        <v>3200000</v>
      </c>
      <c r="P106" s="5"/>
      <c r="Q106" s="5"/>
      <c r="R106" s="5"/>
    </row>
    <row r="107" spans="1:18" hidden="1" x14ac:dyDescent="0.25">
      <c r="A107" s="90">
        <f t="shared" si="8"/>
        <v>95</v>
      </c>
      <c r="B107" s="25">
        <v>44183</v>
      </c>
      <c r="C107" s="90"/>
      <c r="D107" s="23" t="s">
        <v>73</v>
      </c>
      <c r="E107" s="6" t="s">
        <v>136</v>
      </c>
      <c r="F107" s="12">
        <v>18777920</v>
      </c>
      <c r="G107" s="90" t="s">
        <v>274</v>
      </c>
      <c r="H107" s="25"/>
      <c r="I107" s="3">
        <f t="shared" si="10"/>
        <v>18777920</v>
      </c>
      <c r="J107" s="4"/>
      <c r="K107" s="4"/>
      <c r="L107" s="4">
        <f>I107*1%</f>
        <v>187779.20000000001</v>
      </c>
      <c r="M107" s="4">
        <f>I107*2%</f>
        <v>375558.40000000002</v>
      </c>
      <c r="N107" s="4">
        <v>18590141</v>
      </c>
      <c r="O107" s="4">
        <f>I107-J107-K107-M107-N107+L107</f>
        <v>-0.19999999849824235</v>
      </c>
      <c r="P107" s="89">
        <v>44265</v>
      </c>
      <c r="Q107" s="5"/>
      <c r="R107" s="5"/>
    </row>
    <row r="108" spans="1:18" hidden="1" x14ac:dyDescent="0.25">
      <c r="A108" s="90">
        <f t="shared" si="8"/>
        <v>96</v>
      </c>
      <c r="B108" s="24">
        <v>44181</v>
      </c>
      <c r="C108" s="90"/>
      <c r="D108" s="53" t="s">
        <v>154</v>
      </c>
      <c r="E108" s="6" t="s">
        <v>136</v>
      </c>
      <c r="F108" s="3">
        <v>403400</v>
      </c>
      <c r="G108" s="90"/>
      <c r="H108" s="25"/>
      <c r="I108" s="3">
        <f t="shared" si="10"/>
        <v>403400</v>
      </c>
      <c r="J108" s="4"/>
      <c r="K108" s="4"/>
      <c r="L108" s="4">
        <f>I108*1%</f>
        <v>4034</v>
      </c>
      <c r="M108" s="4">
        <f>I108*2%</f>
        <v>8068</v>
      </c>
      <c r="N108" s="4"/>
      <c r="O108" s="4">
        <f t="shared" si="9"/>
        <v>399366</v>
      </c>
      <c r="P108" s="5"/>
      <c r="Q108" s="5"/>
      <c r="R108" s="5"/>
    </row>
    <row r="109" spans="1:18" ht="27.75" hidden="1" customHeight="1" x14ac:dyDescent="0.25">
      <c r="A109" s="966" t="s">
        <v>204</v>
      </c>
      <c r="B109" s="967"/>
      <c r="C109" s="967"/>
      <c r="D109" s="967"/>
      <c r="E109" s="967"/>
      <c r="F109" s="967"/>
      <c r="G109" s="967"/>
      <c r="H109" s="967"/>
      <c r="I109" s="967"/>
      <c r="J109" s="967"/>
      <c r="K109" s="967"/>
      <c r="L109" s="967"/>
      <c r="M109" s="967"/>
      <c r="N109" s="968"/>
      <c r="O109" s="51">
        <f>SUM(O86:O108)</f>
        <v>37299365.800000004</v>
      </c>
      <c r="P109" s="48"/>
      <c r="Q109" s="48"/>
      <c r="R109" s="48"/>
    </row>
    <row r="110" spans="1:18" ht="38.25" hidden="1" customHeight="1" x14ac:dyDescent="0.25">
      <c r="A110" s="950" t="s">
        <v>208</v>
      </c>
      <c r="B110" s="951"/>
      <c r="C110" s="951"/>
      <c r="D110" s="951"/>
      <c r="E110" s="951"/>
      <c r="F110" s="951"/>
      <c r="G110" s="951"/>
      <c r="H110" s="951"/>
      <c r="I110" s="951"/>
      <c r="J110" s="951"/>
      <c r="K110" s="951"/>
      <c r="L110" s="951"/>
      <c r="M110" s="952"/>
      <c r="O110" s="765">
        <f>O19+O44+O83+O109</f>
        <v>125945057.59999999</v>
      </c>
    </row>
    <row r="111" spans="1:18" x14ac:dyDescent="0.25">
      <c r="A111" s="40"/>
      <c r="B111" s="41"/>
      <c r="C111" s="7"/>
      <c r="D111" s="7"/>
      <c r="E111" s="7"/>
      <c r="F111" s="42"/>
      <c r="G111" s="7"/>
      <c r="H111" s="7"/>
      <c r="I111"/>
      <c r="J111"/>
      <c r="K111"/>
      <c r="L111"/>
      <c r="M111"/>
      <c r="N111"/>
      <c r="O111"/>
    </row>
    <row r="112" spans="1:18" x14ac:dyDescent="0.25">
      <c r="A112" s="40"/>
      <c r="B112" s="41"/>
      <c r="C112" s="7"/>
      <c r="D112" s="7"/>
      <c r="E112" s="7"/>
      <c r="F112" s="42"/>
      <c r="G112" s="7"/>
      <c r="H112" s="7"/>
      <c r="I112"/>
      <c r="J112"/>
      <c r="K112"/>
      <c r="L112"/>
      <c r="M112"/>
      <c r="N112"/>
      <c r="O112"/>
    </row>
    <row r="113" spans="1:15" x14ac:dyDescent="0.25">
      <c r="A113" s="40"/>
      <c r="B113" s="41"/>
      <c r="C113" s="7"/>
      <c r="D113" s="7"/>
      <c r="E113" s="7"/>
      <c r="F113" s="42"/>
      <c r="G113" s="7"/>
      <c r="H113" s="7"/>
      <c r="I113"/>
      <c r="J113"/>
      <c r="K113"/>
      <c r="L113"/>
      <c r="M113"/>
      <c r="N113"/>
      <c r="O113"/>
    </row>
    <row r="114" spans="1:15" x14ac:dyDescent="0.25">
      <c r="A114" s="40"/>
      <c r="B114" s="41"/>
      <c r="C114" s="7"/>
      <c r="D114" s="7"/>
      <c r="E114" s="7"/>
      <c r="F114" s="42"/>
      <c r="G114" s="7"/>
      <c r="H114" s="7"/>
      <c r="I114"/>
      <c r="J114"/>
      <c r="K114"/>
      <c r="L114"/>
      <c r="M114"/>
      <c r="N114"/>
      <c r="O114" s="16">
        <f>O110+'[1]PiuGlobal 9101112'!$P$40</f>
        <v>445247962.60000002</v>
      </c>
    </row>
    <row r="115" spans="1:15" x14ac:dyDescent="0.25">
      <c r="A115" s="40"/>
      <c r="B115" s="41"/>
      <c r="C115" s="7"/>
      <c r="D115" s="7"/>
      <c r="E115" s="7"/>
      <c r="F115" s="42"/>
      <c r="G115" s="7"/>
      <c r="H115" s="7"/>
      <c r="I115"/>
      <c r="J115"/>
      <c r="K115"/>
      <c r="L115"/>
      <c r="M115"/>
      <c r="N115"/>
      <c r="O115"/>
    </row>
    <row r="116" spans="1:15" x14ac:dyDescent="0.25">
      <c r="A116" s="40"/>
      <c r="B116" s="41"/>
      <c r="C116" s="7"/>
      <c r="D116" s="7"/>
      <c r="E116" s="7"/>
      <c r="F116" s="42"/>
      <c r="G116" s="7"/>
      <c r="H116" s="7"/>
      <c r="I116"/>
      <c r="J116"/>
      <c r="K116"/>
      <c r="L116"/>
      <c r="M116"/>
      <c r="N116"/>
      <c r="O116"/>
    </row>
    <row r="117" spans="1:15" x14ac:dyDescent="0.25">
      <c r="A117" s="40"/>
      <c r="B117" s="41"/>
      <c r="C117" s="7"/>
      <c r="D117" s="7"/>
      <c r="E117" s="7"/>
      <c r="F117" s="42"/>
      <c r="G117" s="7"/>
      <c r="H117" s="7"/>
      <c r="I117"/>
      <c r="J117"/>
      <c r="K117"/>
      <c r="L117"/>
      <c r="M117"/>
      <c r="N117"/>
      <c r="O117"/>
    </row>
    <row r="118" spans="1:15" x14ac:dyDescent="0.25">
      <c r="A118" s="40"/>
      <c r="B118" s="41"/>
      <c r="C118" s="7"/>
      <c r="D118" s="7"/>
      <c r="E118" s="7"/>
      <c r="F118" s="42"/>
      <c r="G118" s="7"/>
      <c r="H118" s="7"/>
      <c r="I118"/>
      <c r="J118"/>
      <c r="K118"/>
      <c r="L118"/>
      <c r="M118"/>
      <c r="N118"/>
      <c r="O118"/>
    </row>
    <row r="119" spans="1:15" x14ac:dyDescent="0.25">
      <c r="A119" s="40"/>
      <c r="B119" s="41"/>
      <c r="C119" s="7"/>
      <c r="D119" s="7"/>
      <c r="E119" s="7"/>
      <c r="F119" s="42"/>
      <c r="G119" s="7"/>
      <c r="H119" s="7"/>
      <c r="I119"/>
      <c r="J119"/>
      <c r="K119"/>
      <c r="L119"/>
      <c r="M119"/>
      <c r="N119"/>
      <c r="O119"/>
    </row>
    <row r="120" spans="1:15" x14ac:dyDescent="0.25">
      <c r="A120" s="40"/>
      <c r="B120" s="41"/>
      <c r="C120" s="7"/>
      <c r="D120" s="7"/>
      <c r="E120" s="7"/>
      <c r="F120" s="42"/>
      <c r="G120" s="7"/>
      <c r="H120" s="7"/>
      <c r="I120"/>
      <c r="J120"/>
      <c r="K120"/>
      <c r="L120"/>
      <c r="M120"/>
      <c r="N120"/>
      <c r="O120"/>
    </row>
    <row r="121" spans="1:15" x14ac:dyDescent="0.25">
      <c r="A121" s="40"/>
      <c r="B121" s="41"/>
      <c r="C121" s="7"/>
      <c r="D121" s="7"/>
      <c r="E121" s="7"/>
      <c r="F121" s="42"/>
      <c r="G121" s="7"/>
      <c r="H121" s="7"/>
      <c r="I121"/>
      <c r="J121"/>
      <c r="K121"/>
      <c r="L121"/>
      <c r="M121"/>
      <c r="N121"/>
      <c r="O121"/>
    </row>
    <row r="122" spans="1:15" x14ac:dyDescent="0.25">
      <c r="A122" s="40"/>
      <c r="B122" s="41"/>
      <c r="C122" s="7"/>
      <c r="D122" s="7"/>
      <c r="E122" s="7"/>
      <c r="F122" s="42"/>
      <c r="G122" s="7"/>
      <c r="H122" s="7"/>
      <c r="I122"/>
      <c r="J122"/>
      <c r="K122"/>
      <c r="L122"/>
      <c r="M122"/>
      <c r="N122"/>
      <c r="O122"/>
    </row>
    <row r="123" spans="1:15" x14ac:dyDescent="0.25">
      <c r="A123" s="40"/>
      <c r="B123" s="41"/>
      <c r="C123" s="7"/>
      <c r="D123" s="7"/>
      <c r="E123" s="7"/>
      <c r="F123" s="42"/>
      <c r="G123" s="7"/>
      <c r="H123" s="7"/>
      <c r="I123"/>
      <c r="J123"/>
      <c r="K123"/>
      <c r="L123"/>
      <c r="M123"/>
      <c r="N123"/>
      <c r="O123"/>
    </row>
    <row r="124" spans="1:15" x14ac:dyDescent="0.25">
      <c r="A124" s="40"/>
      <c r="B124" s="41"/>
      <c r="C124" s="7"/>
      <c r="D124" s="7"/>
      <c r="E124" s="7"/>
      <c r="F124" s="42"/>
      <c r="G124" s="7"/>
      <c r="H124" s="7"/>
      <c r="I124"/>
      <c r="J124"/>
      <c r="K124"/>
      <c r="L124"/>
      <c r="M124"/>
      <c r="N124"/>
      <c r="O124"/>
    </row>
    <row r="125" spans="1:15" x14ac:dyDescent="0.25">
      <c r="A125" s="40"/>
      <c r="B125" s="41"/>
      <c r="C125" s="7"/>
      <c r="D125" s="7"/>
      <c r="E125" s="7"/>
      <c r="F125" s="42"/>
      <c r="G125" s="7"/>
      <c r="H125" s="7"/>
      <c r="I125"/>
      <c r="J125"/>
      <c r="K125"/>
      <c r="L125"/>
      <c r="M125"/>
      <c r="N125"/>
      <c r="O125"/>
    </row>
    <row r="126" spans="1:15" x14ac:dyDescent="0.25">
      <c r="A126" s="40"/>
      <c r="B126" s="41"/>
      <c r="C126" s="7"/>
      <c r="D126" s="7"/>
      <c r="E126" s="7"/>
      <c r="F126" s="42"/>
      <c r="G126" s="7"/>
      <c r="H126" s="7"/>
      <c r="I126"/>
      <c r="J126"/>
      <c r="K126"/>
      <c r="L126"/>
      <c r="M126"/>
      <c r="N126"/>
      <c r="O126"/>
    </row>
    <row r="127" spans="1:15" x14ac:dyDescent="0.25">
      <c r="A127" s="40"/>
      <c r="B127" s="41"/>
      <c r="C127" s="7"/>
      <c r="D127" s="7"/>
      <c r="E127" s="7"/>
      <c r="F127" s="42"/>
      <c r="G127" s="7"/>
      <c r="H127" s="7"/>
      <c r="I127"/>
      <c r="J127"/>
      <c r="K127"/>
      <c r="L127"/>
      <c r="M127"/>
      <c r="N127"/>
      <c r="O127"/>
    </row>
    <row r="128" spans="1:15" x14ac:dyDescent="0.25">
      <c r="A128" s="40"/>
      <c r="B128" s="41"/>
      <c r="C128" s="7"/>
      <c r="D128" s="7"/>
      <c r="E128" s="7"/>
      <c r="F128" s="42"/>
      <c r="G128" s="7"/>
      <c r="H128" s="7"/>
      <c r="I128"/>
      <c r="J128"/>
      <c r="K128"/>
      <c r="L128"/>
      <c r="M128"/>
      <c r="N128"/>
      <c r="O128"/>
    </row>
    <row r="129" spans="1:15" x14ac:dyDescent="0.25">
      <c r="A129" s="40"/>
      <c r="B129" s="41"/>
      <c r="C129" s="7"/>
      <c r="D129" s="7"/>
      <c r="E129" s="7"/>
      <c r="F129" s="42"/>
      <c r="G129" s="7"/>
      <c r="H129" s="7"/>
      <c r="I129"/>
      <c r="J129"/>
      <c r="K129"/>
      <c r="L129"/>
      <c r="M129"/>
      <c r="N129"/>
      <c r="O129"/>
    </row>
    <row r="130" spans="1:15" x14ac:dyDescent="0.25">
      <c r="A130" s="40"/>
      <c r="B130" s="41"/>
      <c r="C130" s="7"/>
      <c r="D130" s="7"/>
      <c r="E130" s="7"/>
      <c r="F130" s="42"/>
      <c r="G130" s="7"/>
      <c r="H130" s="7"/>
      <c r="I130"/>
      <c r="J130"/>
      <c r="K130"/>
      <c r="L130"/>
      <c r="M130"/>
      <c r="N130"/>
      <c r="O130"/>
    </row>
    <row r="131" spans="1:15" x14ac:dyDescent="0.25">
      <c r="A131" s="40"/>
      <c r="B131" s="41"/>
      <c r="C131" s="7"/>
      <c r="D131" s="7"/>
      <c r="E131" s="7"/>
      <c r="F131" s="42"/>
      <c r="G131" s="7"/>
      <c r="H131" s="7"/>
      <c r="I131"/>
      <c r="J131"/>
      <c r="K131"/>
      <c r="L131"/>
      <c r="M131"/>
      <c r="N131"/>
      <c r="O131"/>
    </row>
    <row r="132" spans="1:15" x14ac:dyDescent="0.25">
      <c r="A132" s="40"/>
      <c r="B132" s="41"/>
      <c r="C132" s="7"/>
      <c r="D132" s="7"/>
      <c r="E132" s="7"/>
      <c r="F132" s="42"/>
      <c r="G132" s="7"/>
      <c r="H132" s="7"/>
      <c r="I132"/>
      <c r="J132"/>
      <c r="K132"/>
      <c r="L132"/>
      <c r="M132"/>
      <c r="N132"/>
      <c r="O132"/>
    </row>
    <row r="133" spans="1:15" x14ac:dyDescent="0.25">
      <c r="A133" s="40"/>
      <c r="B133" s="41"/>
      <c r="C133" s="7"/>
      <c r="D133" s="7"/>
      <c r="E133" s="7"/>
      <c r="F133" s="42"/>
      <c r="G133" s="7"/>
      <c r="H133" s="7"/>
      <c r="I133"/>
      <c r="J133"/>
      <c r="K133"/>
      <c r="L133"/>
      <c r="M133"/>
      <c r="N133"/>
      <c r="O133"/>
    </row>
    <row r="134" spans="1:15" x14ac:dyDescent="0.25">
      <c r="A134" s="40"/>
      <c r="B134" s="41"/>
      <c r="C134" s="7"/>
      <c r="D134" s="7"/>
      <c r="E134" s="7"/>
      <c r="F134" s="42"/>
      <c r="G134" s="7"/>
      <c r="H134" s="7"/>
      <c r="I134"/>
      <c r="J134"/>
      <c r="K134"/>
      <c r="L134"/>
      <c r="M134"/>
      <c r="N134"/>
      <c r="O134"/>
    </row>
    <row r="135" spans="1:15" x14ac:dyDescent="0.25">
      <c r="A135" s="40"/>
      <c r="B135" s="41"/>
      <c r="C135" s="7"/>
      <c r="D135" s="7"/>
      <c r="E135" s="7"/>
      <c r="F135" s="42"/>
      <c r="G135" s="7"/>
      <c r="H135" s="7"/>
      <c r="I135"/>
      <c r="J135"/>
      <c r="K135"/>
      <c r="L135"/>
      <c r="M135"/>
      <c r="N135"/>
      <c r="O135"/>
    </row>
    <row r="136" spans="1:15" x14ac:dyDescent="0.25">
      <c r="A136" s="40"/>
      <c r="B136" s="41"/>
      <c r="C136" s="7"/>
      <c r="D136" s="7"/>
      <c r="E136" s="7"/>
      <c r="F136" s="42"/>
      <c r="G136" s="7"/>
      <c r="H136" s="7"/>
      <c r="I136"/>
      <c r="J136"/>
      <c r="K136"/>
      <c r="L136"/>
      <c r="M136"/>
      <c r="N136"/>
      <c r="O136"/>
    </row>
    <row r="137" spans="1:15" x14ac:dyDescent="0.25">
      <c r="A137" s="40"/>
      <c r="B137" s="41"/>
      <c r="C137" s="7"/>
      <c r="D137" s="7"/>
      <c r="E137" s="7"/>
      <c r="F137" s="42"/>
      <c r="G137" s="7"/>
      <c r="H137" s="7"/>
      <c r="I137"/>
      <c r="J137"/>
      <c r="K137"/>
      <c r="L137"/>
      <c r="M137"/>
      <c r="N137"/>
      <c r="O137"/>
    </row>
    <row r="138" spans="1:15" x14ac:dyDescent="0.25">
      <c r="A138" s="40"/>
      <c r="B138" s="41"/>
      <c r="C138" s="7"/>
      <c r="D138" s="7"/>
      <c r="E138" s="7"/>
      <c r="F138" s="42"/>
      <c r="G138" s="7"/>
      <c r="H138" s="7"/>
      <c r="I138"/>
      <c r="J138"/>
      <c r="K138"/>
      <c r="L138"/>
      <c r="M138"/>
      <c r="N138"/>
      <c r="O138"/>
    </row>
    <row r="139" spans="1:15" x14ac:dyDescent="0.25">
      <c r="A139" s="40"/>
      <c r="B139" s="41"/>
      <c r="C139" s="7"/>
      <c r="D139" s="7"/>
      <c r="E139" s="7"/>
      <c r="F139" s="42"/>
      <c r="G139" s="7"/>
      <c r="H139" s="7"/>
      <c r="I139"/>
      <c r="J139"/>
      <c r="K139"/>
      <c r="L139"/>
      <c r="M139"/>
      <c r="N139"/>
      <c r="O139"/>
    </row>
    <row r="140" spans="1:15" x14ac:dyDescent="0.25">
      <c r="A140" s="40"/>
      <c r="B140" s="41"/>
      <c r="C140" s="7"/>
      <c r="D140" s="7"/>
      <c r="E140" s="7"/>
      <c r="F140" s="42"/>
      <c r="G140" s="7"/>
      <c r="H140" s="7"/>
      <c r="I140"/>
      <c r="J140"/>
      <c r="K140"/>
      <c r="L140"/>
      <c r="M140"/>
      <c r="N140"/>
      <c r="O140"/>
    </row>
    <row r="141" spans="1:15" x14ac:dyDescent="0.25">
      <c r="A141" s="40"/>
      <c r="B141" s="41"/>
      <c r="C141" s="7"/>
      <c r="D141" s="7"/>
      <c r="E141" s="7"/>
      <c r="F141" s="42"/>
      <c r="G141" s="7"/>
      <c r="H141" s="7"/>
      <c r="I141"/>
      <c r="J141"/>
      <c r="K141"/>
      <c r="L141"/>
      <c r="M141"/>
      <c r="N141"/>
      <c r="O141"/>
    </row>
    <row r="142" spans="1:15" x14ac:dyDescent="0.25">
      <c r="A142" s="40"/>
      <c r="B142" s="41"/>
      <c r="C142" s="7"/>
      <c r="D142" s="7"/>
      <c r="E142" s="7"/>
      <c r="F142" s="42"/>
      <c r="G142" s="7"/>
      <c r="H142" s="7"/>
      <c r="I142"/>
      <c r="J142"/>
      <c r="K142"/>
      <c r="L142"/>
      <c r="M142"/>
      <c r="N142"/>
      <c r="O142"/>
    </row>
    <row r="143" spans="1:15" x14ac:dyDescent="0.25">
      <c r="A143" s="40"/>
      <c r="B143" s="41"/>
      <c r="C143" s="7"/>
      <c r="D143" s="7"/>
      <c r="E143" s="7"/>
      <c r="F143" s="42"/>
      <c r="G143" s="7"/>
      <c r="H143" s="7"/>
      <c r="I143"/>
      <c r="J143"/>
      <c r="K143"/>
      <c r="L143"/>
      <c r="M143"/>
      <c r="N143"/>
      <c r="O143"/>
    </row>
    <row r="144" spans="1:15" x14ac:dyDescent="0.25">
      <c r="A144" s="40"/>
      <c r="B144" s="41"/>
      <c r="C144" s="7"/>
      <c r="D144" s="7"/>
      <c r="E144" s="7"/>
      <c r="F144" s="42"/>
      <c r="G144" s="7"/>
      <c r="H144" s="7"/>
      <c r="I144"/>
      <c r="J144"/>
      <c r="K144"/>
      <c r="L144"/>
      <c r="M144"/>
      <c r="N144"/>
      <c r="O144"/>
    </row>
    <row r="145" spans="1:15" x14ac:dyDescent="0.25">
      <c r="A145" s="40"/>
      <c r="B145" s="41"/>
      <c r="C145" s="7"/>
      <c r="D145" s="7"/>
      <c r="E145" s="7"/>
      <c r="F145" s="42"/>
      <c r="G145" s="7"/>
      <c r="H145" s="7"/>
      <c r="I145"/>
      <c r="J145"/>
      <c r="K145"/>
      <c r="L145"/>
      <c r="M145"/>
      <c r="N145"/>
      <c r="O145"/>
    </row>
    <row r="146" spans="1:15" x14ac:dyDescent="0.25">
      <c r="A146" s="40"/>
      <c r="B146" s="41"/>
      <c r="C146" s="7"/>
      <c r="D146" s="7"/>
      <c r="E146" s="7"/>
      <c r="F146" s="42"/>
      <c r="G146" s="7"/>
      <c r="H146" s="7"/>
      <c r="I146"/>
      <c r="J146"/>
      <c r="K146"/>
      <c r="L146"/>
      <c r="M146"/>
      <c r="N146"/>
      <c r="O146"/>
    </row>
    <row r="147" spans="1:15" x14ac:dyDescent="0.25">
      <c r="A147" s="40"/>
      <c r="B147" s="41"/>
      <c r="C147" s="7"/>
      <c r="D147" s="7"/>
      <c r="E147" s="7"/>
      <c r="F147" s="42"/>
      <c r="G147" s="7"/>
      <c r="H147" s="7"/>
      <c r="I147"/>
      <c r="J147"/>
      <c r="K147"/>
      <c r="L147"/>
      <c r="M147"/>
      <c r="N147"/>
      <c r="O147"/>
    </row>
    <row r="148" spans="1:15" x14ac:dyDescent="0.25">
      <c r="A148" s="40"/>
      <c r="B148" s="41"/>
      <c r="C148" s="7"/>
      <c r="D148" s="7"/>
      <c r="E148" s="7"/>
      <c r="F148" s="42"/>
      <c r="G148" s="7"/>
      <c r="H148" s="7"/>
      <c r="I148"/>
      <c r="J148"/>
      <c r="K148"/>
      <c r="L148"/>
      <c r="M148"/>
      <c r="N148"/>
      <c r="O148"/>
    </row>
    <row r="149" spans="1:15" x14ac:dyDescent="0.25">
      <c r="A149" s="40"/>
      <c r="B149" s="41"/>
      <c r="C149" s="7"/>
      <c r="D149" s="7"/>
      <c r="E149" s="7"/>
      <c r="F149" s="42"/>
      <c r="G149" s="7"/>
      <c r="H149" s="7"/>
      <c r="I149"/>
      <c r="J149"/>
      <c r="K149"/>
      <c r="L149"/>
      <c r="M149"/>
      <c r="N149"/>
      <c r="O149"/>
    </row>
    <row r="150" spans="1:15" x14ac:dyDescent="0.25">
      <c r="A150" s="40"/>
      <c r="B150" s="41"/>
      <c r="C150" s="7"/>
      <c r="D150" s="7"/>
      <c r="E150" s="7"/>
      <c r="F150" s="42"/>
      <c r="G150" s="7"/>
      <c r="H150" s="7"/>
      <c r="I150"/>
      <c r="J150"/>
      <c r="K150"/>
      <c r="L150"/>
      <c r="M150"/>
      <c r="N150"/>
      <c r="O150"/>
    </row>
    <row r="151" spans="1:15" x14ac:dyDescent="0.25">
      <c r="A151" s="40"/>
      <c r="B151" s="41"/>
      <c r="C151" s="7"/>
      <c r="D151" s="7"/>
      <c r="E151" s="7"/>
      <c r="F151" s="42"/>
      <c r="G151" s="7"/>
      <c r="H151" s="7"/>
      <c r="I151"/>
      <c r="J151"/>
      <c r="K151"/>
      <c r="L151"/>
      <c r="M151"/>
      <c r="N151"/>
      <c r="O151"/>
    </row>
    <row r="152" spans="1:15" x14ac:dyDescent="0.25">
      <c r="A152" s="40"/>
      <c r="B152" s="41"/>
      <c r="C152" s="7"/>
      <c r="D152" s="7"/>
      <c r="E152" s="7"/>
      <c r="F152" s="42"/>
      <c r="G152" s="7"/>
      <c r="H152" s="7"/>
      <c r="I152"/>
      <c r="J152"/>
      <c r="K152"/>
      <c r="L152"/>
      <c r="M152"/>
      <c r="N152"/>
      <c r="O152"/>
    </row>
    <row r="153" spans="1:15" x14ac:dyDescent="0.25">
      <c r="A153" s="40"/>
      <c r="B153" s="41"/>
      <c r="C153" s="7"/>
      <c r="D153" s="7"/>
      <c r="E153" s="7"/>
      <c r="F153" s="42"/>
      <c r="G153" s="7"/>
      <c r="H153" s="7"/>
      <c r="I153"/>
      <c r="J153"/>
      <c r="K153"/>
      <c r="L153"/>
      <c r="M153"/>
      <c r="N153"/>
      <c r="O153"/>
    </row>
    <row r="154" spans="1:15" x14ac:dyDescent="0.25">
      <c r="A154" s="40"/>
      <c r="B154" s="41"/>
      <c r="C154" s="7"/>
      <c r="D154" s="7"/>
      <c r="E154" s="7"/>
      <c r="F154" s="42"/>
      <c r="G154" s="7"/>
      <c r="H154" s="7"/>
      <c r="I154"/>
      <c r="J154"/>
      <c r="K154"/>
      <c r="L154"/>
      <c r="M154"/>
      <c r="N154"/>
      <c r="O154"/>
    </row>
    <row r="155" spans="1:15" x14ac:dyDescent="0.25">
      <c r="A155" s="40"/>
      <c r="B155" s="41"/>
      <c r="C155" s="7"/>
      <c r="D155" s="7"/>
      <c r="E155" s="7"/>
      <c r="F155" s="42"/>
      <c r="G155" s="7"/>
      <c r="H155" s="7"/>
      <c r="I155"/>
      <c r="J155"/>
      <c r="K155"/>
      <c r="L155"/>
      <c r="M155"/>
      <c r="N155"/>
      <c r="O155"/>
    </row>
    <row r="156" spans="1:15" x14ac:dyDescent="0.25">
      <c r="A156" s="40"/>
      <c r="B156" s="41"/>
      <c r="C156" s="7"/>
      <c r="D156" s="7"/>
      <c r="E156" s="7"/>
      <c r="F156" s="42"/>
      <c r="G156" s="7"/>
      <c r="H156" s="7"/>
      <c r="I156"/>
      <c r="J156"/>
      <c r="K156"/>
      <c r="L156"/>
      <c r="M156"/>
      <c r="N156"/>
      <c r="O156"/>
    </row>
    <row r="157" spans="1:15" x14ac:dyDescent="0.25">
      <c r="A157" s="40"/>
      <c r="B157" s="41"/>
      <c r="C157" s="7"/>
      <c r="D157" s="7"/>
      <c r="E157" s="7"/>
      <c r="F157" s="42"/>
      <c r="G157" s="7"/>
      <c r="H157" s="7"/>
      <c r="I157"/>
      <c r="J157"/>
      <c r="K157"/>
      <c r="L157"/>
      <c r="M157"/>
      <c r="N157"/>
      <c r="O157"/>
    </row>
    <row r="158" spans="1:15" x14ac:dyDescent="0.25">
      <c r="A158" s="40"/>
      <c r="B158" s="41"/>
      <c r="C158" s="7"/>
      <c r="D158" s="7"/>
      <c r="E158" s="7"/>
      <c r="F158" s="42"/>
      <c r="G158" s="7"/>
      <c r="H158" s="7"/>
      <c r="I158"/>
      <c r="J158"/>
      <c r="K158"/>
      <c r="L158"/>
      <c r="M158"/>
      <c r="N158"/>
      <c r="O158"/>
    </row>
    <row r="159" spans="1:15" x14ac:dyDescent="0.25">
      <c r="A159" s="40"/>
      <c r="B159" s="41"/>
      <c r="C159" s="7"/>
      <c r="D159" s="7"/>
      <c r="E159" s="7"/>
      <c r="F159" s="42"/>
      <c r="G159" s="7"/>
      <c r="H159" s="7"/>
      <c r="I159"/>
      <c r="J159"/>
      <c r="K159"/>
      <c r="L159"/>
      <c r="M159"/>
      <c r="N159"/>
      <c r="O159"/>
    </row>
    <row r="160" spans="1:15" x14ac:dyDescent="0.25">
      <c r="A160" s="40"/>
      <c r="B160" s="41"/>
      <c r="C160" s="7"/>
      <c r="D160" s="7"/>
      <c r="E160" s="7"/>
      <c r="F160" s="42"/>
      <c r="G160" s="7"/>
      <c r="H160" s="7"/>
      <c r="I160"/>
      <c r="J160"/>
      <c r="K160"/>
      <c r="L160"/>
      <c r="M160"/>
      <c r="N160"/>
      <c r="O160"/>
    </row>
    <row r="161" spans="1:15" x14ac:dyDescent="0.25">
      <c r="A161" s="40"/>
      <c r="B161" s="41"/>
      <c r="C161" s="7"/>
      <c r="D161" s="7"/>
      <c r="E161" s="7"/>
      <c r="F161" s="42"/>
      <c r="G161" s="7"/>
      <c r="H161" s="7"/>
      <c r="I161"/>
      <c r="J161"/>
      <c r="K161"/>
      <c r="L161"/>
      <c r="M161"/>
      <c r="N161"/>
      <c r="O161"/>
    </row>
    <row r="162" spans="1:15" x14ac:dyDescent="0.25">
      <c r="A162" s="40"/>
      <c r="B162" s="41"/>
      <c r="C162" s="7"/>
      <c r="D162" s="7"/>
      <c r="E162" s="7"/>
      <c r="F162" s="42"/>
      <c r="G162" s="7"/>
      <c r="H162" s="7"/>
      <c r="I162"/>
      <c r="J162"/>
      <c r="K162"/>
      <c r="L162"/>
      <c r="M162"/>
      <c r="N162"/>
      <c r="O162"/>
    </row>
    <row r="163" spans="1:15" x14ac:dyDescent="0.25">
      <c r="A163" s="40"/>
      <c r="B163" s="41"/>
      <c r="C163" s="7"/>
      <c r="D163" s="7"/>
      <c r="E163" s="7"/>
      <c r="F163" s="42"/>
      <c r="G163" s="7"/>
      <c r="H163" s="7"/>
      <c r="I163"/>
      <c r="J163"/>
      <c r="K163"/>
      <c r="L163"/>
      <c r="M163"/>
      <c r="N163"/>
      <c r="O163"/>
    </row>
    <row r="164" spans="1:15" x14ac:dyDescent="0.25">
      <c r="A164" s="40"/>
      <c r="B164" s="41"/>
      <c r="C164" s="7"/>
      <c r="D164" s="7"/>
      <c r="E164" s="7"/>
      <c r="F164" s="42"/>
      <c r="G164" s="7"/>
      <c r="H164" s="7"/>
      <c r="I164"/>
      <c r="J164"/>
      <c r="K164"/>
      <c r="L164"/>
      <c r="M164"/>
      <c r="N164"/>
      <c r="O164"/>
    </row>
    <row r="165" spans="1:15" x14ac:dyDescent="0.25">
      <c r="A165" s="40"/>
      <c r="B165" s="41"/>
      <c r="C165" s="7"/>
      <c r="D165" s="7"/>
      <c r="E165" s="7"/>
      <c r="F165" s="42"/>
      <c r="G165" s="7"/>
      <c r="H165" s="7"/>
      <c r="I165"/>
      <c r="J165"/>
      <c r="K165"/>
      <c r="L165"/>
      <c r="M165"/>
      <c r="N165"/>
      <c r="O165"/>
    </row>
    <row r="166" spans="1:15" x14ac:dyDescent="0.25">
      <c r="A166" s="40"/>
      <c r="B166" s="41"/>
      <c r="C166" s="7"/>
      <c r="D166" s="7"/>
      <c r="E166" s="7"/>
      <c r="F166" s="42"/>
      <c r="G166" s="7"/>
      <c r="H166" s="7"/>
      <c r="I166"/>
      <c r="J166"/>
      <c r="K166"/>
      <c r="L166"/>
      <c r="M166"/>
      <c r="N166"/>
      <c r="O166"/>
    </row>
    <row r="167" spans="1:15" x14ac:dyDescent="0.25">
      <c r="A167" s="40"/>
      <c r="B167" s="41"/>
      <c r="C167" s="7"/>
      <c r="D167" s="7"/>
      <c r="E167" s="7"/>
      <c r="F167" s="42"/>
      <c r="G167" s="7"/>
      <c r="H167" s="7"/>
      <c r="I167"/>
      <c r="J167"/>
      <c r="K167"/>
      <c r="L167"/>
      <c r="M167"/>
      <c r="N167"/>
      <c r="O167"/>
    </row>
    <row r="168" spans="1:15" x14ac:dyDescent="0.25">
      <c r="A168" s="40"/>
      <c r="B168" s="41"/>
      <c r="C168" s="7"/>
      <c r="D168" s="7"/>
      <c r="E168" s="7"/>
      <c r="F168" s="42"/>
      <c r="G168" s="7"/>
      <c r="H168" s="7"/>
      <c r="I168"/>
      <c r="J168"/>
      <c r="K168"/>
      <c r="L168"/>
      <c r="M168"/>
      <c r="N168"/>
      <c r="O168"/>
    </row>
    <row r="169" spans="1:15" x14ac:dyDescent="0.25">
      <c r="A169" s="40"/>
      <c r="B169" s="41"/>
      <c r="C169" s="7"/>
      <c r="D169" s="7"/>
      <c r="E169" s="7"/>
      <c r="F169" s="42"/>
      <c r="G169" s="7"/>
      <c r="H169" s="7"/>
      <c r="I169"/>
      <c r="J169"/>
      <c r="K169"/>
      <c r="L169"/>
      <c r="M169"/>
      <c r="N169"/>
      <c r="O169"/>
    </row>
    <row r="170" spans="1:15" x14ac:dyDescent="0.25">
      <c r="A170" s="40"/>
      <c r="B170" s="41"/>
      <c r="C170" s="7"/>
      <c r="D170" s="7"/>
      <c r="E170" s="7"/>
      <c r="F170" s="42"/>
      <c r="G170" s="7"/>
      <c r="H170" s="7"/>
      <c r="I170"/>
      <c r="J170"/>
      <c r="K170"/>
      <c r="L170"/>
      <c r="M170"/>
      <c r="N170"/>
      <c r="O170"/>
    </row>
    <row r="171" spans="1:15" x14ac:dyDescent="0.25">
      <c r="A171" s="40"/>
      <c r="B171" s="41"/>
      <c r="C171" s="7"/>
      <c r="D171" s="7"/>
      <c r="E171" s="7"/>
      <c r="F171" s="42"/>
      <c r="G171" s="7"/>
      <c r="H171" s="7"/>
      <c r="I171"/>
      <c r="J171"/>
      <c r="K171"/>
      <c r="L171"/>
      <c r="M171"/>
      <c r="N171"/>
      <c r="O171"/>
    </row>
    <row r="172" spans="1:15" x14ac:dyDescent="0.25">
      <c r="A172" s="40"/>
      <c r="B172" s="41"/>
      <c r="C172" s="7"/>
      <c r="D172" s="7"/>
      <c r="E172" s="7"/>
      <c r="F172" s="42"/>
      <c r="G172" s="7"/>
      <c r="H172" s="7"/>
      <c r="I172"/>
      <c r="J172"/>
      <c r="K172"/>
      <c r="L172"/>
      <c r="M172"/>
      <c r="N172"/>
      <c r="O172"/>
    </row>
    <row r="173" spans="1:15" x14ac:dyDescent="0.25">
      <c r="A173" s="40"/>
      <c r="B173" s="41"/>
      <c r="C173" s="7"/>
      <c r="D173" s="7"/>
      <c r="E173" s="7"/>
      <c r="F173" s="42"/>
      <c r="G173" s="7"/>
      <c r="H173" s="7"/>
      <c r="I173"/>
      <c r="J173"/>
      <c r="K173"/>
      <c r="L173"/>
      <c r="M173"/>
      <c r="N173"/>
      <c r="O173"/>
    </row>
    <row r="174" spans="1:15" x14ac:dyDescent="0.25">
      <c r="A174" s="40"/>
      <c r="B174" s="41"/>
      <c r="C174" s="7"/>
      <c r="D174" s="7"/>
      <c r="E174" s="7"/>
      <c r="F174" s="42"/>
      <c r="G174" s="7"/>
      <c r="H174" s="7"/>
      <c r="I174"/>
      <c r="J174"/>
      <c r="K174"/>
      <c r="L174"/>
      <c r="M174"/>
      <c r="N174"/>
      <c r="O174"/>
    </row>
    <row r="175" spans="1:15" x14ac:dyDescent="0.25">
      <c r="A175" s="40"/>
      <c r="B175" s="41"/>
      <c r="C175" s="7"/>
      <c r="D175" s="7"/>
      <c r="E175" s="7"/>
      <c r="F175" s="42"/>
      <c r="G175" s="7"/>
      <c r="H175" s="7"/>
      <c r="I175"/>
      <c r="J175"/>
      <c r="K175"/>
      <c r="L175"/>
      <c r="M175"/>
      <c r="N175"/>
      <c r="O175"/>
    </row>
    <row r="176" spans="1:15" x14ac:dyDescent="0.25">
      <c r="A176" s="40"/>
      <c r="B176" s="41"/>
      <c r="C176" s="7"/>
      <c r="D176" s="7"/>
      <c r="E176" s="7"/>
      <c r="F176" s="42"/>
      <c r="G176" s="7"/>
      <c r="H176" s="7"/>
      <c r="I176"/>
      <c r="J176"/>
      <c r="K176"/>
      <c r="L176"/>
      <c r="M176"/>
      <c r="N176"/>
      <c r="O176"/>
    </row>
    <row r="177" spans="1:15" x14ac:dyDescent="0.25">
      <c r="A177" s="40"/>
      <c r="B177" s="41"/>
      <c r="C177" s="7"/>
      <c r="D177" s="7"/>
      <c r="E177" s="7"/>
      <c r="F177" s="42"/>
      <c r="G177" s="7"/>
      <c r="H177" s="7"/>
      <c r="I177"/>
      <c r="J177"/>
      <c r="K177"/>
      <c r="L177"/>
      <c r="M177"/>
      <c r="N177"/>
      <c r="O177"/>
    </row>
    <row r="178" spans="1:15" x14ac:dyDescent="0.25">
      <c r="A178" s="40"/>
      <c r="B178" s="41"/>
      <c r="C178" s="7"/>
      <c r="D178" s="7"/>
      <c r="E178" s="7"/>
      <c r="F178" s="42"/>
      <c r="G178" s="7"/>
      <c r="H178" s="7"/>
      <c r="I178"/>
      <c r="J178"/>
      <c r="K178"/>
      <c r="L178"/>
      <c r="M178"/>
      <c r="N178"/>
      <c r="O178"/>
    </row>
    <row r="179" spans="1:15" x14ac:dyDescent="0.25">
      <c r="A179" s="40"/>
      <c r="B179" s="41"/>
      <c r="C179" s="7"/>
      <c r="D179" s="7"/>
      <c r="E179" s="7"/>
      <c r="F179" s="42"/>
      <c r="G179" s="7"/>
      <c r="H179" s="7"/>
      <c r="I179"/>
      <c r="J179"/>
      <c r="K179"/>
      <c r="L179"/>
      <c r="M179"/>
      <c r="N179"/>
      <c r="O179"/>
    </row>
    <row r="180" spans="1:15" x14ac:dyDescent="0.25">
      <c r="A180" s="40"/>
      <c r="B180" s="41"/>
      <c r="C180" s="7"/>
      <c r="D180" s="7"/>
      <c r="E180" s="7"/>
      <c r="F180" s="42"/>
      <c r="G180" s="7"/>
      <c r="H180" s="7"/>
      <c r="I180"/>
      <c r="J180"/>
      <c r="K180"/>
      <c r="L180"/>
      <c r="M180"/>
      <c r="N180"/>
      <c r="O180"/>
    </row>
    <row r="181" spans="1:15" x14ac:dyDescent="0.25">
      <c r="A181" s="40"/>
      <c r="B181" s="41"/>
      <c r="C181" s="7"/>
      <c r="D181" s="7"/>
      <c r="E181" s="7"/>
      <c r="F181" s="42"/>
      <c r="G181" s="7"/>
      <c r="H181" s="7"/>
      <c r="I181"/>
      <c r="J181"/>
      <c r="K181"/>
      <c r="L181"/>
      <c r="M181"/>
      <c r="N181"/>
      <c r="O181"/>
    </row>
    <row r="182" spans="1:15" x14ac:dyDescent="0.25">
      <c r="A182" s="40"/>
      <c r="B182" s="41"/>
      <c r="C182" s="7"/>
      <c r="D182" s="7"/>
      <c r="E182" s="7"/>
      <c r="F182" s="42"/>
      <c r="G182" s="7"/>
      <c r="H182" s="7"/>
      <c r="I182"/>
      <c r="J182"/>
      <c r="K182"/>
      <c r="L182"/>
      <c r="M182"/>
      <c r="N182"/>
      <c r="O182"/>
    </row>
    <row r="183" spans="1:15" x14ac:dyDescent="0.25">
      <c r="A183" s="40"/>
      <c r="B183" s="41"/>
      <c r="C183" s="7"/>
      <c r="D183" s="7"/>
      <c r="E183" s="7"/>
      <c r="F183" s="42"/>
      <c r="G183" s="7"/>
      <c r="H183" s="7"/>
      <c r="I183"/>
      <c r="J183"/>
      <c r="K183"/>
      <c r="L183"/>
      <c r="M183"/>
      <c r="N183"/>
      <c r="O183"/>
    </row>
    <row r="184" spans="1:15" x14ac:dyDescent="0.25">
      <c r="A184" s="40"/>
      <c r="B184" s="41"/>
      <c r="C184" s="7"/>
      <c r="D184" s="7"/>
      <c r="E184" s="7"/>
      <c r="F184" s="42"/>
      <c r="G184" s="7"/>
      <c r="H184" s="7"/>
      <c r="I184"/>
      <c r="J184"/>
      <c r="K184"/>
      <c r="L184"/>
      <c r="M184"/>
      <c r="N184"/>
      <c r="O184"/>
    </row>
    <row r="185" spans="1:15" x14ac:dyDescent="0.25">
      <c r="A185" s="40"/>
      <c r="B185" s="41"/>
      <c r="C185" s="7"/>
      <c r="D185" s="7"/>
      <c r="E185" s="7"/>
      <c r="F185" s="42"/>
      <c r="G185" s="7"/>
      <c r="H185" s="7"/>
      <c r="I185"/>
      <c r="J185"/>
      <c r="K185"/>
      <c r="L185"/>
      <c r="M185"/>
      <c r="N185"/>
      <c r="O185"/>
    </row>
    <row r="186" spans="1:15" x14ac:dyDescent="0.25">
      <c r="A186" s="40"/>
      <c r="B186" s="41"/>
      <c r="C186" s="7"/>
      <c r="D186" s="7"/>
      <c r="E186" s="7"/>
      <c r="F186" s="42"/>
      <c r="G186" s="7"/>
      <c r="H186" s="7"/>
      <c r="I186"/>
      <c r="J186"/>
      <c r="K186"/>
      <c r="L186"/>
      <c r="M186"/>
      <c r="N186"/>
      <c r="O186"/>
    </row>
    <row r="187" spans="1:15" x14ac:dyDescent="0.25">
      <c r="A187" s="40"/>
      <c r="B187" s="41"/>
      <c r="C187" s="7"/>
      <c r="D187" s="7"/>
      <c r="E187" s="7"/>
      <c r="F187" s="42"/>
      <c r="G187" s="7"/>
      <c r="H187" s="7"/>
      <c r="I187"/>
      <c r="J187"/>
      <c r="K187"/>
      <c r="L187"/>
      <c r="M187"/>
      <c r="N187"/>
      <c r="O187"/>
    </row>
    <row r="188" spans="1:15" x14ac:dyDescent="0.25">
      <c r="A188" s="40"/>
      <c r="B188" s="41"/>
      <c r="C188" s="7"/>
      <c r="D188" s="7"/>
      <c r="E188" s="7"/>
      <c r="F188" s="42"/>
      <c r="G188" s="7"/>
      <c r="H188" s="7"/>
      <c r="I188"/>
      <c r="J188"/>
      <c r="K188"/>
      <c r="L188"/>
      <c r="M188"/>
      <c r="N188"/>
      <c r="O188"/>
    </row>
    <row r="189" spans="1:15" x14ac:dyDescent="0.25">
      <c r="A189" s="40"/>
      <c r="B189" s="41"/>
      <c r="C189" s="7"/>
      <c r="D189" s="7"/>
      <c r="E189" s="7"/>
      <c r="F189" s="42"/>
      <c r="G189" s="7"/>
      <c r="H189" s="7"/>
      <c r="I189"/>
      <c r="J189"/>
      <c r="K189"/>
      <c r="L189"/>
      <c r="M189"/>
      <c r="N189"/>
      <c r="O189"/>
    </row>
    <row r="190" spans="1:15" x14ac:dyDescent="0.25">
      <c r="A190" s="40"/>
      <c r="B190" s="41"/>
      <c r="C190" s="7"/>
      <c r="D190" s="7"/>
      <c r="E190" s="7"/>
      <c r="F190" s="42"/>
      <c r="G190" s="7"/>
      <c r="H190" s="7"/>
      <c r="I190"/>
      <c r="J190"/>
      <c r="K190"/>
      <c r="L190"/>
      <c r="M190"/>
      <c r="N190"/>
      <c r="O190"/>
    </row>
    <row r="191" spans="1:15" x14ac:dyDescent="0.25">
      <c r="A191" s="40"/>
      <c r="B191" s="41"/>
      <c r="C191" s="7"/>
      <c r="D191" s="7"/>
      <c r="E191" s="7"/>
      <c r="F191" s="42"/>
      <c r="G191" s="7"/>
      <c r="H191" s="7"/>
      <c r="I191"/>
      <c r="J191"/>
      <c r="K191"/>
      <c r="L191"/>
      <c r="M191"/>
      <c r="N191"/>
      <c r="O191"/>
    </row>
    <row r="192" spans="1:15" x14ac:dyDescent="0.25">
      <c r="A192" s="40"/>
      <c r="B192" s="41"/>
      <c r="C192" s="7"/>
      <c r="D192" s="7"/>
      <c r="E192" s="7"/>
      <c r="F192" s="42"/>
      <c r="G192" s="7"/>
      <c r="H192" s="7"/>
      <c r="I192"/>
      <c r="J192"/>
      <c r="K192"/>
      <c r="L192"/>
      <c r="M192"/>
      <c r="N192"/>
      <c r="O192"/>
    </row>
    <row r="193" spans="1:15" x14ac:dyDescent="0.25">
      <c r="A193" s="40"/>
      <c r="B193" s="41"/>
      <c r="C193" s="7"/>
      <c r="D193" s="7"/>
      <c r="E193" s="7"/>
      <c r="F193" s="42"/>
      <c r="G193" s="7"/>
      <c r="H193" s="7"/>
      <c r="I193"/>
      <c r="J193"/>
      <c r="K193"/>
      <c r="L193"/>
      <c r="M193"/>
      <c r="N193"/>
      <c r="O193"/>
    </row>
    <row r="194" spans="1:15" x14ac:dyDescent="0.25">
      <c r="C194" t="s">
        <v>42</v>
      </c>
      <c r="E194" s="17" t="e">
        <f>SUM(#REF!)</f>
        <v>#REF!</v>
      </c>
      <c r="I194"/>
      <c r="J194"/>
      <c r="K194"/>
      <c r="L194"/>
      <c r="M194"/>
      <c r="N194"/>
      <c r="O194"/>
    </row>
    <row r="195" spans="1:15" x14ac:dyDescent="0.25">
      <c r="I195"/>
      <c r="J195"/>
      <c r="K195"/>
      <c r="L195"/>
      <c r="M195"/>
      <c r="N195"/>
      <c r="O195"/>
    </row>
    <row r="196" spans="1:15" x14ac:dyDescent="0.25">
      <c r="I196"/>
      <c r="J196"/>
      <c r="K196"/>
      <c r="L196"/>
      <c r="M196"/>
      <c r="N196"/>
      <c r="O196"/>
    </row>
    <row r="197" spans="1:15" x14ac:dyDescent="0.25">
      <c r="C197" t="s">
        <v>36</v>
      </c>
      <c r="F197" s="9">
        <f>SUM(F4:F108)</f>
        <v>697320480</v>
      </c>
      <c r="I197"/>
      <c r="J197" s="16"/>
      <c r="K197"/>
      <c r="L197"/>
      <c r="M197"/>
      <c r="N197"/>
      <c r="O197"/>
    </row>
    <row r="198" spans="1:15" x14ac:dyDescent="0.25">
      <c r="C198" t="s">
        <v>37</v>
      </c>
      <c r="F198" s="15">
        <f>[2]Phapros!H379</f>
        <v>299675900</v>
      </c>
      <c r="I198"/>
      <c r="J198"/>
      <c r="K198"/>
      <c r="L198"/>
      <c r="M198"/>
      <c r="N198"/>
      <c r="O198"/>
    </row>
    <row r="199" spans="1:15" x14ac:dyDescent="0.25">
      <c r="D199" t="s">
        <v>43</v>
      </c>
      <c r="F199" s="14">
        <f>F197+F198</f>
        <v>996996380</v>
      </c>
      <c r="I199"/>
      <c r="J199"/>
      <c r="K199"/>
      <c r="L199"/>
      <c r="M199"/>
      <c r="N199"/>
      <c r="O199"/>
    </row>
    <row r="200" spans="1:15" ht="11.25" customHeight="1" x14ac:dyDescent="0.25">
      <c r="F200" s="14"/>
      <c r="I200"/>
      <c r="J200"/>
      <c r="K200"/>
      <c r="L200"/>
      <c r="M200"/>
      <c r="N200"/>
      <c r="O200"/>
    </row>
    <row r="201" spans="1:15" x14ac:dyDescent="0.25">
      <c r="C201" t="s">
        <v>38</v>
      </c>
      <c r="I201"/>
      <c r="J201"/>
      <c r="K201"/>
      <c r="L201"/>
      <c r="M201"/>
      <c r="N201"/>
      <c r="O201"/>
    </row>
    <row r="202" spans="1:15" x14ac:dyDescent="0.25">
      <c r="C202" t="s">
        <v>44</v>
      </c>
      <c r="E202" s="9">
        <v>220186527</v>
      </c>
      <c r="I202"/>
      <c r="J202"/>
      <c r="K202"/>
      <c r="L202"/>
      <c r="M202"/>
      <c r="N202"/>
      <c r="O202"/>
    </row>
    <row r="203" spans="1:15" x14ac:dyDescent="0.25">
      <c r="C203" t="s">
        <v>45</v>
      </c>
      <c r="E203" s="15">
        <v>452400140</v>
      </c>
      <c r="I203"/>
      <c r="J203"/>
      <c r="K203"/>
      <c r="L203"/>
      <c r="M203"/>
      <c r="N203"/>
      <c r="O203"/>
    </row>
    <row r="204" spans="1:15" ht="15.75" x14ac:dyDescent="0.25">
      <c r="C204" t="s">
        <v>46</v>
      </c>
      <c r="F204" s="18">
        <f>E202+E203</f>
        <v>672586667</v>
      </c>
      <c r="I204"/>
      <c r="J204"/>
      <c r="K204"/>
      <c r="L204"/>
      <c r="M204"/>
      <c r="N204"/>
      <c r="O204"/>
    </row>
    <row r="205" spans="1:15" ht="15.75" x14ac:dyDescent="0.25">
      <c r="D205" s="1" t="s">
        <v>39</v>
      </c>
      <c r="F205" s="9">
        <f>F199-F204</f>
        <v>324409713</v>
      </c>
      <c r="I205"/>
      <c r="J205"/>
      <c r="K205"/>
      <c r="L205"/>
      <c r="M205"/>
      <c r="N205"/>
      <c r="O205"/>
    </row>
    <row r="206" spans="1:15" x14ac:dyDescent="0.25">
      <c r="I206"/>
      <c r="J206"/>
      <c r="K206"/>
      <c r="L206"/>
      <c r="M206"/>
      <c r="N206"/>
      <c r="O206"/>
    </row>
    <row r="207" spans="1:15" x14ac:dyDescent="0.25">
      <c r="I207"/>
      <c r="J207"/>
      <c r="K207"/>
      <c r="L207"/>
      <c r="M207"/>
      <c r="N207"/>
      <c r="O207"/>
    </row>
    <row r="208" spans="1:15" x14ac:dyDescent="0.25">
      <c r="I208"/>
      <c r="J208"/>
      <c r="K208"/>
      <c r="L208"/>
      <c r="M208"/>
      <c r="N208"/>
      <c r="O208"/>
    </row>
    <row r="209" spans="9:15" x14ac:dyDescent="0.25">
      <c r="I209"/>
      <c r="J209" s="19"/>
      <c r="K209" s="20"/>
      <c r="L209" s="20"/>
      <c r="M209" s="7"/>
      <c r="N209"/>
      <c r="O209"/>
    </row>
    <row r="210" spans="9:15" x14ac:dyDescent="0.25">
      <c r="I210"/>
      <c r="J210" s="19"/>
      <c r="K210" s="20"/>
      <c r="L210" s="20"/>
      <c r="M210" s="7"/>
      <c r="N210"/>
      <c r="O210"/>
    </row>
    <row r="211" spans="9:15" x14ac:dyDescent="0.25">
      <c r="I211"/>
      <c r="J211" s="7"/>
      <c r="K211" s="7"/>
      <c r="L211" s="7"/>
      <c r="M211" s="7"/>
      <c r="N211"/>
      <c r="O211"/>
    </row>
    <row r="212" spans="9:15" x14ac:dyDescent="0.25">
      <c r="I212"/>
      <c r="J212" s="19"/>
      <c r="K212" s="21"/>
      <c r="L212" s="21"/>
      <c r="M212" s="7"/>
      <c r="N212"/>
      <c r="O212"/>
    </row>
    <row r="213" spans="9:15" x14ac:dyDescent="0.25">
      <c r="I213"/>
      <c r="J213" s="19"/>
      <c r="K213" s="21"/>
      <c r="L213" s="21"/>
      <c r="M213" s="7"/>
      <c r="N213"/>
      <c r="O213"/>
    </row>
    <row r="214" spans="9:15" x14ac:dyDescent="0.25">
      <c r="I214"/>
      <c r="J214" s="7"/>
      <c r="K214" s="7"/>
      <c r="L214" s="7"/>
      <c r="M214" s="7"/>
      <c r="N214"/>
      <c r="O214"/>
    </row>
    <row r="215" spans="9:15" x14ac:dyDescent="0.25">
      <c r="I215"/>
      <c r="J215" s="19"/>
      <c r="K215" s="21"/>
      <c r="L215" s="21"/>
      <c r="M215" s="7"/>
      <c r="N215"/>
      <c r="O215"/>
    </row>
    <row r="216" spans="9:15" x14ac:dyDescent="0.25">
      <c r="I216"/>
      <c r="J216" s="19"/>
      <c r="K216" s="21"/>
      <c r="L216" s="21"/>
      <c r="M216" s="7"/>
      <c r="N216"/>
      <c r="O216"/>
    </row>
    <row r="217" spans="9:15" x14ac:dyDescent="0.25">
      <c r="I217"/>
      <c r="J217" s="7"/>
      <c r="K217" s="22"/>
      <c r="L217" s="22"/>
      <c r="M217" s="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row r="292" spans="9:15" x14ac:dyDescent="0.25">
      <c r="I292"/>
      <c r="J292"/>
      <c r="K292"/>
      <c r="L292"/>
      <c r="M292"/>
      <c r="N292"/>
      <c r="O292"/>
    </row>
    <row r="293" spans="9:15" x14ac:dyDescent="0.25">
      <c r="I293"/>
      <c r="J293"/>
      <c r="K293"/>
      <c r="L293"/>
      <c r="M293"/>
      <c r="N293"/>
      <c r="O293"/>
    </row>
    <row r="294" spans="9:15" x14ac:dyDescent="0.25">
      <c r="I294"/>
      <c r="J294"/>
      <c r="K294"/>
      <c r="L294"/>
      <c r="M294"/>
      <c r="N294"/>
      <c r="O294"/>
    </row>
    <row r="295" spans="9:15" x14ac:dyDescent="0.25">
      <c r="I295"/>
      <c r="J295"/>
      <c r="K295"/>
      <c r="L295"/>
      <c r="M295"/>
      <c r="N295"/>
      <c r="O295"/>
    </row>
    <row r="296" spans="9:15" x14ac:dyDescent="0.25">
      <c r="I296"/>
      <c r="J296"/>
      <c r="K296"/>
      <c r="L296"/>
      <c r="M296"/>
      <c r="N296"/>
      <c r="O296"/>
    </row>
    <row r="297" spans="9:15" x14ac:dyDescent="0.25">
      <c r="I297"/>
      <c r="J297"/>
      <c r="K297"/>
      <c r="L297"/>
      <c r="M297"/>
      <c r="N297"/>
      <c r="O297"/>
    </row>
    <row r="298" spans="9:15" x14ac:dyDescent="0.25">
      <c r="I298"/>
      <c r="J298"/>
      <c r="K298"/>
      <c r="L298"/>
      <c r="M298"/>
      <c r="N298"/>
      <c r="O298"/>
    </row>
    <row r="299" spans="9:15" x14ac:dyDescent="0.25">
      <c r="I299"/>
      <c r="J299"/>
      <c r="K299"/>
      <c r="L299"/>
      <c r="M299"/>
      <c r="N299"/>
      <c r="O299"/>
    </row>
    <row r="300" spans="9:15" x14ac:dyDescent="0.25">
      <c r="I300"/>
      <c r="J300"/>
      <c r="K300"/>
      <c r="L300"/>
      <c r="M300"/>
      <c r="N300"/>
      <c r="O300"/>
    </row>
    <row r="301" spans="9:15" x14ac:dyDescent="0.25">
      <c r="I301"/>
      <c r="J301"/>
      <c r="K301"/>
      <c r="L301"/>
      <c r="M301"/>
      <c r="N301"/>
      <c r="O301"/>
    </row>
    <row r="302" spans="9:15" x14ac:dyDescent="0.25">
      <c r="I302"/>
      <c r="J302"/>
      <c r="K302"/>
      <c r="L302"/>
      <c r="M302"/>
      <c r="N302"/>
      <c r="O302"/>
    </row>
    <row r="303" spans="9:15" x14ac:dyDescent="0.25">
      <c r="I303"/>
      <c r="J303"/>
      <c r="K303"/>
      <c r="L303"/>
      <c r="M303"/>
      <c r="N303"/>
      <c r="O303"/>
    </row>
    <row r="304" spans="9:15" x14ac:dyDescent="0.25">
      <c r="I304"/>
      <c r="J304"/>
      <c r="K304"/>
      <c r="L304"/>
      <c r="M304"/>
      <c r="N304"/>
      <c r="O304"/>
    </row>
    <row r="305" spans="9:15" x14ac:dyDescent="0.25">
      <c r="I305"/>
      <c r="J305"/>
      <c r="K305"/>
      <c r="L305"/>
      <c r="M305"/>
      <c r="N305"/>
      <c r="O305"/>
    </row>
    <row r="306" spans="9:15" x14ac:dyDescent="0.25">
      <c r="I306"/>
      <c r="J306"/>
      <c r="K306"/>
      <c r="L306"/>
      <c r="M306"/>
      <c r="N306"/>
      <c r="O306"/>
    </row>
    <row r="307" spans="9:15" x14ac:dyDescent="0.25">
      <c r="I307"/>
      <c r="J307"/>
      <c r="K307"/>
      <c r="L307"/>
      <c r="M307"/>
      <c r="N307"/>
      <c r="O307"/>
    </row>
    <row r="308" spans="9:15" x14ac:dyDescent="0.25">
      <c r="I308"/>
      <c r="J308"/>
      <c r="K308"/>
      <c r="L308"/>
      <c r="M308"/>
      <c r="N308"/>
      <c r="O308"/>
    </row>
    <row r="309" spans="9:15" x14ac:dyDescent="0.25">
      <c r="I309"/>
      <c r="J309"/>
      <c r="K309"/>
      <c r="L309"/>
      <c r="M309"/>
      <c r="N309"/>
      <c r="O309"/>
    </row>
    <row r="310" spans="9:15" x14ac:dyDescent="0.25">
      <c r="I310"/>
      <c r="J310"/>
      <c r="K310"/>
      <c r="L310"/>
      <c r="M310"/>
      <c r="N310"/>
      <c r="O310"/>
    </row>
    <row r="311" spans="9:15" x14ac:dyDescent="0.25">
      <c r="I311"/>
      <c r="J311"/>
      <c r="K311"/>
      <c r="L311"/>
      <c r="M311"/>
      <c r="N311"/>
      <c r="O311"/>
    </row>
    <row r="312" spans="9:15" x14ac:dyDescent="0.25">
      <c r="I312"/>
      <c r="J312"/>
      <c r="K312"/>
      <c r="L312"/>
      <c r="M312"/>
      <c r="N312"/>
      <c r="O312"/>
    </row>
    <row r="313" spans="9:15" x14ac:dyDescent="0.25">
      <c r="I313"/>
      <c r="J313"/>
      <c r="K313"/>
      <c r="L313"/>
      <c r="M313"/>
      <c r="N313"/>
      <c r="O313"/>
    </row>
    <row r="314" spans="9:15" x14ac:dyDescent="0.25">
      <c r="I314"/>
      <c r="J314"/>
      <c r="K314"/>
      <c r="L314"/>
      <c r="M314"/>
      <c r="N314"/>
      <c r="O314"/>
    </row>
    <row r="315" spans="9:15" x14ac:dyDescent="0.25">
      <c r="I315"/>
      <c r="J315"/>
      <c r="K315"/>
      <c r="L315"/>
      <c r="M315"/>
      <c r="N315"/>
      <c r="O315"/>
    </row>
    <row r="316" spans="9:15" x14ac:dyDescent="0.25">
      <c r="I316"/>
      <c r="J316"/>
      <c r="K316"/>
      <c r="L316"/>
      <c r="M316"/>
      <c r="N316"/>
      <c r="O316"/>
    </row>
    <row r="317" spans="9:15" x14ac:dyDescent="0.25">
      <c r="I317"/>
      <c r="J317"/>
      <c r="K317"/>
      <c r="L317"/>
      <c r="M317"/>
      <c r="N317"/>
      <c r="O317"/>
    </row>
    <row r="318" spans="9:15" x14ac:dyDescent="0.25">
      <c r="I318"/>
      <c r="J318"/>
      <c r="K318"/>
      <c r="L318"/>
      <c r="M318"/>
      <c r="N318"/>
      <c r="O318"/>
    </row>
    <row r="319" spans="9:15" x14ac:dyDescent="0.25">
      <c r="I319"/>
      <c r="J319"/>
      <c r="K319"/>
      <c r="L319"/>
      <c r="M319"/>
      <c r="N319"/>
      <c r="O319"/>
    </row>
    <row r="320" spans="9:15" x14ac:dyDescent="0.25">
      <c r="I320"/>
      <c r="J320"/>
      <c r="K320"/>
      <c r="L320"/>
      <c r="M320"/>
      <c r="N320"/>
      <c r="O320"/>
    </row>
    <row r="321" spans="9:15" x14ac:dyDescent="0.25">
      <c r="I321"/>
      <c r="J321"/>
      <c r="K321"/>
      <c r="L321"/>
      <c r="M321"/>
      <c r="N321"/>
      <c r="O321"/>
    </row>
    <row r="322" spans="9:15" x14ac:dyDescent="0.25">
      <c r="I322"/>
      <c r="J322"/>
      <c r="K322"/>
      <c r="L322"/>
      <c r="M322"/>
      <c r="N322"/>
      <c r="O322"/>
    </row>
    <row r="323" spans="9:15" x14ac:dyDescent="0.25">
      <c r="I323"/>
      <c r="J323"/>
      <c r="K323"/>
      <c r="L323"/>
      <c r="M323"/>
      <c r="N323"/>
      <c r="O323"/>
    </row>
    <row r="324" spans="9:15" x14ac:dyDescent="0.25">
      <c r="I324"/>
      <c r="J324"/>
      <c r="K324"/>
      <c r="L324"/>
      <c r="M324"/>
      <c r="N324"/>
      <c r="O324"/>
    </row>
    <row r="325" spans="9:15" x14ac:dyDescent="0.25">
      <c r="I325"/>
      <c r="J325"/>
      <c r="K325"/>
      <c r="L325"/>
      <c r="M325"/>
      <c r="N325"/>
      <c r="O325"/>
    </row>
    <row r="326" spans="9:15" x14ac:dyDescent="0.25">
      <c r="I326"/>
      <c r="J326"/>
      <c r="K326"/>
      <c r="L326"/>
      <c r="M326"/>
      <c r="N326"/>
      <c r="O326"/>
    </row>
    <row r="327" spans="9:15" x14ac:dyDescent="0.25">
      <c r="I327"/>
      <c r="J327"/>
      <c r="K327"/>
      <c r="L327"/>
      <c r="M327"/>
      <c r="N327"/>
      <c r="O327"/>
    </row>
    <row r="328" spans="9:15" x14ac:dyDescent="0.25">
      <c r="I328"/>
      <c r="J328"/>
      <c r="K328"/>
      <c r="L328"/>
      <c r="M328"/>
      <c r="N328"/>
      <c r="O328"/>
    </row>
    <row r="329" spans="9:15" x14ac:dyDescent="0.25">
      <c r="I329"/>
      <c r="J329"/>
      <c r="K329"/>
      <c r="L329"/>
      <c r="M329"/>
      <c r="N329"/>
      <c r="O329"/>
    </row>
    <row r="330" spans="9:15" x14ac:dyDescent="0.25">
      <c r="I330"/>
      <c r="J330"/>
      <c r="K330"/>
      <c r="L330"/>
      <c r="M330"/>
      <c r="N330"/>
      <c r="O330"/>
    </row>
    <row r="331" spans="9:15" x14ac:dyDescent="0.25">
      <c r="I331"/>
      <c r="J331"/>
      <c r="K331"/>
      <c r="L331"/>
      <c r="M331"/>
      <c r="N331"/>
      <c r="O331"/>
    </row>
    <row r="332" spans="9:15" x14ac:dyDescent="0.25">
      <c r="I332"/>
      <c r="J332"/>
      <c r="K332"/>
      <c r="L332"/>
      <c r="M332"/>
      <c r="N332"/>
      <c r="O332"/>
    </row>
    <row r="333" spans="9:15" x14ac:dyDescent="0.25">
      <c r="I333"/>
      <c r="J333"/>
      <c r="K333"/>
      <c r="L333"/>
      <c r="M333"/>
      <c r="N333"/>
      <c r="O333"/>
    </row>
    <row r="334" spans="9:15" x14ac:dyDescent="0.25">
      <c r="I334"/>
      <c r="J334"/>
      <c r="K334"/>
      <c r="L334"/>
      <c r="M334"/>
      <c r="N334"/>
      <c r="O334"/>
    </row>
    <row r="335" spans="9:15" x14ac:dyDescent="0.25">
      <c r="I335"/>
      <c r="J335"/>
      <c r="K335"/>
      <c r="L335"/>
      <c r="M335"/>
      <c r="N335"/>
      <c r="O335"/>
    </row>
    <row r="336" spans="9:15" x14ac:dyDescent="0.25">
      <c r="I336"/>
      <c r="J336"/>
      <c r="K336"/>
      <c r="L336"/>
      <c r="M336"/>
      <c r="N336"/>
      <c r="O336"/>
    </row>
    <row r="337" spans="9:15" x14ac:dyDescent="0.25">
      <c r="I337"/>
      <c r="J337"/>
      <c r="K337"/>
      <c r="L337"/>
      <c r="M337"/>
      <c r="N337"/>
      <c r="O337"/>
    </row>
    <row r="338" spans="9:15" x14ac:dyDescent="0.25">
      <c r="I338"/>
      <c r="J338"/>
      <c r="K338"/>
      <c r="L338"/>
      <c r="M338"/>
      <c r="N338"/>
      <c r="O338"/>
    </row>
    <row r="339" spans="9:15" x14ac:dyDescent="0.25">
      <c r="I339"/>
      <c r="J339"/>
      <c r="K339"/>
      <c r="L339"/>
      <c r="M339"/>
      <c r="N339"/>
      <c r="O339"/>
    </row>
    <row r="340" spans="9:15" x14ac:dyDescent="0.25">
      <c r="I340"/>
      <c r="J340"/>
      <c r="K340"/>
      <c r="L340"/>
      <c r="M340"/>
      <c r="N340"/>
      <c r="O340"/>
    </row>
    <row r="341" spans="9:15" x14ac:dyDescent="0.25">
      <c r="I341"/>
      <c r="J341"/>
      <c r="K341"/>
      <c r="L341"/>
      <c r="M341"/>
      <c r="N341"/>
      <c r="O341"/>
    </row>
    <row r="342" spans="9:15" x14ac:dyDescent="0.25">
      <c r="I342"/>
      <c r="J342"/>
      <c r="K342"/>
      <c r="L342"/>
      <c r="M342"/>
      <c r="N342"/>
      <c r="O342"/>
    </row>
    <row r="343" spans="9:15" x14ac:dyDescent="0.25">
      <c r="I343"/>
      <c r="J343"/>
      <c r="K343"/>
      <c r="L343"/>
      <c r="M343"/>
      <c r="N343"/>
      <c r="O343"/>
    </row>
    <row r="344" spans="9:15" x14ac:dyDescent="0.25">
      <c r="I344"/>
      <c r="J344"/>
      <c r="K344"/>
      <c r="L344"/>
      <c r="M344"/>
      <c r="N344"/>
      <c r="O344"/>
    </row>
    <row r="345" spans="9:15" x14ac:dyDescent="0.25">
      <c r="I345"/>
      <c r="J345"/>
      <c r="K345"/>
      <c r="L345"/>
      <c r="M345"/>
      <c r="N345"/>
      <c r="O345"/>
    </row>
    <row r="346" spans="9:15" x14ac:dyDescent="0.25">
      <c r="I346"/>
      <c r="J346"/>
      <c r="K346"/>
      <c r="L346"/>
      <c r="M346"/>
      <c r="N346"/>
      <c r="O346"/>
    </row>
    <row r="347" spans="9:15" x14ac:dyDescent="0.25">
      <c r="I347"/>
      <c r="J347"/>
      <c r="K347"/>
      <c r="L347"/>
      <c r="M347"/>
      <c r="N347"/>
      <c r="O347"/>
    </row>
    <row r="348" spans="9:15" x14ac:dyDescent="0.25">
      <c r="I348"/>
      <c r="J348"/>
      <c r="K348"/>
      <c r="L348"/>
      <c r="M348"/>
      <c r="N348"/>
      <c r="O348"/>
    </row>
    <row r="349" spans="9:15" x14ac:dyDescent="0.25">
      <c r="I349"/>
      <c r="J349"/>
      <c r="K349"/>
      <c r="L349"/>
      <c r="M349"/>
      <c r="N349"/>
      <c r="O349"/>
    </row>
    <row r="350" spans="9:15" x14ac:dyDescent="0.25">
      <c r="I350"/>
      <c r="J350"/>
      <c r="K350"/>
      <c r="L350"/>
      <c r="M350"/>
      <c r="N350"/>
      <c r="O350"/>
    </row>
    <row r="351" spans="9:15" x14ac:dyDescent="0.25">
      <c r="I351"/>
      <c r="J351"/>
      <c r="K351"/>
      <c r="L351"/>
      <c r="M351"/>
      <c r="N351"/>
      <c r="O351"/>
    </row>
    <row r="352" spans="9:15" x14ac:dyDescent="0.25">
      <c r="I352"/>
      <c r="J352"/>
      <c r="K352"/>
      <c r="L352"/>
      <c r="M352"/>
      <c r="N352"/>
      <c r="O352"/>
    </row>
    <row r="353" spans="9:15" x14ac:dyDescent="0.25">
      <c r="I353"/>
      <c r="J353"/>
      <c r="K353"/>
      <c r="L353"/>
      <c r="M353"/>
      <c r="N353"/>
      <c r="O353"/>
    </row>
    <row r="354" spans="9:15" x14ac:dyDescent="0.25">
      <c r="I354"/>
      <c r="J354"/>
      <c r="K354"/>
      <c r="L354"/>
      <c r="M354"/>
      <c r="N354"/>
      <c r="O354"/>
    </row>
    <row r="355" spans="9:15" x14ac:dyDescent="0.25">
      <c r="I355"/>
      <c r="J355"/>
      <c r="K355"/>
      <c r="L355"/>
      <c r="M355"/>
      <c r="N355"/>
      <c r="O355"/>
    </row>
    <row r="356" spans="9:15" x14ac:dyDescent="0.25">
      <c r="I356"/>
      <c r="J356"/>
      <c r="K356"/>
      <c r="L356"/>
      <c r="M356"/>
      <c r="N356"/>
      <c r="O356"/>
    </row>
    <row r="357" spans="9:15" x14ac:dyDescent="0.25">
      <c r="I357"/>
      <c r="J357"/>
      <c r="K357"/>
      <c r="L357"/>
      <c r="M357"/>
      <c r="N357"/>
      <c r="O357"/>
    </row>
    <row r="358" spans="9:15" x14ac:dyDescent="0.25">
      <c r="I358"/>
      <c r="J358"/>
      <c r="K358"/>
      <c r="L358"/>
      <c r="M358"/>
      <c r="N358"/>
      <c r="O358"/>
    </row>
    <row r="359" spans="9:15" x14ac:dyDescent="0.25">
      <c r="I359"/>
      <c r="J359"/>
      <c r="K359"/>
      <c r="L359"/>
      <c r="M359"/>
      <c r="N359"/>
      <c r="O359"/>
    </row>
    <row r="360" spans="9:15" x14ac:dyDescent="0.25">
      <c r="I360"/>
      <c r="J360"/>
      <c r="K360"/>
      <c r="L360"/>
      <c r="M360"/>
      <c r="N360"/>
      <c r="O360"/>
    </row>
    <row r="361" spans="9:15" x14ac:dyDescent="0.25">
      <c r="I361"/>
      <c r="J361"/>
      <c r="K361"/>
      <c r="L361"/>
      <c r="M361"/>
      <c r="N361"/>
      <c r="O361"/>
    </row>
    <row r="362" spans="9:15" x14ac:dyDescent="0.25">
      <c r="I362"/>
      <c r="J362"/>
      <c r="K362"/>
      <c r="L362"/>
      <c r="M362"/>
      <c r="N362"/>
      <c r="O362"/>
    </row>
    <row r="363" spans="9:15" x14ac:dyDescent="0.25">
      <c r="I363"/>
      <c r="J363"/>
      <c r="K363"/>
      <c r="L363"/>
      <c r="M363"/>
      <c r="N363"/>
      <c r="O363"/>
    </row>
    <row r="364" spans="9:15" x14ac:dyDescent="0.25">
      <c r="I364"/>
      <c r="J364"/>
      <c r="K364"/>
      <c r="L364"/>
      <c r="M364"/>
      <c r="N364"/>
      <c r="O364"/>
    </row>
    <row r="365" spans="9:15" x14ac:dyDescent="0.25">
      <c r="I365"/>
      <c r="J365"/>
      <c r="K365"/>
      <c r="L365"/>
      <c r="M365"/>
      <c r="N365"/>
      <c r="O365"/>
    </row>
    <row r="366" spans="9:15" x14ac:dyDescent="0.25">
      <c r="I366"/>
      <c r="J366"/>
      <c r="K366"/>
      <c r="L366"/>
      <c r="M366"/>
      <c r="N366"/>
      <c r="O366"/>
    </row>
    <row r="367" spans="9:15" x14ac:dyDescent="0.25">
      <c r="I367"/>
      <c r="J367"/>
      <c r="K367"/>
      <c r="L367"/>
      <c r="M367"/>
      <c r="N367"/>
      <c r="O367"/>
    </row>
    <row r="368" spans="9:15" x14ac:dyDescent="0.25">
      <c r="I368"/>
      <c r="J368"/>
      <c r="K368"/>
      <c r="L368"/>
      <c r="M368"/>
      <c r="N368"/>
      <c r="O368"/>
    </row>
    <row r="369" spans="9:15" x14ac:dyDescent="0.25">
      <c r="I369"/>
      <c r="J369"/>
      <c r="K369"/>
      <c r="L369"/>
      <c r="M369"/>
      <c r="N369"/>
      <c r="O369"/>
    </row>
    <row r="370" spans="9:15" x14ac:dyDescent="0.25">
      <c r="I370"/>
      <c r="J370"/>
      <c r="K370"/>
      <c r="L370"/>
      <c r="M370"/>
      <c r="N370"/>
      <c r="O370"/>
    </row>
    <row r="371" spans="9:15" x14ac:dyDescent="0.25">
      <c r="I371"/>
      <c r="J371"/>
      <c r="K371"/>
      <c r="L371"/>
      <c r="M371"/>
      <c r="N371"/>
      <c r="O371"/>
    </row>
    <row r="372" spans="9:15" x14ac:dyDescent="0.25">
      <c r="I372"/>
      <c r="J372"/>
      <c r="K372"/>
      <c r="L372"/>
      <c r="M372"/>
      <c r="N372"/>
      <c r="O372"/>
    </row>
    <row r="373" spans="9:15" x14ac:dyDescent="0.25">
      <c r="I373"/>
      <c r="J373"/>
      <c r="K373"/>
      <c r="L373"/>
      <c r="M373"/>
      <c r="N373"/>
      <c r="O373"/>
    </row>
    <row r="374" spans="9:15" x14ac:dyDescent="0.25">
      <c r="I374"/>
      <c r="J374"/>
      <c r="K374"/>
      <c r="L374"/>
      <c r="M374"/>
      <c r="N374"/>
      <c r="O374"/>
    </row>
    <row r="375" spans="9:15" x14ac:dyDescent="0.25">
      <c r="I375"/>
      <c r="J375"/>
      <c r="K375"/>
      <c r="L375"/>
      <c r="M375"/>
      <c r="N375"/>
      <c r="O375"/>
    </row>
    <row r="376" spans="9:15" x14ac:dyDescent="0.25">
      <c r="I376"/>
      <c r="J376"/>
      <c r="K376"/>
      <c r="L376"/>
      <c r="M376"/>
      <c r="N376"/>
      <c r="O376"/>
    </row>
    <row r="377" spans="9:15" x14ac:dyDescent="0.25">
      <c r="I377"/>
      <c r="J377"/>
      <c r="K377"/>
      <c r="L377"/>
      <c r="M377"/>
      <c r="N377"/>
      <c r="O377"/>
    </row>
    <row r="378" spans="9:15" x14ac:dyDescent="0.25">
      <c r="I378"/>
      <c r="J378"/>
      <c r="K378"/>
      <c r="L378"/>
      <c r="M378"/>
      <c r="N378"/>
      <c r="O378"/>
    </row>
    <row r="379" spans="9:15" x14ac:dyDescent="0.25">
      <c r="I379"/>
      <c r="J379"/>
      <c r="K379"/>
      <c r="L379"/>
      <c r="M379"/>
      <c r="N379"/>
      <c r="O379"/>
    </row>
    <row r="380" spans="9:15" x14ac:dyDescent="0.25">
      <c r="I380"/>
      <c r="J380"/>
      <c r="K380"/>
      <c r="L380"/>
      <c r="M380"/>
      <c r="N380"/>
      <c r="O380"/>
    </row>
    <row r="381" spans="9:15" x14ac:dyDescent="0.25">
      <c r="I381"/>
      <c r="J381"/>
      <c r="K381"/>
      <c r="L381"/>
      <c r="M381"/>
      <c r="N381"/>
      <c r="O381"/>
    </row>
    <row r="382" spans="9:15" x14ac:dyDescent="0.25">
      <c r="I382"/>
      <c r="J382"/>
      <c r="K382"/>
      <c r="L382"/>
      <c r="M382"/>
      <c r="N382"/>
      <c r="O382"/>
    </row>
    <row r="383" spans="9:15" x14ac:dyDescent="0.25">
      <c r="I383"/>
      <c r="J383"/>
      <c r="K383"/>
      <c r="L383"/>
      <c r="M383"/>
      <c r="N383"/>
      <c r="O383"/>
    </row>
    <row r="384" spans="9:15" x14ac:dyDescent="0.25">
      <c r="I384"/>
      <c r="J384"/>
      <c r="K384"/>
      <c r="L384"/>
      <c r="M384"/>
      <c r="N384"/>
      <c r="O384"/>
    </row>
    <row r="385" spans="9:15" x14ac:dyDescent="0.25">
      <c r="I385"/>
      <c r="J385"/>
      <c r="K385"/>
      <c r="L385"/>
      <c r="M385"/>
      <c r="N385"/>
      <c r="O385"/>
    </row>
    <row r="386" spans="9:15" x14ac:dyDescent="0.25">
      <c r="I386"/>
      <c r="J386"/>
      <c r="K386"/>
      <c r="L386"/>
      <c r="M386"/>
      <c r="N386"/>
      <c r="O386"/>
    </row>
    <row r="387" spans="9:15" x14ac:dyDescent="0.25">
      <c r="I387"/>
      <c r="J387"/>
      <c r="K387"/>
      <c r="L387"/>
      <c r="M387"/>
      <c r="N387"/>
      <c r="O387"/>
    </row>
    <row r="388" spans="9:15" x14ac:dyDescent="0.25">
      <c r="I388"/>
      <c r="J388"/>
      <c r="K388"/>
      <c r="L388"/>
      <c r="M388"/>
      <c r="N388"/>
      <c r="O388"/>
    </row>
    <row r="389" spans="9:15" x14ac:dyDescent="0.25">
      <c r="I389"/>
      <c r="J389"/>
      <c r="K389"/>
      <c r="L389"/>
      <c r="M389"/>
      <c r="N389"/>
      <c r="O389"/>
    </row>
    <row r="390" spans="9:15" x14ac:dyDescent="0.25">
      <c r="I390"/>
      <c r="J390"/>
      <c r="K390"/>
      <c r="L390"/>
      <c r="M390"/>
      <c r="N390"/>
      <c r="O390"/>
    </row>
    <row r="391" spans="9:15" x14ac:dyDescent="0.25">
      <c r="I391"/>
      <c r="J391"/>
      <c r="K391"/>
      <c r="L391"/>
      <c r="M391"/>
      <c r="N391"/>
      <c r="O391"/>
    </row>
    <row r="392" spans="9:15" x14ac:dyDescent="0.25">
      <c r="I392"/>
      <c r="J392"/>
      <c r="K392"/>
      <c r="L392"/>
      <c r="M392"/>
      <c r="N392"/>
      <c r="O392"/>
    </row>
    <row r="393" spans="9:15" x14ac:dyDescent="0.25">
      <c r="I393"/>
      <c r="J393"/>
      <c r="K393"/>
      <c r="L393"/>
      <c r="M393"/>
      <c r="N393"/>
      <c r="O393"/>
    </row>
    <row r="394" spans="9:15" x14ac:dyDescent="0.25">
      <c r="I394"/>
      <c r="J394"/>
      <c r="K394"/>
      <c r="L394"/>
      <c r="M394"/>
      <c r="N394"/>
      <c r="O394"/>
    </row>
    <row r="395" spans="9:15" x14ac:dyDescent="0.25">
      <c r="I395"/>
      <c r="J395"/>
      <c r="K395"/>
      <c r="L395"/>
      <c r="M395"/>
      <c r="N395"/>
      <c r="O395"/>
    </row>
    <row r="396" spans="9:15" x14ac:dyDescent="0.25">
      <c r="I396"/>
      <c r="J396"/>
      <c r="K396"/>
      <c r="L396"/>
      <c r="M396"/>
      <c r="N396"/>
      <c r="O396"/>
    </row>
    <row r="397" spans="9:15" x14ac:dyDescent="0.25">
      <c r="I397"/>
      <c r="J397"/>
      <c r="K397"/>
      <c r="L397"/>
      <c r="M397"/>
      <c r="N397"/>
      <c r="O397"/>
    </row>
    <row r="398" spans="9:15" x14ac:dyDescent="0.25">
      <c r="I398"/>
      <c r="J398"/>
      <c r="K398"/>
      <c r="L398"/>
      <c r="M398"/>
      <c r="N398"/>
      <c r="O398"/>
    </row>
    <row r="399" spans="9:15" x14ac:dyDescent="0.25">
      <c r="I399"/>
      <c r="J399"/>
      <c r="K399"/>
      <c r="L399"/>
      <c r="M399"/>
      <c r="N399"/>
      <c r="O399"/>
    </row>
    <row r="400" spans="9:15" x14ac:dyDescent="0.25">
      <c r="I400"/>
      <c r="J400"/>
      <c r="K400"/>
      <c r="L400"/>
      <c r="M400"/>
      <c r="N400"/>
      <c r="O400"/>
    </row>
    <row r="401" spans="9:15" x14ac:dyDescent="0.25">
      <c r="I401"/>
      <c r="J401"/>
      <c r="K401"/>
      <c r="L401"/>
      <c r="M401"/>
      <c r="N401"/>
      <c r="O401"/>
    </row>
    <row r="402" spans="9:15" x14ac:dyDescent="0.25">
      <c r="I402"/>
      <c r="J402"/>
      <c r="K402"/>
      <c r="L402"/>
      <c r="M402"/>
      <c r="N402"/>
      <c r="O402"/>
    </row>
    <row r="403" spans="9:15" x14ac:dyDescent="0.25">
      <c r="I403"/>
      <c r="J403"/>
      <c r="K403"/>
      <c r="L403"/>
      <c r="M403"/>
      <c r="N403"/>
      <c r="O403"/>
    </row>
    <row r="404" spans="9:15" x14ac:dyDescent="0.25">
      <c r="I404"/>
      <c r="J404"/>
      <c r="K404"/>
      <c r="L404"/>
      <c r="M404"/>
      <c r="N404"/>
      <c r="O404"/>
    </row>
    <row r="405" spans="9:15" x14ac:dyDescent="0.25">
      <c r="I405"/>
      <c r="J405"/>
      <c r="K405"/>
      <c r="L405"/>
      <c r="M405"/>
      <c r="N405"/>
      <c r="O405"/>
    </row>
    <row r="406" spans="9:15" x14ac:dyDescent="0.25">
      <c r="I406"/>
      <c r="J406"/>
      <c r="K406"/>
      <c r="L406"/>
      <c r="M406"/>
      <c r="N406"/>
      <c r="O406"/>
    </row>
    <row r="407" spans="9:15" x14ac:dyDescent="0.25">
      <c r="I407"/>
      <c r="J407"/>
      <c r="K407"/>
      <c r="L407"/>
      <c r="M407"/>
      <c r="N407"/>
      <c r="O407"/>
    </row>
    <row r="408" spans="9:15" x14ac:dyDescent="0.25">
      <c r="I408"/>
      <c r="J408"/>
      <c r="K408"/>
      <c r="L408"/>
      <c r="M408"/>
      <c r="N408"/>
      <c r="O408"/>
    </row>
    <row r="409" spans="9:15" x14ac:dyDescent="0.25">
      <c r="I409"/>
      <c r="J409"/>
      <c r="K409"/>
      <c r="L409"/>
      <c r="M409"/>
      <c r="N409"/>
      <c r="O409"/>
    </row>
    <row r="410" spans="9:15" x14ac:dyDescent="0.25">
      <c r="I410"/>
      <c r="J410"/>
      <c r="K410"/>
      <c r="L410"/>
      <c r="M410"/>
      <c r="N410"/>
      <c r="O410"/>
    </row>
    <row r="411" spans="9:15" x14ac:dyDescent="0.25">
      <c r="I411"/>
      <c r="J411"/>
      <c r="K411"/>
      <c r="L411"/>
      <c r="M411"/>
      <c r="N411"/>
      <c r="O411"/>
    </row>
    <row r="412" spans="9:15" x14ac:dyDescent="0.25">
      <c r="I412"/>
      <c r="J412"/>
      <c r="K412"/>
      <c r="L412"/>
      <c r="M412"/>
      <c r="N412"/>
      <c r="O412"/>
    </row>
    <row r="413" spans="9:15" x14ac:dyDescent="0.25">
      <c r="I413"/>
      <c r="J413"/>
      <c r="K413"/>
      <c r="L413"/>
      <c r="M413"/>
      <c r="N413"/>
      <c r="O413"/>
    </row>
    <row r="414" spans="9:15" x14ac:dyDescent="0.25">
      <c r="I414"/>
      <c r="J414"/>
      <c r="K414"/>
      <c r="L414"/>
      <c r="M414"/>
      <c r="N414"/>
      <c r="O414"/>
    </row>
    <row r="415" spans="9:15" x14ac:dyDescent="0.25">
      <c r="I415"/>
      <c r="J415"/>
      <c r="K415"/>
      <c r="L415"/>
      <c r="M415"/>
      <c r="N415"/>
      <c r="O415"/>
    </row>
    <row r="416" spans="9:15" x14ac:dyDescent="0.25">
      <c r="I416"/>
      <c r="J416"/>
      <c r="K416"/>
      <c r="L416"/>
      <c r="M416"/>
      <c r="N416"/>
      <c r="O416"/>
    </row>
    <row r="417" spans="9:15" x14ac:dyDescent="0.25">
      <c r="I417"/>
      <c r="J417"/>
      <c r="K417"/>
      <c r="L417"/>
      <c r="M417"/>
      <c r="N417"/>
      <c r="O417"/>
    </row>
    <row r="418" spans="9:15" x14ac:dyDescent="0.25">
      <c r="I418"/>
      <c r="J418"/>
      <c r="K418"/>
      <c r="L418"/>
      <c r="M418"/>
      <c r="N418"/>
      <c r="O418"/>
    </row>
    <row r="419" spans="9:15" x14ac:dyDescent="0.25">
      <c r="I419"/>
      <c r="J419"/>
      <c r="K419"/>
      <c r="L419"/>
      <c r="M419"/>
      <c r="N419"/>
      <c r="O419"/>
    </row>
    <row r="420" spans="9:15" x14ac:dyDescent="0.25">
      <c r="I420"/>
      <c r="J420"/>
      <c r="K420"/>
      <c r="L420"/>
      <c r="M420"/>
      <c r="N420"/>
      <c r="O420"/>
    </row>
    <row r="421" spans="9:15" x14ac:dyDescent="0.25">
      <c r="I421"/>
      <c r="J421"/>
      <c r="K421"/>
      <c r="L421"/>
      <c r="M421"/>
      <c r="N421"/>
      <c r="O421"/>
    </row>
    <row r="422" spans="9:15" x14ac:dyDescent="0.25">
      <c r="I422"/>
      <c r="J422"/>
      <c r="K422"/>
      <c r="L422"/>
      <c r="M422"/>
      <c r="N422"/>
      <c r="O422"/>
    </row>
    <row r="423" spans="9:15" x14ac:dyDescent="0.25">
      <c r="I423"/>
      <c r="J423"/>
      <c r="K423"/>
      <c r="L423"/>
      <c r="M423"/>
      <c r="N423"/>
      <c r="O423"/>
    </row>
    <row r="424" spans="9:15" x14ac:dyDescent="0.25">
      <c r="I424"/>
      <c r="J424"/>
      <c r="K424"/>
      <c r="L424"/>
      <c r="M424"/>
      <c r="N424"/>
      <c r="O424"/>
    </row>
    <row r="425" spans="9:15" x14ac:dyDescent="0.25">
      <c r="I425"/>
      <c r="J425"/>
      <c r="K425"/>
      <c r="L425"/>
      <c r="M425"/>
      <c r="N425"/>
      <c r="O425"/>
    </row>
    <row r="426" spans="9:15" x14ac:dyDescent="0.25">
      <c r="I426"/>
      <c r="J426"/>
      <c r="K426"/>
      <c r="L426"/>
      <c r="M426"/>
      <c r="N426"/>
      <c r="O426"/>
    </row>
    <row r="427" spans="9:15" x14ac:dyDescent="0.25">
      <c r="I427"/>
      <c r="J427"/>
      <c r="K427"/>
      <c r="L427"/>
      <c r="M427"/>
      <c r="N427"/>
      <c r="O427"/>
    </row>
    <row r="428" spans="9:15" x14ac:dyDescent="0.25">
      <c r="I428"/>
      <c r="J428"/>
      <c r="K428"/>
      <c r="L428"/>
      <c r="M428"/>
      <c r="N428"/>
      <c r="O428"/>
    </row>
    <row r="429" spans="9:15" x14ac:dyDescent="0.25">
      <c r="I429"/>
      <c r="J429"/>
      <c r="K429"/>
      <c r="L429"/>
      <c r="M429"/>
      <c r="N429"/>
      <c r="O429"/>
    </row>
    <row r="430" spans="9:15" x14ac:dyDescent="0.25">
      <c r="I430"/>
      <c r="J430"/>
      <c r="K430"/>
      <c r="L430"/>
      <c r="M430"/>
      <c r="N430"/>
      <c r="O430"/>
    </row>
    <row r="431" spans="9:15" x14ac:dyDescent="0.25">
      <c r="I431"/>
      <c r="J431"/>
      <c r="K431"/>
      <c r="L431"/>
      <c r="M431"/>
      <c r="N431"/>
      <c r="O431"/>
    </row>
    <row r="432" spans="9:15" x14ac:dyDescent="0.25">
      <c r="I432"/>
      <c r="J432"/>
      <c r="K432"/>
      <c r="L432"/>
      <c r="M432"/>
      <c r="N432"/>
      <c r="O432"/>
    </row>
    <row r="433" spans="9:15" x14ac:dyDescent="0.25">
      <c r="I433"/>
      <c r="J433"/>
      <c r="K433"/>
      <c r="L433"/>
      <c r="M433"/>
      <c r="N433"/>
      <c r="O433"/>
    </row>
    <row r="434" spans="9:15" x14ac:dyDescent="0.25">
      <c r="I434"/>
      <c r="J434"/>
      <c r="K434"/>
      <c r="L434"/>
      <c r="M434"/>
      <c r="N434"/>
      <c r="O434"/>
    </row>
    <row r="435" spans="9:15" x14ac:dyDescent="0.25">
      <c r="I435"/>
      <c r="J435"/>
      <c r="K435"/>
      <c r="L435"/>
      <c r="M435"/>
      <c r="N435"/>
      <c r="O435"/>
    </row>
    <row r="436" spans="9:15" x14ac:dyDescent="0.25">
      <c r="I436"/>
      <c r="J436"/>
      <c r="K436"/>
      <c r="L436"/>
      <c r="M436"/>
      <c r="N436"/>
      <c r="O436"/>
    </row>
    <row r="437" spans="9:15" x14ac:dyDescent="0.25">
      <c r="I437"/>
      <c r="J437"/>
      <c r="K437"/>
      <c r="L437"/>
      <c r="M437"/>
      <c r="N437"/>
      <c r="O437"/>
    </row>
    <row r="438" spans="9:15" x14ac:dyDescent="0.25">
      <c r="I438"/>
      <c r="J438"/>
      <c r="K438"/>
      <c r="L438"/>
      <c r="M438"/>
      <c r="N438"/>
      <c r="O438"/>
    </row>
    <row r="439" spans="9:15" x14ac:dyDescent="0.25">
      <c r="I439"/>
      <c r="J439"/>
      <c r="K439"/>
      <c r="L439"/>
      <c r="M439"/>
      <c r="N439"/>
      <c r="O439"/>
    </row>
    <row r="440" spans="9:15" x14ac:dyDescent="0.25">
      <c r="I440"/>
      <c r="J440"/>
      <c r="K440"/>
      <c r="L440"/>
      <c r="M440"/>
      <c r="N440"/>
      <c r="O440"/>
    </row>
    <row r="441" spans="9:15" x14ac:dyDescent="0.25">
      <c r="I441"/>
      <c r="J441"/>
      <c r="K441"/>
      <c r="L441"/>
      <c r="M441"/>
      <c r="N441"/>
      <c r="O441"/>
    </row>
    <row r="442" spans="9:15" x14ac:dyDescent="0.25">
      <c r="I442"/>
      <c r="J442"/>
      <c r="K442"/>
      <c r="L442"/>
      <c r="M442"/>
      <c r="N442"/>
      <c r="O442"/>
    </row>
    <row r="443" spans="9:15" x14ac:dyDescent="0.25">
      <c r="I443"/>
      <c r="J443"/>
      <c r="K443"/>
      <c r="L443"/>
      <c r="M443"/>
      <c r="N443"/>
      <c r="O443"/>
    </row>
    <row r="444" spans="9:15" x14ac:dyDescent="0.25">
      <c r="I444"/>
      <c r="J444"/>
      <c r="K444"/>
      <c r="L444"/>
      <c r="M444"/>
      <c r="N444"/>
      <c r="O444"/>
    </row>
    <row r="445" spans="9:15" x14ac:dyDescent="0.25">
      <c r="I445"/>
      <c r="J445"/>
      <c r="K445"/>
      <c r="L445"/>
      <c r="M445"/>
      <c r="N445"/>
      <c r="O445"/>
    </row>
    <row r="446" spans="9:15" x14ac:dyDescent="0.25">
      <c r="I446"/>
      <c r="J446"/>
      <c r="K446"/>
      <c r="L446"/>
      <c r="M446"/>
      <c r="N446"/>
      <c r="O446"/>
    </row>
    <row r="447" spans="9:15" x14ac:dyDescent="0.25">
      <c r="I447"/>
      <c r="J447"/>
      <c r="K447"/>
      <c r="L447"/>
      <c r="M447"/>
      <c r="N447"/>
      <c r="O447"/>
    </row>
    <row r="448" spans="9:15" x14ac:dyDescent="0.25">
      <c r="I448"/>
      <c r="J448"/>
      <c r="K448"/>
      <c r="L448"/>
      <c r="M448"/>
      <c r="N448"/>
      <c r="O448"/>
    </row>
    <row r="449" spans="9:15" x14ac:dyDescent="0.25">
      <c r="I449"/>
      <c r="J449"/>
      <c r="K449"/>
      <c r="L449"/>
      <c r="M449"/>
      <c r="N449"/>
      <c r="O449"/>
    </row>
    <row r="450" spans="9:15" x14ac:dyDescent="0.25">
      <c r="I450"/>
      <c r="J450"/>
      <c r="K450"/>
      <c r="L450"/>
      <c r="M450"/>
      <c r="N450"/>
      <c r="O450"/>
    </row>
    <row r="451" spans="9:15" x14ac:dyDescent="0.25">
      <c r="I451"/>
      <c r="J451"/>
      <c r="K451"/>
      <c r="L451"/>
      <c r="M451"/>
      <c r="N451"/>
      <c r="O451"/>
    </row>
    <row r="452" spans="9:15" x14ac:dyDescent="0.25">
      <c r="I452"/>
      <c r="J452"/>
      <c r="K452"/>
      <c r="L452"/>
      <c r="M452"/>
      <c r="N452"/>
      <c r="O452"/>
    </row>
    <row r="453" spans="9:15" x14ac:dyDescent="0.25">
      <c r="I453"/>
      <c r="J453"/>
      <c r="K453"/>
      <c r="L453"/>
      <c r="M453"/>
      <c r="N453"/>
      <c r="O453"/>
    </row>
    <row r="454" spans="9:15" x14ac:dyDescent="0.25">
      <c r="I454"/>
      <c r="J454"/>
      <c r="K454"/>
      <c r="L454"/>
      <c r="M454"/>
      <c r="N454"/>
      <c r="O454"/>
    </row>
    <row r="455" spans="9:15" x14ac:dyDescent="0.25">
      <c r="I455"/>
      <c r="J455"/>
      <c r="K455"/>
      <c r="L455"/>
      <c r="M455"/>
      <c r="N455"/>
      <c r="O455"/>
    </row>
    <row r="456" spans="9:15" x14ac:dyDescent="0.25">
      <c r="I456"/>
      <c r="J456"/>
      <c r="K456"/>
      <c r="L456"/>
      <c r="M456"/>
      <c r="N456"/>
      <c r="O456"/>
    </row>
    <row r="457" spans="9:15" x14ac:dyDescent="0.25">
      <c r="I457"/>
      <c r="J457"/>
      <c r="K457"/>
      <c r="L457"/>
      <c r="M457"/>
      <c r="N457"/>
      <c r="O457"/>
    </row>
    <row r="458" spans="9:15" x14ac:dyDescent="0.25">
      <c r="I458"/>
      <c r="J458"/>
      <c r="K458"/>
      <c r="L458"/>
      <c r="M458"/>
      <c r="N458"/>
      <c r="O458"/>
    </row>
    <row r="459" spans="9:15" x14ac:dyDescent="0.25">
      <c r="I459"/>
      <c r="J459"/>
      <c r="K459"/>
      <c r="L459"/>
      <c r="M459"/>
      <c r="N459"/>
      <c r="O459"/>
    </row>
    <row r="460" spans="9:15" x14ac:dyDescent="0.25">
      <c r="I460"/>
      <c r="J460"/>
      <c r="K460"/>
      <c r="L460"/>
      <c r="M460"/>
      <c r="N460"/>
      <c r="O460"/>
    </row>
    <row r="461" spans="9:15" x14ac:dyDescent="0.25">
      <c r="I461"/>
      <c r="J461"/>
      <c r="K461"/>
      <c r="L461"/>
      <c r="M461"/>
      <c r="N461"/>
      <c r="O461"/>
    </row>
    <row r="462" spans="9:15" x14ac:dyDescent="0.25">
      <c r="I462"/>
      <c r="J462"/>
      <c r="K462"/>
      <c r="L462"/>
      <c r="M462"/>
      <c r="N462"/>
      <c r="O462"/>
    </row>
    <row r="463" spans="9:15" x14ac:dyDescent="0.25">
      <c r="I463"/>
      <c r="J463"/>
      <c r="K463"/>
      <c r="L463"/>
      <c r="M463"/>
      <c r="N463"/>
      <c r="O463"/>
    </row>
    <row r="464" spans="9:15" x14ac:dyDescent="0.25">
      <c r="I464"/>
      <c r="J464"/>
      <c r="K464"/>
      <c r="L464"/>
      <c r="M464"/>
      <c r="N464"/>
      <c r="O464"/>
    </row>
    <row r="465" spans="9:15" x14ac:dyDescent="0.25">
      <c r="I465"/>
      <c r="J465"/>
      <c r="K465"/>
      <c r="L465"/>
      <c r="M465"/>
      <c r="N465"/>
      <c r="O465"/>
    </row>
    <row r="466" spans="9:15" x14ac:dyDescent="0.25">
      <c r="I466"/>
      <c r="J466"/>
      <c r="K466"/>
      <c r="L466"/>
      <c r="M466"/>
      <c r="N466"/>
      <c r="O466"/>
    </row>
    <row r="467" spans="9:15" x14ac:dyDescent="0.25">
      <c r="I467"/>
      <c r="J467"/>
      <c r="K467"/>
      <c r="L467"/>
      <c r="M467"/>
      <c r="N467"/>
      <c r="O467"/>
    </row>
    <row r="468" spans="9:15" x14ac:dyDescent="0.25">
      <c r="I468"/>
      <c r="J468"/>
      <c r="K468"/>
      <c r="L468"/>
      <c r="M468"/>
      <c r="N468"/>
      <c r="O468"/>
    </row>
    <row r="469" spans="9:15" x14ac:dyDescent="0.25">
      <c r="I469"/>
      <c r="J469"/>
      <c r="K469"/>
      <c r="L469"/>
      <c r="M469"/>
      <c r="N469"/>
      <c r="O469"/>
    </row>
    <row r="470" spans="9:15" x14ac:dyDescent="0.25">
      <c r="I470"/>
      <c r="J470"/>
      <c r="K470"/>
      <c r="L470"/>
      <c r="M470"/>
      <c r="N470"/>
      <c r="O470"/>
    </row>
    <row r="471" spans="9:15" x14ac:dyDescent="0.25">
      <c r="I471"/>
      <c r="J471"/>
      <c r="K471"/>
      <c r="L471"/>
      <c r="M471"/>
      <c r="N471"/>
      <c r="O471"/>
    </row>
    <row r="472" spans="9:15" x14ac:dyDescent="0.25">
      <c r="I472"/>
      <c r="J472"/>
      <c r="K472"/>
      <c r="L472"/>
      <c r="M472"/>
      <c r="N472"/>
      <c r="O472"/>
    </row>
    <row r="473" spans="9:15" x14ac:dyDescent="0.25">
      <c r="I473"/>
      <c r="J473"/>
      <c r="K473"/>
      <c r="L473"/>
      <c r="M473"/>
      <c r="N473"/>
      <c r="O473"/>
    </row>
    <row r="474" spans="9:15" x14ac:dyDescent="0.25">
      <c r="I474"/>
      <c r="J474"/>
      <c r="K474"/>
      <c r="L474"/>
      <c r="M474"/>
      <c r="N474"/>
      <c r="O474"/>
    </row>
    <row r="475" spans="9:15" x14ac:dyDescent="0.25">
      <c r="I475"/>
      <c r="J475"/>
      <c r="K475"/>
      <c r="L475"/>
      <c r="M475"/>
      <c r="N475"/>
      <c r="O475"/>
    </row>
    <row r="476" spans="9:15" x14ac:dyDescent="0.25">
      <c r="I476"/>
      <c r="J476"/>
      <c r="K476"/>
      <c r="L476"/>
      <c r="M476"/>
      <c r="N476"/>
      <c r="O476"/>
    </row>
    <row r="477" spans="9:15" x14ac:dyDescent="0.25">
      <c r="I477"/>
      <c r="J477"/>
      <c r="K477"/>
      <c r="L477"/>
      <c r="M477"/>
      <c r="N477"/>
      <c r="O477"/>
    </row>
    <row r="478" spans="9:15" x14ac:dyDescent="0.25">
      <c r="I478"/>
      <c r="J478"/>
      <c r="K478"/>
      <c r="L478"/>
      <c r="M478"/>
      <c r="N478"/>
      <c r="O478"/>
    </row>
    <row r="479" spans="9:15" x14ac:dyDescent="0.25">
      <c r="I479"/>
      <c r="J479"/>
      <c r="K479"/>
      <c r="L479"/>
      <c r="M479"/>
      <c r="N479"/>
      <c r="O479"/>
    </row>
    <row r="480" spans="9:15" x14ac:dyDescent="0.25">
      <c r="I480"/>
      <c r="J480"/>
      <c r="K480"/>
      <c r="L480"/>
      <c r="M480"/>
      <c r="N480"/>
      <c r="O480"/>
    </row>
    <row r="481" spans="9:15" x14ac:dyDescent="0.25">
      <c r="I481"/>
      <c r="J481"/>
      <c r="K481"/>
      <c r="L481"/>
      <c r="M481"/>
      <c r="N481"/>
      <c r="O481"/>
    </row>
    <row r="482" spans="9:15" x14ac:dyDescent="0.25">
      <c r="I482"/>
      <c r="J482"/>
      <c r="K482"/>
      <c r="L482"/>
      <c r="M482"/>
      <c r="N482"/>
      <c r="O482"/>
    </row>
    <row r="483" spans="9:15" x14ac:dyDescent="0.25">
      <c r="I483"/>
      <c r="J483"/>
      <c r="K483"/>
      <c r="L483"/>
      <c r="M483"/>
      <c r="N483"/>
      <c r="O483"/>
    </row>
    <row r="484" spans="9:15" x14ac:dyDescent="0.25">
      <c r="I484"/>
      <c r="J484"/>
      <c r="K484"/>
      <c r="L484"/>
      <c r="M484"/>
      <c r="N484"/>
      <c r="O484"/>
    </row>
    <row r="485" spans="9:15" x14ac:dyDescent="0.25">
      <c r="I485"/>
      <c r="J485"/>
      <c r="K485"/>
      <c r="L485"/>
      <c r="M485"/>
      <c r="N485"/>
      <c r="O485"/>
    </row>
    <row r="486" spans="9:15" x14ac:dyDescent="0.25">
      <c r="I486"/>
      <c r="J486"/>
      <c r="K486"/>
      <c r="L486"/>
      <c r="M486"/>
      <c r="N486"/>
      <c r="O486"/>
    </row>
    <row r="487" spans="9:15" x14ac:dyDescent="0.25">
      <c r="I487"/>
      <c r="J487"/>
      <c r="K487"/>
      <c r="L487"/>
      <c r="M487"/>
      <c r="N487"/>
      <c r="O487"/>
    </row>
    <row r="488" spans="9:15" x14ac:dyDescent="0.25">
      <c r="I488"/>
      <c r="J488"/>
      <c r="K488"/>
      <c r="L488"/>
      <c r="M488"/>
      <c r="N488"/>
      <c r="O488"/>
    </row>
    <row r="489" spans="9:15" x14ac:dyDescent="0.25">
      <c r="I489"/>
      <c r="J489"/>
      <c r="K489"/>
      <c r="L489"/>
      <c r="M489"/>
      <c r="N489"/>
      <c r="O489"/>
    </row>
    <row r="490" spans="9:15" x14ac:dyDescent="0.25">
      <c r="I490"/>
      <c r="J490"/>
      <c r="K490"/>
      <c r="L490"/>
      <c r="M490"/>
      <c r="N490"/>
      <c r="O490"/>
    </row>
    <row r="491" spans="9:15" x14ac:dyDescent="0.25">
      <c r="I491"/>
      <c r="J491"/>
      <c r="K491"/>
      <c r="L491"/>
      <c r="M491"/>
      <c r="N491"/>
      <c r="O491"/>
    </row>
    <row r="492" spans="9:15" x14ac:dyDescent="0.25">
      <c r="I492"/>
      <c r="J492"/>
      <c r="K492"/>
      <c r="L492"/>
      <c r="M492"/>
      <c r="N492"/>
      <c r="O492"/>
    </row>
    <row r="493" spans="9:15" x14ac:dyDescent="0.25">
      <c r="I493"/>
      <c r="J493"/>
      <c r="K493"/>
      <c r="L493"/>
      <c r="M493"/>
      <c r="N493"/>
      <c r="O493"/>
    </row>
    <row r="494" spans="9:15" x14ac:dyDescent="0.25">
      <c r="I494"/>
      <c r="J494"/>
      <c r="K494"/>
      <c r="L494"/>
      <c r="M494"/>
      <c r="N494"/>
      <c r="O494"/>
    </row>
    <row r="495" spans="9:15" x14ac:dyDescent="0.25">
      <c r="I495"/>
      <c r="J495"/>
      <c r="K495"/>
      <c r="L495"/>
      <c r="M495"/>
      <c r="N495"/>
      <c r="O495"/>
    </row>
    <row r="496" spans="9:15" x14ac:dyDescent="0.25">
      <c r="I496"/>
      <c r="J496"/>
      <c r="K496"/>
      <c r="L496"/>
      <c r="M496"/>
      <c r="N496"/>
      <c r="O496"/>
    </row>
    <row r="497" spans="9:15" x14ac:dyDescent="0.25">
      <c r="I497"/>
      <c r="J497"/>
      <c r="K497"/>
      <c r="L497"/>
      <c r="M497"/>
      <c r="N497"/>
      <c r="O497"/>
    </row>
    <row r="498" spans="9:15" x14ac:dyDescent="0.25">
      <c r="I498"/>
      <c r="J498"/>
      <c r="K498"/>
      <c r="L498"/>
      <c r="M498"/>
      <c r="N498"/>
      <c r="O498"/>
    </row>
    <row r="499" spans="9:15" x14ac:dyDescent="0.25">
      <c r="I499"/>
      <c r="J499"/>
      <c r="K499"/>
      <c r="L499"/>
      <c r="M499"/>
      <c r="N499"/>
      <c r="O499"/>
    </row>
    <row r="500" spans="9:15" x14ac:dyDescent="0.25">
      <c r="I500"/>
      <c r="J500"/>
      <c r="K500"/>
      <c r="L500"/>
      <c r="M500"/>
      <c r="N500"/>
      <c r="O500"/>
    </row>
    <row r="501" spans="9:15" x14ac:dyDescent="0.25">
      <c r="I501"/>
      <c r="J501"/>
      <c r="K501"/>
      <c r="L501"/>
      <c r="M501"/>
      <c r="N501"/>
      <c r="O501"/>
    </row>
    <row r="502" spans="9:15" x14ac:dyDescent="0.25">
      <c r="I502"/>
      <c r="J502"/>
      <c r="K502"/>
      <c r="L502"/>
      <c r="M502"/>
      <c r="N502"/>
      <c r="O502"/>
    </row>
    <row r="503" spans="9:15" x14ac:dyDescent="0.25">
      <c r="I503"/>
      <c r="J503"/>
      <c r="K503"/>
      <c r="L503"/>
      <c r="M503"/>
      <c r="N503"/>
      <c r="O503"/>
    </row>
    <row r="504" spans="9:15" x14ac:dyDescent="0.25">
      <c r="I504"/>
      <c r="J504"/>
      <c r="K504"/>
      <c r="L504"/>
      <c r="M504"/>
      <c r="N504"/>
      <c r="O504"/>
    </row>
    <row r="505" spans="9:15" x14ac:dyDescent="0.25">
      <c r="I505"/>
      <c r="J505"/>
      <c r="K505"/>
      <c r="L505"/>
      <c r="M505"/>
      <c r="N505"/>
      <c r="O505"/>
    </row>
    <row r="506" spans="9:15" x14ac:dyDescent="0.25">
      <c r="I506"/>
      <c r="J506"/>
      <c r="K506"/>
      <c r="L506"/>
      <c r="M506"/>
      <c r="N506"/>
      <c r="O506"/>
    </row>
    <row r="507" spans="9:15" x14ac:dyDescent="0.25">
      <c r="I507"/>
      <c r="J507"/>
      <c r="K507"/>
      <c r="L507"/>
      <c r="M507"/>
      <c r="N507"/>
      <c r="O507"/>
    </row>
    <row r="508" spans="9:15" x14ac:dyDescent="0.25">
      <c r="I508"/>
      <c r="J508"/>
      <c r="K508"/>
      <c r="L508"/>
      <c r="M508"/>
      <c r="N508"/>
      <c r="O508"/>
    </row>
    <row r="509" spans="9:15" x14ac:dyDescent="0.25">
      <c r="I509"/>
      <c r="J509"/>
      <c r="K509"/>
      <c r="L509"/>
      <c r="M509"/>
      <c r="N509"/>
      <c r="O509"/>
    </row>
    <row r="510" spans="9:15" x14ac:dyDescent="0.25">
      <c r="I510"/>
      <c r="J510"/>
      <c r="K510"/>
      <c r="L510"/>
      <c r="M510"/>
      <c r="N510"/>
      <c r="O510"/>
    </row>
    <row r="511" spans="9:15" x14ac:dyDescent="0.25">
      <c r="I511"/>
      <c r="J511"/>
      <c r="K511"/>
      <c r="L511"/>
      <c r="M511"/>
      <c r="N511"/>
      <c r="O511"/>
    </row>
    <row r="512" spans="9:15" x14ac:dyDescent="0.25">
      <c r="I512"/>
      <c r="J512"/>
      <c r="K512"/>
      <c r="L512"/>
      <c r="M512"/>
      <c r="N512"/>
      <c r="O512"/>
    </row>
    <row r="513" spans="9:15" x14ac:dyDescent="0.25">
      <c r="I513"/>
      <c r="J513"/>
      <c r="K513"/>
      <c r="L513"/>
      <c r="M513"/>
      <c r="N513"/>
      <c r="O513"/>
    </row>
    <row r="514" spans="9:15" x14ac:dyDescent="0.25">
      <c r="I514"/>
      <c r="J514"/>
      <c r="K514"/>
      <c r="L514"/>
      <c r="M514"/>
      <c r="N514"/>
      <c r="O514"/>
    </row>
    <row r="515" spans="9:15" x14ac:dyDescent="0.25">
      <c r="I515"/>
      <c r="J515"/>
      <c r="K515"/>
      <c r="L515"/>
      <c r="M515"/>
      <c r="N515"/>
      <c r="O515"/>
    </row>
    <row r="516" spans="9:15" x14ac:dyDescent="0.25">
      <c r="I516"/>
      <c r="J516"/>
      <c r="K516"/>
      <c r="L516"/>
      <c r="M516"/>
      <c r="N516"/>
      <c r="O516"/>
    </row>
    <row r="517" spans="9:15" x14ac:dyDescent="0.25">
      <c r="I517"/>
      <c r="J517"/>
      <c r="K517"/>
      <c r="L517"/>
      <c r="M517"/>
      <c r="N517"/>
      <c r="O517"/>
    </row>
    <row r="518" spans="9:15" x14ac:dyDescent="0.25">
      <c r="I518"/>
      <c r="J518"/>
      <c r="K518"/>
      <c r="L518"/>
      <c r="M518"/>
      <c r="N518"/>
      <c r="O518"/>
    </row>
    <row r="519" spans="9:15" x14ac:dyDescent="0.25">
      <c r="I519"/>
      <c r="J519"/>
      <c r="K519"/>
      <c r="L519"/>
      <c r="M519"/>
      <c r="N519"/>
      <c r="O519"/>
    </row>
    <row r="520" spans="9:15" x14ac:dyDescent="0.25">
      <c r="I520"/>
      <c r="J520"/>
      <c r="K520"/>
      <c r="L520"/>
      <c r="M520"/>
      <c r="N520"/>
      <c r="O520"/>
    </row>
    <row r="521" spans="9:15" x14ac:dyDescent="0.25">
      <c r="I521"/>
      <c r="J521"/>
      <c r="K521"/>
      <c r="L521"/>
      <c r="M521"/>
      <c r="N521"/>
      <c r="O521"/>
    </row>
    <row r="522" spans="9:15" x14ac:dyDescent="0.25">
      <c r="I522"/>
      <c r="J522"/>
      <c r="K522"/>
      <c r="L522"/>
      <c r="M522"/>
      <c r="N522"/>
      <c r="O522"/>
    </row>
    <row r="523" spans="9:15" x14ac:dyDescent="0.25">
      <c r="I523"/>
      <c r="J523"/>
      <c r="K523"/>
      <c r="L523"/>
      <c r="M523"/>
      <c r="N523"/>
      <c r="O523"/>
    </row>
    <row r="524" spans="9:15" x14ac:dyDescent="0.25">
      <c r="I524"/>
      <c r="J524"/>
      <c r="K524"/>
      <c r="L524"/>
      <c r="M524"/>
      <c r="N524"/>
      <c r="O524"/>
    </row>
    <row r="525" spans="9:15" x14ac:dyDescent="0.25">
      <c r="I525"/>
      <c r="J525"/>
      <c r="K525"/>
      <c r="L525"/>
      <c r="M525"/>
      <c r="N525"/>
      <c r="O525"/>
    </row>
    <row r="526" spans="9:15" x14ac:dyDescent="0.25">
      <c r="I526"/>
      <c r="J526"/>
      <c r="K526"/>
      <c r="L526"/>
      <c r="M526"/>
      <c r="N526"/>
      <c r="O526"/>
    </row>
    <row r="527" spans="9:15" x14ac:dyDescent="0.25">
      <c r="I527"/>
      <c r="J527"/>
      <c r="K527"/>
      <c r="L527"/>
      <c r="M527"/>
      <c r="N527"/>
      <c r="O527"/>
    </row>
    <row r="528" spans="9:15" x14ac:dyDescent="0.25">
      <c r="I528"/>
      <c r="J528"/>
      <c r="K528"/>
      <c r="L528"/>
      <c r="M528"/>
      <c r="N528"/>
      <c r="O528"/>
    </row>
    <row r="529" spans="9:15" x14ac:dyDescent="0.25">
      <c r="I529"/>
      <c r="J529"/>
      <c r="K529"/>
      <c r="L529"/>
      <c r="M529"/>
      <c r="N529"/>
      <c r="O529"/>
    </row>
    <row r="530" spans="9:15" x14ac:dyDescent="0.25">
      <c r="I530"/>
      <c r="J530"/>
      <c r="K530"/>
      <c r="L530"/>
      <c r="M530"/>
      <c r="N530"/>
      <c r="O530"/>
    </row>
    <row r="531" spans="9:15" x14ac:dyDescent="0.25">
      <c r="I531"/>
      <c r="J531"/>
      <c r="K531"/>
      <c r="L531"/>
      <c r="M531"/>
      <c r="N531"/>
      <c r="O531"/>
    </row>
    <row r="532" spans="9:15" x14ac:dyDescent="0.25">
      <c r="I532"/>
      <c r="J532"/>
      <c r="K532"/>
      <c r="L532"/>
      <c r="M532"/>
      <c r="N532"/>
      <c r="O532"/>
    </row>
    <row r="533" spans="9:15" x14ac:dyDescent="0.25">
      <c r="I533"/>
      <c r="J533"/>
      <c r="K533"/>
      <c r="L533"/>
      <c r="M533"/>
      <c r="N533"/>
      <c r="O533"/>
    </row>
    <row r="534" spans="9:15" x14ac:dyDescent="0.25">
      <c r="I534"/>
      <c r="J534"/>
      <c r="K534"/>
      <c r="L534"/>
      <c r="M534"/>
      <c r="N534"/>
      <c r="O534"/>
    </row>
    <row r="535" spans="9:15" x14ac:dyDescent="0.25">
      <c r="I535"/>
      <c r="J535"/>
      <c r="K535"/>
      <c r="L535"/>
      <c r="M535"/>
      <c r="N535"/>
      <c r="O535"/>
    </row>
    <row r="536" spans="9:15" x14ac:dyDescent="0.25">
      <c r="I536"/>
      <c r="J536"/>
      <c r="K536"/>
      <c r="L536"/>
      <c r="M536"/>
      <c r="N536"/>
      <c r="O536"/>
    </row>
    <row r="537" spans="9:15" x14ac:dyDescent="0.25">
      <c r="I537"/>
      <c r="J537"/>
      <c r="K537"/>
      <c r="L537"/>
      <c r="M537"/>
      <c r="N537"/>
      <c r="O537"/>
    </row>
    <row r="538" spans="9:15" x14ac:dyDescent="0.25">
      <c r="I538"/>
      <c r="J538"/>
      <c r="K538"/>
      <c r="L538"/>
      <c r="M538"/>
      <c r="N538"/>
      <c r="O538"/>
    </row>
    <row r="539" spans="9:15" x14ac:dyDescent="0.25">
      <c r="I539"/>
      <c r="J539"/>
      <c r="K539"/>
      <c r="L539"/>
      <c r="M539"/>
      <c r="N539"/>
      <c r="O539"/>
    </row>
    <row r="540" spans="9:15" x14ac:dyDescent="0.25">
      <c r="I540"/>
      <c r="J540"/>
      <c r="K540"/>
      <c r="L540"/>
      <c r="M540"/>
      <c r="N540"/>
      <c r="O540"/>
    </row>
    <row r="541" spans="9:15" x14ac:dyDescent="0.25">
      <c r="I541"/>
      <c r="J541"/>
      <c r="K541"/>
      <c r="L541"/>
      <c r="M541"/>
      <c r="N541"/>
      <c r="O541"/>
    </row>
    <row r="542" spans="9:15" x14ac:dyDescent="0.25">
      <c r="I542"/>
      <c r="J542"/>
      <c r="K542"/>
      <c r="L542"/>
      <c r="M542"/>
      <c r="N542"/>
      <c r="O542"/>
    </row>
    <row r="543" spans="9:15" x14ac:dyDescent="0.25">
      <c r="I543"/>
      <c r="J543"/>
      <c r="K543"/>
      <c r="L543"/>
      <c r="M543"/>
      <c r="N543"/>
      <c r="O543"/>
    </row>
    <row r="544" spans="9:15" x14ac:dyDescent="0.25">
      <c r="I544"/>
      <c r="J544"/>
      <c r="K544"/>
      <c r="L544"/>
      <c r="M544"/>
      <c r="N544"/>
      <c r="O544"/>
    </row>
    <row r="545" spans="9:15" x14ac:dyDescent="0.25">
      <c r="I545"/>
      <c r="J545"/>
      <c r="K545"/>
      <c r="L545"/>
      <c r="M545"/>
      <c r="N545"/>
      <c r="O545"/>
    </row>
    <row r="546" spans="9:15" x14ac:dyDescent="0.25">
      <c r="I546"/>
      <c r="J546"/>
      <c r="K546"/>
      <c r="L546"/>
      <c r="M546"/>
      <c r="N546"/>
      <c r="O546"/>
    </row>
    <row r="547" spans="9:15" x14ac:dyDescent="0.25">
      <c r="I547"/>
      <c r="J547"/>
      <c r="K547"/>
      <c r="L547"/>
      <c r="M547"/>
      <c r="N547"/>
      <c r="O547"/>
    </row>
    <row r="548" spans="9:15" x14ac:dyDescent="0.25">
      <c r="I548"/>
      <c r="J548"/>
      <c r="K548"/>
      <c r="L548"/>
      <c r="M548"/>
      <c r="N548"/>
      <c r="O548"/>
    </row>
    <row r="549" spans="9:15" x14ac:dyDescent="0.25">
      <c r="I549"/>
      <c r="J549"/>
      <c r="K549"/>
      <c r="L549"/>
      <c r="M549"/>
      <c r="N549"/>
      <c r="O549"/>
    </row>
    <row r="550" spans="9:15" x14ac:dyDescent="0.25">
      <c r="I550"/>
      <c r="J550"/>
      <c r="K550"/>
      <c r="L550"/>
      <c r="M550"/>
      <c r="N550"/>
      <c r="O550"/>
    </row>
    <row r="551" spans="9:15" x14ac:dyDescent="0.25">
      <c r="I551"/>
      <c r="J551"/>
      <c r="K551"/>
      <c r="L551"/>
      <c r="M551"/>
      <c r="N551"/>
      <c r="O551"/>
    </row>
    <row r="552" spans="9:15" x14ac:dyDescent="0.25">
      <c r="I552"/>
      <c r="J552"/>
      <c r="K552"/>
      <c r="L552"/>
      <c r="M552"/>
      <c r="N552"/>
      <c r="O552"/>
    </row>
    <row r="553" spans="9:15" x14ac:dyDescent="0.25">
      <c r="I553"/>
      <c r="J553"/>
      <c r="K553"/>
      <c r="L553"/>
      <c r="M553"/>
      <c r="N553"/>
      <c r="O553"/>
    </row>
    <row r="554" spans="9:15" x14ac:dyDescent="0.25">
      <c r="I554"/>
      <c r="J554"/>
      <c r="K554"/>
      <c r="L554"/>
      <c r="M554"/>
      <c r="N554"/>
      <c r="O554"/>
    </row>
    <row r="555" spans="9:15" x14ac:dyDescent="0.25">
      <c r="I555"/>
      <c r="J555"/>
      <c r="K555"/>
      <c r="L555"/>
      <c r="M555"/>
      <c r="N555"/>
      <c r="O555"/>
    </row>
    <row r="556" spans="9:15" x14ac:dyDescent="0.25">
      <c r="I556"/>
      <c r="J556"/>
      <c r="K556"/>
      <c r="L556"/>
      <c r="M556"/>
      <c r="N556"/>
      <c r="O556"/>
    </row>
    <row r="557" spans="9:15" x14ac:dyDescent="0.25">
      <c r="I557"/>
      <c r="J557"/>
      <c r="K557"/>
      <c r="L557"/>
      <c r="M557"/>
      <c r="N557"/>
      <c r="O557"/>
    </row>
    <row r="558" spans="9:15" x14ac:dyDescent="0.25">
      <c r="I558"/>
      <c r="J558"/>
      <c r="K558"/>
      <c r="L558"/>
      <c r="M558"/>
      <c r="N558"/>
      <c r="O558"/>
    </row>
    <row r="559" spans="9:15" x14ac:dyDescent="0.25">
      <c r="I559"/>
      <c r="J559"/>
      <c r="K559"/>
      <c r="L559"/>
      <c r="M559"/>
      <c r="N559"/>
      <c r="O559"/>
    </row>
    <row r="560" spans="9:15" x14ac:dyDescent="0.25">
      <c r="I560"/>
      <c r="J560"/>
      <c r="K560"/>
      <c r="L560"/>
      <c r="M560"/>
      <c r="N560"/>
      <c r="O560"/>
    </row>
    <row r="561" spans="9:15" x14ac:dyDescent="0.25">
      <c r="I561"/>
      <c r="J561"/>
      <c r="K561"/>
      <c r="L561"/>
      <c r="M561"/>
      <c r="N561"/>
      <c r="O561"/>
    </row>
    <row r="562" spans="9:15" x14ac:dyDescent="0.25">
      <c r="I562"/>
      <c r="J562"/>
      <c r="K562"/>
      <c r="L562"/>
      <c r="M562"/>
      <c r="N562"/>
      <c r="O562"/>
    </row>
    <row r="563" spans="9:15" x14ac:dyDescent="0.25">
      <c r="I563"/>
      <c r="J563"/>
      <c r="K563"/>
      <c r="L563"/>
      <c r="M563"/>
      <c r="N563"/>
      <c r="O563"/>
    </row>
    <row r="564" spans="9:15" x14ac:dyDescent="0.25">
      <c r="I564"/>
      <c r="J564"/>
      <c r="K564"/>
      <c r="L564"/>
      <c r="M564"/>
      <c r="N564"/>
      <c r="O564"/>
    </row>
    <row r="565" spans="9:15" x14ac:dyDescent="0.25">
      <c r="I565"/>
      <c r="J565"/>
      <c r="K565"/>
      <c r="L565"/>
      <c r="M565"/>
      <c r="N565"/>
      <c r="O565"/>
    </row>
    <row r="566" spans="9:15" x14ac:dyDescent="0.25">
      <c r="I566"/>
      <c r="J566"/>
      <c r="K566"/>
      <c r="L566"/>
      <c r="M566"/>
      <c r="N566"/>
      <c r="O566"/>
    </row>
    <row r="567" spans="9:15" x14ac:dyDescent="0.25">
      <c r="I567"/>
      <c r="J567"/>
      <c r="K567"/>
      <c r="L567"/>
      <c r="M567"/>
      <c r="N567"/>
      <c r="O567"/>
    </row>
    <row r="568" spans="9:15" x14ac:dyDescent="0.25">
      <c r="I568"/>
      <c r="J568"/>
      <c r="K568"/>
      <c r="L568"/>
      <c r="M568"/>
      <c r="N568"/>
      <c r="O568"/>
    </row>
    <row r="569" spans="9:15" x14ac:dyDescent="0.25">
      <c r="I569"/>
      <c r="J569"/>
      <c r="K569"/>
      <c r="L569"/>
      <c r="M569"/>
      <c r="N569"/>
      <c r="O569"/>
    </row>
    <row r="570" spans="9:15" x14ac:dyDescent="0.25">
      <c r="I570"/>
      <c r="J570"/>
      <c r="K570"/>
      <c r="L570"/>
      <c r="M570"/>
      <c r="N570"/>
      <c r="O570"/>
    </row>
    <row r="571" spans="9:15" x14ac:dyDescent="0.25">
      <c r="I571"/>
      <c r="J571"/>
      <c r="K571"/>
      <c r="L571"/>
      <c r="M571"/>
      <c r="N571"/>
      <c r="O571"/>
    </row>
    <row r="572" spans="9:15" x14ac:dyDescent="0.25">
      <c r="I572"/>
      <c r="J572"/>
      <c r="K572"/>
      <c r="L572"/>
      <c r="M572"/>
      <c r="N572"/>
      <c r="O572"/>
    </row>
    <row r="573" spans="9:15" x14ac:dyDescent="0.25">
      <c r="I573"/>
      <c r="J573"/>
      <c r="K573"/>
      <c r="L573"/>
      <c r="M573"/>
      <c r="N573"/>
      <c r="O573"/>
    </row>
    <row r="574" spans="9:15" x14ac:dyDescent="0.25">
      <c r="I574"/>
      <c r="J574"/>
      <c r="K574"/>
      <c r="L574"/>
      <c r="M574"/>
      <c r="N574"/>
      <c r="O574"/>
    </row>
    <row r="575" spans="9:15" x14ac:dyDescent="0.25">
      <c r="I575"/>
      <c r="J575"/>
      <c r="K575"/>
      <c r="L575"/>
      <c r="M575"/>
      <c r="N575"/>
      <c r="O575"/>
    </row>
    <row r="576" spans="9:15" x14ac:dyDescent="0.25">
      <c r="I576"/>
      <c r="J576"/>
      <c r="K576"/>
      <c r="L576"/>
      <c r="M576"/>
      <c r="N576"/>
      <c r="O576"/>
    </row>
    <row r="577" spans="9:15" x14ac:dyDescent="0.25">
      <c r="I577"/>
      <c r="J577"/>
      <c r="K577"/>
      <c r="L577"/>
      <c r="M577"/>
      <c r="N577"/>
      <c r="O577"/>
    </row>
    <row r="578" spans="9:15" x14ac:dyDescent="0.25">
      <c r="I578"/>
      <c r="J578"/>
      <c r="K578"/>
      <c r="L578"/>
      <c r="M578"/>
      <c r="N578"/>
      <c r="O578"/>
    </row>
    <row r="579" spans="9:15" x14ac:dyDescent="0.25">
      <c r="I579"/>
      <c r="J579"/>
      <c r="K579"/>
      <c r="L579"/>
      <c r="M579"/>
      <c r="N579"/>
      <c r="O579"/>
    </row>
    <row r="580" spans="9:15" x14ac:dyDescent="0.25">
      <c r="I580"/>
      <c r="J580"/>
      <c r="K580"/>
      <c r="L580"/>
      <c r="M580"/>
      <c r="N580"/>
      <c r="O580"/>
    </row>
    <row r="581" spans="9:15" x14ac:dyDescent="0.25">
      <c r="I581"/>
      <c r="J581"/>
      <c r="K581"/>
      <c r="L581"/>
      <c r="M581"/>
      <c r="N581"/>
      <c r="O581"/>
    </row>
    <row r="582" spans="9:15" x14ac:dyDescent="0.25">
      <c r="I582"/>
      <c r="J582"/>
      <c r="K582"/>
      <c r="L582"/>
      <c r="M582"/>
      <c r="N582"/>
      <c r="O582"/>
    </row>
    <row r="583" spans="9:15" x14ac:dyDescent="0.25">
      <c r="I583"/>
      <c r="J583"/>
      <c r="K583"/>
      <c r="L583"/>
      <c r="M583"/>
      <c r="N583"/>
      <c r="O583"/>
    </row>
    <row r="584" spans="9:15" x14ac:dyDescent="0.25">
      <c r="I584"/>
      <c r="J584"/>
      <c r="K584"/>
      <c r="L584"/>
      <c r="M584"/>
      <c r="N584"/>
      <c r="O584"/>
    </row>
    <row r="585" spans="9:15" x14ac:dyDescent="0.25">
      <c r="I585"/>
      <c r="J585"/>
      <c r="K585"/>
      <c r="L585"/>
      <c r="M585"/>
      <c r="N585"/>
      <c r="O585"/>
    </row>
    <row r="586" spans="9:15" x14ac:dyDescent="0.25">
      <c r="I586"/>
      <c r="J586"/>
      <c r="K586"/>
      <c r="L586"/>
      <c r="M586"/>
      <c r="N586"/>
      <c r="O586"/>
    </row>
    <row r="587" spans="9:15" x14ac:dyDescent="0.25">
      <c r="I587"/>
      <c r="J587"/>
      <c r="K587"/>
      <c r="L587"/>
      <c r="M587"/>
      <c r="N587"/>
      <c r="O587"/>
    </row>
    <row r="588" spans="9:15" x14ac:dyDescent="0.25">
      <c r="I588"/>
      <c r="J588"/>
      <c r="K588"/>
      <c r="L588"/>
      <c r="M588"/>
      <c r="N588"/>
      <c r="O588"/>
    </row>
    <row r="589" spans="9:15" x14ac:dyDescent="0.25">
      <c r="I589"/>
      <c r="J589"/>
      <c r="K589"/>
      <c r="L589"/>
      <c r="M589"/>
      <c r="N589"/>
      <c r="O589"/>
    </row>
    <row r="590" spans="9:15" x14ac:dyDescent="0.25">
      <c r="I590"/>
      <c r="J590"/>
      <c r="K590"/>
      <c r="L590"/>
      <c r="M590"/>
      <c r="N590"/>
      <c r="O590"/>
    </row>
    <row r="591" spans="9:15" x14ac:dyDescent="0.25">
      <c r="I591"/>
      <c r="J591"/>
      <c r="K591"/>
      <c r="L591"/>
      <c r="M591"/>
      <c r="N591"/>
      <c r="O591"/>
    </row>
    <row r="592" spans="9:15" x14ac:dyDescent="0.25">
      <c r="I592"/>
      <c r="J592"/>
      <c r="K592"/>
      <c r="L592"/>
      <c r="M592"/>
      <c r="N592"/>
      <c r="O592"/>
    </row>
    <row r="593" spans="9:15" x14ac:dyDescent="0.25">
      <c r="I593"/>
      <c r="J593"/>
      <c r="K593"/>
      <c r="L593"/>
      <c r="M593"/>
      <c r="N593"/>
      <c r="O593"/>
    </row>
    <row r="594" spans="9:15" x14ac:dyDescent="0.25">
      <c r="I594"/>
      <c r="J594"/>
      <c r="K594"/>
      <c r="L594"/>
      <c r="M594"/>
      <c r="N594"/>
      <c r="O594"/>
    </row>
    <row r="595" spans="9:15" x14ac:dyDescent="0.25">
      <c r="I595"/>
      <c r="J595"/>
      <c r="K595"/>
      <c r="L595"/>
      <c r="M595"/>
      <c r="N595"/>
      <c r="O595"/>
    </row>
    <row r="596" spans="9:15" x14ac:dyDescent="0.25">
      <c r="I596"/>
      <c r="J596"/>
      <c r="K596"/>
      <c r="L596"/>
      <c r="M596"/>
      <c r="N596"/>
      <c r="O596"/>
    </row>
    <row r="597" spans="9:15" x14ac:dyDescent="0.25">
      <c r="I597"/>
      <c r="J597"/>
      <c r="K597"/>
      <c r="L597"/>
      <c r="M597"/>
      <c r="N597"/>
      <c r="O597"/>
    </row>
    <row r="598" spans="9:15" x14ac:dyDescent="0.25">
      <c r="I598"/>
      <c r="J598"/>
      <c r="K598"/>
      <c r="L598"/>
      <c r="M598"/>
      <c r="N598"/>
      <c r="O598"/>
    </row>
    <row r="599" spans="9:15" x14ac:dyDescent="0.25">
      <c r="I599"/>
      <c r="J599"/>
      <c r="K599"/>
      <c r="L599"/>
      <c r="M599"/>
      <c r="N599"/>
      <c r="O599"/>
    </row>
    <row r="600" spans="9:15" x14ac:dyDescent="0.25">
      <c r="I600"/>
      <c r="J600"/>
      <c r="K600"/>
      <c r="L600"/>
      <c r="M600"/>
      <c r="N600"/>
      <c r="O600"/>
    </row>
    <row r="601" spans="9:15" x14ac:dyDescent="0.25">
      <c r="I601"/>
      <c r="J601"/>
      <c r="K601"/>
      <c r="L601"/>
      <c r="M601"/>
      <c r="N601"/>
      <c r="O601"/>
    </row>
  </sheetData>
  <autoFilter ref="A2:R110">
    <filterColumn colId="3">
      <filters>
        <filter val="PT.TIRTA (ARI TIRTA)"/>
      </filters>
    </filterColumn>
    <filterColumn colId="9" showButton="0"/>
    <filterColumn colId="10" showButton="0"/>
    <filterColumn colId="11" showButton="0"/>
    <filterColumn colId="12" showButton="0"/>
  </autoFilter>
  <mergeCells count="56">
    <mergeCell ref="O84:O85"/>
    <mergeCell ref="P84:P85"/>
    <mergeCell ref="A44:N44"/>
    <mergeCell ref="A20:A21"/>
    <mergeCell ref="B20:B21"/>
    <mergeCell ref="C20:C21"/>
    <mergeCell ref="D20:D21"/>
    <mergeCell ref="Q2:Q3"/>
    <mergeCell ref="E2:E3"/>
    <mergeCell ref="F2:F3"/>
    <mergeCell ref="N36:N38"/>
    <mergeCell ref="P36:P38"/>
    <mergeCell ref="H36:H38"/>
    <mergeCell ref="K36:K38"/>
    <mergeCell ref="R2:R3"/>
    <mergeCell ref="A19:N19"/>
    <mergeCell ref="G36:G38"/>
    <mergeCell ref="I36:I38"/>
    <mergeCell ref="J36:J38"/>
    <mergeCell ref="O36:O38"/>
    <mergeCell ref="G2:G3"/>
    <mergeCell ref="H2:H3"/>
    <mergeCell ref="I2:I3"/>
    <mergeCell ref="J2:N2"/>
    <mergeCell ref="O2:O3"/>
    <mergeCell ref="P2:P3"/>
    <mergeCell ref="A2:A3"/>
    <mergeCell ref="B2:B3"/>
    <mergeCell ref="C2:C3"/>
    <mergeCell ref="D2:D3"/>
    <mergeCell ref="R20:R21"/>
    <mergeCell ref="E20:E21"/>
    <mergeCell ref="F20:F21"/>
    <mergeCell ref="G20:G21"/>
    <mergeCell ref="H20:H21"/>
    <mergeCell ref="I20:I21"/>
    <mergeCell ref="J20:N20"/>
    <mergeCell ref="O20:O21"/>
    <mergeCell ref="P20:P21"/>
    <mergeCell ref="Q20:Q21"/>
    <mergeCell ref="Q84:Q85"/>
    <mergeCell ref="R84:R85"/>
    <mergeCell ref="A110:M110"/>
    <mergeCell ref="Q45:Q46"/>
    <mergeCell ref="R45:R46"/>
    <mergeCell ref="A84:A85"/>
    <mergeCell ref="B84:B85"/>
    <mergeCell ref="C84:C85"/>
    <mergeCell ref="D84:D85"/>
    <mergeCell ref="E84:E85"/>
    <mergeCell ref="F84:F85"/>
    <mergeCell ref="G84:G85"/>
    <mergeCell ref="H84:H85"/>
    <mergeCell ref="I84:I85"/>
    <mergeCell ref="J84:N84"/>
    <mergeCell ref="A109:N109"/>
  </mergeCells>
  <printOptions horizontalCentered="1"/>
  <pageMargins left="0.11811023622047245" right="0" top="0.74803149606299213" bottom="0.35433070866141736" header="0.31496062992125984" footer="0.31496062992125984"/>
  <pageSetup paperSize="9" scale="65" orientation="landscape" horizontalDpi="4294967293"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2:AQ1540"/>
  <sheetViews>
    <sheetView topLeftCell="F1" zoomScale="96" zoomScaleNormal="96" workbookViewId="0">
      <pane ySplit="3" topLeftCell="A202" activePane="bottomLeft" state="frozen"/>
      <selection activeCell="E1" sqref="E1"/>
      <selection pane="bottomLeft" activeCell="I211" sqref="I211"/>
    </sheetView>
  </sheetViews>
  <sheetFormatPr defaultRowHeight="15" x14ac:dyDescent="0.25"/>
  <cols>
    <col min="1" max="1" width="5.140625" customWidth="1"/>
    <col min="2" max="2" width="12.5703125" style="472" customWidth="1"/>
    <col min="3" max="3" width="20.42578125" style="606" customWidth="1"/>
    <col min="4" max="4" width="15.42578125" customWidth="1"/>
    <col min="5" max="5" width="31.140625" customWidth="1"/>
    <col min="6" max="6" width="26.85546875" style="490" customWidth="1"/>
    <col min="7" max="7" width="36.42578125" style="490" customWidth="1"/>
    <col min="8" max="8" width="13.28515625" style="9" customWidth="1"/>
    <col min="9" max="9" width="17.42578125" style="385" customWidth="1"/>
    <col min="10" max="10" width="16" style="522" customWidth="1"/>
    <col min="11" max="11" width="14.5703125" style="11" customWidth="1"/>
    <col min="12" max="12" width="15" style="11" customWidth="1"/>
    <col min="13" max="13" width="12.5703125" style="11" customWidth="1"/>
    <col min="14" max="14" width="12.7109375" style="11" customWidth="1"/>
    <col min="15" max="15" width="13.28515625" style="34" customWidth="1"/>
    <col min="16" max="16" width="13.42578125" style="11" customWidth="1"/>
    <col min="17" max="17" width="31.28515625" style="11" customWidth="1"/>
    <col min="18" max="18" width="12" customWidth="1"/>
    <col min="19" max="19" width="12.140625" style="130" customWidth="1"/>
    <col min="20" max="20" width="8.5703125" customWidth="1"/>
    <col min="21" max="21" width="17.42578125" style="130" customWidth="1"/>
    <col min="22" max="22" width="11.28515625" customWidth="1"/>
    <col min="23" max="24" width="12.5703125" bestFit="1" customWidth="1"/>
    <col min="25" max="27" width="15.28515625" bestFit="1" customWidth="1"/>
    <col min="28" max="28" width="12.5703125" bestFit="1" customWidth="1"/>
  </cols>
  <sheetData>
    <row r="2" spans="1:43" ht="42" customHeight="1" x14ac:dyDescent="0.25">
      <c r="A2" s="426" t="s">
        <v>6</v>
      </c>
      <c r="B2" s="465" t="s">
        <v>0</v>
      </c>
      <c r="C2" s="584" t="s">
        <v>7</v>
      </c>
      <c r="D2" s="421" t="s">
        <v>2495</v>
      </c>
      <c r="E2" s="421" t="s">
        <v>1384</v>
      </c>
      <c r="F2" s="426" t="s">
        <v>8</v>
      </c>
      <c r="G2" s="426" t="s">
        <v>9</v>
      </c>
      <c r="H2" s="456" t="s">
        <v>10</v>
      </c>
      <c r="I2" s="426" t="s">
        <v>11</v>
      </c>
      <c r="J2" s="508" t="s">
        <v>138</v>
      </c>
      <c r="K2" s="461" t="s">
        <v>49</v>
      </c>
      <c r="L2" s="457" t="s">
        <v>1</v>
      </c>
      <c r="M2" s="457" t="s">
        <v>47</v>
      </c>
      <c r="N2" s="457" t="s">
        <v>185</v>
      </c>
      <c r="O2" s="303" t="s">
        <v>48</v>
      </c>
      <c r="P2" s="457" t="s">
        <v>40</v>
      </c>
      <c r="Q2" s="455" t="s">
        <v>2</v>
      </c>
      <c r="R2" s="963" t="s">
        <v>3</v>
      </c>
      <c r="S2" s="965"/>
      <c r="T2" s="969" t="s">
        <v>2228</v>
      </c>
      <c r="U2" s="682" t="s">
        <v>554</v>
      </c>
      <c r="V2" s="73" t="s">
        <v>1666</v>
      </c>
    </row>
    <row r="3" spans="1:43" ht="21" customHeight="1" x14ac:dyDescent="0.25">
      <c r="A3" s="426"/>
      <c r="B3" s="465"/>
      <c r="C3" s="584"/>
      <c r="D3" s="422"/>
      <c r="E3" s="422"/>
      <c r="F3" s="488"/>
      <c r="G3" s="488"/>
      <c r="H3" s="456"/>
      <c r="I3" s="426"/>
      <c r="J3" s="508"/>
      <c r="K3" s="461"/>
      <c r="L3" s="457"/>
      <c r="M3" s="457"/>
      <c r="N3" s="457"/>
      <c r="O3" s="303"/>
      <c r="P3" s="457"/>
      <c r="Q3" s="455"/>
      <c r="R3" s="457" t="s">
        <v>1</v>
      </c>
      <c r="S3" s="457" t="s">
        <v>40</v>
      </c>
      <c r="T3" s="969"/>
      <c r="U3" s="682"/>
      <c r="V3" s="73"/>
    </row>
    <row r="4" spans="1:43" s="10" customFormat="1" ht="15" customHeight="1" x14ac:dyDescent="0.25">
      <c r="A4" s="458">
        <v>1</v>
      </c>
      <c r="B4" s="56">
        <v>44204</v>
      </c>
      <c r="C4" s="585"/>
      <c r="D4" s="492"/>
      <c r="E4" s="458"/>
      <c r="F4" s="23" t="s">
        <v>215</v>
      </c>
      <c r="G4" s="23" t="s">
        <v>26</v>
      </c>
      <c r="H4" s="423">
        <v>13000000</v>
      </c>
      <c r="I4" s="377" t="s">
        <v>216</v>
      </c>
      <c r="J4" s="77">
        <v>44207</v>
      </c>
      <c r="K4" s="28">
        <f>H4</f>
        <v>13000000</v>
      </c>
      <c r="L4" s="423">
        <v>7800000</v>
      </c>
      <c r="M4" s="28"/>
      <c r="N4" s="28"/>
      <c r="O4" s="26"/>
      <c r="P4" s="28"/>
      <c r="Q4" s="28">
        <f>K4-L4-M4-O4-P4+N4</f>
        <v>5200000</v>
      </c>
      <c r="R4" s="2"/>
      <c r="S4" s="2"/>
      <c r="T4" s="2">
        <v>60</v>
      </c>
      <c r="U4" s="24">
        <f>J4+T4</f>
        <v>44267</v>
      </c>
      <c r="V4"/>
      <c r="W4"/>
      <c r="X4"/>
      <c r="Y4"/>
      <c r="Z4"/>
      <c r="AA4"/>
      <c r="AB4"/>
      <c r="AC4"/>
      <c r="AD4"/>
      <c r="AE4"/>
      <c r="AF4"/>
      <c r="AG4"/>
      <c r="AH4"/>
      <c r="AI4"/>
      <c r="AJ4"/>
      <c r="AK4"/>
      <c r="AL4"/>
      <c r="AM4"/>
      <c r="AN4"/>
      <c r="AO4"/>
      <c r="AP4"/>
      <c r="AQ4"/>
    </row>
    <row r="5" spans="1:43" s="10" customFormat="1" ht="15" customHeight="1" x14ac:dyDescent="0.25">
      <c r="A5" s="458">
        <f>A4+1</f>
        <v>2</v>
      </c>
      <c r="B5" s="56">
        <v>44204</v>
      </c>
      <c r="C5" s="585"/>
      <c r="D5" s="492"/>
      <c r="E5" s="458"/>
      <c r="F5" s="23" t="s">
        <v>215</v>
      </c>
      <c r="G5" s="23" t="s">
        <v>25</v>
      </c>
      <c r="H5" s="423">
        <v>7500000</v>
      </c>
      <c r="I5" s="377" t="s">
        <v>217</v>
      </c>
      <c r="J5" s="77">
        <v>44207</v>
      </c>
      <c r="K5" s="28">
        <f t="shared" ref="K5:K46" si="0">H5</f>
        <v>7500000</v>
      </c>
      <c r="L5" s="423">
        <v>4500000</v>
      </c>
      <c r="M5" s="28"/>
      <c r="N5" s="28"/>
      <c r="O5" s="28"/>
      <c r="P5" s="28"/>
      <c r="Q5" s="28">
        <f t="shared" ref="Q5:Q41" si="1">K5-L5-M5-O5-P5+N5</f>
        <v>3000000</v>
      </c>
      <c r="R5" s="2"/>
      <c r="S5" s="2"/>
      <c r="T5" s="2">
        <v>60</v>
      </c>
      <c r="U5" s="24">
        <f t="shared" ref="U5:U68" si="2">J5+T5</f>
        <v>44267</v>
      </c>
      <c r="V5"/>
      <c r="W5"/>
      <c r="X5"/>
      <c r="Y5"/>
      <c r="Z5"/>
      <c r="AA5"/>
      <c r="AB5"/>
      <c r="AC5"/>
      <c r="AD5"/>
      <c r="AE5"/>
      <c r="AF5"/>
      <c r="AG5"/>
      <c r="AH5"/>
      <c r="AI5"/>
      <c r="AJ5"/>
      <c r="AK5"/>
      <c r="AL5"/>
      <c r="AM5"/>
      <c r="AN5"/>
      <c r="AO5"/>
      <c r="AP5"/>
      <c r="AQ5"/>
    </row>
    <row r="6" spans="1:43" ht="15" customHeight="1" x14ac:dyDescent="0.25">
      <c r="A6" s="458">
        <f t="shared" ref="A6:A41" si="3">A5+1</f>
        <v>3</v>
      </c>
      <c r="B6" s="79">
        <v>44215</v>
      </c>
      <c r="C6" s="586">
        <v>401804</v>
      </c>
      <c r="D6" s="78"/>
      <c r="E6" s="78"/>
      <c r="F6" s="112" t="s">
        <v>1123</v>
      </c>
      <c r="G6" s="6" t="s">
        <v>218</v>
      </c>
      <c r="H6" s="38">
        <v>175000</v>
      </c>
      <c r="I6" s="377" t="s">
        <v>219</v>
      </c>
      <c r="J6" s="77">
        <v>44221</v>
      </c>
      <c r="K6" s="28">
        <f t="shared" si="0"/>
        <v>175000</v>
      </c>
      <c r="L6" s="28"/>
      <c r="M6" s="28"/>
      <c r="N6" s="28">
        <f>K6*1%</f>
        <v>1750</v>
      </c>
      <c r="O6" s="28">
        <f>K6*2%</f>
        <v>3500</v>
      </c>
      <c r="P6" s="28">
        <v>173250</v>
      </c>
      <c r="Q6" s="28">
        <f t="shared" si="1"/>
        <v>0</v>
      </c>
      <c r="R6" s="24"/>
      <c r="S6" s="24">
        <v>44238</v>
      </c>
      <c r="T6" s="2">
        <v>30</v>
      </c>
      <c r="U6" s="24">
        <f t="shared" si="2"/>
        <v>44251</v>
      </c>
    </row>
    <row r="7" spans="1:43" ht="15" customHeight="1" x14ac:dyDescent="0.25">
      <c r="A7" s="458">
        <f t="shared" si="3"/>
        <v>4</v>
      </c>
      <c r="B7" s="79" t="s">
        <v>220</v>
      </c>
      <c r="C7" s="587" t="s">
        <v>221</v>
      </c>
      <c r="D7" s="80"/>
      <c r="E7" s="80"/>
      <c r="F7" s="33" t="s">
        <v>115</v>
      </c>
      <c r="G7" s="6" t="s">
        <v>136</v>
      </c>
      <c r="H7" s="47">
        <v>4000000</v>
      </c>
      <c r="I7" s="378" t="s">
        <v>222</v>
      </c>
      <c r="J7" s="447">
        <v>44221</v>
      </c>
      <c r="K7" s="28">
        <f t="shared" si="0"/>
        <v>4000000</v>
      </c>
      <c r="L7" s="28"/>
      <c r="M7" s="28"/>
      <c r="N7" s="28">
        <f>K7*1%</f>
        <v>40000</v>
      </c>
      <c r="O7" s="28">
        <f>K7*2%</f>
        <v>80000</v>
      </c>
      <c r="P7" s="28">
        <v>3960000</v>
      </c>
      <c r="Q7" s="28">
        <f t="shared" si="1"/>
        <v>0</v>
      </c>
      <c r="R7" s="24"/>
      <c r="S7" s="24">
        <v>44230</v>
      </c>
      <c r="T7" s="2">
        <v>14</v>
      </c>
      <c r="U7" s="24">
        <f t="shared" si="2"/>
        <v>44235</v>
      </c>
    </row>
    <row r="8" spans="1:43" s="10" customFormat="1" ht="15" customHeight="1" x14ac:dyDescent="0.25">
      <c r="A8" s="458">
        <f t="shared" si="3"/>
        <v>5</v>
      </c>
      <c r="B8" s="56">
        <v>44204</v>
      </c>
      <c r="C8" s="585"/>
      <c r="D8" s="492"/>
      <c r="E8" s="458"/>
      <c r="F8" s="23" t="s">
        <v>53</v>
      </c>
      <c r="G8" s="6"/>
      <c r="H8" s="38">
        <v>1700000</v>
      </c>
      <c r="I8" s="378" t="s">
        <v>223</v>
      </c>
      <c r="J8" s="447">
        <v>44211</v>
      </c>
      <c r="K8" s="28">
        <f t="shared" si="0"/>
        <v>1700000</v>
      </c>
      <c r="L8" s="28"/>
      <c r="M8" s="28"/>
      <c r="N8" s="28"/>
      <c r="O8" s="26"/>
      <c r="P8" s="28">
        <v>1700000</v>
      </c>
      <c r="Q8" s="28">
        <f t="shared" si="1"/>
        <v>0</v>
      </c>
      <c r="R8" s="24"/>
      <c r="S8" s="24">
        <v>44231</v>
      </c>
      <c r="T8" s="2">
        <v>14</v>
      </c>
      <c r="U8" s="24">
        <f t="shared" si="2"/>
        <v>44225</v>
      </c>
      <c r="V8"/>
      <c r="W8"/>
      <c r="X8"/>
      <c r="Y8"/>
      <c r="Z8"/>
      <c r="AA8"/>
      <c r="AB8"/>
      <c r="AC8"/>
      <c r="AD8"/>
      <c r="AE8"/>
      <c r="AF8"/>
      <c r="AG8"/>
      <c r="AH8"/>
      <c r="AI8"/>
      <c r="AJ8"/>
      <c r="AK8"/>
      <c r="AL8"/>
      <c r="AM8"/>
      <c r="AN8"/>
      <c r="AO8"/>
      <c r="AP8"/>
      <c r="AQ8"/>
    </row>
    <row r="9" spans="1:43" s="10" customFormat="1" ht="15" customHeight="1" x14ac:dyDescent="0.25">
      <c r="A9" s="458">
        <f t="shared" si="3"/>
        <v>6</v>
      </c>
      <c r="B9" s="79">
        <v>44212</v>
      </c>
      <c r="C9" s="587" t="s">
        <v>224</v>
      </c>
      <c r="D9" s="80"/>
      <c r="E9" s="80"/>
      <c r="F9" s="23" t="s">
        <v>225</v>
      </c>
      <c r="G9" s="23" t="s">
        <v>226</v>
      </c>
      <c r="H9" s="38">
        <v>4500000</v>
      </c>
      <c r="I9" s="378" t="s">
        <v>227</v>
      </c>
      <c r="J9" s="447">
        <v>44215</v>
      </c>
      <c r="K9" s="28">
        <f t="shared" si="0"/>
        <v>4500000</v>
      </c>
      <c r="L9" s="28">
        <v>3500000</v>
      </c>
      <c r="M9" s="28"/>
      <c r="N9" s="28"/>
      <c r="O9" s="28"/>
      <c r="P9" s="28"/>
      <c r="Q9" s="568">
        <f t="shared" si="1"/>
        <v>1000000</v>
      </c>
      <c r="R9" s="2"/>
      <c r="S9" s="2"/>
      <c r="T9" s="2">
        <v>14</v>
      </c>
      <c r="U9" s="24">
        <f t="shared" si="2"/>
        <v>44229</v>
      </c>
      <c r="V9"/>
      <c r="W9"/>
      <c r="X9"/>
      <c r="Y9"/>
      <c r="Z9"/>
      <c r="AA9"/>
      <c r="AB9"/>
      <c r="AC9"/>
      <c r="AD9"/>
      <c r="AE9"/>
      <c r="AF9"/>
      <c r="AG9"/>
      <c r="AH9"/>
      <c r="AI9"/>
      <c r="AJ9"/>
      <c r="AK9"/>
      <c r="AL9"/>
      <c r="AM9"/>
      <c r="AN9"/>
      <c r="AO9"/>
      <c r="AP9"/>
      <c r="AQ9"/>
    </row>
    <row r="10" spans="1:43" s="10" customFormat="1" ht="15" customHeight="1" x14ac:dyDescent="0.25">
      <c r="A10" s="458">
        <f t="shared" si="3"/>
        <v>7</v>
      </c>
      <c r="B10" s="56">
        <v>44205</v>
      </c>
      <c r="C10" s="585"/>
      <c r="D10" s="492"/>
      <c r="E10" s="458"/>
      <c r="F10" s="69" t="s">
        <v>2457</v>
      </c>
      <c r="G10" s="23" t="s">
        <v>12</v>
      </c>
      <c r="H10" s="38">
        <v>1100000</v>
      </c>
      <c r="I10" s="378" t="s">
        <v>228</v>
      </c>
      <c r="J10" s="447">
        <v>44238</v>
      </c>
      <c r="K10" s="28">
        <f t="shared" si="0"/>
        <v>1100000</v>
      </c>
      <c r="L10" s="28"/>
      <c r="M10" s="28"/>
      <c r="N10" s="28">
        <f>K10*1%</f>
        <v>11000</v>
      </c>
      <c r="O10" s="28">
        <f>K10*2%</f>
        <v>22000</v>
      </c>
      <c r="P10" s="28">
        <v>1089000</v>
      </c>
      <c r="Q10" s="28">
        <f t="shared" si="1"/>
        <v>0</v>
      </c>
      <c r="R10" s="24"/>
      <c r="S10" s="24">
        <v>44294</v>
      </c>
      <c r="T10" s="2">
        <v>30</v>
      </c>
      <c r="U10" s="24">
        <f t="shared" si="2"/>
        <v>44268</v>
      </c>
      <c r="V10"/>
      <c r="W10"/>
      <c r="X10"/>
      <c r="Y10"/>
      <c r="Z10"/>
      <c r="AA10"/>
      <c r="AB10"/>
      <c r="AC10"/>
      <c r="AD10"/>
      <c r="AE10"/>
      <c r="AF10"/>
      <c r="AG10"/>
      <c r="AH10"/>
      <c r="AI10"/>
      <c r="AJ10"/>
      <c r="AK10"/>
      <c r="AL10"/>
      <c r="AM10"/>
      <c r="AN10"/>
      <c r="AO10"/>
      <c r="AP10"/>
      <c r="AQ10"/>
    </row>
    <row r="11" spans="1:43" s="10" customFormat="1" ht="15" customHeight="1" x14ac:dyDescent="0.25">
      <c r="A11" s="458">
        <f t="shared" si="3"/>
        <v>8</v>
      </c>
      <c r="B11" s="79">
        <v>44210</v>
      </c>
      <c r="C11" s="586">
        <v>400867</v>
      </c>
      <c r="D11" s="78"/>
      <c r="E11" s="78"/>
      <c r="F11" s="111" t="s">
        <v>279</v>
      </c>
      <c r="G11" s="23" t="s">
        <v>17</v>
      </c>
      <c r="H11" s="38">
        <v>2644000</v>
      </c>
      <c r="I11" s="378" t="s">
        <v>229</v>
      </c>
      <c r="J11" s="447">
        <v>44215</v>
      </c>
      <c r="K11" s="28">
        <f t="shared" si="0"/>
        <v>2644000</v>
      </c>
      <c r="L11" s="28"/>
      <c r="M11" s="28"/>
      <c r="N11" s="28"/>
      <c r="O11" s="28">
        <f>K11*2%</f>
        <v>52880</v>
      </c>
      <c r="P11" s="28">
        <v>2591120</v>
      </c>
      <c r="Q11" s="28">
        <f t="shared" si="1"/>
        <v>0</v>
      </c>
      <c r="R11" s="24"/>
      <c r="S11" s="24">
        <v>44267</v>
      </c>
      <c r="T11" s="2">
        <v>30</v>
      </c>
      <c r="U11" s="24">
        <f t="shared" si="2"/>
        <v>44245</v>
      </c>
      <c r="V11"/>
      <c r="W11"/>
      <c r="X11"/>
      <c r="Y11"/>
      <c r="Z11"/>
      <c r="AA11"/>
      <c r="AB11"/>
      <c r="AC11"/>
      <c r="AD11"/>
      <c r="AE11"/>
      <c r="AF11"/>
      <c r="AG11"/>
      <c r="AH11"/>
      <c r="AI11"/>
      <c r="AJ11"/>
      <c r="AK11"/>
      <c r="AL11"/>
      <c r="AM11"/>
      <c r="AN11"/>
      <c r="AO11"/>
      <c r="AP11"/>
      <c r="AQ11"/>
    </row>
    <row r="12" spans="1:43" s="10" customFormat="1" ht="15" customHeight="1" x14ac:dyDescent="0.25">
      <c r="A12" s="458">
        <f t="shared" si="3"/>
        <v>9</v>
      </c>
      <c r="B12" s="79">
        <v>44205</v>
      </c>
      <c r="C12" s="587">
        <v>400864</v>
      </c>
      <c r="D12" s="80"/>
      <c r="E12" s="80"/>
      <c r="F12" s="23" t="s">
        <v>53</v>
      </c>
      <c r="G12" s="23" t="s">
        <v>230</v>
      </c>
      <c r="H12" s="38">
        <v>3850000</v>
      </c>
      <c r="I12" s="378" t="s">
        <v>231</v>
      </c>
      <c r="J12" s="447">
        <v>44219</v>
      </c>
      <c r="K12" s="28">
        <f t="shared" si="0"/>
        <v>3850000</v>
      </c>
      <c r="L12" s="28"/>
      <c r="M12" s="28"/>
      <c r="N12" s="28"/>
      <c r="O12" s="28"/>
      <c r="P12" s="28">
        <v>3850000</v>
      </c>
      <c r="Q12" s="28">
        <f t="shared" si="1"/>
        <v>0</v>
      </c>
      <c r="R12" s="24"/>
      <c r="S12" s="24">
        <v>44259</v>
      </c>
      <c r="T12" s="2">
        <v>14</v>
      </c>
      <c r="U12" s="24">
        <f t="shared" si="2"/>
        <v>44233</v>
      </c>
      <c r="V12"/>
      <c r="W12"/>
      <c r="X12"/>
      <c r="Y12"/>
      <c r="Z12"/>
      <c r="AA12"/>
      <c r="AB12"/>
      <c r="AC12"/>
      <c r="AD12"/>
      <c r="AE12"/>
      <c r="AF12"/>
      <c r="AG12"/>
      <c r="AH12"/>
      <c r="AI12"/>
      <c r="AJ12"/>
      <c r="AK12"/>
      <c r="AL12"/>
      <c r="AM12"/>
      <c r="AN12"/>
      <c r="AO12"/>
      <c r="AP12"/>
      <c r="AQ12"/>
    </row>
    <row r="13" spans="1:43" s="10" customFormat="1" ht="15" customHeight="1" x14ac:dyDescent="0.25">
      <c r="A13" s="458">
        <f t="shared" si="3"/>
        <v>10</v>
      </c>
      <c r="B13" s="79">
        <v>44215</v>
      </c>
      <c r="C13" s="586">
        <v>401573</v>
      </c>
      <c r="D13" s="78"/>
      <c r="E13" s="78"/>
      <c r="F13" s="111" t="s">
        <v>279</v>
      </c>
      <c r="G13" s="23" t="s">
        <v>232</v>
      </c>
      <c r="H13" s="423">
        <v>2000000</v>
      </c>
      <c r="I13" s="377" t="s">
        <v>233</v>
      </c>
      <c r="J13" s="77">
        <v>44219</v>
      </c>
      <c r="K13" s="28">
        <f t="shared" si="0"/>
        <v>2000000</v>
      </c>
      <c r="L13" s="28"/>
      <c r="M13" s="26"/>
      <c r="N13" s="26"/>
      <c r="O13" s="28">
        <f>K13*2%</f>
        <v>40000</v>
      </c>
      <c r="P13" s="26">
        <v>1960000</v>
      </c>
      <c r="Q13" s="28">
        <f t="shared" si="1"/>
        <v>0</v>
      </c>
      <c r="R13" s="24"/>
      <c r="S13" s="24">
        <v>44267</v>
      </c>
      <c r="T13" s="2">
        <v>30</v>
      </c>
      <c r="U13" s="24">
        <f t="shared" si="2"/>
        <v>44249</v>
      </c>
      <c r="V13"/>
      <c r="W13"/>
      <c r="X13"/>
      <c r="Y13"/>
      <c r="Z13"/>
      <c r="AA13"/>
      <c r="AB13"/>
      <c r="AC13"/>
      <c r="AD13"/>
      <c r="AE13"/>
      <c r="AF13"/>
      <c r="AG13"/>
      <c r="AH13"/>
      <c r="AI13"/>
      <c r="AJ13"/>
      <c r="AK13"/>
      <c r="AL13"/>
      <c r="AM13"/>
      <c r="AN13"/>
      <c r="AO13"/>
      <c r="AP13"/>
      <c r="AQ13"/>
    </row>
    <row r="14" spans="1:43" s="10" customFormat="1" ht="15" customHeight="1" x14ac:dyDescent="0.25">
      <c r="A14" s="458">
        <f t="shared" si="3"/>
        <v>11</v>
      </c>
      <c r="B14" s="56">
        <v>44202</v>
      </c>
      <c r="C14" s="586">
        <v>400862</v>
      </c>
      <c r="D14" s="78"/>
      <c r="E14" s="78"/>
      <c r="F14" s="71" t="s">
        <v>234</v>
      </c>
      <c r="G14" s="53" t="s">
        <v>14</v>
      </c>
      <c r="H14" s="47">
        <v>11000000</v>
      </c>
      <c r="I14" s="378" t="s">
        <v>235</v>
      </c>
      <c r="J14" s="447">
        <v>44217</v>
      </c>
      <c r="K14" s="28">
        <f t="shared" si="0"/>
        <v>11000000</v>
      </c>
      <c r="L14" s="28"/>
      <c r="M14" s="26"/>
      <c r="N14" s="26"/>
      <c r="O14" s="26"/>
      <c r="P14" s="26">
        <v>11000000</v>
      </c>
      <c r="Q14" s="28">
        <f t="shared" si="1"/>
        <v>0</v>
      </c>
      <c r="R14" s="24"/>
      <c r="S14" s="24">
        <v>44302</v>
      </c>
      <c r="T14" s="2">
        <v>30</v>
      </c>
      <c r="U14" s="24">
        <f t="shared" si="2"/>
        <v>44247</v>
      </c>
      <c r="V14"/>
      <c r="W14"/>
      <c r="X14"/>
      <c r="Y14"/>
      <c r="Z14"/>
      <c r="AA14"/>
      <c r="AB14"/>
      <c r="AC14"/>
      <c r="AD14"/>
      <c r="AE14"/>
      <c r="AF14"/>
      <c r="AG14"/>
      <c r="AH14"/>
      <c r="AI14"/>
      <c r="AJ14"/>
      <c r="AK14"/>
      <c r="AL14"/>
      <c r="AM14"/>
      <c r="AN14"/>
      <c r="AO14"/>
      <c r="AP14"/>
      <c r="AQ14"/>
    </row>
    <row r="15" spans="1:43" s="10" customFormat="1" ht="15.75" customHeight="1" x14ac:dyDescent="0.25">
      <c r="A15" s="458">
        <f t="shared" si="3"/>
        <v>12</v>
      </c>
      <c r="B15" s="79">
        <v>44218</v>
      </c>
      <c r="C15" s="58"/>
      <c r="D15" s="58"/>
      <c r="E15" s="58"/>
      <c r="F15" s="111" t="s">
        <v>279</v>
      </c>
      <c r="G15" s="23" t="s">
        <v>29</v>
      </c>
      <c r="H15" s="47">
        <v>2300000</v>
      </c>
      <c r="I15" s="377" t="s">
        <v>236</v>
      </c>
      <c r="J15" s="77">
        <v>44219</v>
      </c>
      <c r="K15" s="28">
        <f t="shared" si="0"/>
        <v>2300000</v>
      </c>
      <c r="L15" s="28"/>
      <c r="M15" s="26"/>
      <c r="N15" s="26"/>
      <c r="O15" s="28">
        <f>K15*2%</f>
        <v>46000</v>
      </c>
      <c r="P15" s="26">
        <v>2254000</v>
      </c>
      <c r="Q15" s="28">
        <f t="shared" si="1"/>
        <v>0</v>
      </c>
      <c r="R15" s="24"/>
      <c r="S15" s="24">
        <v>44267</v>
      </c>
      <c r="T15" s="2">
        <v>30</v>
      </c>
      <c r="U15" s="24">
        <f t="shared" si="2"/>
        <v>44249</v>
      </c>
      <c r="V15"/>
      <c r="W15"/>
      <c r="X15"/>
      <c r="Y15"/>
      <c r="Z15"/>
      <c r="AA15"/>
      <c r="AB15"/>
      <c r="AC15"/>
      <c r="AD15"/>
      <c r="AE15"/>
      <c r="AF15"/>
      <c r="AG15"/>
      <c r="AH15"/>
      <c r="AI15"/>
      <c r="AJ15"/>
      <c r="AK15"/>
      <c r="AL15"/>
      <c r="AM15"/>
      <c r="AN15"/>
      <c r="AO15"/>
      <c r="AP15"/>
      <c r="AQ15"/>
    </row>
    <row r="16" spans="1:43" s="10" customFormat="1" ht="15.75" customHeight="1" x14ac:dyDescent="0.25">
      <c r="A16" s="458">
        <f t="shared" si="3"/>
        <v>13</v>
      </c>
      <c r="B16" s="79">
        <v>44211</v>
      </c>
      <c r="C16" s="58"/>
      <c r="D16" s="58"/>
      <c r="E16" s="58"/>
      <c r="F16" s="23" t="s">
        <v>215</v>
      </c>
      <c r="G16" s="23" t="s">
        <v>23</v>
      </c>
      <c r="H16" s="47">
        <v>9300000</v>
      </c>
      <c r="I16" s="378" t="s">
        <v>237</v>
      </c>
      <c r="J16" s="27">
        <v>44221</v>
      </c>
      <c r="K16" s="28">
        <f t="shared" si="0"/>
        <v>9300000</v>
      </c>
      <c r="L16" s="28">
        <v>5600000</v>
      </c>
      <c r="M16" s="26"/>
      <c r="N16" s="26"/>
      <c r="O16" s="26"/>
      <c r="P16" s="26"/>
      <c r="Q16" s="28">
        <f t="shared" si="1"/>
        <v>3700000</v>
      </c>
      <c r="R16" s="2"/>
      <c r="S16" s="2"/>
      <c r="T16" s="2">
        <v>60</v>
      </c>
      <c r="U16" s="24">
        <f t="shared" si="2"/>
        <v>44281</v>
      </c>
      <c r="V16"/>
      <c r="W16"/>
      <c r="X16"/>
      <c r="Y16"/>
      <c r="Z16"/>
      <c r="AA16"/>
      <c r="AB16"/>
      <c r="AC16"/>
      <c r="AD16"/>
      <c r="AE16"/>
      <c r="AF16"/>
      <c r="AG16"/>
      <c r="AH16"/>
      <c r="AI16"/>
      <c r="AJ16"/>
      <c r="AK16"/>
      <c r="AL16"/>
      <c r="AM16"/>
      <c r="AN16"/>
      <c r="AO16"/>
      <c r="AP16"/>
      <c r="AQ16"/>
    </row>
    <row r="17" spans="1:43" s="10" customFormat="1" ht="15.75" customHeight="1" x14ac:dyDescent="0.25">
      <c r="A17" s="458">
        <f t="shared" si="3"/>
        <v>14</v>
      </c>
      <c r="B17" s="56">
        <v>44217</v>
      </c>
      <c r="C17" s="58"/>
      <c r="D17" s="58"/>
      <c r="E17" s="58"/>
      <c r="F17" s="23" t="s">
        <v>215</v>
      </c>
      <c r="G17" s="31" t="s">
        <v>26</v>
      </c>
      <c r="H17" s="47">
        <v>8500000</v>
      </c>
      <c r="I17" s="377" t="s">
        <v>238</v>
      </c>
      <c r="J17" s="77">
        <v>44221</v>
      </c>
      <c r="K17" s="28">
        <f t="shared" si="0"/>
        <v>8500000</v>
      </c>
      <c r="L17" s="28">
        <v>5500000</v>
      </c>
      <c r="M17" s="26"/>
      <c r="N17" s="26"/>
      <c r="O17" s="26"/>
      <c r="P17" s="26"/>
      <c r="Q17" s="28">
        <f t="shared" si="1"/>
        <v>3000000</v>
      </c>
      <c r="R17" s="2"/>
      <c r="S17" s="2"/>
      <c r="T17" s="2">
        <v>60</v>
      </c>
      <c r="U17" s="24">
        <f t="shared" si="2"/>
        <v>44281</v>
      </c>
      <c r="V17"/>
      <c r="W17"/>
      <c r="X17"/>
      <c r="Y17"/>
      <c r="Z17"/>
      <c r="AA17"/>
      <c r="AB17"/>
      <c r="AC17"/>
      <c r="AD17"/>
      <c r="AE17"/>
      <c r="AF17"/>
      <c r="AG17"/>
      <c r="AH17"/>
      <c r="AI17"/>
      <c r="AJ17"/>
      <c r="AK17"/>
      <c r="AL17"/>
      <c r="AM17"/>
      <c r="AN17"/>
      <c r="AO17"/>
      <c r="AP17"/>
      <c r="AQ17"/>
    </row>
    <row r="18" spans="1:43" s="10" customFormat="1" ht="15" customHeight="1" x14ac:dyDescent="0.25">
      <c r="A18" s="458">
        <f t="shared" si="3"/>
        <v>15</v>
      </c>
      <c r="B18" s="79">
        <v>44210</v>
      </c>
      <c r="C18" s="586">
        <v>400868</v>
      </c>
      <c r="D18" s="78"/>
      <c r="E18" s="78"/>
      <c r="F18" s="23" t="s">
        <v>239</v>
      </c>
      <c r="G18" s="23" t="s">
        <v>240</v>
      </c>
      <c r="H18" s="47">
        <v>1750000</v>
      </c>
      <c r="I18" s="378" t="s">
        <v>241</v>
      </c>
      <c r="J18" s="447">
        <v>44224</v>
      </c>
      <c r="K18" s="28">
        <f t="shared" si="0"/>
        <v>1750000</v>
      </c>
      <c r="L18" s="28"/>
      <c r="M18" s="26"/>
      <c r="N18" s="26"/>
      <c r="O18" s="26"/>
      <c r="P18" s="26">
        <v>1750000</v>
      </c>
      <c r="Q18" s="28">
        <f t="shared" si="1"/>
        <v>0</v>
      </c>
      <c r="R18" s="24"/>
      <c r="S18" s="24">
        <v>44242</v>
      </c>
      <c r="T18" s="2">
        <v>14</v>
      </c>
      <c r="U18" s="24">
        <f t="shared" si="2"/>
        <v>44238</v>
      </c>
      <c r="V18"/>
      <c r="W18"/>
      <c r="X18"/>
      <c r="Y18"/>
      <c r="Z18"/>
      <c r="AA18"/>
      <c r="AB18"/>
      <c r="AC18"/>
      <c r="AD18"/>
      <c r="AE18"/>
      <c r="AF18"/>
      <c r="AG18"/>
      <c r="AH18"/>
      <c r="AI18"/>
      <c r="AJ18"/>
      <c r="AK18"/>
      <c r="AL18"/>
      <c r="AM18"/>
      <c r="AN18"/>
      <c r="AO18"/>
      <c r="AP18"/>
      <c r="AQ18"/>
    </row>
    <row r="19" spans="1:43" s="10" customFormat="1" ht="15" customHeight="1" x14ac:dyDescent="0.25">
      <c r="A19" s="458">
        <f t="shared" si="3"/>
        <v>16</v>
      </c>
      <c r="B19" s="56">
        <v>44214</v>
      </c>
      <c r="C19" s="588">
        <v>400094</v>
      </c>
      <c r="D19" s="82"/>
      <c r="E19" s="82"/>
      <c r="F19" s="31" t="s">
        <v>242</v>
      </c>
      <c r="G19" s="31" t="s">
        <v>31</v>
      </c>
      <c r="H19" s="38">
        <v>2800000</v>
      </c>
      <c r="I19" s="379" t="s">
        <v>243</v>
      </c>
      <c r="J19" s="509">
        <v>44224</v>
      </c>
      <c r="K19" s="28">
        <f t="shared" si="0"/>
        <v>2800000</v>
      </c>
      <c r="L19" s="28"/>
      <c r="M19" s="26"/>
      <c r="N19" s="26"/>
      <c r="O19" s="26"/>
      <c r="P19" s="26">
        <v>2800000</v>
      </c>
      <c r="Q19" s="28">
        <f t="shared" si="1"/>
        <v>0</v>
      </c>
      <c r="R19" s="24"/>
      <c r="S19" s="24">
        <v>44251</v>
      </c>
      <c r="T19" s="2">
        <v>14</v>
      </c>
      <c r="U19" s="24">
        <f t="shared" si="2"/>
        <v>44238</v>
      </c>
      <c r="V19"/>
      <c r="W19"/>
      <c r="X19"/>
      <c r="Y19"/>
      <c r="Z19"/>
      <c r="AA19"/>
      <c r="AB19"/>
      <c r="AC19"/>
      <c r="AD19"/>
      <c r="AE19"/>
      <c r="AF19"/>
      <c r="AG19"/>
      <c r="AH19"/>
      <c r="AI19"/>
      <c r="AJ19"/>
      <c r="AK19"/>
      <c r="AL19"/>
      <c r="AM19"/>
      <c r="AN19"/>
      <c r="AO19"/>
      <c r="AP19"/>
      <c r="AQ19"/>
    </row>
    <row r="20" spans="1:43" s="10" customFormat="1" ht="15" customHeight="1" x14ac:dyDescent="0.25">
      <c r="A20" s="458">
        <f t="shared" si="3"/>
        <v>17</v>
      </c>
      <c r="B20" s="56">
        <v>44225</v>
      </c>
      <c r="C20" s="589" t="s">
        <v>244</v>
      </c>
      <c r="D20" s="83"/>
      <c r="E20" s="83"/>
      <c r="F20" s="31" t="s">
        <v>245</v>
      </c>
      <c r="G20" s="31" t="s">
        <v>15</v>
      </c>
      <c r="H20" s="86">
        <v>9000000</v>
      </c>
      <c r="I20" s="379" t="s">
        <v>246</v>
      </c>
      <c r="J20" s="509">
        <v>44225</v>
      </c>
      <c r="K20" s="28">
        <f t="shared" si="0"/>
        <v>9000000</v>
      </c>
      <c r="L20" s="28">
        <v>6300000</v>
      </c>
      <c r="M20" s="26"/>
      <c r="N20" s="26"/>
      <c r="O20" s="26"/>
      <c r="P20" s="26">
        <v>2700000</v>
      </c>
      <c r="Q20" s="28">
        <f t="shared" si="1"/>
        <v>0</v>
      </c>
      <c r="R20" s="24">
        <v>44225</v>
      </c>
      <c r="S20" s="24">
        <v>44232</v>
      </c>
      <c r="T20" s="2">
        <v>14</v>
      </c>
      <c r="U20" s="24">
        <f t="shared" si="2"/>
        <v>44239</v>
      </c>
      <c r="V20"/>
      <c r="W20"/>
      <c r="X20"/>
      <c r="Y20"/>
      <c r="Z20"/>
      <c r="AA20"/>
      <c r="AB20"/>
      <c r="AC20"/>
      <c r="AD20"/>
      <c r="AE20"/>
      <c r="AF20"/>
      <c r="AG20"/>
      <c r="AH20"/>
      <c r="AI20"/>
      <c r="AJ20"/>
      <c r="AK20"/>
      <c r="AL20"/>
      <c r="AM20"/>
      <c r="AN20"/>
      <c r="AO20"/>
      <c r="AP20"/>
      <c r="AQ20"/>
    </row>
    <row r="21" spans="1:43" s="10" customFormat="1" ht="15" customHeight="1" x14ac:dyDescent="0.25">
      <c r="A21" s="458">
        <f t="shared" si="3"/>
        <v>18</v>
      </c>
      <c r="B21" s="56">
        <v>44224</v>
      </c>
      <c r="C21" s="589">
        <v>402056</v>
      </c>
      <c r="D21" s="83"/>
      <c r="E21" s="83"/>
      <c r="F21" s="31" t="s">
        <v>247</v>
      </c>
      <c r="G21" s="31" t="s">
        <v>248</v>
      </c>
      <c r="H21" s="47">
        <v>19000000</v>
      </c>
      <c r="I21" s="380" t="s">
        <v>249</v>
      </c>
      <c r="J21" s="74">
        <v>44225</v>
      </c>
      <c r="K21" s="28">
        <f t="shared" si="0"/>
        <v>19000000</v>
      </c>
      <c r="L21" s="28">
        <v>18000000</v>
      </c>
      <c r="M21" s="26"/>
      <c r="N21" s="26"/>
      <c r="O21" s="26"/>
      <c r="P21" s="26">
        <v>1000000</v>
      </c>
      <c r="Q21" s="28">
        <f t="shared" si="1"/>
        <v>0</v>
      </c>
      <c r="R21" s="24">
        <v>44285</v>
      </c>
      <c r="S21" s="24"/>
      <c r="T21" s="2">
        <v>14</v>
      </c>
      <c r="U21" s="24">
        <f t="shared" si="2"/>
        <v>44239</v>
      </c>
      <c r="V21"/>
      <c r="W21"/>
      <c r="X21"/>
      <c r="Y21"/>
      <c r="Z21"/>
      <c r="AA21"/>
      <c r="AB21"/>
      <c r="AC21"/>
      <c r="AD21"/>
      <c r="AE21"/>
      <c r="AF21"/>
      <c r="AG21"/>
      <c r="AH21"/>
      <c r="AI21"/>
      <c r="AJ21"/>
      <c r="AK21"/>
      <c r="AL21"/>
      <c r="AM21"/>
      <c r="AN21"/>
      <c r="AO21"/>
      <c r="AP21"/>
      <c r="AQ21"/>
    </row>
    <row r="22" spans="1:43" s="10" customFormat="1" ht="15" customHeight="1" x14ac:dyDescent="0.25">
      <c r="A22" s="458">
        <f t="shared" si="3"/>
        <v>19</v>
      </c>
      <c r="B22" s="56">
        <v>44223</v>
      </c>
      <c r="C22" s="590" t="s">
        <v>250</v>
      </c>
      <c r="D22" s="84"/>
      <c r="E22" s="84"/>
      <c r="F22" s="111" t="s">
        <v>279</v>
      </c>
      <c r="G22" s="31" t="s">
        <v>35</v>
      </c>
      <c r="H22" s="47">
        <v>2000000</v>
      </c>
      <c r="I22" s="377" t="s">
        <v>251</v>
      </c>
      <c r="J22" s="74">
        <v>44226</v>
      </c>
      <c r="K22" s="28">
        <f t="shared" si="0"/>
        <v>2000000</v>
      </c>
      <c r="L22" s="28"/>
      <c r="M22" s="26"/>
      <c r="N22" s="26"/>
      <c r="O22" s="28">
        <f>K22*2%</f>
        <v>40000</v>
      </c>
      <c r="P22" s="26">
        <f>K22-L22-M22-O22+N22</f>
        <v>1960000</v>
      </c>
      <c r="Q22" s="28">
        <f t="shared" si="1"/>
        <v>0</v>
      </c>
      <c r="R22" s="24"/>
      <c r="S22" s="24">
        <v>44267</v>
      </c>
      <c r="T22" s="2">
        <v>30</v>
      </c>
      <c r="U22" s="24">
        <f t="shared" si="2"/>
        <v>44256</v>
      </c>
      <c r="V22"/>
      <c r="W22"/>
      <c r="X22"/>
      <c r="Y22"/>
      <c r="Z22"/>
      <c r="AA22"/>
      <c r="AB22"/>
      <c r="AC22"/>
      <c r="AD22"/>
      <c r="AE22"/>
      <c r="AF22"/>
      <c r="AG22"/>
      <c r="AH22"/>
      <c r="AI22"/>
      <c r="AJ22"/>
      <c r="AK22"/>
      <c r="AL22"/>
      <c r="AM22"/>
      <c r="AN22"/>
      <c r="AO22"/>
      <c r="AP22"/>
      <c r="AQ22"/>
    </row>
    <row r="23" spans="1:43" s="10" customFormat="1" ht="15.75" customHeight="1" x14ac:dyDescent="0.25">
      <c r="A23" s="458">
        <f t="shared" si="3"/>
        <v>20</v>
      </c>
      <c r="B23" s="79">
        <v>44218</v>
      </c>
      <c r="C23" s="58"/>
      <c r="D23" s="58"/>
      <c r="E23" s="58"/>
      <c r="F23" s="33" t="s">
        <v>215</v>
      </c>
      <c r="G23" s="33" t="s">
        <v>25</v>
      </c>
      <c r="H23" s="47">
        <v>7300000</v>
      </c>
      <c r="I23" s="377" t="s">
        <v>252</v>
      </c>
      <c r="J23" s="77">
        <v>44226</v>
      </c>
      <c r="K23" s="28">
        <f t="shared" si="0"/>
        <v>7300000</v>
      </c>
      <c r="L23" s="28">
        <v>5000000</v>
      </c>
      <c r="M23" s="26"/>
      <c r="N23" s="26"/>
      <c r="O23" s="26"/>
      <c r="P23" s="26"/>
      <c r="Q23" s="28">
        <f t="shared" si="1"/>
        <v>2300000</v>
      </c>
      <c r="R23" s="24">
        <v>44384</v>
      </c>
      <c r="S23" s="24"/>
      <c r="T23" s="2">
        <v>60</v>
      </c>
      <c r="U23" s="24">
        <f t="shared" si="2"/>
        <v>44286</v>
      </c>
      <c r="V23"/>
      <c r="W23"/>
      <c r="X23"/>
      <c r="Y23"/>
      <c r="Z23"/>
      <c r="AA23"/>
      <c r="AB23"/>
      <c r="AC23"/>
      <c r="AD23"/>
      <c r="AE23"/>
      <c r="AF23"/>
      <c r="AG23"/>
      <c r="AH23"/>
      <c r="AI23"/>
      <c r="AJ23"/>
      <c r="AK23"/>
      <c r="AL23"/>
      <c r="AM23"/>
      <c r="AN23"/>
      <c r="AO23"/>
      <c r="AP23"/>
      <c r="AQ23"/>
    </row>
    <row r="24" spans="1:43" s="10" customFormat="1" ht="15" customHeight="1" x14ac:dyDescent="0.25">
      <c r="A24" s="458">
        <f t="shared" si="3"/>
        <v>21</v>
      </c>
      <c r="B24" s="56">
        <v>44226</v>
      </c>
      <c r="C24" s="590" t="s">
        <v>253</v>
      </c>
      <c r="D24" s="84"/>
      <c r="E24" s="84"/>
      <c r="F24" s="123" t="s">
        <v>1840</v>
      </c>
      <c r="G24" s="31" t="s">
        <v>254</v>
      </c>
      <c r="H24" s="47">
        <v>1500000</v>
      </c>
      <c r="I24" s="379" t="s">
        <v>255</v>
      </c>
      <c r="J24" s="509">
        <v>44228</v>
      </c>
      <c r="K24" s="28">
        <f t="shared" si="0"/>
        <v>1500000</v>
      </c>
      <c r="L24" s="28"/>
      <c r="M24" s="26"/>
      <c r="N24" s="26"/>
      <c r="O24" s="26"/>
      <c r="P24" s="26">
        <v>1500000</v>
      </c>
      <c r="Q24" s="28">
        <f t="shared" si="1"/>
        <v>0</v>
      </c>
      <c r="R24" s="24"/>
      <c r="S24" s="24">
        <v>44228</v>
      </c>
      <c r="T24" s="2">
        <v>30</v>
      </c>
      <c r="U24" s="24">
        <f t="shared" si="2"/>
        <v>44258</v>
      </c>
      <c r="V24"/>
      <c r="W24"/>
      <c r="X24"/>
      <c r="Y24"/>
      <c r="Z24"/>
      <c r="AA24"/>
      <c r="AB24"/>
      <c r="AC24"/>
      <c r="AD24"/>
      <c r="AE24"/>
      <c r="AF24"/>
      <c r="AG24"/>
      <c r="AH24"/>
      <c r="AI24"/>
      <c r="AJ24"/>
      <c r="AK24"/>
      <c r="AL24"/>
      <c r="AM24"/>
      <c r="AN24"/>
      <c r="AO24"/>
      <c r="AP24"/>
      <c r="AQ24"/>
    </row>
    <row r="25" spans="1:43" s="10" customFormat="1" ht="15.75" customHeight="1" x14ac:dyDescent="0.25">
      <c r="A25" s="458">
        <f t="shared" si="3"/>
        <v>22</v>
      </c>
      <c r="B25" s="56">
        <v>44226</v>
      </c>
      <c r="C25" s="58"/>
      <c r="D25" s="58"/>
      <c r="E25" s="58"/>
      <c r="F25" s="123" t="s">
        <v>1840</v>
      </c>
      <c r="G25" s="31" t="s">
        <v>254</v>
      </c>
      <c r="H25" s="47">
        <v>7120000</v>
      </c>
      <c r="I25" s="379" t="s">
        <v>256</v>
      </c>
      <c r="J25" s="509">
        <v>44228</v>
      </c>
      <c r="K25" s="28">
        <f t="shared" si="0"/>
        <v>7120000</v>
      </c>
      <c r="L25" s="28"/>
      <c r="M25" s="26"/>
      <c r="N25" s="26"/>
      <c r="O25" s="26"/>
      <c r="P25" s="26">
        <v>7120000</v>
      </c>
      <c r="Q25" s="28">
        <f t="shared" si="1"/>
        <v>0</v>
      </c>
      <c r="R25" s="24"/>
      <c r="S25" s="24">
        <v>44228</v>
      </c>
      <c r="T25" s="2">
        <v>30</v>
      </c>
      <c r="U25" s="24">
        <f t="shared" si="2"/>
        <v>44258</v>
      </c>
      <c r="V25"/>
      <c r="W25"/>
      <c r="X25"/>
      <c r="Y25"/>
      <c r="Z25"/>
      <c r="AA25"/>
      <c r="AB25"/>
      <c r="AC25"/>
      <c r="AD25"/>
      <c r="AE25"/>
      <c r="AF25"/>
      <c r="AG25"/>
      <c r="AH25"/>
      <c r="AI25"/>
      <c r="AJ25"/>
      <c r="AK25"/>
      <c r="AL25"/>
      <c r="AM25"/>
      <c r="AN25"/>
      <c r="AO25"/>
      <c r="AP25"/>
      <c r="AQ25"/>
    </row>
    <row r="26" spans="1:43" s="10" customFormat="1" ht="15.75" customHeight="1" x14ac:dyDescent="0.25">
      <c r="A26" s="458">
        <f t="shared" si="3"/>
        <v>23</v>
      </c>
      <c r="B26" s="56">
        <v>44225</v>
      </c>
      <c r="C26" s="58"/>
      <c r="D26" s="58"/>
      <c r="E26" s="58"/>
      <c r="F26" s="111" t="s">
        <v>279</v>
      </c>
      <c r="G26" s="23" t="s">
        <v>29</v>
      </c>
      <c r="H26" s="47">
        <v>2100000</v>
      </c>
      <c r="I26" s="377" t="s">
        <v>257</v>
      </c>
      <c r="J26" s="74">
        <v>44228</v>
      </c>
      <c r="K26" s="28">
        <f t="shared" si="0"/>
        <v>2100000</v>
      </c>
      <c r="L26" s="28"/>
      <c r="M26" s="26"/>
      <c r="N26" s="26"/>
      <c r="O26" s="28">
        <f>K26*2%</f>
        <v>42000</v>
      </c>
      <c r="P26" s="26">
        <v>2058000</v>
      </c>
      <c r="Q26" s="28">
        <f t="shared" si="1"/>
        <v>0</v>
      </c>
      <c r="R26" s="24"/>
      <c r="S26" s="24">
        <v>44267</v>
      </c>
      <c r="T26" s="2">
        <v>30</v>
      </c>
      <c r="U26" s="24">
        <f t="shared" si="2"/>
        <v>44258</v>
      </c>
      <c r="V26"/>
      <c r="W26"/>
      <c r="X26"/>
      <c r="Y26"/>
      <c r="Z26"/>
      <c r="AA26"/>
      <c r="AB26"/>
      <c r="AC26"/>
      <c r="AD26"/>
      <c r="AE26"/>
      <c r="AF26"/>
      <c r="AG26"/>
      <c r="AH26"/>
      <c r="AI26"/>
      <c r="AJ26"/>
      <c r="AK26"/>
      <c r="AL26"/>
      <c r="AM26"/>
      <c r="AN26"/>
      <c r="AO26"/>
      <c r="AP26"/>
      <c r="AQ26"/>
    </row>
    <row r="27" spans="1:43" s="10" customFormat="1" ht="15.75" customHeight="1" x14ac:dyDescent="0.25">
      <c r="A27" s="458">
        <f t="shared" si="3"/>
        <v>24</v>
      </c>
      <c r="B27" s="56">
        <v>44221</v>
      </c>
      <c r="C27" s="58"/>
      <c r="D27" s="58"/>
      <c r="E27" s="58"/>
      <c r="F27" s="31" t="s">
        <v>51</v>
      </c>
      <c r="G27" s="31" t="s">
        <v>13</v>
      </c>
      <c r="H27" s="47">
        <v>5500000</v>
      </c>
      <c r="I27" s="379" t="s">
        <v>258</v>
      </c>
      <c r="J27" s="509">
        <v>44229</v>
      </c>
      <c r="K27" s="28">
        <f t="shared" si="0"/>
        <v>5500000</v>
      </c>
      <c r="L27" s="28">
        <v>3850000</v>
      </c>
      <c r="M27" s="26"/>
      <c r="N27" s="26"/>
      <c r="O27" s="26"/>
      <c r="P27" s="26">
        <v>1650000</v>
      </c>
      <c r="Q27" s="28">
        <f t="shared" si="1"/>
        <v>0</v>
      </c>
      <c r="R27" s="24">
        <v>44253</v>
      </c>
      <c r="S27" s="24"/>
      <c r="T27" s="2">
        <v>14</v>
      </c>
      <c r="U27" s="24">
        <f t="shared" si="2"/>
        <v>44243</v>
      </c>
      <c r="V27"/>
      <c r="W27"/>
      <c r="X27"/>
      <c r="Y27"/>
      <c r="Z27"/>
      <c r="AA27"/>
      <c r="AB27"/>
      <c r="AC27"/>
      <c r="AD27"/>
      <c r="AE27"/>
      <c r="AF27"/>
      <c r="AG27"/>
      <c r="AH27"/>
      <c r="AI27"/>
      <c r="AJ27"/>
      <c r="AK27"/>
      <c r="AL27"/>
      <c r="AM27"/>
      <c r="AN27"/>
      <c r="AO27"/>
      <c r="AP27"/>
      <c r="AQ27"/>
    </row>
    <row r="28" spans="1:43" s="10" customFormat="1" ht="15.75" customHeight="1" x14ac:dyDescent="0.25">
      <c r="A28" s="458">
        <f t="shared" si="3"/>
        <v>25</v>
      </c>
      <c r="B28" s="56">
        <v>44201</v>
      </c>
      <c r="C28" s="58"/>
      <c r="D28" s="58"/>
      <c r="E28" s="58"/>
      <c r="F28" s="31" t="s">
        <v>51</v>
      </c>
      <c r="G28" s="23" t="s">
        <v>13</v>
      </c>
      <c r="H28" s="47">
        <v>3500000</v>
      </c>
      <c r="I28" s="379" t="s">
        <v>259</v>
      </c>
      <c r="J28" s="509">
        <v>44201</v>
      </c>
      <c r="K28" s="28">
        <f t="shared" si="0"/>
        <v>3500000</v>
      </c>
      <c r="L28" s="28">
        <v>2500000</v>
      </c>
      <c r="M28" s="26"/>
      <c r="N28" s="26"/>
      <c r="O28" s="26"/>
      <c r="P28" s="26">
        <v>1000000</v>
      </c>
      <c r="Q28" s="28">
        <f t="shared" si="1"/>
        <v>0</v>
      </c>
      <c r="R28" s="24">
        <v>44260</v>
      </c>
      <c r="S28" s="24"/>
      <c r="T28" s="2">
        <v>14</v>
      </c>
      <c r="U28" s="24">
        <f t="shared" si="2"/>
        <v>44215</v>
      </c>
      <c r="V28"/>
      <c r="W28"/>
      <c r="X28"/>
      <c r="Y28"/>
      <c r="Z28"/>
      <c r="AA28"/>
      <c r="AB28"/>
      <c r="AC28"/>
      <c r="AD28"/>
      <c r="AE28"/>
      <c r="AF28"/>
      <c r="AG28"/>
      <c r="AH28"/>
      <c r="AI28"/>
      <c r="AJ28"/>
      <c r="AK28"/>
      <c r="AL28"/>
      <c r="AM28"/>
      <c r="AN28"/>
      <c r="AO28"/>
      <c r="AP28"/>
      <c r="AQ28"/>
    </row>
    <row r="29" spans="1:43" s="10" customFormat="1" ht="15" customHeight="1" x14ac:dyDescent="0.25">
      <c r="A29" s="458">
        <f t="shared" si="3"/>
        <v>26</v>
      </c>
      <c r="B29" s="56">
        <v>44214</v>
      </c>
      <c r="C29" s="588">
        <v>401393</v>
      </c>
      <c r="D29" s="82"/>
      <c r="E29" s="82"/>
      <c r="F29" s="23" t="s">
        <v>260</v>
      </c>
      <c r="G29" s="31" t="s">
        <v>261</v>
      </c>
      <c r="H29" s="47">
        <v>4000000</v>
      </c>
      <c r="I29" s="379" t="s">
        <v>262</v>
      </c>
      <c r="J29" s="509">
        <v>44237</v>
      </c>
      <c r="K29" s="28">
        <f t="shared" si="0"/>
        <v>4000000</v>
      </c>
      <c r="L29" s="28"/>
      <c r="M29" s="26"/>
      <c r="N29" s="26"/>
      <c r="O29" s="26"/>
      <c r="P29" s="478">
        <v>4000000</v>
      </c>
      <c r="Q29" s="28">
        <f t="shared" si="1"/>
        <v>0</v>
      </c>
      <c r="R29" s="24"/>
      <c r="S29" s="24">
        <v>44365</v>
      </c>
      <c r="T29" s="2">
        <v>30</v>
      </c>
      <c r="U29" s="24">
        <f t="shared" si="2"/>
        <v>44267</v>
      </c>
      <c r="V29"/>
      <c r="W29"/>
      <c r="X29"/>
      <c r="Y29"/>
      <c r="Z29"/>
      <c r="AA29"/>
      <c r="AB29"/>
      <c r="AC29"/>
      <c r="AD29"/>
      <c r="AE29"/>
      <c r="AF29"/>
      <c r="AG29"/>
      <c r="AH29"/>
      <c r="AI29"/>
      <c r="AJ29"/>
      <c r="AK29"/>
      <c r="AL29"/>
      <c r="AM29"/>
      <c r="AN29"/>
      <c r="AO29"/>
      <c r="AP29"/>
      <c r="AQ29"/>
    </row>
    <row r="30" spans="1:43" s="10" customFormat="1" ht="15" customHeight="1" x14ac:dyDescent="0.25">
      <c r="A30" s="458">
        <f t="shared" si="3"/>
        <v>27</v>
      </c>
      <c r="B30" s="79">
        <v>44215</v>
      </c>
      <c r="C30" s="586">
        <v>74641</v>
      </c>
      <c r="D30" s="85"/>
      <c r="E30" s="85"/>
      <c r="F30" s="31" t="s">
        <v>242</v>
      </c>
      <c r="G30" s="23" t="s">
        <v>25</v>
      </c>
      <c r="H30" s="47">
        <v>7500000</v>
      </c>
      <c r="I30" s="378" t="s">
        <v>263</v>
      </c>
      <c r="J30" s="447">
        <v>44238</v>
      </c>
      <c r="K30" s="28">
        <f t="shared" si="0"/>
        <v>7500000</v>
      </c>
      <c r="L30" s="28"/>
      <c r="M30" s="26"/>
      <c r="N30" s="26"/>
      <c r="O30" s="26"/>
      <c r="P30" s="26">
        <v>7500000</v>
      </c>
      <c r="Q30" s="28">
        <f t="shared" si="1"/>
        <v>0</v>
      </c>
      <c r="R30" s="24"/>
      <c r="S30" s="24">
        <v>44251</v>
      </c>
      <c r="T30" s="2">
        <v>14</v>
      </c>
      <c r="U30" s="24">
        <f t="shared" si="2"/>
        <v>44252</v>
      </c>
      <c r="V30"/>
      <c r="W30"/>
      <c r="X30"/>
      <c r="Y30"/>
      <c r="Z30"/>
      <c r="AA30"/>
      <c r="AB30"/>
      <c r="AC30"/>
      <c r="AD30"/>
      <c r="AE30"/>
      <c r="AF30"/>
      <c r="AG30"/>
      <c r="AH30"/>
      <c r="AI30"/>
      <c r="AJ30"/>
      <c r="AK30"/>
      <c r="AL30"/>
      <c r="AM30"/>
      <c r="AN30"/>
      <c r="AO30"/>
      <c r="AP30"/>
      <c r="AQ30"/>
    </row>
    <row r="31" spans="1:43" s="10" customFormat="1" ht="15" customHeight="1" x14ac:dyDescent="0.25">
      <c r="A31" s="458">
        <f t="shared" si="3"/>
        <v>28</v>
      </c>
      <c r="B31" s="56">
        <v>44224</v>
      </c>
      <c r="C31" s="589">
        <v>402052</v>
      </c>
      <c r="D31" s="83"/>
      <c r="E31" s="83"/>
      <c r="F31" s="23" t="s">
        <v>260</v>
      </c>
      <c r="G31" s="31" t="s">
        <v>264</v>
      </c>
      <c r="H31" s="47">
        <v>15000000</v>
      </c>
      <c r="I31" s="379" t="s">
        <v>265</v>
      </c>
      <c r="J31" s="509">
        <v>44238</v>
      </c>
      <c r="K31" s="28">
        <f t="shared" si="0"/>
        <v>15000000</v>
      </c>
      <c r="L31" s="28"/>
      <c r="M31" s="26"/>
      <c r="N31" s="26"/>
      <c r="O31" s="26"/>
      <c r="P31" s="26">
        <v>15000000</v>
      </c>
      <c r="Q31" s="28">
        <f t="shared" si="1"/>
        <v>0</v>
      </c>
      <c r="R31" s="2"/>
      <c r="S31" s="24">
        <v>44400</v>
      </c>
      <c r="T31" s="2">
        <v>30</v>
      </c>
      <c r="U31" s="24">
        <f t="shared" si="2"/>
        <v>44268</v>
      </c>
      <c r="V31"/>
      <c r="W31"/>
      <c r="X31"/>
      <c r="Y31"/>
      <c r="Z31"/>
      <c r="AA31"/>
      <c r="AB31"/>
      <c r="AC31"/>
      <c r="AD31"/>
      <c r="AE31"/>
      <c r="AF31"/>
      <c r="AG31"/>
      <c r="AH31"/>
      <c r="AI31"/>
      <c r="AJ31"/>
      <c r="AK31"/>
      <c r="AL31"/>
      <c r="AM31"/>
      <c r="AN31"/>
      <c r="AO31"/>
      <c r="AP31"/>
      <c r="AQ31"/>
    </row>
    <row r="32" spans="1:43" s="10" customFormat="1" ht="15.75" customHeight="1" x14ac:dyDescent="0.25">
      <c r="A32" s="413">
        <f t="shared" si="3"/>
        <v>29</v>
      </c>
      <c r="B32" s="466">
        <v>44215</v>
      </c>
      <c r="C32" s="264"/>
      <c r="D32" s="264"/>
      <c r="E32" s="264"/>
      <c r="F32" s="414" t="s">
        <v>266</v>
      </c>
      <c r="G32" s="265" t="s">
        <v>14</v>
      </c>
      <c r="H32" s="415">
        <v>12000000</v>
      </c>
      <c r="I32" s="416"/>
      <c r="J32" s="510"/>
      <c r="K32" s="417">
        <f t="shared" si="0"/>
        <v>12000000</v>
      </c>
      <c r="L32" s="417"/>
      <c r="M32" s="417"/>
      <c r="N32" s="417"/>
      <c r="O32" s="417"/>
      <c r="P32" s="417">
        <v>12000000</v>
      </c>
      <c r="Q32" s="417">
        <f t="shared" si="1"/>
        <v>0</v>
      </c>
      <c r="R32" s="861" t="s">
        <v>2608</v>
      </c>
      <c r="S32" s="862"/>
      <c r="T32" s="413">
        <v>14</v>
      </c>
      <c r="U32" s="24">
        <f t="shared" si="2"/>
        <v>14</v>
      </c>
      <c r="V32"/>
      <c r="W32"/>
      <c r="X32"/>
      <c r="Y32"/>
      <c r="Z32"/>
      <c r="AA32"/>
      <c r="AB32"/>
      <c r="AC32"/>
      <c r="AD32"/>
      <c r="AE32"/>
      <c r="AF32"/>
      <c r="AG32"/>
      <c r="AH32"/>
      <c r="AI32"/>
      <c r="AJ32"/>
      <c r="AK32"/>
      <c r="AL32"/>
      <c r="AM32"/>
      <c r="AN32"/>
      <c r="AO32"/>
      <c r="AP32"/>
      <c r="AQ32"/>
    </row>
    <row r="33" spans="1:43" s="10" customFormat="1" ht="15" customHeight="1" x14ac:dyDescent="0.25">
      <c r="A33" s="458">
        <f t="shared" si="3"/>
        <v>30</v>
      </c>
      <c r="B33" s="56">
        <v>44222</v>
      </c>
      <c r="C33" s="589">
        <v>401806</v>
      </c>
      <c r="D33" s="83"/>
      <c r="E33" s="83"/>
      <c r="F33" s="112" t="s">
        <v>1123</v>
      </c>
      <c r="G33" s="31" t="s">
        <v>27</v>
      </c>
      <c r="H33" s="86">
        <v>147000</v>
      </c>
      <c r="I33" s="380" t="s">
        <v>373</v>
      </c>
      <c r="J33" s="74">
        <v>44259</v>
      </c>
      <c r="K33" s="28">
        <f t="shared" si="0"/>
        <v>147000</v>
      </c>
      <c r="L33" s="28"/>
      <c r="M33" s="26"/>
      <c r="N33" s="28">
        <f>K33*1%</f>
        <v>1470</v>
      </c>
      <c r="O33" s="28">
        <f>K33*2%</f>
        <v>2940</v>
      </c>
      <c r="P33" s="26">
        <v>145530</v>
      </c>
      <c r="Q33" s="28">
        <f t="shared" si="1"/>
        <v>0</v>
      </c>
      <c r="R33" s="24"/>
      <c r="S33" s="24">
        <v>44242</v>
      </c>
      <c r="T33" s="2">
        <v>30</v>
      </c>
      <c r="U33" s="24">
        <f t="shared" si="2"/>
        <v>44289</v>
      </c>
      <c r="V33"/>
      <c r="W33"/>
      <c r="X33"/>
      <c r="Y33"/>
      <c r="Z33"/>
      <c r="AA33"/>
      <c r="AB33"/>
      <c r="AC33"/>
      <c r="AD33"/>
      <c r="AE33"/>
      <c r="AF33"/>
      <c r="AG33"/>
      <c r="AH33"/>
      <c r="AI33"/>
      <c r="AJ33"/>
      <c r="AK33"/>
      <c r="AL33"/>
      <c r="AM33"/>
      <c r="AN33"/>
      <c r="AO33"/>
      <c r="AP33"/>
      <c r="AQ33"/>
    </row>
    <row r="34" spans="1:43" s="10" customFormat="1" ht="15" customHeight="1" x14ac:dyDescent="0.25">
      <c r="A34" s="789">
        <f t="shared" si="3"/>
        <v>31</v>
      </c>
      <c r="B34" s="56">
        <v>44226</v>
      </c>
      <c r="C34" s="590" t="s">
        <v>267</v>
      </c>
      <c r="D34" s="84"/>
      <c r="E34" s="84"/>
      <c r="F34" s="31" t="s">
        <v>379</v>
      </c>
      <c r="G34" s="31" t="s">
        <v>268</v>
      </c>
      <c r="H34" s="47">
        <v>6500000</v>
      </c>
      <c r="I34" s="379" t="s">
        <v>380</v>
      </c>
      <c r="J34" s="25">
        <v>44260</v>
      </c>
      <c r="K34" s="28">
        <f t="shared" si="0"/>
        <v>6500000</v>
      </c>
      <c r="L34" s="28"/>
      <c r="M34" s="26">
        <v>1600000</v>
      </c>
      <c r="N34" s="26"/>
      <c r="O34" s="26"/>
      <c r="P34" s="26">
        <v>4900000</v>
      </c>
      <c r="Q34" s="28">
        <f t="shared" si="1"/>
        <v>0</v>
      </c>
      <c r="R34" s="24">
        <v>44287</v>
      </c>
      <c r="S34" s="24"/>
      <c r="T34" s="2">
        <v>14</v>
      </c>
      <c r="U34" s="24">
        <f t="shared" si="2"/>
        <v>44274</v>
      </c>
      <c r="V34"/>
      <c r="W34"/>
      <c r="X34"/>
      <c r="Y34"/>
      <c r="Z34"/>
      <c r="AA34"/>
      <c r="AB34"/>
      <c r="AC34"/>
      <c r="AD34"/>
      <c r="AE34"/>
      <c r="AF34"/>
      <c r="AG34"/>
      <c r="AH34"/>
      <c r="AI34"/>
      <c r="AJ34"/>
      <c r="AK34"/>
      <c r="AL34"/>
      <c r="AM34"/>
      <c r="AN34"/>
      <c r="AO34"/>
      <c r="AP34"/>
      <c r="AQ34"/>
    </row>
    <row r="35" spans="1:43" s="10" customFormat="1" ht="15.75" customHeight="1" x14ac:dyDescent="0.25">
      <c r="A35" s="789">
        <f t="shared" si="3"/>
        <v>32</v>
      </c>
      <c r="B35" s="56">
        <v>44201</v>
      </c>
      <c r="C35" s="58"/>
      <c r="D35" s="58"/>
      <c r="E35" s="58"/>
      <c r="F35" s="69" t="s">
        <v>18</v>
      </c>
      <c r="G35" s="31" t="s">
        <v>384</v>
      </c>
      <c r="H35" s="47">
        <v>178500000</v>
      </c>
      <c r="I35" s="381" t="s">
        <v>387</v>
      </c>
      <c r="J35" s="509">
        <v>44245</v>
      </c>
      <c r="K35" s="28">
        <f t="shared" si="0"/>
        <v>178500000</v>
      </c>
      <c r="L35" s="28">
        <f>90000000+40000000+48500000</f>
        <v>178500000</v>
      </c>
      <c r="M35" s="26"/>
      <c r="N35" s="26"/>
      <c r="O35" s="26"/>
      <c r="P35" s="26"/>
      <c r="Q35" s="28">
        <f t="shared" si="1"/>
        <v>0</v>
      </c>
      <c r="R35" s="24">
        <v>44260</v>
      </c>
      <c r="S35" s="24"/>
      <c r="T35" s="2">
        <v>14</v>
      </c>
      <c r="U35" s="24">
        <f t="shared" si="2"/>
        <v>44259</v>
      </c>
      <c r="V35"/>
      <c r="W35"/>
      <c r="X35"/>
      <c r="Y35"/>
      <c r="Z35"/>
      <c r="AA35"/>
      <c r="AB35"/>
      <c r="AC35"/>
      <c r="AD35"/>
      <c r="AE35"/>
      <c r="AF35"/>
      <c r="AG35"/>
      <c r="AH35"/>
      <c r="AI35"/>
      <c r="AJ35"/>
      <c r="AK35"/>
      <c r="AL35"/>
      <c r="AM35"/>
      <c r="AN35"/>
      <c r="AO35"/>
      <c r="AP35"/>
      <c r="AQ35"/>
    </row>
    <row r="36" spans="1:43" s="10" customFormat="1" ht="15.75" customHeight="1" x14ac:dyDescent="0.25">
      <c r="A36" s="789">
        <f t="shared" si="3"/>
        <v>33</v>
      </c>
      <c r="B36" s="56">
        <v>44201</v>
      </c>
      <c r="C36" s="58"/>
      <c r="D36" s="58"/>
      <c r="E36" s="58"/>
      <c r="F36" s="69" t="s">
        <v>18</v>
      </c>
      <c r="G36" s="31" t="s">
        <v>385</v>
      </c>
      <c r="H36" s="47">
        <v>159145360</v>
      </c>
      <c r="I36" s="379" t="s">
        <v>387</v>
      </c>
      <c r="J36" s="509">
        <v>44245</v>
      </c>
      <c r="K36" s="28">
        <f t="shared" si="0"/>
        <v>159145360</v>
      </c>
      <c r="L36" s="28">
        <f>20000000+30000000+30000000+20000000+30000000</f>
        <v>130000000</v>
      </c>
      <c r="M36" s="26">
        <v>1150000</v>
      </c>
      <c r="N36" s="26"/>
      <c r="O36" s="26"/>
      <c r="P36" s="26">
        <v>27995360</v>
      </c>
      <c r="Q36" s="28">
        <f t="shared" si="1"/>
        <v>0</v>
      </c>
      <c r="R36" s="24">
        <v>44321</v>
      </c>
      <c r="S36" s="24"/>
      <c r="T36" s="2">
        <v>14</v>
      </c>
      <c r="U36" s="24">
        <f t="shared" si="2"/>
        <v>44259</v>
      </c>
      <c r="V36"/>
      <c r="W36"/>
      <c r="X36"/>
      <c r="Y36"/>
      <c r="Z36"/>
      <c r="AA36"/>
      <c r="AB36"/>
      <c r="AC36"/>
      <c r="AD36"/>
      <c r="AE36"/>
      <c r="AF36"/>
      <c r="AG36"/>
      <c r="AH36"/>
      <c r="AI36"/>
      <c r="AJ36"/>
      <c r="AK36"/>
      <c r="AL36"/>
      <c r="AM36"/>
      <c r="AN36"/>
      <c r="AO36"/>
      <c r="AP36"/>
      <c r="AQ36"/>
    </row>
    <row r="37" spans="1:43" s="10" customFormat="1" ht="15.75" customHeight="1" x14ac:dyDescent="0.25">
      <c r="A37" s="789">
        <f t="shared" si="3"/>
        <v>34</v>
      </c>
      <c r="B37" s="56">
        <v>44201</v>
      </c>
      <c r="C37" s="58"/>
      <c r="D37" s="58"/>
      <c r="E37" s="58"/>
      <c r="F37" s="69" t="s">
        <v>18</v>
      </c>
      <c r="G37" s="31" t="s">
        <v>386</v>
      </c>
      <c r="H37" s="47">
        <v>65000000</v>
      </c>
      <c r="I37" s="379" t="s">
        <v>387</v>
      </c>
      <c r="J37" s="509">
        <v>44245</v>
      </c>
      <c r="K37" s="28">
        <f t="shared" si="0"/>
        <v>65000000</v>
      </c>
      <c r="L37" s="28"/>
      <c r="M37" s="26">
        <v>1020000</v>
      </c>
      <c r="N37" s="26"/>
      <c r="O37" s="26"/>
      <c r="P37" s="26">
        <v>63980000</v>
      </c>
      <c r="Q37" s="28">
        <f t="shared" si="1"/>
        <v>0</v>
      </c>
      <c r="R37" s="24">
        <v>44321</v>
      </c>
      <c r="S37" s="24"/>
      <c r="T37" s="2">
        <v>14</v>
      </c>
      <c r="U37" s="24">
        <f t="shared" si="2"/>
        <v>44259</v>
      </c>
      <c r="V37"/>
      <c r="W37"/>
      <c r="X37"/>
      <c r="Y37"/>
      <c r="Z37"/>
      <c r="AA37"/>
      <c r="AB37"/>
      <c r="AC37"/>
      <c r="AD37"/>
      <c r="AE37"/>
      <c r="AF37"/>
      <c r="AG37"/>
      <c r="AH37"/>
      <c r="AI37"/>
      <c r="AJ37"/>
      <c r="AK37"/>
      <c r="AL37"/>
      <c r="AM37"/>
      <c r="AN37"/>
      <c r="AO37"/>
      <c r="AP37"/>
      <c r="AQ37"/>
    </row>
    <row r="38" spans="1:43" s="10" customFormat="1" ht="15.75" customHeight="1" x14ac:dyDescent="0.25">
      <c r="A38" s="789">
        <f t="shared" si="3"/>
        <v>35</v>
      </c>
      <c r="B38" s="56">
        <v>44201</v>
      </c>
      <c r="C38" s="58"/>
      <c r="D38" s="58"/>
      <c r="E38" s="58"/>
      <c r="F38" s="69" t="s">
        <v>18</v>
      </c>
      <c r="G38" s="6" t="s">
        <v>383</v>
      </c>
      <c r="H38" s="47">
        <v>20000000</v>
      </c>
      <c r="I38" s="379" t="s">
        <v>382</v>
      </c>
      <c r="J38" s="25">
        <v>44253</v>
      </c>
      <c r="K38" s="28">
        <f t="shared" ref="K38" si="4">H38</f>
        <v>20000000</v>
      </c>
      <c r="L38" s="28">
        <v>20000000</v>
      </c>
      <c r="M38" s="26"/>
      <c r="N38" s="26"/>
      <c r="O38" s="26"/>
      <c r="P38" s="26"/>
      <c r="Q38" s="28">
        <f t="shared" si="1"/>
        <v>0</v>
      </c>
      <c r="R38" s="24">
        <v>44264</v>
      </c>
      <c r="S38" s="24"/>
      <c r="T38" s="2">
        <v>14</v>
      </c>
      <c r="U38" s="24">
        <f t="shared" si="2"/>
        <v>44267</v>
      </c>
      <c r="V38"/>
      <c r="W38"/>
      <c r="X38"/>
      <c r="Y38"/>
      <c r="Z38"/>
      <c r="AA38"/>
      <c r="AB38"/>
      <c r="AC38"/>
      <c r="AD38"/>
      <c r="AE38"/>
      <c r="AF38"/>
      <c r="AG38"/>
      <c r="AH38"/>
      <c r="AI38"/>
      <c r="AJ38"/>
      <c r="AK38"/>
      <c r="AL38"/>
      <c r="AM38"/>
      <c r="AN38"/>
      <c r="AO38"/>
      <c r="AP38"/>
      <c r="AQ38"/>
    </row>
    <row r="39" spans="1:43" s="10" customFormat="1" ht="15.75" customHeight="1" x14ac:dyDescent="0.25">
      <c r="A39" s="789">
        <f t="shared" si="3"/>
        <v>36</v>
      </c>
      <c r="B39" s="56">
        <v>44201</v>
      </c>
      <c r="C39" s="58"/>
      <c r="D39" s="58"/>
      <c r="E39" s="58"/>
      <c r="F39" s="69" t="s">
        <v>18</v>
      </c>
      <c r="G39" s="6" t="s">
        <v>381</v>
      </c>
      <c r="H39" s="47">
        <f>186166600-20000000</f>
        <v>166166600</v>
      </c>
      <c r="I39" s="379" t="s">
        <v>382</v>
      </c>
      <c r="J39" s="25">
        <v>44253</v>
      </c>
      <c r="K39" s="28">
        <f t="shared" si="0"/>
        <v>166166600</v>
      </c>
      <c r="L39" s="28">
        <v>160000000</v>
      </c>
      <c r="M39" s="26">
        <v>5200000</v>
      </c>
      <c r="N39" s="26"/>
      <c r="O39" s="26"/>
      <c r="P39" s="26">
        <v>966600</v>
      </c>
      <c r="Q39" s="28">
        <f t="shared" si="1"/>
        <v>0</v>
      </c>
      <c r="R39" s="24">
        <v>44321</v>
      </c>
      <c r="S39" s="24"/>
      <c r="T39" s="2">
        <v>14</v>
      </c>
      <c r="U39" s="24">
        <f t="shared" si="2"/>
        <v>44267</v>
      </c>
      <c r="V39"/>
      <c r="W39"/>
      <c r="X39"/>
      <c r="Y39"/>
      <c r="Z39"/>
      <c r="AA39"/>
      <c r="AB39"/>
      <c r="AC39"/>
      <c r="AD39"/>
      <c r="AE39"/>
      <c r="AF39"/>
      <c r="AG39"/>
      <c r="AH39"/>
      <c r="AI39"/>
      <c r="AJ39"/>
      <c r="AK39"/>
      <c r="AL39"/>
      <c r="AM39"/>
      <c r="AN39"/>
      <c r="AO39"/>
      <c r="AP39"/>
      <c r="AQ39"/>
    </row>
    <row r="40" spans="1:43" s="10" customFormat="1" ht="15.75" customHeight="1" x14ac:dyDescent="0.25">
      <c r="A40" s="789">
        <f t="shared" si="3"/>
        <v>37</v>
      </c>
      <c r="B40" s="56">
        <v>44223</v>
      </c>
      <c r="C40" s="58"/>
      <c r="D40" s="58"/>
      <c r="E40" s="58"/>
      <c r="F40" s="53" t="s">
        <v>154</v>
      </c>
      <c r="G40" s="6" t="s">
        <v>136</v>
      </c>
      <c r="H40" s="47">
        <v>11826400</v>
      </c>
      <c r="I40" s="378" t="s">
        <v>391</v>
      </c>
      <c r="J40" s="447">
        <v>44244</v>
      </c>
      <c r="K40" s="28">
        <f t="shared" si="0"/>
        <v>11826400</v>
      </c>
      <c r="L40" s="28"/>
      <c r="M40" s="26"/>
      <c r="N40" s="28">
        <f>K40*1%</f>
        <v>118264</v>
      </c>
      <c r="O40" s="28">
        <f>K40*2%</f>
        <v>236528</v>
      </c>
      <c r="P40" s="26">
        <v>11708136</v>
      </c>
      <c r="Q40" s="28">
        <f t="shared" si="1"/>
        <v>0</v>
      </c>
      <c r="R40" s="24">
        <v>44300</v>
      </c>
      <c r="S40" s="24"/>
      <c r="T40" s="2">
        <v>60</v>
      </c>
      <c r="U40" s="24">
        <f t="shared" si="2"/>
        <v>44304</v>
      </c>
      <c r="V40"/>
      <c r="W40"/>
      <c r="X40"/>
      <c r="Y40"/>
      <c r="Z40"/>
      <c r="AA40"/>
      <c r="AB40"/>
      <c r="AC40"/>
      <c r="AD40"/>
      <c r="AE40"/>
      <c r="AF40"/>
      <c r="AG40"/>
      <c r="AH40"/>
      <c r="AI40"/>
      <c r="AJ40"/>
      <c r="AK40"/>
      <c r="AL40"/>
      <c r="AM40"/>
      <c r="AN40"/>
      <c r="AO40"/>
      <c r="AP40"/>
      <c r="AQ40"/>
    </row>
    <row r="41" spans="1:43" s="10" customFormat="1" ht="15.75" customHeight="1" x14ac:dyDescent="0.25">
      <c r="A41" s="789">
        <f t="shared" si="3"/>
        <v>38</v>
      </c>
      <c r="B41" s="56">
        <v>44223</v>
      </c>
      <c r="C41" s="58"/>
      <c r="D41" s="58"/>
      <c r="E41" s="58"/>
      <c r="F41" s="53" t="s">
        <v>553</v>
      </c>
      <c r="G41" s="6" t="s">
        <v>509</v>
      </c>
      <c r="H41" s="47">
        <v>4700000</v>
      </c>
      <c r="I41" s="378" t="s">
        <v>510</v>
      </c>
      <c r="J41" s="447">
        <v>44245</v>
      </c>
      <c r="K41" s="28">
        <f t="shared" si="0"/>
        <v>4700000</v>
      </c>
      <c r="L41" s="28"/>
      <c r="M41" s="26"/>
      <c r="N41" s="26"/>
      <c r="O41" s="28">
        <f>K41*2%</f>
        <v>94000</v>
      </c>
      <c r="P41" s="26">
        <v>4606000</v>
      </c>
      <c r="Q41" s="28">
        <f t="shared" si="1"/>
        <v>0</v>
      </c>
      <c r="R41" s="24"/>
      <c r="S41" s="24">
        <v>44299</v>
      </c>
      <c r="T41" s="2">
        <v>14</v>
      </c>
      <c r="U41" s="24">
        <f t="shared" si="2"/>
        <v>44259</v>
      </c>
      <c r="V41"/>
      <c r="W41"/>
      <c r="X41"/>
      <c r="Y41"/>
      <c r="Z41"/>
      <c r="AA41"/>
      <c r="AB41"/>
      <c r="AC41"/>
      <c r="AD41"/>
      <c r="AE41"/>
      <c r="AF41"/>
      <c r="AG41"/>
      <c r="AH41"/>
      <c r="AI41"/>
      <c r="AJ41"/>
      <c r="AK41"/>
      <c r="AL41"/>
      <c r="AM41"/>
      <c r="AN41"/>
      <c r="AO41"/>
      <c r="AP41"/>
      <c r="AQ41"/>
    </row>
    <row r="42" spans="1:43" s="10" customFormat="1" ht="32.25" customHeight="1" x14ac:dyDescent="0.25">
      <c r="A42" s="998" t="s">
        <v>269</v>
      </c>
      <c r="B42" s="998"/>
      <c r="C42" s="998"/>
      <c r="D42" s="998"/>
      <c r="E42" s="998"/>
      <c r="F42" s="998"/>
      <c r="G42" s="998"/>
      <c r="H42" s="998"/>
      <c r="I42" s="998"/>
      <c r="J42" s="998"/>
      <c r="K42" s="473"/>
      <c r="L42" s="473"/>
      <c r="M42" s="473"/>
      <c r="N42" s="473"/>
      <c r="O42" s="473"/>
      <c r="P42" s="473"/>
      <c r="Q42" s="51">
        <f>SUM(Q4:Q40)</f>
        <v>18200000</v>
      </c>
      <c r="R42" s="479"/>
      <c r="S42" s="698"/>
      <c r="T42" s="479"/>
      <c r="U42" s="723"/>
      <c r="V42"/>
      <c r="W42"/>
      <c r="X42"/>
      <c r="Y42"/>
      <c r="Z42"/>
      <c r="AA42"/>
      <c r="AB42"/>
      <c r="AC42"/>
      <c r="AD42"/>
      <c r="AE42"/>
      <c r="AF42"/>
      <c r="AG42"/>
      <c r="AH42"/>
      <c r="AI42"/>
      <c r="AJ42"/>
      <c r="AK42"/>
      <c r="AL42"/>
      <c r="AM42"/>
      <c r="AN42"/>
      <c r="AO42"/>
      <c r="AP42"/>
      <c r="AQ42"/>
    </row>
    <row r="43" spans="1:43" s="10" customFormat="1" ht="15" customHeight="1" x14ac:dyDescent="0.25">
      <c r="A43" s="55">
        <v>1</v>
      </c>
      <c r="B43" s="56" t="s">
        <v>294</v>
      </c>
      <c r="C43" s="591" t="s">
        <v>295</v>
      </c>
      <c r="D43" s="115"/>
      <c r="E43" s="115"/>
      <c r="F43" s="53" t="s">
        <v>115</v>
      </c>
      <c r="G43" s="53" t="s">
        <v>296</v>
      </c>
      <c r="H43" s="423">
        <v>750000</v>
      </c>
      <c r="I43" s="377" t="s">
        <v>297</v>
      </c>
      <c r="J43" s="77">
        <v>44245</v>
      </c>
      <c r="K43" s="28">
        <f t="shared" si="0"/>
        <v>750000</v>
      </c>
      <c r="L43" s="423"/>
      <c r="M43" s="460"/>
      <c r="N43" s="28">
        <f>K43*1%</f>
        <v>7500</v>
      </c>
      <c r="O43" s="28">
        <f>K43*2%</f>
        <v>15000</v>
      </c>
      <c r="P43" s="460">
        <v>742500</v>
      </c>
      <c r="Q43" s="28">
        <f t="shared" ref="Q43:Q91" si="5">K43-L43-M43-O43-P43+N43</f>
        <v>0</v>
      </c>
      <c r="R43" s="197"/>
      <c r="S43" s="197">
        <v>44279</v>
      </c>
      <c r="T43" s="199">
        <v>14</v>
      </c>
      <c r="U43" s="24">
        <f t="shared" si="2"/>
        <v>44259</v>
      </c>
      <c r="V43"/>
      <c r="W43"/>
      <c r="X43"/>
      <c r="Y43"/>
      <c r="Z43"/>
      <c r="AA43"/>
      <c r="AB43"/>
      <c r="AC43"/>
      <c r="AD43"/>
      <c r="AE43"/>
      <c r="AF43"/>
      <c r="AG43"/>
      <c r="AH43"/>
      <c r="AI43"/>
      <c r="AJ43"/>
      <c r="AK43"/>
      <c r="AL43"/>
      <c r="AM43"/>
      <c r="AN43"/>
      <c r="AO43"/>
      <c r="AP43"/>
      <c r="AQ43"/>
    </row>
    <row r="44" spans="1:43" s="10" customFormat="1" ht="15" customHeight="1" x14ac:dyDescent="0.25">
      <c r="A44" s="55">
        <f>A43+1</f>
        <v>2</v>
      </c>
      <c r="B44" s="79" t="s">
        <v>298</v>
      </c>
      <c r="C44" s="592" t="s">
        <v>299</v>
      </c>
      <c r="D44" s="113"/>
      <c r="E44" s="113"/>
      <c r="F44" s="53" t="s">
        <v>115</v>
      </c>
      <c r="G44" s="33" t="s">
        <v>296</v>
      </c>
      <c r="H44" s="423">
        <v>900000</v>
      </c>
      <c r="I44" s="377" t="s">
        <v>300</v>
      </c>
      <c r="J44" s="77">
        <v>44246</v>
      </c>
      <c r="K44" s="28">
        <f t="shared" si="0"/>
        <v>900000</v>
      </c>
      <c r="L44" s="423"/>
      <c r="M44" s="460"/>
      <c r="N44" s="28">
        <f>K44*1%</f>
        <v>9000</v>
      </c>
      <c r="O44" s="28">
        <f>K44*2%</f>
        <v>18000</v>
      </c>
      <c r="P44" s="460">
        <v>891000</v>
      </c>
      <c r="Q44" s="28">
        <f t="shared" si="5"/>
        <v>0</v>
      </c>
      <c r="R44" s="197"/>
      <c r="S44" s="197">
        <v>44344</v>
      </c>
      <c r="T44" s="199">
        <v>14</v>
      </c>
      <c r="U44" s="24">
        <f t="shared" si="2"/>
        <v>44260</v>
      </c>
      <c r="V44"/>
      <c r="W44"/>
      <c r="X44"/>
      <c r="Y44"/>
      <c r="Z44"/>
      <c r="AA44"/>
      <c r="AB44"/>
      <c r="AC44"/>
      <c r="AD44"/>
      <c r="AE44"/>
      <c r="AF44"/>
      <c r="AG44"/>
      <c r="AH44"/>
      <c r="AI44"/>
      <c r="AJ44"/>
      <c r="AK44"/>
      <c r="AL44"/>
      <c r="AM44"/>
      <c r="AN44"/>
      <c r="AO44"/>
      <c r="AP44"/>
      <c r="AQ44"/>
    </row>
    <row r="45" spans="1:43" ht="15" customHeight="1" x14ac:dyDescent="0.25">
      <c r="A45" s="55">
        <f t="shared" ref="A45:A91" si="6">A44+1</f>
        <v>3</v>
      </c>
      <c r="B45" s="56">
        <v>44410</v>
      </c>
      <c r="C45" s="593" t="s">
        <v>301</v>
      </c>
      <c r="D45" s="117"/>
      <c r="E45" s="117"/>
      <c r="F45" s="53" t="s">
        <v>115</v>
      </c>
      <c r="G45" s="116" t="s">
        <v>133</v>
      </c>
      <c r="H45" s="423">
        <v>2000000</v>
      </c>
      <c r="I45" s="377" t="s">
        <v>293</v>
      </c>
      <c r="J45" s="77">
        <v>44246</v>
      </c>
      <c r="K45" s="460">
        <f t="shared" ref="K45:K68" si="7">H45</f>
        <v>2000000</v>
      </c>
      <c r="L45" s="460"/>
      <c r="M45" s="460"/>
      <c r="N45" s="28">
        <f>K45*1%</f>
        <v>20000</v>
      </c>
      <c r="O45" s="28">
        <f>K45*2%</f>
        <v>40000</v>
      </c>
      <c r="P45" s="460">
        <v>1980000</v>
      </c>
      <c r="Q45" s="28">
        <f t="shared" si="5"/>
        <v>0</v>
      </c>
      <c r="R45" s="197"/>
      <c r="S45" s="197">
        <v>44344</v>
      </c>
      <c r="T45" s="199">
        <v>14</v>
      </c>
      <c r="U45" s="24">
        <f t="shared" si="2"/>
        <v>44260</v>
      </c>
    </row>
    <row r="46" spans="1:43" ht="15" customHeight="1" x14ac:dyDescent="0.25">
      <c r="A46" s="55">
        <f t="shared" si="6"/>
        <v>4</v>
      </c>
      <c r="B46" s="56" t="s">
        <v>302</v>
      </c>
      <c r="C46" s="594"/>
      <c r="D46" s="120"/>
      <c r="E46" s="120"/>
      <c r="F46" s="53" t="s">
        <v>115</v>
      </c>
      <c r="G46" s="53" t="s">
        <v>303</v>
      </c>
      <c r="H46" s="423">
        <v>700000</v>
      </c>
      <c r="I46" s="377" t="s">
        <v>304</v>
      </c>
      <c r="J46" s="77">
        <v>44254</v>
      </c>
      <c r="K46" s="28">
        <f t="shared" si="0"/>
        <v>700000</v>
      </c>
      <c r="L46" s="460"/>
      <c r="M46" s="460"/>
      <c r="N46" s="28">
        <f>K46*1%</f>
        <v>7000</v>
      </c>
      <c r="O46" s="28">
        <f>K46*2%</f>
        <v>14000</v>
      </c>
      <c r="P46" s="460">
        <v>693000</v>
      </c>
      <c r="Q46" s="28">
        <f t="shared" si="5"/>
        <v>0</v>
      </c>
      <c r="R46" s="197"/>
      <c r="S46" s="197">
        <v>44344</v>
      </c>
      <c r="T46" s="199">
        <v>14</v>
      </c>
      <c r="U46" s="24">
        <f t="shared" si="2"/>
        <v>44268</v>
      </c>
    </row>
    <row r="47" spans="1:43" s="10" customFormat="1" ht="15" customHeight="1" x14ac:dyDescent="0.25">
      <c r="A47" s="55">
        <f t="shared" si="6"/>
        <v>5</v>
      </c>
      <c r="B47" s="56">
        <v>44288</v>
      </c>
      <c r="C47" s="594"/>
      <c r="D47" s="120"/>
      <c r="E47" s="120"/>
      <c r="F47" s="53" t="s">
        <v>215</v>
      </c>
      <c r="G47" s="53" t="s">
        <v>26</v>
      </c>
      <c r="H47" s="423">
        <v>5000000</v>
      </c>
      <c r="I47" s="377" t="s">
        <v>288</v>
      </c>
      <c r="J47" s="77">
        <v>44251</v>
      </c>
      <c r="K47" s="460">
        <f t="shared" si="7"/>
        <v>5000000</v>
      </c>
      <c r="L47" s="460">
        <v>4000000</v>
      </c>
      <c r="M47" s="460"/>
      <c r="N47" s="460"/>
      <c r="O47" s="460"/>
      <c r="P47" s="460"/>
      <c r="Q47" s="28">
        <f t="shared" si="5"/>
        <v>1000000</v>
      </c>
      <c r="R47" s="199"/>
      <c r="S47" s="199"/>
      <c r="T47" s="199">
        <v>60</v>
      </c>
      <c r="U47" s="24">
        <f t="shared" si="2"/>
        <v>44311</v>
      </c>
      <c r="V47"/>
      <c r="W47"/>
      <c r="X47"/>
      <c r="Y47"/>
      <c r="Z47"/>
      <c r="AA47"/>
      <c r="AB47"/>
      <c r="AC47"/>
      <c r="AD47"/>
      <c r="AE47"/>
      <c r="AF47"/>
      <c r="AG47"/>
      <c r="AH47"/>
      <c r="AI47"/>
      <c r="AJ47"/>
      <c r="AK47"/>
      <c r="AL47"/>
      <c r="AM47"/>
      <c r="AN47"/>
      <c r="AO47"/>
      <c r="AP47"/>
      <c r="AQ47"/>
    </row>
    <row r="48" spans="1:43" s="10" customFormat="1" ht="15" customHeight="1" x14ac:dyDescent="0.25">
      <c r="A48" s="55">
        <f t="shared" si="6"/>
        <v>6</v>
      </c>
      <c r="B48" s="56">
        <v>44288</v>
      </c>
      <c r="C48" s="444"/>
      <c r="D48" s="55"/>
      <c r="E48" s="55"/>
      <c r="F48" s="111" t="s">
        <v>279</v>
      </c>
      <c r="G48" s="33" t="s">
        <v>232</v>
      </c>
      <c r="H48" s="423">
        <v>2100000</v>
      </c>
      <c r="I48" s="377" t="s">
        <v>287</v>
      </c>
      <c r="J48" s="77">
        <v>44238</v>
      </c>
      <c r="K48" s="28">
        <f t="shared" si="7"/>
        <v>2100000</v>
      </c>
      <c r="L48" s="460"/>
      <c r="M48" s="460"/>
      <c r="N48" s="460"/>
      <c r="O48" s="460"/>
      <c r="P48" s="460">
        <v>2100000</v>
      </c>
      <c r="Q48" s="28">
        <f t="shared" si="5"/>
        <v>0</v>
      </c>
      <c r="R48" s="197"/>
      <c r="S48" s="197">
        <v>44287</v>
      </c>
      <c r="T48" s="2">
        <v>30</v>
      </c>
      <c r="U48" s="24">
        <f t="shared" si="2"/>
        <v>44268</v>
      </c>
      <c r="V48"/>
      <c r="W48"/>
      <c r="X48"/>
      <c r="Y48"/>
      <c r="Z48"/>
      <c r="AA48"/>
      <c r="AB48"/>
      <c r="AC48"/>
      <c r="AD48"/>
      <c r="AE48"/>
      <c r="AF48"/>
      <c r="AG48"/>
      <c r="AH48"/>
      <c r="AI48"/>
      <c r="AJ48"/>
      <c r="AK48"/>
      <c r="AL48"/>
      <c r="AM48"/>
      <c r="AN48"/>
      <c r="AO48"/>
      <c r="AP48"/>
      <c r="AQ48"/>
    </row>
    <row r="49" spans="1:43" s="10" customFormat="1" ht="15" customHeight="1" x14ac:dyDescent="0.25">
      <c r="A49" s="55">
        <f t="shared" si="6"/>
        <v>7</v>
      </c>
      <c r="B49" s="56">
        <v>44441</v>
      </c>
      <c r="C49" s="591" t="s">
        <v>305</v>
      </c>
      <c r="D49" s="115"/>
      <c r="E49" s="115"/>
      <c r="F49" s="111" t="s">
        <v>279</v>
      </c>
      <c r="G49" s="116" t="s">
        <v>306</v>
      </c>
      <c r="H49" s="423">
        <v>1500000</v>
      </c>
      <c r="I49" s="377" t="s">
        <v>307</v>
      </c>
      <c r="J49" s="77">
        <v>44238</v>
      </c>
      <c r="K49" s="28">
        <f t="shared" si="7"/>
        <v>1500000</v>
      </c>
      <c r="L49" s="460"/>
      <c r="M49" s="460"/>
      <c r="N49" s="460"/>
      <c r="O49" s="460"/>
      <c r="P49" s="460">
        <v>1500000</v>
      </c>
      <c r="Q49" s="28">
        <f t="shared" si="5"/>
        <v>0</v>
      </c>
      <c r="R49" s="197"/>
      <c r="S49" s="197">
        <v>44287</v>
      </c>
      <c r="T49" s="2">
        <v>30</v>
      </c>
      <c r="U49" s="24">
        <f t="shared" si="2"/>
        <v>44268</v>
      </c>
      <c r="V49"/>
      <c r="W49"/>
      <c r="X49"/>
      <c r="Y49"/>
      <c r="Z49"/>
      <c r="AA49"/>
      <c r="AB49"/>
      <c r="AC49"/>
      <c r="AD49"/>
      <c r="AE49"/>
      <c r="AF49"/>
      <c r="AG49"/>
      <c r="AH49"/>
      <c r="AI49"/>
      <c r="AJ49"/>
      <c r="AK49"/>
      <c r="AL49"/>
      <c r="AM49"/>
      <c r="AN49"/>
      <c r="AO49"/>
      <c r="AP49"/>
      <c r="AQ49"/>
    </row>
    <row r="50" spans="1:43" s="10" customFormat="1" ht="15" customHeight="1" x14ac:dyDescent="0.25">
      <c r="A50" s="55">
        <f t="shared" si="6"/>
        <v>8</v>
      </c>
      <c r="B50" s="79">
        <v>44257</v>
      </c>
      <c r="C50" s="591"/>
      <c r="D50" s="115"/>
      <c r="E50" s="115"/>
      <c r="F50" s="111" t="s">
        <v>279</v>
      </c>
      <c r="G50" s="33" t="s">
        <v>232</v>
      </c>
      <c r="H50" s="460">
        <v>2200000</v>
      </c>
      <c r="I50" s="377" t="s">
        <v>282</v>
      </c>
      <c r="J50" s="77">
        <v>44238</v>
      </c>
      <c r="K50" s="28">
        <f t="shared" si="7"/>
        <v>2200000</v>
      </c>
      <c r="L50" s="460"/>
      <c r="M50" s="460"/>
      <c r="N50" s="460"/>
      <c r="O50" s="460"/>
      <c r="P50" s="460">
        <v>2200000</v>
      </c>
      <c r="Q50" s="28">
        <f t="shared" si="5"/>
        <v>0</v>
      </c>
      <c r="R50" s="197"/>
      <c r="S50" s="197">
        <v>44287</v>
      </c>
      <c r="T50" s="2">
        <v>30</v>
      </c>
      <c r="U50" s="24">
        <f t="shared" si="2"/>
        <v>44268</v>
      </c>
      <c r="V50"/>
      <c r="W50"/>
      <c r="X50"/>
      <c r="Y50"/>
      <c r="Z50"/>
      <c r="AA50"/>
      <c r="AB50"/>
      <c r="AC50"/>
      <c r="AD50"/>
      <c r="AE50"/>
      <c r="AF50"/>
      <c r="AG50"/>
      <c r="AH50"/>
      <c r="AI50"/>
      <c r="AJ50"/>
      <c r="AK50"/>
      <c r="AL50"/>
      <c r="AM50"/>
      <c r="AN50"/>
      <c r="AO50"/>
      <c r="AP50"/>
      <c r="AQ50"/>
    </row>
    <row r="51" spans="1:43" s="10" customFormat="1" ht="15" customHeight="1" x14ac:dyDescent="0.25">
      <c r="A51" s="55">
        <f t="shared" si="6"/>
        <v>9</v>
      </c>
      <c r="B51" s="56">
        <v>44410</v>
      </c>
      <c r="C51" s="591" t="s">
        <v>291</v>
      </c>
      <c r="D51" s="115"/>
      <c r="E51" s="115"/>
      <c r="F51" s="116" t="s">
        <v>511</v>
      </c>
      <c r="G51" s="116" t="s">
        <v>13</v>
      </c>
      <c r="H51" s="423">
        <v>2482500</v>
      </c>
      <c r="I51" s="377" t="s">
        <v>388</v>
      </c>
      <c r="J51" s="77">
        <v>44238</v>
      </c>
      <c r="K51" s="423">
        <v>2482500</v>
      </c>
      <c r="L51" s="460"/>
      <c r="M51" s="459"/>
      <c r="N51" s="459"/>
      <c r="O51" s="460"/>
      <c r="P51" s="459"/>
      <c r="Q51" s="568">
        <f t="shared" si="5"/>
        <v>2482500</v>
      </c>
      <c r="R51" s="199"/>
      <c r="S51" s="199"/>
      <c r="T51" s="199">
        <v>60</v>
      </c>
      <c r="U51" s="24">
        <f t="shared" si="2"/>
        <v>44298</v>
      </c>
      <c r="V51"/>
      <c r="W51"/>
      <c r="X51"/>
      <c r="Y51"/>
      <c r="Z51"/>
      <c r="AA51"/>
      <c r="AB51"/>
      <c r="AC51"/>
      <c r="AD51"/>
      <c r="AE51"/>
      <c r="AF51"/>
      <c r="AG51"/>
      <c r="AH51"/>
      <c r="AI51"/>
      <c r="AJ51"/>
      <c r="AK51"/>
      <c r="AL51"/>
      <c r="AM51"/>
      <c r="AN51"/>
      <c r="AO51"/>
      <c r="AP51"/>
      <c r="AQ51"/>
    </row>
    <row r="52" spans="1:43" s="10" customFormat="1" ht="15" customHeight="1" x14ac:dyDescent="0.25">
      <c r="A52" s="55">
        <f t="shared" si="6"/>
        <v>10</v>
      </c>
      <c r="B52" s="56">
        <v>44532</v>
      </c>
      <c r="C52" s="591" t="s">
        <v>308</v>
      </c>
      <c r="D52" s="115"/>
      <c r="E52" s="115"/>
      <c r="F52" s="53" t="s">
        <v>215</v>
      </c>
      <c r="G52" s="53" t="s">
        <v>21</v>
      </c>
      <c r="H52" s="44">
        <v>29900000</v>
      </c>
      <c r="I52" s="377" t="s">
        <v>309</v>
      </c>
      <c r="J52" s="77">
        <v>44242</v>
      </c>
      <c r="K52" s="460">
        <f t="shared" si="7"/>
        <v>29900000</v>
      </c>
      <c r="L52" s="460">
        <v>20000000</v>
      </c>
      <c r="M52" s="459"/>
      <c r="N52" s="459"/>
      <c r="O52" s="459"/>
      <c r="P52" s="459"/>
      <c r="Q52" s="28">
        <f t="shared" si="5"/>
        <v>9900000</v>
      </c>
      <c r="R52" s="199"/>
      <c r="S52" s="199"/>
      <c r="T52" s="199">
        <v>60</v>
      </c>
      <c r="U52" s="24">
        <f t="shared" si="2"/>
        <v>44302</v>
      </c>
      <c r="V52"/>
      <c r="W52"/>
      <c r="X52"/>
      <c r="Y52"/>
      <c r="Z52"/>
      <c r="AA52"/>
      <c r="AB52"/>
      <c r="AC52"/>
      <c r="AD52"/>
      <c r="AE52"/>
      <c r="AF52"/>
      <c r="AG52"/>
      <c r="AH52"/>
      <c r="AI52"/>
      <c r="AJ52"/>
      <c r="AK52"/>
      <c r="AL52"/>
      <c r="AM52"/>
      <c r="AN52"/>
      <c r="AO52"/>
      <c r="AP52"/>
      <c r="AQ52"/>
    </row>
    <row r="53" spans="1:43" s="10" customFormat="1" ht="15" customHeight="1" x14ac:dyDescent="0.25">
      <c r="A53" s="55">
        <f t="shared" si="6"/>
        <v>11</v>
      </c>
      <c r="B53" s="474">
        <v>44242</v>
      </c>
      <c r="C53" s="591"/>
      <c r="D53" s="115"/>
      <c r="E53" s="115"/>
      <c r="F53" s="112" t="s">
        <v>1077</v>
      </c>
      <c r="G53" s="53" t="s">
        <v>390</v>
      </c>
      <c r="H53" s="44">
        <v>1300000</v>
      </c>
      <c r="I53" s="377" t="s">
        <v>292</v>
      </c>
      <c r="J53" s="77">
        <v>44238</v>
      </c>
      <c r="K53" s="460">
        <f t="shared" si="7"/>
        <v>1300000</v>
      </c>
      <c r="L53" s="460">
        <v>500000</v>
      </c>
      <c r="M53" s="459"/>
      <c r="N53" s="459"/>
      <c r="O53" s="459"/>
      <c r="P53" s="459">
        <v>800000</v>
      </c>
      <c r="Q53" s="28">
        <f t="shared" si="5"/>
        <v>0</v>
      </c>
      <c r="R53" s="199" t="s">
        <v>948</v>
      </c>
      <c r="S53" s="199"/>
      <c r="T53" s="199">
        <v>14</v>
      </c>
      <c r="U53" s="24">
        <f t="shared" si="2"/>
        <v>44252</v>
      </c>
      <c r="V53"/>
      <c r="W53"/>
      <c r="X53"/>
      <c r="Y53"/>
      <c r="Z53"/>
      <c r="AA53"/>
      <c r="AB53"/>
      <c r="AC53"/>
      <c r="AD53"/>
      <c r="AE53"/>
      <c r="AF53"/>
      <c r="AG53"/>
      <c r="AH53"/>
      <c r="AI53"/>
      <c r="AJ53"/>
      <c r="AK53"/>
      <c r="AL53"/>
      <c r="AM53"/>
      <c r="AN53"/>
      <c r="AO53"/>
      <c r="AP53"/>
      <c r="AQ53"/>
    </row>
    <row r="54" spans="1:43" s="10" customFormat="1" ht="15" customHeight="1" x14ac:dyDescent="0.25">
      <c r="A54" s="55">
        <f t="shared" si="6"/>
        <v>12</v>
      </c>
      <c r="B54" s="56">
        <v>44471</v>
      </c>
      <c r="C54" s="591" t="s">
        <v>310</v>
      </c>
      <c r="D54" s="115"/>
      <c r="E54" s="115"/>
      <c r="F54" s="111" t="s">
        <v>279</v>
      </c>
      <c r="G54" s="53" t="s">
        <v>232</v>
      </c>
      <c r="H54" s="44">
        <v>2100000</v>
      </c>
      <c r="I54" s="377" t="s">
        <v>311</v>
      </c>
      <c r="J54" s="77">
        <v>44244</v>
      </c>
      <c r="K54" s="28">
        <f t="shared" si="7"/>
        <v>2100000</v>
      </c>
      <c r="L54" s="460"/>
      <c r="M54" s="459"/>
      <c r="N54" s="459"/>
      <c r="O54" s="460"/>
      <c r="P54" s="459">
        <v>2100000</v>
      </c>
      <c r="Q54" s="28">
        <f t="shared" si="5"/>
        <v>0</v>
      </c>
      <c r="R54" s="197"/>
      <c r="S54" s="197">
        <v>44287</v>
      </c>
      <c r="T54" s="2">
        <v>30</v>
      </c>
      <c r="U54" s="24">
        <f t="shared" si="2"/>
        <v>44274</v>
      </c>
      <c r="V54"/>
      <c r="W54"/>
      <c r="X54"/>
      <c r="Y54"/>
      <c r="Z54"/>
      <c r="AA54"/>
      <c r="AB54"/>
      <c r="AC54"/>
      <c r="AD54"/>
      <c r="AE54"/>
      <c r="AF54"/>
      <c r="AG54"/>
      <c r="AH54"/>
      <c r="AI54"/>
      <c r="AJ54"/>
      <c r="AK54"/>
      <c r="AL54"/>
      <c r="AM54"/>
      <c r="AN54"/>
      <c r="AO54"/>
      <c r="AP54"/>
      <c r="AQ54"/>
    </row>
    <row r="55" spans="1:43" s="10" customFormat="1" ht="15.75" customHeight="1" x14ac:dyDescent="0.25">
      <c r="A55" s="55">
        <f t="shared" si="6"/>
        <v>13</v>
      </c>
      <c r="B55" s="56">
        <v>44257</v>
      </c>
      <c r="C55" s="58"/>
      <c r="D55" s="58"/>
      <c r="E55" s="58"/>
      <c r="F55" s="111" t="s">
        <v>279</v>
      </c>
      <c r="G55" s="112" t="s">
        <v>285</v>
      </c>
      <c r="H55" s="44">
        <v>3900000</v>
      </c>
      <c r="I55" s="382" t="s">
        <v>286</v>
      </c>
      <c r="J55" s="77">
        <v>44244</v>
      </c>
      <c r="K55" s="28">
        <f t="shared" si="7"/>
        <v>3900000</v>
      </c>
      <c r="L55" s="460"/>
      <c r="M55" s="459"/>
      <c r="N55" s="459"/>
      <c r="O55" s="459"/>
      <c r="P55" s="459">
        <v>3900000</v>
      </c>
      <c r="Q55" s="28">
        <f t="shared" si="5"/>
        <v>0</v>
      </c>
      <c r="R55" s="197"/>
      <c r="S55" s="197">
        <v>44287</v>
      </c>
      <c r="T55" s="2">
        <v>30</v>
      </c>
      <c r="U55" s="24">
        <f t="shared" si="2"/>
        <v>44274</v>
      </c>
      <c r="V55"/>
      <c r="W55"/>
      <c r="X55"/>
      <c r="Y55"/>
      <c r="Z55"/>
      <c r="AA55"/>
      <c r="AB55"/>
      <c r="AC55"/>
      <c r="AD55"/>
      <c r="AE55"/>
      <c r="AF55"/>
      <c r="AG55"/>
      <c r="AH55"/>
      <c r="AI55"/>
      <c r="AJ55"/>
      <c r="AK55"/>
      <c r="AL55"/>
      <c r="AM55"/>
      <c r="AN55"/>
      <c r="AO55"/>
      <c r="AP55"/>
      <c r="AQ55"/>
    </row>
    <row r="56" spans="1:43" s="10" customFormat="1" ht="15.75" customHeight="1" x14ac:dyDescent="0.25">
      <c r="A56" s="55">
        <f t="shared" si="6"/>
        <v>14</v>
      </c>
      <c r="B56" s="56">
        <v>44257</v>
      </c>
      <c r="C56" s="58"/>
      <c r="D56" s="58"/>
      <c r="E56" s="58"/>
      <c r="F56" s="111" t="s">
        <v>279</v>
      </c>
      <c r="G56" s="112" t="s">
        <v>283</v>
      </c>
      <c r="H56" s="44">
        <v>3800000</v>
      </c>
      <c r="I56" s="377" t="s">
        <v>284</v>
      </c>
      <c r="J56" s="77">
        <v>44244</v>
      </c>
      <c r="K56" s="460">
        <f t="shared" si="7"/>
        <v>3800000</v>
      </c>
      <c r="L56" s="460"/>
      <c r="M56" s="459"/>
      <c r="N56" s="459"/>
      <c r="O56" s="459"/>
      <c r="P56" s="459">
        <v>3800000</v>
      </c>
      <c r="Q56" s="28">
        <f t="shared" si="5"/>
        <v>0</v>
      </c>
      <c r="R56" s="197"/>
      <c r="S56" s="197">
        <v>44287</v>
      </c>
      <c r="T56" s="2">
        <v>30</v>
      </c>
      <c r="U56" s="24">
        <f t="shared" si="2"/>
        <v>44274</v>
      </c>
      <c r="V56"/>
      <c r="W56"/>
      <c r="X56"/>
      <c r="Y56"/>
      <c r="Z56"/>
      <c r="AA56"/>
      <c r="AB56"/>
      <c r="AC56"/>
      <c r="AD56"/>
      <c r="AE56"/>
      <c r="AF56"/>
      <c r="AG56"/>
      <c r="AH56"/>
      <c r="AI56"/>
      <c r="AJ56"/>
      <c r="AK56"/>
      <c r="AL56"/>
      <c r="AM56"/>
      <c r="AN56"/>
      <c r="AO56"/>
      <c r="AP56"/>
      <c r="AQ56"/>
    </row>
    <row r="57" spans="1:43" s="10" customFormat="1" ht="15" customHeight="1" x14ac:dyDescent="0.25">
      <c r="A57" s="55">
        <f t="shared" si="6"/>
        <v>15</v>
      </c>
      <c r="B57" s="56">
        <v>44243</v>
      </c>
      <c r="C57" s="592"/>
      <c r="D57" s="113"/>
      <c r="E57" s="113"/>
      <c r="F57" s="33" t="s">
        <v>234</v>
      </c>
      <c r="G57" s="33" t="s">
        <v>312</v>
      </c>
      <c r="H57" s="44">
        <v>1000000</v>
      </c>
      <c r="I57" s="377" t="s">
        <v>313</v>
      </c>
      <c r="J57" s="77">
        <v>44245</v>
      </c>
      <c r="K57" s="460">
        <f t="shared" si="7"/>
        <v>1000000</v>
      </c>
      <c r="L57" s="460"/>
      <c r="M57" s="459"/>
      <c r="N57" s="459"/>
      <c r="O57" s="459"/>
      <c r="P57" s="459">
        <v>1000000</v>
      </c>
      <c r="Q57" s="28">
        <f t="shared" si="5"/>
        <v>0</v>
      </c>
      <c r="R57" s="197"/>
      <c r="S57" s="197">
        <v>44302</v>
      </c>
      <c r="T57" s="199">
        <v>30</v>
      </c>
      <c r="U57" s="24">
        <f t="shared" si="2"/>
        <v>44275</v>
      </c>
      <c r="V57"/>
      <c r="W57"/>
      <c r="X57"/>
      <c r="Y57"/>
      <c r="Z57"/>
      <c r="AA57"/>
      <c r="AB57"/>
      <c r="AC57"/>
      <c r="AD57"/>
      <c r="AE57"/>
      <c r="AF57"/>
      <c r="AG57"/>
      <c r="AH57"/>
      <c r="AI57"/>
      <c r="AJ57"/>
      <c r="AK57"/>
      <c r="AL57"/>
      <c r="AM57"/>
      <c r="AN57"/>
      <c r="AO57"/>
      <c r="AP57"/>
      <c r="AQ57"/>
    </row>
    <row r="58" spans="1:43" s="10" customFormat="1" ht="15" customHeight="1" x14ac:dyDescent="0.25">
      <c r="A58" s="55">
        <f t="shared" si="6"/>
        <v>16</v>
      </c>
      <c r="B58" s="56">
        <v>44243</v>
      </c>
      <c r="C58" s="595" t="s">
        <v>314</v>
      </c>
      <c r="D58" s="118"/>
      <c r="E58" s="118"/>
      <c r="F58" s="111" t="s">
        <v>279</v>
      </c>
      <c r="G58" s="53" t="s">
        <v>315</v>
      </c>
      <c r="H58" s="423">
        <v>2200000</v>
      </c>
      <c r="I58" s="377" t="s">
        <v>316</v>
      </c>
      <c r="J58" s="77">
        <v>44245</v>
      </c>
      <c r="K58" s="460">
        <f t="shared" si="7"/>
        <v>2200000</v>
      </c>
      <c r="L58" s="460"/>
      <c r="M58" s="459"/>
      <c r="N58" s="459"/>
      <c r="O58" s="459"/>
      <c r="P58" s="459">
        <v>2200000</v>
      </c>
      <c r="Q58" s="28">
        <f t="shared" si="5"/>
        <v>0</v>
      </c>
      <c r="R58" s="197"/>
      <c r="S58" s="197">
        <v>44287</v>
      </c>
      <c r="T58" s="2">
        <v>30</v>
      </c>
      <c r="U58" s="24">
        <f t="shared" si="2"/>
        <v>44275</v>
      </c>
      <c r="V58"/>
      <c r="W58"/>
      <c r="X58"/>
      <c r="Y58"/>
      <c r="Z58"/>
      <c r="AA58"/>
      <c r="AB58"/>
      <c r="AC58"/>
      <c r="AD58"/>
      <c r="AE58"/>
      <c r="AF58"/>
      <c r="AG58"/>
      <c r="AH58"/>
      <c r="AI58"/>
      <c r="AJ58"/>
      <c r="AK58"/>
      <c r="AL58"/>
      <c r="AM58"/>
      <c r="AN58"/>
      <c r="AO58"/>
      <c r="AP58"/>
      <c r="AQ58"/>
    </row>
    <row r="59" spans="1:43" s="10" customFormat="1" ht="15" customHeight="1" x14ac:dyDescent="0.25">
      <c r="A59" s="55">
        <f t="shared" si="6"/>
        <v>17</v>
      </c>
      <c r="B59" s="474">
        <v>44242</v>
      </c>
      <c r="C59" s="591" t="s">
        <v>318</v>
      </c>
      <c r="D59" s="115"/>
      <c r="E59" s="115"/>
      <c r="F59" s="111" t="s">
        <v>279</v>
      </c>
      <c r="G59" s="53" t="s">
        <v>319</v>
      </c>
      <c r="H59" s="423">
        <v>1300000</v>
      </c>
      <c r="I59" s="377" t="s">
        <v>320</v>
      </c>
      <c r="J59" s="77">
        <v>44245</v>
      </c>
      <c r="K59" s="460">
        <f t="shared" si="7"/>
        <v>1300000</v>
      </c>
      <c r="L59" s="460"/>
      <c r="M59" s="459"/>
      <c r="N59" s="459"/>
      <c r="O59" s="459"/>
      <c r="P59" s="459">
        <v>1300000</v>
      </c>
      <c r="Q59" s="28">
        <f t="shared" si="5"/>
        <v>0</v>
      </c>
      <c r="R59" s="197"/>
      <c r="S59" s="197">
        <v>44287</v>
      </c>
      <c r="T59" s="2">
        <v>30</v>
      </c>
      <c r="U59" s="24">
        <f t="shared" si="2"/>
        <v>44275</v>
      </c>
      <c r="V59"/>
      <c r="W59"/>
      <c r="X59"/>
      <c r="Y59"/>
      <c r="Z59"/>
      <c r="AA59"/>
      <c r="AB59"/>
      <c r="AC59"/>
      <c r="AD59"/>
      <c r="AE59"/>
      <c r="AF59"/>
      <c r="AG59"/>
      <c r="AH59"/>
      <c r="AI59"/>
      <c r="AJ59"/>
      <c r="AK59"/>
      <c r="AL59"/>
      <c r="AM59"/>
      <c r="AN59"/>
      <c r="AO59"/>
      <c r="AP59"/>
      <c r="AQ59"/>
    </row>
    <row r="60" spans="1:43" s="10" customFormat="1" ht="15" customHeight="1" x14ac:dyDescent="0.25">
      <c r="A60" s="55">
        <f t="shared" si="6"/>
        <v>18</v>
      </c>
      <c r="B60" s="79">
        <v>44244</v>
      </c>
      <c r="C60" s="591" t="s">
        <v>322</v>
      </c>
      <c r="D60" s="115"/>
      <c r="E60" s="115"/>
      <c r="F60" s="33" t="s">
        <v>51</v>
      </c>
      <c r="G60" s="123" t="s">
        <v>136</v>
      </c>
      <c r="H60" s="44">
        <f>25500000+42800000</f>
        <v>68300000</v>
      </c>
      <c r="I60" s="377" t="s">
        <v>323</v>
      </c>
      <c r="J60" s="77">
        <v>44246</v>
      </c>
      <c r="K60" s="460">
        <f>H60</f>
        <v>68300000</v>
      </c>
      <c r="L60" s="460">
        <f>40000000+9500000+10000000</f>
        <v>59500000</v>
      </c>
      <c r="M60" s="459"/>
      <c r="N60" s="459"/>
      <c r="O60" s="459"/>
      <c r="P60" s="459">
        <v>8800000</v>
      </c>
      <c r="Q60" s="28">
        <f t="shared" si="5"/>
        <v>0</v>
      </c>
      <c r="R60" s="197">
        <v>44302</v>
      </c>
      <c r="S60" s="197"/>
      <c r="T60" s="199">
        <v>14</v>
      </c>
      <c r="U60" s="24">
        <f t="shared" si="2"/>
        <v>44260</v>
      </c>
      <c r="V60"/>
      <c r="W60"/>
      <c r="X60"/>
      <c r="Y60"/>
      <c r="Z60"/>
      <c r="AA60"/>
      <c r="AB60"/>
      <c r="AC60"/>
      <c r="AD60"/>
      <c r="AE60"/>
      <c r="AF60"/>
      <c r="AG60"/>
      <c r="AH60"/>
      <c r="AI60"/>
      <c r="AJ60"/>
      <c r="AK60"/>
      <c r="AL60"/>
      <c r="AM60"/>
      <c r="AN60"/>
      <c r="AO60"/>
      <c r="AP60"/>
      <c r="AQ60"/>
    </row>
    <row r="61" spans="1:43" s="10" customFormat="1" ht="15" customHeight="1" x14ac:dyDescent="0.25">
      <c r="A61" s="55">
        <f t="shared" si="6"/>
        <v>19</v>
      </c>
      <c r="B61" s="79">
        <v>44246</v>
      </c>
      <c r="C61" s="596"/>
      <c r="D61" s="124"/>
      <c r="E61" s="124"/>
      <c r="F61" s="33" t="s">
        <v>325</v>
      </c>
      <c r="G61" s="33" t="s">
        <v>326</v>
      </c>
      <c r="H61" s="44">
        <v>3000000</v>
      </c>
      <c r="I61" s="377" t="s">
        <v>327</v>
      </c>
      <c r="J61" s="77">
        <v>44246</v>
      </c>
      <c r="K61" s="460">
        <f t="shared" si="7"/>
        <v>3000000</v>
      </c>
      <c r="L61" s="460"/>
      <c r="M61" s="459"/>
      <c r="N61" s="459"/>
      <c r="O61" s="460"/>
      <c r="P61" s="459">
        <v>3000000</v>
      </c>
      <c r="Q61" s="28">
        <f t="shared" si="5"/>
        <v>0</v>
      </c>
      <c r="R61" s="197">
        <v>44370</v>
      </c>
      <c r="S61" s="197"/>
      <c r="T61" s="199">
        <v>14</v>
      </c>
      <c r="U61" s="24">
        <f t="shared" si="2"/>
        <v>44260</v>
      </c>
      <c r="V61"/>
      <c r="W61"/>
      <c r="X61"/>
      <c r="Y61"/>
      <c r="Z61"/>
      <c r="AA61"/>
      <c r="AB61"/>
      <c r="AC61"/>
      <c r="AD61"/>
      <c r="AE61"/>
      <c r="AF61"/>
      <c r="AG61"/>
      <c r="AH61"/>
      <c r="AI61"/>
      <c r="AJ61"/>
      <c r="AK61"/>
      <c r="AL61"/>
      <c r="AM61"/>
      <c r="AN61"/>
      <c r="AO61"/>
      <c r="AP61"/>
      <c r="AQ61"/>
    </row>
    <row r="62" spans="1:43" s="10" customFormat="1" ht="15" customHeight="1" x14ac:dyDescent="0.25">
      <c r="A62" s="55">
        <f t="shared" si="6"/>
        <v>20</v>
      </c>
      <c r="B62" s="79">
        <v>44249</v>
      </c>
      <c r="C62" s="592" t="s">
        <v>328</v>
      </c>
      <c r="D62" s="113"/>
      <c r="E62" s="113"/>
      <c r="F62" s="33" t="s">
        <v>51</v>
      </c>
      <c r="G62" s="33" t="s">
        <v>23</v>
      </c>
      <c r="H62" s="44">
        <v>5000000</v>
      </c>
      <c r="I62" s="377" t="s">
        <v>329</v>
      </c>
      <c r="J62" s="77">
        <v>44250</v>
      </c>
      <c r="K62" s="460">
        <f t="shared" si="7"/>
        <v>5000000</v>
      </c>
      <c r="L62" s="460">
        <v>2500000</v>
      </c>
      <c r="M62" s="459">
        <v>500000</v>
      </c>
      <c r="N62" s="459"/>
      <c r="O62" s="459"/>
      <c r="P62" s="459">
        <v>2000000</v>
      </c>
      <c r="Q62" s="28">
        <f t="shared" si="5"/>
        <v>0</v>
      </c>
      <c r="R62" s="197">
        <v>44274</v>
      </c>
      <c r="S62" s="197"/>
      <c r="T62" s="199">
        <v>14</v>
      </c>
      <c r="U62" s="24">
        <f t="shared" si="2"/>
        <v>44264</v>
      </c>
      <c r="V62"/>
      <c r="W62"/>
      <c r="X62"/>
      <c r="Y62"/>
      <c r="Z62"/>
      <c r="AA62"/>
      <c r="AB62"/>
      <c r="AC62"/>
      <c r="AD62"/>
      <c r="AE62"/>
      <c r="AF62"/>
      <c r="AG62"/>
      <c r="AH62"/>
      <c r="AI62"/>
      <c r="AJ62"/>
      <c r="AK62"/>
      <c r="AL62"/>
      <c r="AM62"/>
      <c r="AN62"/>
      <c r="AO62"/>
      <c r="AP62"/>
      <c r="AQ62"/>
    </row>
    <row r="63" spans="1:43" s="10" customFormat="1" ht="15" customHeight="1" x14ac:dyDescent="0.25">
      <c r="A63" s="55">
        <f t="shared" si="6"/>
        <v>21</v>
      </c>
      <c r="B63" s="79">
        <v>44250</v>
      </c>
      <c r="C63" s="593" t="s">
        <v>331</v>
      </c>
      <c r="D63" s="117"/>
      <c r="E63" s="117"/>
      <c r="F63" s="33" t="s">
        <v>51</v>
      </c>
      <c r="G63" s="53" t="s">
        <v>13</v>
      </c>
      <c r="H63" s="44">
        <v>15700000</v>
      </c>
      <c r="I63" s="377" t="s">
        <v>332</v>
      </c>
      <c r="J63" s="77">
        <v>44250</v>
      </c>
      <c r="K63" s="460">
        <v>15995000</v>
      </c>
      <c r="L63" s="460">
        <v>10000000</v>
      </c>
      <c r="M63" s="459"/>
      <c r="N63" s="459"/>
      <c r="O63" s="459"/>
      <c r="P63" s="459">
        <v>5995000</v>
      </c>
      <c r="Q63" s="28">
        <f t="shared" si="5"/>
        <v>0</v>
      </c>
      <c r="R63" s="197">
        <v>44281</v>
      </c>
      <c r="S63" s="197"/>
      <c r="T63" s="199">
        <v>14</v>
      </c>
      <c r="U63" s="24">
        <f t="shared" si="2"/>
        <v>44264</v>
      </c>
      <c r="V63"/>
      <c r="W63"/>
      <c r="X63"/>
      <c r="Y63"/>
      <c r="Z63"/>
      <c r="AA63"/>
      <c r="AB63"/>
      <c r="AC63"/>
      <c r="AD63"/>
      <c r="AE63"/>
      <c r="AF63"/>
      <c r="AG63"/>
      <c r="AH63"/>
      <c r="AI63"/>
      <c r="AJ63"/>
      <c r="AK63"/>
      <c r="AL63"/>
      <c r="AM63"/>
      <c r="AN63"/>
      <c r="AO63"/>
      <c r="AP63"/>
      <c r="AQ63"/>
    </row>
    <row r="64" spans="1:43" s="10" customFormat="1" ht="15.75" customHeight="1" x14ac:dyDescent="0.25">
      <c r="A64" s="55">
        <f t="shared" si="6"/>
        <v>22</v>
      </c>
      <c r="B64" s="79">
        <v>44250</v>
      </c>
      <c r="C64" s="58"/>
      <c r="D64" s="58"/>
      <c r="E64" s="58"/>
      <c r="F64" s="53" t="s">
        <v>333</v>
      </c>
      <c r="G64" s="53" t="s">
        <v>334</v>
      </c>
      <c r="H64" s="44">
        <v>2750000</v>
      </c>
      <c r="I64" s="377" t="s">
        <v>335</v>
      </c>
      <c r="J64" s="77">
        <v>44250</v>
      </c>
      <c r="K64" s="460">
        <f t="shared" si="7"/>
        <v>2750000</v>
      </c>
      <c r="L64" s="460">
        <v>2000000</v>
      </c>
      <c r="M64" s="459"/>
      <c r="N64" s="459"/>
      <c r="O64" s="459"/>
      <c r="P64" s="459">
        <v>750000</v>
      </c>
      <c r="Q64" s="28">
        <f t="shared" si="5"/>
        <v>0</v>
      </c>
      <c r="R64" s="197"/>
      <c r="S64" s="197">
        <v>44263</v>
      </c>
      <c r="T64" s="199">
        <v>14</v>
      </c>
      <c r="U64" s="24">
        <f t="shared" si="2"/>
        <v>44264</v>
      </c>
      <c r="V64"/>
      <c r="W64"/>
      <c r="X64"/>
      <c r="Y64"/>
      <c r="Z64"/>
      <c r="AA64"/>
      <c r="AB64"/>
      <c r="AC64"/>
      <c r="AD64"/>
      <c r="AE64"/>
      <c r="AF64"/>
      <c r="AG64"/>
      <c r="AH64"/>
      <c r="AI64"/>
      <c r="AJ64"/>
      <c r="AK64"/>
      <c r="AL64"/>
      <c r="AM64"/>
      <c r="AN64"/>
      <c r="AO64"/>
      <c r="AP64"/>
      <c r="AQ64"/>
    </row>
    <row r="65" spans="1:43" s="10" customFormat="1" ht="15.75" customHeight="1" x14ac:dyDescent="0.25">
      <c r="A65" s="55">
        <f t="shared" si="6"/>
        <v>23</v>
      </c>
      <c r="B65" s="79">
        <v>44246</v>
      </c>
      <c r="C65" s="58"/>
      <c r="D65" s="58"/>
      <c r="E65" s="58"/>
      <c r="F65" s="111" t="s">
        <v>279</v>
      </c>
      <c r="G65" s="53" t="s">
        <v>315</v>
      </c>
      <c r="H65" s="44">
        <v>2100000</v>
      </c>
      <c r="I65" s="382" t="s">
        <v>336</v>
      </c>
      <c r="J65" s="511">
        <v>44251</v>
      </c>
      <c r="K65" s="460">
        <f t="shared" si="7"/>
        <v>2100000</v>
      </c>
      <c r="L65" s="460"/>
      <c r="M65" s="459"/>
      <c r="N65" s="459"/>
      <c r="O65" s="459"/>
      <c r="P65" s="459">
        <v>2100000</v>
      </c>
      <c r="Q65" s="28">
        <f t="shared" si="5"/>
        <v>0</v>
      </c>
      <c r="R65" s="197"/>
      <c r="S65" s="197">
        <v>44287</v>
      </c>
      <c r="T65" s="2">
        <v>30</v>
      </c>
      <c r="U65" s="24">
        <f t="shared" si="2"/>
        <v>44281</v>
      </c>
      <c r="V65"/>
      <c r="W65"/>
      <c r="X65"/>
      <c r="Y65"/>
      <c r="Z65"/>
      <c r="AA65"/>
      <c r="AB65"/>
      <c r="AC65"/>
      <c r="AD65"/>
      <c r="AE65"/>
      <c r="AF65"/>
      <c r="AG65"/>
      <c r="AH65"/>
      <c r="AI65"/>
      <c r="AJ65"/>
      <c r="AK65"/>
      <c r="AL65"/>
      <c r="AM65"/>
      <c r="AN65"/>
      <c r="AO65"/>
      <c r="AP65"/>
      <c r="AQ65"/>
    </row>
    <row r="66" spans="1:43" s="10" customFormat="1" ht="15.75" customHeight="1" x14ac:dyDescent="0.25">
      <c r="A66" s="55">
        <f t="shared" si="6"/>
        <v>24</v>
      </c>
      <c r="B66" s="56">
        <v>44243</v>
      </c>
      <c r="C66" s="58"/>
      <c r="D66" s="58"/>
      <c r="E66" s="58"/>
      <c r="F66" s="111" t="s">
        <v>279</v>
      </c>
      <c r="G66" s="53" t="s">
        <v>319</v>
      </c>
      <c r="H66" s="44">
        <v>1500000</v>
      </c>
      <c r="I66" s="377" t="s">
        <v>337</v>
      </c>
      <c r="J66" s="77">
        <v>44251</v>
      </c>
      <c r="K66" s="460">
        <f t="shared" si="7"/>
        <v>1500000</v>
      </c>
      <c r="L66" s="460"/>
      <c r="M66" s="459"/>
      <c r="N66" s="459"/>
      <c r="O66" s="459"/>
      <c r="P66" s="459">
        <v>1500000</v>
      </c>
      <c r="Q66" s="28">
        <f t="shared" si="5"/>
        <v>0</v>
      </c>
      <c r="R66" s="197"/>
      <c r="S66" s="197">
        <v>44287</v>
      </c>
      <c r="T66" s="2">
        <v>30</v>
      </c>
      <c r="U66" s="24">
        <f t="shared" si="2"/>
        <v>44281</v>
      </c>
      <c r="V66"/>
      <c r="W66"/>
      <c r="X66"/>
      <c r="Y66"/>
      <c r="Z66"/>
      <c r="AA66"/>
      <c r="AB66"/>
      <c r="AC66"/>
      <c r="AD66"/>
      <c r="AE66"/>
      <c r="AF66"/>
      <c r="AG66"/>
      <c r="AH66"/>
      <c r="AI66"/>
      <c r="AJ66"/>
      <c r="AK66"/>
      <c r="AL66"/>
      <c r="AM66"/>
      <c r="AN66"/>
      <c r="AO66"/>
      <c r="AP66"/>
      <c r="AQ66"/>
    </row>
    <row r="67" spans="1:43" s="10" customFormat="1" ht="15" customHeight="1" x14ac:dyDescent="0.25">
      <c r="A67" s="55">
        <f t="shared" si="6"/>
        <v>25</v>
      </c>
      <c r="B67" s="79">
        <v>44250</v>
      </c>
      <c r="C67" s="593" t="s">
        <v>338</v>
      </c>
      <c r="D67" s="117"/>
      <c r="E67" s="117"/>
      <c r="F67" s="111" t="s">
        <v>279</v>
      </c>
      <c r="G67" s="53" t="s">
        <v>319</v>
      </c>
      <c r="H67" s="44">
        <v>1500000</v>
      </c>
      <c r="I67" s="377" t="s">
        <v>339</v>
      </c>
      <c r="J67" s="77">
        <v>44252</v>
      </c>
      <c r="K67" s="460">
        <f t="shared" si="7"/>
        <v>1500000</v>
      </c>
      <c r="L67" s="460"/>
      <c r="M67" s="459"/>
      <c r="N67" s="459"/>
      <c r="O67" s="459"/>
      <c r="P67" s="459">
        <v>1500000</v>
      </c>
      <c r="Q67" s="28">
        <f t="shared" si="5"/>
        <v>0</v>
      </c>
      <c r="R67" s="197"/>
      <c r="S67" s="197">
        <v>44287</v>
      </c>
      <c r="T67" s="2">
        <v>30</v>
      </c>
      <c r="U67" s="24">
        <f t="shared" si="2"/>
        <v>44282</v>
      </c>
      <c r="V67"/>
      <c r="W67"/>
      <c r="X67"/>
      <c r="Y67"/>
      <c r="Z67"/>
      <c r="AA67"/>
      <c r="AB67"/>
      <c r="AC67"/>
      <c r="AD67"/>
      <c r="AE67"/>
      <c r="AF67"/>
      <c r="AG67"/>
      <c r="AH67"/>
      <c r="AI67"/>
      <c r="AJ67"/>
      <c r="AK67"/>
      <c r="AL67"/>
      <c r="AM67"/>
      <c r="AN67"/>
      <c r="AO67"/>
      <c r="AP67"/>
      <c r="AQ67"/>
    </row>
    <row r="68" spans="1:43" s="10" customFormat="1" ht="15" customHeight="1" x14ac:dyDescent="0.25">
      <c r="A68" s="55">
        <f t="shared" si="6"/>
        <v>26</v>
      </c>
      <c r="B68" s="56">
        <v>44247</v>
      </c>
      <c r="C68" s="593" t="s">
        <v>340</v>
      </c>
      <c r="D68" s="117"/>
      <c r="E68" s="117"/>
      <c r="F68" s="53" t="s">
        <v>325</v>
      </c>
      <c r="G68" s="53" t="s">
        <v>341</v>
      </c>
      <c r="H68" s="44">
        <v>3000000</v>
      </c>
      <c r="I68" s="377" t="s">
        <v>342</v>
      </c>
      <c r="J68" s="77">
        <v>44252</v>
      </c>
      <c r="K68" s="460">
        <f t="shared" si="7"/>
        <v>3000000</v>
      </c>
      <c r="L68" s="460"/>
      <c r="M68" s="459"/>
      <c r="N68" s="459"/>
      <c r="O68" s="459"/>
      <c r="P68" s="459">
        <v>3000000</v>
      </c>
      <c r="Q68" s="28">
        <f t="shared" si="5"/>
        <v>0</v>
      </c>
      <c r="R68" s="197">
        <v>44370</v>
      </c>
      <c r="S68" s="197"/>
      <c r="T68" s="199">
        <v>14</v>
      </c>
      <c r="U68" s="24">
        <f t="shared" si="2"/>
        <v>44266</v>
      </c>
      <c r="V68"/>
      <c r="W68"/>
      <c r="X68"/>
      <c r="Y68"/>
      <c r="Z68"/>
      <c r="AA68"/>
      <c r="AB68"/>
      <c r="AC68"/>
      <c r="AD68"/>
      <c r="AE68"/>
      <c r="AF68"/>
      <c r="AG68"/>
      <c r="AH68"/>
      <c r="AI68"/>
      <c r="AJ68"/>
      <c r="AK68"/>
      <c r="AL68"/>
      <c r="AM68"/>
      <c r="AN68"/>
      <c r="AO68"/>
      <c r="AP68"/>
      <c r="AQ68"/>
    </row>
    <row r="69" spans="1:43" s="10" customFormat="1" ht="15" customHeight="1" x14ac:dyDescent="0.25">
      <c r="A69" s="55">
        <f t="shared" si="6"/>
        <v>27</v>
      </c>
      <c r="B69" s="56">
        <v>44252</v>
      </c>
      <c r="C69" s="593" t="s">
        <v>343</v>
      </c>
      <c r="D69" s="117"/>
      <c r="E69" s="117"/>
      <c r="F69" s="53" t="s">
        <v>51</v>
      </c>
      <c r="G69" s="53" t="s">
        <v>13</v>
      </c>
      <c r="H69" s="44">
        <v>13000000</v>
      </c>
      <c r="I69" s="377" t="s">
        <v>344</v>
      </c>
      <c r="J69" s="77">
        <v>44253</v>
      </c>
      <c r="K69" s="460">
        <v>14700000</v>
      </c>
      <c r="L69" s="460">
        <v>9000000</v>
      </c>
      <c r="M69" s="459"/>
      <c r="N69" s="459"/>
      <c r="O69" s="459"/>
      <c r="P69" s="460">
        <v>5700000</v>
      </c>
      <c r="Q69" s="28">
        <f t="shared" si="5"/>
        <v>0</v>
      </c>
      <c r="R69" s="197">
        <v>44281</v>
      </c>
      <c r="S69" s="197"/>
      <c r="T69" s="199">
        <v>14</v>
      </c>
      <c r="U69" s="24">
        <f t="shared" ref="U69:U91" si="8">J69+T69</f>
        <v>44267</v>
      </c>
      <c r="V69"/>
      <c r="W69"/>
      <c r="X69"/>
      <c r="Y69"/>
      <c r="Z69"/>
      <c r="AA69"/>
      <c r="AB69"/>
      <c r="AC69"/>
      <c r="AD69"/>
      <c r="AE69"/>
      <c r="AF69"/>
      <c r="AG69"/>
      <c r="AH69"/>
      <c r="AI69"/>
      <c r="AJ69"/>
      <c r="AK69"/>
      <c r="AL69"/>
      <c r="AM69"/>
      <c r="AN69"/>
      <c r="AO69"/>
      <c r="AP69"/>
      <c r="AQ69"/>
    </row>
    <row r="70" spans="1:43" s="10" customFormat="1" ht="15" customHeight="1" x14ac:dyDescent="0.25">
      <c r="A70" s="55">
        <f t="shared" si="6"/>
        <v>28</v>
      </c>
      <c r="B70" s="79">
        <v>44244</v>
      </c>
      <c r="C70" s="591"/>
      <c r="D70" s="115"/>
      <c r="E70" s="115"/>
      <c r="F70" s="111" t="s">
        <v>279</v>
      </c>
      <c r="G70" s="53" t="s">
        <v>133</v>
      </c>
      <c r="H70" s="44">
        <v>3050000</v>
      </c>
      <c r="I70" s="377" t="s">
        <v>345</v>
      </c>
      <c r="J70" s="77">
        <v>44256</v>
      </c>
      <c r="K70" s="460">
        <f t="shared" ref="K70:K75" si="9">H70</f>
        <v>3050000</v>
      </c>
      <c r="L70" s="460"/>
      <c r="M70" s="459"/>
      <c r="N70" s="459"/>
      <c r="O70" s="459">
        <f>K70*2%</f>
        <v>61000</v>
      </c>
      <c r="P70" s="459">
        <v>2989000</v>
      </c>
      <c r="Q70" s="28">
        <f t="shared" si="5"/>
        <v>0</v>
      </c>
      <c r="R70" s="197"/>
      <c r="S70" s="197">
        <v>44309</v>
      </c>
      <c r="T70" s="2">
        <v>30</v>
      </c>
      <c r="U70" s="24">
        <f t="shared" si="8"/>
        <v>44286</v>
      </c>
      <c r="V70"/>
      <c r="W70"/>
      <c r="X70"/>
      <c r="Y70"/>
      <c r="Z70"/>
      <c r="AA70"/>
      <c r="AB70"/>
      <c r="AC70"/>
      <c r="AD70"/>
      <c r="AE70"/>
      <c r="AF70"/>
      <c r="AG70"/>
      <c r="AH70"/>
      <c r="AI70"/>
      <c r="AJ70"/>
      <c r="AK70"/>
      <c r="AL70"/>
      <c r="AM70"/>
      <c r="AN70"/>
      <c r="AO70"/>
      <c r="AP70"/>
      <c r="AQ70"/>
    </row>
    <row r="71" spans="1:43" s="10" customFormat="1" ht="15.75" customHeight="1" x14ac:dyDescent="0.25">
      <c r="A71" s="55">
        <f t="shared" si="6"/>
        <v>29</v>
      </c>
      <c r="B71" s="79">
        <v>44244</v>
      </c>
      <c r="C71" s="58"/>
      <c r="D71" s="58"/>
      <c r="E71" s="58"/>
      <c r="F71" s="111" t="s">
        <v>279</v>
      </c>
      <c r="G71" s="53" t="s">
        <v>326</v>
      </c>
      <c r="H71" s="44">
        <v>3900000</v>
      </c>
      <c r="I71" s="377" t="s">
        <v>346</v>
      </c>
      <c r="J71" s="77">
        <v>44256</v>
      </c>
      <c r="K71" s="460">
        <f t="shared" si="9"/>
        <v>3900000</v>
      </c>
      <c r="L71" s="460"/>
      <c r="M71" s="459"/>
      <c r="N71" s="459"/>
      <c r="O71" s="459">
        <f t="shared" ref="O71:O72" si="10">K71*2%</f>
        <v>78000</v>
      </c>
      <c r="P71" s="459">
        <v>3822000</v>
      </c>
      <c r="Q71" s="28">
        <f t="shared" si="5"/>
        <v>0</v>
      </c>
      <c r="R71" s="197"/>
      <c r="S71" s="197">
        <v>44309</v>
      </c>
      <c r="T71" s="2">
        <v>30</v>
      </c>
      <c r="U71" s="24">
        <f t="shared" si="8"/>
        <v>44286</v>
      </c>
      <c r="V71"/>
      <c r="W71"/>
      <c r="X71"/>
      <c r="Y71"/>
      <c r="Z71"/>
      <c r="AA71"/>
      <c r="AB71"/>
      <c r="AC71"/>
      <c r="AD71"/>
      <c r="AE71"/>
      <c r="AF71"/>
      <c r="AG71"/>
      <c r="AH71"/>
      <c r="AI71"/>
      <c r="AJ71"/>
      <c r="AK71"/>
      <c r="AL71"/>
      <c r="AM71"/>
      <c r="AN71"/>
      <c r="AO71"/>
      <c r="AP71"/>
      <c r="AQ71"/>
    </row>
    <row r="72" spans="1:43" s="10" customFormat="1" ht="15" customHeight="1" x14ac:dyDescent="0.25">
      <c r="A72" s="55">
        <f t="shared" si="6"/>
        <v>30</v>
      </c>
      <c r="B72" s="467">
        <v>44225</v>
      </c>
      <c r="C72" s="591"/>
      <c r="D72" s="115"/>
      <c r="E72" s="115"/>
      <c r="F72" s="111" t="s">
        <v>279</v>
      </c>
      <c r="G72" s="111" t="s">
        <v>281</v>
      </c>
      <c r="H72" s="125">
        <v>10020000</v>
      </c>
      <c r="I72" s="383" t="s">
        <v>280</v>
      </c>
      <c r="J72" s="512">
        <v>44256</v>
      </c>
      <c r="K72" s="460">
        <f t="shared" si="9"/>
        <v>10020000</v>
      </c>
      <c r="L72" s="460"/>
      <c r="M72" s="459"/>
      <c r="N72" s="460"/>
      <c r="O72" s="459">
        <f t="shared" si="10"/>
        <v>200400</v>
      </c>
      <c r="P72" s="459">
        <v>9819600</v>
      </c>
      <c r="Q72" s="28">
        <f t="shared" si="5"/>
        <v>0</v>
      </c>
      <c r="R72" s="197"/>
      <c r="S72" s="197">
        <v>44309</v>
      </c>
      <c r="T72" s="2">
        <v>30</v>
      </c>
      <c r="U72" s="24">
        <f t="shared" si="8"/>
        <v>44286</v>
      </c>
      <c r="V72"/>
      <c r="W72"/>
      <c r="X72"/>
      <c r="Y72"/>
      <c r="Z72"/>
      <c r="AA72"/>
      <c r="AB72"/>
      <c r="AC72"/>
      <c r="AD72"/>
      <c r="AE72"/>
      <c r="AF72"/>
      <c r="AG72"/>
      <c r="AH72"/>
      <c r="AI72"/>
      <c r="AJ72"/>
      <c r="AK72"/>
      <c r="AL72"/>
      <c r="AM72"/>
      <c r="AN72"/>
      <c r="AO72"/>
      <c r="AP72"/>
      <c r="AQ72"/>
    </row>
    <row r="73" spans="1:43" s="10" customFormat="1" ht="15" customHeight="1" x14ac:dyDescent="0.25">
      <c r="A73" s="55">
        <f t="shared" si="6"/>
        <v>31</v>
      </c>
      <c r="B73" s="467">
        <v>44214</v>
      </c>
      <c r="C73" s="597" t="s">
        <v>275</v>
      </c>
      <c r="D73" s="109"/>
      <c r="E73" s="109"/>
      <c r="F73" s="110" t="s">
        <v>260</v>
      </c>
      <c r="G73" s="110" t="s">
        <v>276</v>
      </c>
      <c r="H73" s="125">
        <v>12500000</v>
      </c>
      <c r="I73" s="383" t="s">
        <v>277</v>
      </c>
      <c r="J73" s="512">
        <v>44256</v>
      </c>
      <c r="K73" s="460">
        <f t="shared" si="9"/>
        <v>12500000</v>
      </c>
      <c r="L73" s="460">
        <v>6000000</v>
      </c>
      <c r="M73" s="459"/>
      <c r="N73" s="460"/>
      <c r="O73" s="460"/>
      <c r="P73" s="459">
        <v>6500000</v>
      </c>
      <c r="Q73" s="28">
        <f t="shared" si="5"/>
        <v>0</v>
      </c>
      <c r="R73" s="197">
        <v>44442</v>
      </c>
      <c r="S73" s="197">
        <v>44447</v>
      </c>
      <c r="T73" s="199">
        <v>30</v>
      </c>
      <c r="U73" s="24">
        <f t="shared" si="8"/>
        <v>44286</v>
      </c>
      <c r="V73"/>
      <c r="W73"/>
      <c r="X73"/>
      <c r="Y73"/>
      <c r="Z73"/>
      <c r="AA73"/>
      <c r="AB73"/>
      <c r="AC73"/>
      <c r="AD73"/>
      <c r="AE73"/>
      <c r="AF73"/>
      <c r="AG73"/>
      <c r="AH73"/>
      <c r="AI73"/>
      <c r="AJ73"/>
      <c r="AK73"/>
      <c r="AL73"/>
      <c r="AM73"/>
      <c r="AN73"/>
      <c r="AO73"/>
      <c r="AP73"/>
      <c r="AQ73"/>
    </row>
    <row r="74" spans="1:43" s="10" customFormat="1" ht="15" customHeight="1" x14ac:dyDescent="0.25">
      <c r="A74" s="55">
        <f t="shared" si="6"/>
        <v>32</v>
      </c>
      <c r="B74" s="56">
        <v>44223</v>
      </c>
      <c r="C74" s="593" t="s">
        <v>347</v>
      </c>
      <c r="D74" s="117"/>
      <c r="E74" s="117"/>
      <c r="F74" s="53" t="s">
        <v>348</v>
      </c>
      <c r="G74" s="53" t="s">
        <v>349</v>
      </c>
      <c r="H74" s="44">
        <v>416000</v>
      </c>
      <c r="I74" s="377" t="s">
        <v>350</v>
      </c>
      <c r="J74" s="77">
        <v>44228</v>
      </c>
      <c r="K74" s="460">
        <f t="shared" si="9"/>
        <v>416000</v>
      </c>
      <c r="L74" s="460"/>
      <c r="M74" s="459"/>
      <c r="N74" s="459"/>
      <c r="O74" s="459"/>
      <c r="P74" s="459">
        <v>416000</v>
      </c>
      <c r="Q74" s="28">
        <f t="shared" si="5"/>
        <v>0</v>
      </c>
      <c r="R74" s="197">
        <v>44264</v>
      </c>
      <c r="S74" s="197"/>
      <c r="T74" s="199">
        <v>30</v>
      </c>
      <c r="U74" s="24">
        <f t="shared" si="8"/>
        <v>44258</v>
      </c>
      <c r="V74"/>
      <c r="W74"/>
      <c r="X74"/>
      <c r="Y74"/>
      <c r="Z74"/>
      <c r="AA74"/>
      <c r="AB74"/>
      <c r="AC74"/>
      <c r="AD74"/>
      <c r="AE74"/>
      <c r="AF74"/>
      <c r="AG74"/>
      <c r="AH74"/>
      <c r="AI74"/>
      <c r="AJ74"/>
      <c r="AK74"/>
      <c r="AL74"/>
      <c r="AM74"/>
      <c r="AN74"/>
      <c r="AO74"/>
      <c r="AP74"/>
      <c r="AQ74"/>
    </row>
    <row r="75" spans="1:43" s="10" customFormat="1" ht="15.75" customHeight="1" x14ac:dyDescent="0.25">
      <c r="A75" s="55">
        <f t="shared" si="6"/>
        <v>33</v>
      </c>
      <c r="B75" s="56">
        <v>44252</v>
      </c>
      <c r="C75" s="58"/>
      <c r="D75" s="58"/>
      <c r="E75" s="58"/>
      <c r="F75" s="112" t="s">
        <v>1905</v>
      </c>
      <c r="G75" s="53" t="s">
        <v>351</v>
      </c>
      <c r="H75" s="423">
        <v>2400000</v>
      </c>
      <c r="I75" s="377" t="s">
        <v>352</v>
      </c>
      <c r="J75" s="77">
        <v>44257</v>
      </c>
      <c r="K75" s="460">
        <f t="shared" si="9"/>
        <v>2400000</v>
      </c>
      <c r="L75" s="460"/>
      <c r="M75" s="459"/>
      <c r="N75" s="459"/>
      <c r="O75" s="459"/>
      <c r="P75" s="459">
        <v>2400000</v>
      </c>
      <c r="Q75" s="28">
        <f t="shared" si="5"/>
        <v>0</v>
      </c>
      <c r="R75" s="197"/>
      <c r="S75" s="197">
        <v>44258</v>
      </c>
      <c r="T75" s="199">
        <v>14</v>
      </c>
      <c r="U75" s="24">
        <f t="shared" si="8"/>
        <v>44271</v>
      </c>
      <c r="V75"/>
      <c r="W75"/>
      <c r="X75"/>
      <c r="Y75"/>
      <c r="Z75"/>
      <c r="AA75"/>
      <c r="AB75"/>
      <c r="AC75"/>
      <c r="AD75"/>
      <c r="AE75"/>
      <c r="AF75"/>
      <c r="AG75"/>
      <c r="AH75"/>
      <c r="AI75"/>
      <c r="AJ75"/>
      <c r="AK75"/>
      <c r="AL75"/>
      <c r="AM75"/>
      <c r="AN75"/>
      <c r="AO75"/>
      <c r="AP75"/>
      <c r="AQ75"/>
    </row>
    <row r="76" spans="1:43" s="10" customFormat="1" ht="15" customHeight="1" x14ac:dyDescent="0.25">
      <c r="A76" s="55">
        <f t="shared" si="6"/>
        <v>34</v>
      </c>
      <c r="B76" s="56">
        <v>44233</v>
      </c>
      <c r="C76" s="592" t="s">
        <v>289</v>
      </c>
      <c r="D76" s="113"/>
      <c r="E76" s="113"/>
      <c r="F76" s="33" t="s">
        <v>51</v>
      </c>
      <c r="G76" s="114" t="s">
        <v>290</v>
      </c>
      <c r="H76" s="423">
        <v>10710000</v>
      </c>
      <c r="I76" s="380" t="s">
        <v>402</v>
      </c>
      <c r="J76" s="301">
        <v>44264</v>
      </c>
      <c r="K76" s="460">
        <f>H76</f>
        <v>10710000</v>
      </c>
      <c r="L76" s="460">
        <v>5400000</v>
      </c>
      <c r="M76" s="459">
        <v>310000</v>
      </c>
      <c r="N76" s="459"/>
      <c r="O76" s="459"/>
      <c r="P76" s="460">
        <v>5000000</v>
      </c>
      <c r="Q76" s="28">
        <f t="shared" si="5"/>
        <v>0</v>
      </c>
      <c r="R76" s="197">
        <v>44289</v>
      </c>
      <c r="S76" s="197"/>
      <c r="T76" s="199">
        <v>14</v>
      </c>
      <c r="U76" s="24">
        <f t="shared" si="8"/>
        <v>44278</v>
      </c>
      <c r="V76"/>
      <c r="W76"/>
      <c r="X76"/>
      <c r="Y76"/>
      <c r="Z76"/>
      <c r="AA76"/>
      <c r="AB76"/>
      <c r="AC76"/>
      <c r="AD76"/>
      <c r="AE76"/>
      <c r="AF76"/>
      <c r="AG76"/>
      <c r="AH76"/>
      <c r="AI76"/>
      <c r="AJ76"/>
      <c r="AK76"/>
      <c r="AL76"/>
      <c r="AM76"/>
      <c r="AN76"/>
      <c r="AO76"/>
      <c r="AP76"/>
      <c r="AQ76"/>
    </row>
    <row r="77" spans="1:43" s="10" customFormat="1" ht="15" customHeight="1" x14ac:dyDescent="0.25">
      <c r="A77" s="55">
        <f t="shared" si="6"/>
        <v>35</v>
      </c>
      <c r="B77" s="56">
        <v>44233</v>
      </c>
      <c r="C77" s="594" t="s">
        <v>353</v>
      </c>
      <c r="D77" s="120"/>
      <c r="E77" s="120"/>
      <c r="F77" s="33" t="s">
        <v>354</v>
      </c>
      <c r="G77" s="71" t="s">
        <v>355</v>
      </c>
      <c r="H77" s="460">
        <v>150000</v>
      </c>
      <c r="I77" s="380" t="s">
        <v>2362</v>
      </c>
      <c r="J77" s="514">
        <v>44503</v>
      </c>
      <c r="K77" s="460">
        <f>H77</f>
        <v>150000</v>
      </c>
      <c r="L77" s="460"/>
      <c r="M77" s="459"/>
      <c r="N77" s="459"/>
      <c r="O77" s="459"/>
      <c r="P77" s="459">
        <v>150000</v>
      </c>
      <c r="Q77" s="28">
        <f t="shared" si="5"/>
        <v>0</v>
      </c>
      <c r="R77" s="199" t="s">
        <v>2364</v>
      </c>
      <c r="S77" s="199"/>
      <c r="T77" s="199">
        <v>14</v>
      </c>
      <c r="U77" s="24">
        <f t="shared" si="8"/>
        <v>44517</v>
      </c>
      <c r="V77"/>
      <c r="W77"/>
      <c r="X77"/>
      <c r="Y77"/>
      <c r="Z77"/>
      <c r="AA77"/>
      <c r="AB77"/>
      <c r="AC77"/>
      <c r="AD77"/>
      <c r="AE77"/>
      <c r="AF77"/>
      <c r="AG77"/>
      <c r="AH77"/>
      <c r="AI77"/>
      <c r="AJ77"/>
      <c r="AK77"/>
      <c r="AL77"/>
      <c r="AM77"/>
      <c r="AN77"/>
      <c r="AO77"/>
      <c r="AP77"/>
      <c r="AQ77"/>
    </row>
    <row r="78" spans="1:43" s="10" customFormat="1" ht="15" customHeight="1" x14ac:dyDescent="0.25">
      <c r="A78" s="55">
        <f t="shared" si="6"/>
        <v>36</v>
      </c>
      <c r="B78" s="56">
        <v>44237</v>
      </c>
      <c r="C78" s="591" t="s">
        <v>356</v>
      </c>
      <c r="D78" s="115"/>
      <c r="E78" s="115"/>
      <c r="F78" s="116" t="s">
        <v>357</v>
      </c>
      <c r="G78" s="53" t="s">
        <v>14</v>
      </c>
      <c r="H78" s="460">
        <v>3700000</v>
      </c>
      <c r="I78" s="380" t="s">
        <v>1696</v>
      </c>
      <c r="J78" s="301">
        <v>44232</v>
      </c>
      <c r="K78" s="460">
        <f t="shared" ref="K78:K89" si="11">H78</f>
        <v>3700000</v>
      </c>
      <c r="L78" s="460">
        <v>2700000</v>
      </c>
      <c r="M78" s="459"/>
      <c r="N78" s="459"/>
      <c r="O78" s="459"/>
      <c r="P78" s="459">
        <v>1000000</v>
      </c>
      <c r="Q78" s="28">
        <f t="shared" si="5"/>
        <v>0</v>
      </c>
      <c r="R78" s="199" t="s">
        <v>1697</v>
      </c>
      <c r="S78" s="199"/>
      <c r="T78" s="199">
        <v>30</v>
      </c>
      <c r="U78" s="24">
        <f t="shared" si="8"/>
        <v>44262</v>
      </c>
      <c r="V78" s="433" t="s">
        <v>1698</v>
      </c>
      <c r="W78"/>
      <c r="X78"/>
      <c r="Y78"/>
      <c r="Z78"/>
      <c r="AA78"/>
      <c r="AB78"/>
      <c r="AC78"/>
      <c r="AD78"/>
      <c r="AE78"/>
      <c r="AF78"/>
      <c r="AG78"/>
      <c r="AH78"/>
      <c r="AI78"/>
      <c r="AJ78"/>
      <c r="AK78"/>
      <c r="AL78"/>
      <c r="AM78"/>
      <c r="AN78"/>
      <c r="AO78"/>
      <c r="AP78"/>
      <c r="AQ78"/>
    </row>
    <row r="79" spans="1:43" s="10" customFormat="1" ht="15.75" customHeight="1" x14ac:dyDescent="0.25">
      <c r="A79" s="55">
        <f t="shared" si="6"/>
        <v>37</v>
      </c>
      <c r="B79" s="56">
        <v>44237</v>
      </c>
      <c r="C79" s="58"/>
      <c r="D79" s="58"/>
      <c r="E79" s="58"/>
      <c r="F79" s="69" t="s">
        <v>18</v>
      </c>
      <c r="G79" s="33" t="s">
        <v>136</v>
      </c>
      <c r="H79" s="460">
        <v>60083000</v>
      </c>
      <c r="I79" s="380" t="s">
        <v>459</v>
      </c>
      <c r="J79" s="301">
        <v>44270</v>
      </c>
      <c r="K79" s="460">
        <f t="shared" si="11"/>
        <v>60083000</v>
      </c>
      <c r="L79" s="460"/>
      <c r="M79" s="459"/>
      <c r="N79" s="459"/>
      <c r="O79" s="459"/>
      <c r="P79" s="460">
        <v>60083000</v>
      </c>
      <c r="Q79" s="28">
        <f t="shared" si="5"/>
        <v>0</v>
      </c>
      <c r="R79" s="24">
        <v>44321</v>
      </c>
      <c r="S79" s="24"/>
      <c r="T79" s="2">
        <v>14</v>
      </c>
      <c r="U79" s="24">
        <f t="shared" si="8"/>
        <v>44284</v>
      </c>
      <c r="V79"/>
      <c r="W79"/>
      <c r="X79"/>
      <c r="Y79"/>
      <c r="Z79"/>
      <c r="AA79"/>
      <c r="AB79"/>
      <c r="AC79"/>
      <c r="AD79"/>
      <c r="AE79"/>
      <c r="AF79"/>
      <c r="AG79"/>
      <c r="AH79"/>
      <c r="AI79"/>
      <c r="AJ79"/>
      <c r="AK79"/>
      <c r="AL79"/>
      <c r="AM79"/>
      <c r="AN79"/>
      <c r="AO79"/>
      <c r="AP79"/>
      <c r="AQ79"/>
    </row>
    <row r="80" spans="1:43" s="10" customFormat="1" ht="15" customHeight="1" x14ac:dyDescent="0.25">
      <c r="A80" s="55">
        <f t="shared" si="6"/>
        <v>38</v>
      </c>
      <c r="B80" s="56">
        <v>44243</v>
      </c>
      <c r="C80" s="591" t="s">
        <v>358</v>
      </c>
      <c r="D80" s="115"/>
      <c r="E80" s="115"/>
      <c r="F80" s="53" t="s">
        <v>359</v>
      </c>
      <c r="G80" s="53" t="s">
        <v>360</v>
      </c>
      <c r="H80" s="460">
        <v>60000000</v>
      </c>
      <c r="I80" s="380" t="s">
        <v>409</v>
      </c>
      <c r="J80" s="301">
        <v>44263</v>
      </c>
      <c r="K80" s="28">
        <f t="shared" si="11"/>
        <v>60000000</v>
      </c>
      <c r="L80" s="460">
        <v>30000000</v>
      </c>
      <c r="M80" s="459">
        <v>1800</v>
      </c>
      <c r="N80" s="28">
        <f>K80*1%</f>
        <v>600000</v>
      </c>
      <c r="O80" s="28">
        <f>K80*2%</f>
        <v>1200000</v>
      </c>
      <c r="P80" s="459">
        <v>29398200</v>
      </c>
      <c r="Q80" s="28">
        <f t="shared" si="5"/>
        <v>0</v>
      </c>
      <c r="R80" s="197">
        <v>44309</v>
      </c>
      <c r="S80" s="197"/>
      <c r="T80" s="2">
        <v>14</v>
      </c>
      <c r="U80" s="24">
        <f t="shared" si="8"/>
        <v>44277</v>
      </c>
      <c r="V80"/>
      <c r="W80"/>
      <c r="X80"/>
      <c r="Y80"/>
      <c r="Z80"/>
      <c r="AA80"/>
      <c r="AB80"/>
      <c r="AC80"/>
      <c r="AD80"/>
      <c r="AE80"/>
      <c r="AF80"/>
      <c r="AG80"/>
      <c r="AH80"/>
      <c r="AI80"/>
      <c r="AJ80"/>
      <c r="AK80"/>
      <c r="AL80"/>
      <c r="AM80"/>
      <c r="AN80"/>
      <c r="AO80"/>
      <c r="AP80"/>
      <c r="AQ80"/>
    </row>
    <row r="81" spans="1:43" s="10" customFormat="1" ht="15" customHeight="1" x14ac:dyDescent="0.25">
      <c r="A81" s="55">
        <f t="shared" si="6"/>
        <v>39</v>
      </c>
      <c r="B81" s="56">
        <v>44244</v>
      </c>
      <c r="C81" s="598" t="s">
        <v>361</v>
      </c>
      <c r="D81" s="121"/>
      <c r="E81" s="121"/>
      <c r="F81" s="53" t="s">
        <v>354</v>
      </c>
      <c r="G81" s="53" t="s">
        <v>362</v>
      </c>
      <c r="H81" s="460">
        <v>150000</v>
      </c>
      <c r="I81" s="380" t="s">
        <v>2362</v>
      </c>
      <c r="J81" s="514">
        <v>44503</v>
      </c>
      <c r="K81" s="460">
        <f t="shared" si="11"/>
        <v>150000</v>
      </c>
      <c r="L81" s="460"/>
      <c r="M81" s="459"/>
      <c r="N81" s="459"/>
      <c r="O81" s="459"/>
      <c r="P81" s="459">
        <v>150000</v>
      </c>
      <c r="Q81" s="28">
        <f t="shared" si="5"/>
        <v>0</v>
      </c>
      <c r="R81" s="199" t="s">
        <v>2364</v>
      </c>
      <c r="S81" s="199"/>
      <c r="T81" s="199">
        <v>14</v>
      </c>
      <c r="U81" s="24">
        <f t="shared" si="8"/>
        <v>44517</v>
      </c>
      <c r="V81"/>
      <c r="W81"/>
      <c r="X81"/>
      <c r="Y81"/>
      <c r="Z81"/>
      <c r="AA81"/>
      <c r="AB81"/>
      <c r="AC81"/>
      <c r="AD81"/>
      <c r="AE81"/>
      <c r="AF81"/>
      <c r="AG81"/>
      <c r="AH81"/>
      <c r="AI81"/>
      <c r="AJ81"/>
      <c r="AK81"/>
      <c r="AL81"/>
      <c r="AM81"/>
      <c r="AN81"/>
      <c r="AO81"/>
      <c r="AP81"/>
      <c r="AQ81"/>
    </row>
    <row r="82" spans="1:43" s="10" customFormat="1" ht="15.75" customHeight="1" x14ac:dyDescent="0.25">
      <c r="A82" s="55">
        <f t="shared" si="6"/>
        <v>40</v>
      </c>
      <c r="B82" s="79">
        <v>44249</v>
      </c>
      <c r="C82" s="58"/>
      <c r="D82" s="58"/>
      <c r="E82" s="58"/>
      <c r="F82" s="53" t="s">
        <v>354</v>
      </c>
      <c r="G82" s="53" t="s">
        <v>363</v>
      </c>
      <c r="H82" s="460">
        <v>150000</v>
      </c>
      <c r="I82" s="380" t="s">
        <v>2362</v>
      </c>
      <c r="J82" s="514">
        <v>44503</v>
      </c>
      <c r="K82" s="460">
        <f t="shared" si="11"/>
        <v>150000</v>
      </c>
      <c r="L82" s="460"/>
      <c r="M82" s="459"/>
      <c r="N82" s="459"/>
      <c r="O82" s="459"/>
      <c r="P82" s="459">
        <v>150000</v>
      </c>
      <c r="Q82" s="28">
        <f t="shared" si="5"/>
        <v>0</v>
      </c>
      <c r="R82" s="199" t="s">
        <v>2364</v>
      </c>
      <c r="S82" s="199"/>
      <c r="T82" s="199">
        <v>14</v>
      </c>
      <c r="U82" s="24">
        <f t="shared" si="8"/>
        <v>44517</v>
      </c>
      <c r="V82"/>
      <c r="W82"/>
      <c r="X82"/>
      <c r="Y82"/>
      <c r="Z82"/>
      <c r="AA82"/>
      <c r="AB82"/>
      <c r="AC82"/>
      <c r="AD82"/>
      <c r="AE82"/>
      <c r="AF82"/>
      <c r="AG82"/>
      <c r="AH82"/>
      <c r="AI82"/>
      <c r="AJ82"/>
      <c r="AK82"/>
      <c r="AL82"/>
      <c r="AM82"/>
      <c r="AN82"/>
      <c r="AO82"/>
      <c r="AP82"/>
      <c r="AQ82"/>
    </row>
    <row r="83" spans="1:43" s="10" customFormat="1" ht="15.75" customHeight="1" x14ac:dyDescent="0.25">
      <c r="A83" s="55">
        <f t="shared" si="6"/>
        <v>41</v>
      </c>
      <c r="B83" s="79">
        <v>44249</v>
      </c>
      <c r="C83" s="58"/>
      <c r="D83" s="58"/>
      <c r="E83" s="58"/>
      <c r="F83" s="53" t="s">
        <v>354</v>
      </c>
      <c r="G83" s="53" t="s">
        <v>364</v>
      </c>
      <c r="H83" s="460">
        <v>150000</v>
      </c>
      <c r="I83" s="380" t="s">
        <v>2362</v>
      </c>
      <c r="J83" s="514">
        <v>44503</v>
      </c>
      <c r="K83" s="460">
        <f t="shared" si="11"/>
        <v>150000</v>
      </c>
      <c r="L83" s="460"/>
      <c r="M83" s="459"/>
      <c r="N83" s="459"/>
      <c r="O83" s="459"/>
      <c r="P83" s="459">
        <v>150000</v>
      </c>
      <c r="Q83" s="28">
        <f t="shared" si="5"/>
        <v>0</v>
      </c>
      <c r="R83" s="199" t="s">
        <v>2364</v>
      </c>
      <c r="S83" s="199"/>
      <c r="T83" s="199">
        <v>14</v>
      </c>
      <c r="U83" s="24">
        <f t="shared" si="8"/>
        <v>44517</v>
      </c>
      <c r="V83"/>
      <c r="W83"/>
      <c r="X83"/>
      <c r="Y83"/>
      <c r="Z83"/>
      <c r="AA83"/>
      <c r="AB83"/>
      <c r="AC83"/>
      <c r="AD83"/>
      <c r="AE83"/>
      <c r="AF83"/>
      <c r="AG83"/>
      <c r="AH83"/>
      <c r="AI83"/>
      <c r="AJ83"/>
      <c r="AK83"/>
      <c r="AL83"/>
      <c r="AM83"/>
      <c r="AN83"/>
      <c r="AO83"/>
      <c r="AP83"/>
      <c r="AQ83"/>
    </row>
    <row r="84" spans="1:43" s="10" customFormat="1" ht="15.75" customHeight="1" x14ac:dyDescent="0.25">
      <c r="A84" s="55">
        <f t="shared" si="6"/>
        <v>42</v>
      </c>
      <c r="B84" s="79">
        <v>44249</v>
      </c>
      <c r="C84" s="58"/>
      <c r="D84" s="58"/>
      <c r="E84" s="58"/>
      <c r="F84" s="53" t="s">
        <v>354</v>
      </c>
      <c r="G84" s="53" t="s">
        <v>363</v>
      </c>
      <c r="H84" s="460">
        <v>150000</v>
      </c>
      <c r="I84" s="380" t="s">
        <v>2362</v>
      </c>
      <c r="J84" s="514">
        <v>44503</v>
      </c>
      <c r="K84" s="460">
        <f t="shared" si="11"/>
        <v>150000</v>
      </c>
      <c r="L84" s="460"/>
      <c r="M84" s="459"/>
      <c r="N84" s="459"/>
      <c r="O84" s="459"/>
      <c r="P84" s="459">
        <v>150000</v>
      </c>
      <c r="Q84" s="28">
        <f t="shared" si="5"/>
        <v>0</v>
      </c>
      <c r="R84" s="199" t="s">
        <v>2364</v>
      </c>
      <c r="S84" s="199"/>
      <c r="T84" s="199">
        <v>14</v>
      </c>
      <c r="U84" s="24">
        <f t="shared" si="8"/>
        <v>44517</v>
      </c>
      <c r="V84"/>
      <c r="W84"/>
      <c r="X84"/>
      <c r="Y84"/>
      <c r="Z84"/>
      <c r="AA84"/>
      <c r="AB84"/>
      <c r="AC84"/>
      <c r="AD84"/>
      <c r="AE84"/>
      <c r="AF84"/>
      <c r="AG84"/>
      <c r="AH84"/>
      <c r="AI84"/>
      <c r="AJ84"/>
      <c r="AK84"/>
      <c r="AL84"/>
      <c r="AM84"/>
      <c r="AN84"/>
      <c r="AO84"/>
      <c r="AP84"/>
      <c r="AQ84"/>
    </row>
    <row r="85" spans="1:43" s="10" customFormat="1" ht="15" customHeight="1" x14ac:dyDescent="0.25">
      <c r="A85" s="55">
        <f t="shared" si="6"/>
        <v>43</v>
      </c>
      <c r="B85" s="79">
        <v>44250</v>
      </c>
      <c r="C85" s="593" t="s">
        <v>365</v>
      </c>
      <c r="D85" s="117"/>
      <c r="E85" s="117"/>
      <c r="F85" s="53" t="s">
        <v>354</v>
      </c>
      <c r="G85" s="53" t="s">
        <v>366</v>
      </c>
      <c r="H85" s="460">
        <v>550000</v>
      </c>
      <c r="I85" s="380" t="s">
        <v>2362</v>
      </c>
      <c r="J85" s="514">
        <v>44503</v>
      </c>
      <c r="K85" s="460">
        <f t="shared" si="11"/>
        <v>550000</v>
      </c>
      <c r="L85" s="460"/>
      <c r="M85" s="459"/>
      <c r="N85" s="459"/>
      <c r="O85" s="459"/>
      <c r="P85" s="459">
        <v>550000</v>
      </c>
      <c r="Q85" s="28">
        <f t="shared" si="5"/>
        <v>0</v>
      </c>
      <c r="R85" s="199" t="s">
        <v>2364</v>
      </c>
      <c r="S85" s="199"/>
      <c r="T85" s="199">
        <v>14</v>
      </c>
      <c r="U85" s="24">
        <f t="shared" si="8"/>
        <v>44517</v>
      </c>
      <c r="V85"/>
      <c r="W85"/>
      <c r="X85"/>
      <c r="Y85"/>
      <c r="Z85"/>
      <c r="AA85"/>
      <c r="AB85"/>
      <c r="AC85"/>
      <c r="AD85"/>
      <c r="AE85"/>
      <c r="AF85"/>
      <c r="AG85"/>
      <c r="AH85"/>
      <c r="AI85"/>
      <c r="AJ85"/>
      <c r="AK85"/>
      <c r="AL85"/>
      <c r="AM85"/>
      <c r="AN85"/>
      <c r="AO85"/>
      <c r="AP85"/>
      <c r="AQ85"/>
    </row>
    <row r="86" spans="1:43" s="10" customFormat="1" ht="15" customHeight="1" x14ac:dyDescent="0.25">
      <c r="A86" s="55">
        <f t="shared" si="6"/>
        <v>44</v>
      </c>
      <c r="B86" s="462">
        <v>44239</v>
      </c>
      <c r="C86" s="593" t="s">
        <v>438</v>
      </c>
      <c r="D86" s="117"/>
      <c r="E86" s="117"/>
      <c r="F86" s="53" t="s">
        <v>435</v>
      </c>
      <c r="G86" s="53" t="s">
        <v>437</v>
      </c>
      <c r="H86" s="460">
        <v>1500000</v>
      </c>
      <c r="I86" s="380" t="s">
        <v>436</v>
      </c>
      <c r="J86" s="301">
        <v>44256</v>
      </c>
      <c r="K86" s="460">
        <f t="shared" si="11"/>
        <v>1500000</v>
      </c>
      <c r="L86" s="460"/>
      <c r="M86" s="459"/>
      <c r="N86" s="459"/>
      <c r="O86" s="459"/>
      <c r="P86" s="459">
        <v>1500000</v>
      </c>
      <c r="Q86" s="28">
        <f t="shared" si="5"/>
        <v>0</v>
      </c>
      <c r="R86" s="199" t="s">
        <v>692</v>
      </c>
      <c r="S86" s="199"/>
      <c r="T86" s="199">
        <v>14</v>
      </c>
      <c r="U86" s="24">
        <f t="shared" si="8"/>
        <v>44270</v>
      </c>
      <c r="V86"/>
      <c r="W86"/>
      <c r="X86"/>
      <c r="Y86"/>
      <c r="Z86"/>
      <c r="AA86"/>
      <c r="AB86"/>
      <c r="AC86"/>
      <c r="AD86"/>
      <c r="AE86"/>
      <c r="AF86"/>
      <c r="AG86"/>
      <c r="AH86"/>
      <c r="AI86"/>
      <c r="AJ86"/>
      <c r="AK86"/>
      <c r="AL86"/>
      <c r="AM86"/>
      <c r="AN86"/>
      <c r="AO86"/>
      <c r="AP86"/>
      <c r="AQ86"/>
    </row>
    <row r="87" spans="1:43" s="10" customFormat="1" ht="15" customHeight="1" x14ac:dyDescent="0.25">
      <c r="A87" s="55">
        <f t="shared" si="6"/>
        <v>45</v>
      </c>
      <c r="B87" s="56">
        <v>44252</v>
      </c>
      <c r="C87" s="593" t="s">
        <v>367</v>
      </c>
      <c r="D87" s="117"/>
      <c r="E87" s="117"/>
      <c r="F87" s="53" t="s">
        <v>115</v>
      </c>
      <c r="G87" s="33" t="s">
        <v>14</v>
      </c>
      <c r="H87" s="45">
        <v>4050000</v>
      </c>
      <c r="I87" s="380" t="s">
        <v>410</v>
      </c>
      <c r="J87" s="513"/>
      <c r="K87" s="28">
        <f t="shared" si="11"/>
        <v>4050000</v>
      </c>
      <c r="L87" s="459"/>
      <c r="M87" s="459"/>
      <c r="N87" s="28">
        <f>K87*1%</f>
        <v>40500</v>
      </c>
      <c r="O87" s="28">
        <f>K87*2%</f>
        <v>81000</v>
      </c>
      <c r="P87" s="459">
        <v>4009500</v>
      </c>
      <c r="Q87" s="28">
        <f t="shared" si="5"/>
        <v>0</v>
      </c>
      <c r="R87" s="197"/>
      <c r="S87" s="197">
        <v>44295</v>
      </c>
      <c r="T87" s="199">
        <v>14</v>
      </c>
      <c r="U87" s="24">
        <f t="shared" si="8"/>
        <v>14</v>
      </c>
      <c r="V87"/>
      <c r="W87"/>
      <c r="X87"/>
      <c r="Y87"/>
      <c r="Z87"/>
      <c r="AA87"/>
      <c r="AB87"/>
      <c r="AC87"/>
      <c r="AD87"/>
      <c r="AE87"/>
      <c r="AF87"/>
      <c r="AG87"/>
      <c r="AH87"/>
      <c r="AI87"/>
      <c r="AJ87"/>
      <c r="AK87"/>
      <c r="AL87"/>
      <c r="AM87"/>
      <c r="AN87"/>
      <c r="AO87"/>
      <c r="AP87"/>
      <c r="AQ87"/>
    </row>
    <row r="88" spans="1:43" s="10" customFormat="1" ht="15" customHeight="1" x14ac:dyDescent="0.25">
      <c r="A88" s="55">
        <f t="shared" si="6"/>
        <v>46</v>
      </c>
      <c r="B88" s="56">
        <v>44252</v>
      </c>
      <c r="C88" s="593" t="s">
        <v>368</v>
      </c>
      <c r="D88" s="117"/>
      <c r="E88" s="117"/>
      <c r="F88" s="53" t="s">
        <v>2317</v>
      </c>
      <c r="G88" s="53" t="s">
        <v>693</v>
      </c>
      <c r="H88" s="45">
        <v>7500000</v>
      </c>
      <c r="I88" s="380" t="s">
        <v>620</v>
      </c>
      <c r="J88" s="301">
        <v>44300</v>
      </c>
      <c r="K88" s="459">
        <f>H88</f>
        <v>7500000</v>
      </c>
      <c r="L88" s="459"/>
      <c r="M88" s="459"/>
      <c r="N88" s="459"/>
      <c r="O88" s="28"/>
      <c r="P88" s="459"/>
      <c r="Q88" s="28">
        <f t="shared" si="5"/>
        <v>7500000</v>
      </c>
      <c r="R88" s="197"/>
      <c r="S88" s="197"/>
      <c r="T88" s="199">
        <v>60</v>
      </c>
      <c r="U88" s="24">
        <f t="shared" si="8"/>
        <v>44360</v>
      </c>
      <c r="V88"/>
      <c r="W88"/>
      <c r="X88"/>
      <c r="Y88"/>
      <c r="Z88"/>
      <c r="AA88"/>
      <c r="AB88"/>
      <c r="AC88"/>
      <c r="AD88"/>
      <c r="AE88"/>
      <c r="AF88"/>
      <c r="AG88"/>
      <c r="AH88"/>
      <c r="AI88"/>
      <c r="AJ88"/>
      <c r="AK88"/>
      <c r="AL88"/>
      <c r="AM88"/>
      <c r="AN88"/>
      <c r="AO88"/>
      <c r="AP88"/>
      <c r="AQ88"/>
    </row>
    <row r="89" spans="1:43" s="10" customFormat="1" ht="15" customHeight="1" x14ac:dyDescent="0.25">
      <c r="A89" s="55">
        <f t="shared" si="6"/>
        <v>47</v>
      </c>
      <c r="B89" s="56">
        <v>44252</v>
      </c>
      <c r="C89" s="593" t="s">
        <v>368</v>
      </c>
      <c r="D89" s="117"/>
      <c r="E89" s="117"/>
      <c r="F89" s="53" t="s">
        <v>2317</v>
      </c>
      <c r="G89" s="53" t="s">
        <v>13</v>
      </c>
      <c r="H89" s="460">
        <v>800000</v>
      </c>
      <c r="I89" s="380" t="s">
        <v>489</v>
      </c>
      <c r="J89" s="301">
        <v>44280</v>
      </c>
      <c r="K89" s="460">
        <f t="shared" si="11"/>
        <v>800000</v>
      </c>
      <c r="L89" s="460"/>
      <c r="M89" s="459"/>
      <c r="N89" s="459"/>
      <c r="O89" s="459"/>
      <c r="P89" s="459"/>
      <c r="Q89" s="28">
        <f t="shared" si="5"/>
        <v>800000</v>
      </c>
      <c r="R89" s="199"/>
      <c r="S89" s="199"/>
      <c r="T89" s="199">
        <v>60</v>
      </c>
      <c r="U89" s="24">
        <f t="shared" si="8"/>
        <v>44340</v>
      </c>
      <c r="V89"/>
      <c r="W89"/>
      <c r="X89"/>
      <c r="Y89"/>
      <c r="Z89"/>
      <c r="AA89"/>
      <c r="AB89"/>
      <c r="AC89"/>
      <c r="AD89"/>
      <c r="AE89"/>
      <c r="AF89"/>
      <c r="AG89"/>
      <c r="AH89"/>
      <c r="AI89"/>
      <c r="AJ89"/>
      <c r="AK89"/>
      <c r="AL89"/>
      <c r="AM89"/>
      <c r="AN89"/>
      <c r="AO89"/>
      <c r="AP89"/>
      <c r="AQ89"/>
    </row>
    <row r="90" spans="1:43" s="10" customFormat="1" ht="15" customHeight="1" x14ac:dyDescent="0.25">
      <c r="A90" s="55">
        <f t="shared" si="6"/>
        <v>48</v>
      </c>
      <c r="B90" s="56">
        <v>44254</v>
      </c>
      <c r="C90" s="593" t="s">
        <v>369</v>
      </c>
      <c r="D90" s="117"/>
      <c r="E90" s="117"/>
      <c r="F90" s="53" t="s">
        <v>2317</v>
      </c>
      <c r="G90" s="53" t="s">
        <v>371</v>
      </c>
      <c r="H90" s="460"/>
      <c r="I90" s="380"/>
      <c r="J90" s="301"/>
      <c r="K90" s="460"/>
      <c r="L90" s="460"/>
      <c r="M90" s="459"/>
      <c r="N90" s="459"/>
      <c r="O90" s="459"/>
      <c r="P90" s="459"/>
      <c r="Q90" s="28">
        <f t="shared" si="5"/>
        <v>0</v>
      </c>
      <c r="R90" s="199"/>
      <c r="S90" s="199"/>
      <c r="T90" s="199">
        <v>60</v>
      </c>
      <c r="U90" s="24">
        <f t="shared" si="8"/>
        <v>60</v>
      </c>
      <c r="V90"/>
      <c r="W90"/>
      <c r="X90"/>
      <c r="Y90"/>
      <c r="Z90"/>
      <c r="AA90"/>
      <c r="AB90"/>
      <c r="AC90"/>
      <c r="AD90"/>
      <c r="AE90"/>
      <c r="AF90"/>
      <c r="AG90"/>
      <c r="AH90"/>
      <c r="AI90"/>
      <c r="AJ90"/>
      <c r="AK90"/>
      <c r="AL90"/>
      <c r="AM90"/>
      <c r="AN90"/>
      <c r="AO90"/>
      <c r="AP90"/>
      <c r="AQ90"/>
    </row>
    <row r="91" spans="1:43" s="10" customFormat="1" ht="15" customHeight="1" x14ac:dyDescent="0.25">
      <c r="A91" s="55">
        <f t="shared" si="6"/>
        <v>49</v>
      </c>
      <c r="B91" s="56">
        <v>44254</v>
      </c>
      <c r="C91" s="593" t="s">
        <v>370</v>
      </c>
      <c r="D91" s="117"/>
      <c r="E91" s="117"/>
      <c r="F91" s="53" t="s">
        <v>2317</v>
      </c>
      <c r="G91" s="53" t="s">
        <v>28</v>
      </c>
      <c r="H91" s="460"/>
      <c r="I91" s="380"/>
      <c r="J91" s="301"/>
      <c r="K91" s="460"/>
      <c r="L91" s="460"/>
      <c r="M91" s="459"/>
      <c r="N91" s="459"/>
      <c r="O91" s="459"/>
      <c r="P91" s="459"/>
      <c r="Q91" s="28">
        <f t="shared" si="5"/>
        <v>0</v>
      </c>
      <c r="R91" s="199"/>
      <c r="S91" s="199"/>
      <c r="T91" s="199">
        <v>60</v>
      </c>
      <c r="U91" s="24">
        <f t="shared" si="8"/>
        <v>60</v>
      </c>
      <c r="V91"/>
      <c r="W91"/>
      <c r="X91"/>
      <c r="Y91"/>
      <c r="Z91"/>
      <c r="AA91"/>
      <c r="AB91"/>
      <c r="AC91"/>
      <c r="AD91"/>
      <c r="AE91"/>
      <c r="AF91"/>
      <c r="AG91"/>
      <c r="AH91"/>
      <c r="AI91"/>
      <c r="AJ91"/>
      <c r="AK91"/>
      <c r="AL91"/>
      <c r="AM91"/>
      <c r="AN91"/>
      <c r="AO91"/>
      <c r="AP91"/>
      <c r="AQ91"/>
    </row>
    <row r="92" spans="1:43" s="10" customFormat="1" ht="32.25" customHeight="1" x14ac:dyDescent="0.25">
      <c r="A92" s="999" t="s">
        <v>372</v>
      </c>
      <c r="B92" s="999"/>
      <c r="C92" s="999"/>
      <c r="D92" s="999"/>
      <c r="E92" s="999"/>
      <c r="F92" s="999"/>
      <c r="G92" s="999"/>
      <c r="H92" s="999"/>
      <c r="I92" s="999"/>
      <c r="J92" s="999"/>
      <c r="K92" s="473"/>
      <c r="L92" s="473"/>
      <c r="M92" s="473"/>
      <c r="N92" s="473"/>
      <c r="O92" s="473"/>
      <c r="P92" s="473"/>
      <c r="Q92" s="51">
        <f>SUM(Q43:Q91)</f>
        <v>21682500</v>
      </c>
      <c r="R92" s="479"/>
      <c r="S92" s="479"/>
      <c r="T92" s="479"/>
      <c r="U92" s="24">
        <f t="shared" ref="U92:U131" si="12">J92+T92</f>
        <v>0</v>
      </c>
      <c r="V92"/>
      <c r="W92"/>
      <c r="X92"/>
      <c r="Y92"/>
      <c r="Z92"/>
      <c r="AA92"/>
      <c r="AB92"/>
      <c r="AC92"/>
      <c r="AD92"/>
      <c r="AE92"/>
      <c r="AF92"/>
      <c r="AG92"/>
      <c r="AH92"/>
      <c r="AI92"/>
      <c r="AJ92"/>
      <c r="AK92"/>
      <c r="AL92"/>
      <c r="AM92"/>
      <c r="AN92"/>
      <c r="AO92"/>
      <c r="AP92"/>
      <c r="AQ92"/>
    </row>
    <row r="93" spans="1:43" s="10" customFormat="1" ht="15.75" customHeight="1" x14ac:dyDescent="0.25">
      <c r="A93" s="55">
        <v>1</v>
      </c>
      <c r="B93" s="56">
        <v>44256</v>
      </c>
      <c r="C93" s="58"/>
      <c r="D93" s="58"/>
      <c r="E93" s="58"/>
      <c r="F93" s="53" t="s">
        <v>401</v>
      </c>
      <c r="G93" s="126" t="s">
        <v>408</v>
      </c>
      <c r="H93" s="63">
        <v>1150000</v>
      </c>
      <c r="I93" s="380" t="s">
        <v>407</v>
      </c>
      <c r="J93" s="301">
        <v>44257</v>
      </c>
      <c r="K93" s="28">
        <f t="shared" ref="K93:K111" si="13">H93</f>
        <v>1150000</v>
      </c>
      <c r="L93" s="460"/>
      <c r="M93" s="459"/>
      <c r="N93" s="28">
        <f t="shared" ref="N93:N110" si="14">K93*1%</f>
        <v>11500</v>
      </c>
      <c r="O93" s="28">
        <f t="shared" ref="O93:O110" si="15">K93*2%</f>
        <v>23000</v>
      </c>
      <c r="P93" s="459">
        <v>1138500</v>
      </c>
      <c r="Q93" s="28">
        <f t="shared" ref="Q93:Q155" si="16">K93-L93-M93-O93-P93+N93</f>
        <v>0</v>
      </c>
      <c r="R93" s="197"/>
      <c r="S93" s="197">
        <v>44274</v>
      </c>
      <c r="T93" s="199">
        <v>14</v>
      </c>
      <c r="U93" s="24">
        <f t="shared" si="12"/>
        <v>44271</v>
      </c>
      <c r="V93"/>
      <c r="W93"/>
      <c r="X93"/>
      <c r="Y93"/>
      <c r="Z93"/>
      <c r="AA93"/>
      <c r="AB93"/>
      <c r="AC93"/>
      <c r="AD93"/>
      <c r="AE93"/>
      <c r="AF93"/>
      <c r="AG93"/>
      <c r="AH93"/>
      <c r="AI93"/>
      <c r="AJ93"/>
      <c r="AK93"/>
      <c r="AL93"/>
      <c r="AM93"/>
      <c r="AN93"/>
      <c r="AO93"/>
      <c r="AP93"/>
      <c r="AQ93"/>
    </row>
    <row r="94" spans="1:43" s="10" customFormat="1" ht="15.75" customHeight="1" x14ac:dyDescent="0.25">
      <c r="A94" s="55">
        <f>A93+1</f>
        <v>2</v>
      </c>
      <c r="B94" s="56">
        <v>44268</v>
      </c>
      <c r="C94" s="58"/>
      <c r="D94" s="58"/>
      <c r="E94" s="58"/>
      <c r="F94" s="111" t="s">
        <v>279</v>
      </c>
      <c r="G94" s="126" t="s">
        <v>413</v>
      </c>
      <c r="H94" s="45">
        <v>2079207.9</v>
      </c>
      <c r="I94" s="380" t="s">
        <v>411</v>
      </c>
      <c r="J94" s="301">
        <v>44273</v>
      </c>
      <c r="K94" s="28">
        <f t="shared" si="13"/>
        <v>2079207.9</v>
      </c>
      <c r="L94" s="460"/>
      <c r="M94" s="459"/>
      <c r="N94" s="28">
        <f t="shared" si="14"/>
        <v>20792.078999999998</v>
      </c>
      <c r="O94" s="28">
        <f t="shared" si="15"/>
        <v>41584.157999999996</v>
      </c>
      <c r="P94" s="459">
        <v>2058415.8209999998</v>
      </c>
      <c r="Q94" s="28">
        <f t="shared" si="16"/>
        <v>8.7311491370201111E-11</v>
      </c>
      <c r="R94" s="197"/>
      <c r="S94" s="197">
        <v>44319</v>
      </c>
      <c r="T94" s="2">
        <v>30</v>
      </c>
      <c r="U94" s="24">
        <f t="shared" si="12"/>
        <v>44303</v>
      </c>
      <c r="V94"/>
      <c r="W94"/>
      <c r="X94"/>
      <c r="Y94"/>
      <c r="Z94"/>
      <c r="AA94"/>
      <c r="AB94"/>
      <c r="AC94"/>
      <c r="AD94"/>
      <c r="AE94"/>
      <c r="AF94"/>
      <c r="AG94"/>
      <c r="AH94"/>
      <c r="AI94"/>
      <c r="AJ94"/>
      <c r="AK94"/>
      <c r="AL94"/>
      <c r="AM94"/>
      <c r="AN94"/>
      <c r="AO94"/>
      <c r="AP94"/>
      <c r="AQ94"/>
    </row>
    <row r="95" spans="1:43" s="10" customFormat="1" ht="15.75" customHeight="1" x14ac:dyDescent="0.25">
      <c r="A95" s="55">
        <f t="shared" ref="A95:A155" si="17">A94+1</f>
        <v>3</v>
      </c>
      <c r="B95" s="56">
        <v>44265</v>
      </c>
      <c r="C95" s="58"/>
      <c r="D95" s="58"/>
      <c r="E95" s="58"/>
      <c r="F95" s="111" t="s">
        <v>279</v>
      </c>
      <c r="G95" s="126" t="s">
        <v>421</v>
      </c>
      <c r="H95" s="45">
        <v>1485149</v>
      </c>
      <c r="I95" s="380" t="s">
        <v>508</v>
      </c>
      <c r="J95" s="74">
        <v>44273</v>
      </c>
      <c r="K95" s="28">
        <f t="shared" si="13"/>
        <v>1485149</v>
      </c>
      <c r="L95" s="460"/>
      <c r="M95" s="459"/>
      <c r="N95" s="28">
        <f t="shared" si="14"/>
        <v>14851.49</v>
      </c>
      <c r="O95" s="28">
        <f t="shared" si="15"/>
        <v>29702.98</v>
      </c>
      <c r="P95" s="459">
        <v>1470297.51</v>
      </c>
      <c r="Q95" s="28">
        <f t="shared" si="16"/>
        <v>0</v>
      </c>
      <c r="R95" s="197"/>
      <c r="S95" s="197">
        <v>44319</v>
      </c>
      <c r="T95" s="2">
        <v>30</v>
      </c>
      <c r="U95" s="24">
        <f t="shared" si="12"/>
        <v>44303</v>
      </c>
      <c r="V95"/>
      <c r="W95"/>
      <c r="X95"/>
      <c r="Y95"/>
      <c r="Z95"/>
      <c r="AA95"/>
      <c r="AB95"/>
      <c r="AC95"/>
      <c r="AD95"/>
      <c r="AE95"/>
      <c r="AF95"/>
      <c r="AG95"/>
      <c r="AH95"/>
      <c r="AI95"/>
      <c r="AJ95"/>
      <c r="AK95"/>
      <c r="AL95"/>
      <c r="AM95"/>
      <c r="AN95"/>
      <c r="AO95"/>
      <c r="AP95"/>
      <c r="AQ95"/>
    </row>
    <row r="96" spans="1:43" s="10" customFormat="1" ht="15.75" customHeight="1" x14ac:dyDescent="0.25">
      <c r="A96" s="55">
        <f t="shared" si="17"/>
        <v>4</v>
      </c>
      <c r="B96" s="468">
        <v>44266</v>
      </c>
      <c r="C96" s="58"/>
      <c r="D96" s="136"/>
      <c r="E96" s="136"/>
      <c r="F96" s="111" t="s">
        <v>279</v>
      </c>
      <c r="G96" s="126" t="s">
        <v>415</v>
      </c>
      <c r="H96" s="45">
        <v>3267326.7</v>
      </c>
      <c r="I96" s="380" t="s">
        <v>414</v>
      </c>
      <c r="J96" s="301">
        <v>44273</v>
      </c>
      <c r="K96" s="28">
        <f t="shared" si="13"/>
        <v>3267326.7</v>
      </c>
      <c r="L96" s="460"/>
      <c r="M96" s="459"/>
      <c r="N96" s="28">
        <f t="shared" si="14"/>
        <v>32673.267000000003</v>
      </c>
      <c r="O96" s="28">
        <f t="shared" si="15"/>
        <v>65346.534000000007</v>
      </c>
      <c r="P96" s="459">
        <v>3234653.4330000002</v>
      </c>
      <c r="Q96" s="28">
        <f t="shared" si="16"/>
        <v>0</v>
      </c>
      <c r="R96" s="197"/>
      <c r="S96" s="197">
        <v>44319</v>
      </c>
      <c r="T96" s="2">
        <v>30</v>
      </c>
      <c r="U96" s="24">
        <f t="shared" si="12"/>
        <v>44303</v>
      </c>
      <c r="V96"/>
      <c r="W96"/>
      <c r="X96"/>
      <c r="Y96"/>
      <c r="Z96"/>
      <c r="AA96"/>
      <c r="AB96"/>
      <c r="AC96"/>
      <c r="AD96"/>
      <c r="AE96"/>
      <c r="AF96"/>
      <c r="AG96"/>
      <c r="AH96"/>
      <c r="AI96"/>
      <c r="AJ96"/>
      <c r="AK96"/>
      <c r="AL96"/>
      <c r="AM96"/>
      <c r="AN96"/>
      <c r="AO96"/>
      <c r="AP96"/>
      <c r="AQ96"/>
    </row>
    <row r="97" spans="1:43" s="10" customFormat="1" ht="15.75" customHeight="1" x14ac:dyDescent="0.25">
      <c r="A97" s="55">
        <f t="shared" si="17"/>
        <v>5</v>
      </c>
      <c r="B97" s="79">
        <v>44273</v>
      </c>
      <c r="C97" s="58"/>
      <c r="D97" s="58"/>
      <c r="E97" s="58"/>
      <c r="F97" s="111" t="s">
        <v>279</v>
      </c>
      <c r="G97" s="126" t="s">
        <v>417</v>
      </c>
      <c r="H97" s="45">
        <v>2178217.7999999998</v>
      </c>
      <c r="I97" s="380" t="s">
        <v>416</v>
      </c>
      <c r="J97" s="301">
        <v>44273</v>
      </c>
      <c r="K97" s="28">
        <f t="shared" si="13"/>
        <v>2178217.7999999998</v>
      </c>
      <c r="L97" s="460"/>
      <c r="M97" s="459"/>
      <c r="N97" s="28">
        <f t="shared" si="14"/>
        <v>21782.178</v>
      </c>
      <c r="O97" s="28">
        <f t="shared" si="15"/>
        <v>43564.356</v>
      </c>
      <c r="P97" s="459">
        <v>2156435.6219999995</v>
      </c>
      <c r="Q97" s="28">
        <f t="shared" si="16"/>
        <v>1.6007106751203537E-10</v>
      </c>
      <c r="R97" s="197"/>
      <c r="S97" s="197">
        <v>44319</v>
      </c>
      <c r="T97" s="2">
        <v>30</v>
      </c>
      <c r="U97" s="24">
        <f t="shared" si="12"/>
        <v>44303</v>
      </c>
      <c r="V97"/>
      <c r="W97"/>
      <c r="X97"/>
      <c r="Y97"/>
      <c r="Z97"/>
      <c r="AA97"/>
      <c r="AB97"/>
      <c r="AC97"/>
      <c r="AD97"/>
      <c r="AE97"/>
      <c r="AF97"/>
      <c r="AG97"/>
      <c r="AH97"/>
      <c r="AI97"/>
      <c r="AJ97"/>
      <c r="AK97"/>
      <c r="AL97"/>
      <c r="AM97"/>
      <c r="AN97"/>
      <c r="AO97"/>
      <c r="AP97"/>
      <c r="AQ97"/>
    </row>
    <row r="98" spans="1:43" s="10" customFormat="1" ht="15.75" customHeight="1" x14ac:dyDescent="0.25">
      <c r="A98" s="55">
        <f t="shared" si="17"/>
        <v>6</v>
      </c>
      <c r="B98" s="79">
        <v>44273</v>
      </c>
      <c r="C98" s="58"/>
      <c r="D98" s="58"/>
      <c r="E98" s="58"/>
      <c r="F98" s="111" t="s">
        <v>279</v>
      </c>
      <c r="G98" s="126" t="s">
        <v>421</v>
      </c>
      <c r="H98" s="45">
        <v>1485148.5</v>
      </c>
      <c r="I98" s="380" t="s">
        <v>418</v>
      </c>
      <c r="J98" s="301">
        <v>44273</v>
      </c>
      <c r="K98" s="28">
        <f t="shared" si="13"/>
        <v>1485148.5</v>
      </c>
      <c r="L98" s="460"/>
      <c r="M98" s="459"/>
      <c r="N98" s="28">
        <f t="shared" si="14"/>
        <v>14851.485000000001</v>
      </c>
      <c r="O98" s="28">
        <f t="shared" si="15"/>
        <v>29702.97</v>
      </c>
      <c r="P98" s="459">
        <v>1470297.0149999999</v>
      </c>
      <c r="Q98" s="28">
        <f t="shared" si="16"/>
        <v>1.3096723705530167E-10</v>
      </c>
      <c r="R98" s="197"/>
      <c r="S98" s="197">
        <v>44319</v>
      </c>
      <c r="T98" s="2">
        <v>30</v>
      </c>
      <c r="U98" s="24">
        <f t="shared" si="12"/>
        <v>44303</v>
      </c>
      <c r="V98"/>
      <c r="W98"/>
      <c r="X98"/>
      <c r="Y98"/>
      <c r="Z98"/>
      <c r="AA98"/>
      <c r="AB98"/>
      <c r="AC98"/>
      <c r="AD98"/>
      <c r="AE98"/>
      <c r="AF98"/>
      <c r="AG98"/>
      <c r="AH98"/>
      <c r="AI98"/>
      <c r="AJ98"/>
      <c r="AK98"/>
      <c r="AL98"/>
      <c r="AM98"/>
      <c r="AN98"/>
      <c r="AO98"/>
      <c r="AP98"/>
      <c r="AQ98"/>
    </row>
    <row r="99" spans="1:43" s="10" customFormat="1" ht="15.75" customHeight="1" x14ac:dyDescent="0.25">
      <c r="A99" s="55">
        <f t="shared" si="17"/>
        <v>7</v>
      </c>
      <c r="B99" s="79">
        <v>44273</v>
      </c>
      <c r="C99" s="58" t="s">
        <v>420</v>
      </c>
      <c r="D99" s="58"/>
      <c r="E99" s="58"/>
      <c r="F99" s="53" t="s">
        <v>401</v>
      </c>
      <c r="G99" s="126" t="s">
        <v>422</v>
      </c>
      <c r="H99" s="45">
        <v>900000</v>
      </c>
      <c r="I99" s="380" t="s">
        <v>419</v>
      </c>
      <c r="J99" s="301">
        <v>44274</v>
      </c>
      <c r="K99" s="28">
        <f t="shared" si="13"/>
        <v>900000</v>
      </c>
      <c r="L99" s="460"/>
      <c r="M99" s="459"/>
      <c r="N99" s="28">
        <f t="shared" si="14"/>
        <v>9000</v>
      </c>
      <c r="O99" s="28">
        <f t="shared" si="15"/>
        <v>18000</v>
      </c>
      <c r="P99" s="459">
        <v>891000</v>
      </c>
      <c r="Q99" s="28">
        <f t="shared" si="16"/>
        <v>0</v>
      </c>
      <c r="R99" s="197"/>
      <c r="S99" s="197">
        <v>44286</v>
      </c>
      <c r="T99" s="199">
        <v>14</v>
      </c>
      <c r="U99" s="24">
        <f t="shared" si="12"/>
        <v>44288</v>
      </c>
      <c r="V99"/>
      <c r="W99"/>
      <c r="X99"/>
      <c r="Y99"/>
      <c r="Z99"/>
      <c r="AA99"/>
      <c r="AB99"/>
      <c r="AC99"/>
      <c r="AD99"/>
      <c r="AE99"/>
      <c r="AF99"/>
      <c r="AG99"/>
      <c r="AH99"/>
      <c r="AI99"/>
      <c r="AJ99"/>
      <c r="AK99"/>
      <c r="AL99"/>
      <c r="AM99"/>
      <c r="AN99"/>
      <c r="AO99"/>
      <c r="AP99"/>
      <c r="AQ99"/>
    </row>
    <row r="100" spans="1:43" s="10" customFormat="1" ht="15.75" customHeight="1" x14ac:dyDescent="0.25">
      <c r="A100" s="55">
        <f t="shared" si="17"/>
        <v>8</v>
      </c>
      <c r="B100" s="56">
        <v>44278</v>
      </c>
      <c r="C100" s="58"/>
      <c r="D100" s="58"/>
      <c r="E100" s="58"/>
      <c r="F100" s="53" t="s">
        <v>424</v>
      </c>
      <c r="G100" s="126" t="s">
        <v>425</v>
      </c>
      <c r="H100" s="45">
        <v>3663366</v>
      </c>
      <c r="I100" s="380" t="s">
        <v>423</v>
      </c>
      <c r="J100" s="301">
        <v>44251</v>
      </c>
      <c r="K100" s="28">
        <f t="shared" si="13"/>
        <v>3663366</v>
      </c>
      <c r="L100" s="460"/>
      <c r="M100" s="459"/>
      <c r="N100" s="28">
        <f t="shared" si="14"/>
        <v>36633.660000000003</v>
      </c>
      <c r="O100" s="28">
        <f t="shared" si="15"/>
        <v>73267.320000000007</v>
      </c>
      <c r="P100" s="459">
        <v>3626732.3400000003</v>
      </c>
      <c r="Q100" s="28">
        <f t="shared" si="16"/>
        <v>-1.4551915228366852E-10</v>
      </c>
      <c r="R100" s="197">
        <v>44284</v>
      </c>
      <c r="S100" s="197"/>
      <c r="T100" s="199">
        <v>14</v>
      </c>
      <c r="U100" s="24">
        <f t="shared" si="12"/>
        <v>44265</v>
      </c>
      <c r="V100"/>
      <c r="W100"/>
      <c r="X100"/>
      <c r="Y100"/>
      <c r="Z100"/>
      <c r="AA100"/>
      <c r="AB100"/>
      <c r="AC100"/>
      <c r="AD100"/>
      <c r="AE100"/>
      <c r="AF100"/>
      <c r="AG100"/>
      <c r="AH100"/>
      <c r="AI100"/>
      <c r="AJ100"/>
      <c r="AK100"/>
      <c r="AL100"/>
      <c r="AM100"/>
      <c r="AN100"/>
      <c r="AO100"/>
      <c r="AP100"/>
      <c r="AQ100"/>
    </row>
    <row r="101" spans="1:43" s="10" customFormat="1" ht="15.75" customHeight="1" x14ac:dyDescent="0.25">
      <c r="A101" s="55">
        <f t="shared" si="17"/>
        <v>9</v>
      </c>
      <c r="B101" s="56">
        <v>44274</v>
      </c>
      <c r="C101" s="58"/>
      <c r="D101" s="58"/>
      <c r="E101" s="58"/>
      <c r="F101" s="111" t="s">
        <v>279</v>
      </c>
      <c r="G101" s="126" t="s">
        <v>413</v>
      </c>
      <c r="H101" s="45">
        <v>2079207.9</v>
      </c>
      <c r="I101" s="380" t="s">
        <v>426</v>
      </c>
      <c r="J101" s="301">
        <v>44279</v>
      </c>
      <c r="K101" s="28">
        <f t="shared" si="13"/>
        <v>2079207.9</v>
      </c>
      <c r="L101" s="460"/>
      <c r="M101" s="459"/>
      <c r="N101" s="28">
        <f t="shared" si="14"/>
        <v>20792.078999999998</v>
      </c>
      <c r="O101" s="28">
        <f t="shared" si="15"/>
        <v>41584.157999999996</v>
      </c>
      <c r="P101" s="459">
        <v>2058415.8209999998</v>
      </c>
      <c r="Q101" s="28">
        <f t="shared" si="16"/>
        <v>8.7311491370201111E-11</v>
      </c>
      <c r="R101" s="197"/>
      <c r="S101" s="197">
        <v>44336</v>
      </c>
      <c r="T101" s="2">
        <v>30</v>
      </c>
      <c r="U101" s="24">
        <f t="shared" si="12"/>
        <v>44309</v>
      </c>
      <c r="V101"/>
      <c r="W101"/>
      <c r="X101"/>
      <c r="Y101"/>
      <c r="Z101"/>
      <c r="AA101"/>
      <c r="AB101"/>
      <c r="AC101"/>
      <c r="AD101"/>
      <c r="AE101"/>
      <c r="AF101"/>
      <c r="AG101"/>
      <c r="AH101"/>
      <c r="AI101"/>
      <c r="AJ101"/>
      <c r="AK101"/>
      <c r="AL101"/>
      <c r="AM101"/>
      <c r="AN101"/>
      <c r="AO101"/>
      <c r="AP101"/>
      <c r="AQ101"/>
    </row>
    <row r="102" spans="1:43" s="10" customFormat="1" ht="15.75" customHeight="1" x14ac:dyDescent="0.25">
      <c r="A102" s="55">
        <f t="shared" si="17"/>
        <v>10</v>
      </c>
      <c r="B102" s="56">
        <v>44260</v>
      </c>
      <c r="C102" s="58" t="s">
        <v>429</v>
      </c>
      <c r="D102" s="58"/>
      <c r="E102" s="58"/>
      <c r="F102" s="53" t="s">
        <v>428</v>
      </c>
      <c r="G102" s="126" t="s">
        <v>430</v>
      </c>
      <c r="H102" s="45">
        <v>9250001</v>
      </c>
      <c r="I102" s="380" t="s">
        <v>427</v>
      </c>
      <c r="J102" s="301">
        <v>44279</v>
      </c>
      <c r="K102" s="28">
        <f t="shared" si="13"/>
        <v>9250001</v>
      </c>
      <c r="L102" s="460"/>
      <c r="M102" s="459"/>
      <c r="N102" s="28">
        <f t="shared" si="14"/>
        <v>92500.01</v>
      </c>
      <c r="O102" s="28">
        <f t="shared" si="15"/>
        <v>185000.02</v>
      </c>
      <c r="P102" s="459">
        <v>9157500.9900000002</v>
      </c>
      <c r="Q102" s="28">
        <f t="shared" si="16"/>
        <v>2.1827872842550278E-10</v>
      </c>
      <c r="R102" s="197">
        <v>44295</v>
      </c>
      <c r="S102" s="197"/>
      <c r="T102" s="199">
        <v>14</v>
      </c>
      <c r="U102" s="24">
        <f t="shared" si="12"/>
        <v>44293</v>
      </c>
      <c r="V102"/>
      <c r="W102"/>
      <c r="X102"/>
      <c r="Y102"/>
      <c r="Z102"/>
      <c r="AA102"/>
      <c r="AB102"/>
      <c r="AC102"/>
      <c r="AD102"/>
      <c r="AE102"/>
      <c r="AF102"/>
      <c r="AG102"/>
      <c r="AH102"/>
      <c r="AI102"/>
      <c r="AJ102"/>
      <c r="AK102"/>
      <c r="AL102"/>
      <c r="AM102"/>
      <c r="AN102"/>
      <c r="AO102"/>
      <c r="AP102"/>
      <c r="AQ102"/>
    </row>
    <row r="103" spans="1:43" s="10" customFormat="1" ht="15.75" customHeight="1" x14ac:dyDescent="0.25">
      <c r="A103" s="55">
        <f t="shared" si="17"/>
        <v>11</v>
      </c>
      <c r="B103" s="56">
        <v>44279</v>
      </c>
      <c r="C103" s="58"/>
      <c r="D103" s="58"/>
      <c r="E103" s="58"/>
      <c r="F103" s="111" t="s">
        <v>279</v>
      </c>
      <c r="G103" s="126" t="s">
        <v>417</v>
      </c>
      <c r="H103" s="45">
        <v>2178217.7999999998</v>
      </c>
      <c r="I103" s="380" t="s">
        <v>431</v>
      </c>
      <c r="J103" s="301">
        <v>44280</v>
      </c>
      <c r="K103" s="28">
        <f t="shared" si="13"/>
        <v>2178217.7999999998</v>
      </c>
      <c r="L103" s="460"/>
      <c r="M103" s="459"/>
      <c r="N103" s="28">
        <f t="shared" si="14"/>
        <v>21782.178</v>
      </c>
      <c r="O103" s="28">
        <f t="shared" si="15"/>
        <v>43564.356</v>
      </c>
      <c r="P103" s="459">
        <v>2156435.6219999995</v>
      </c>
      <c r="Q103" s="28">
        <f t="shared" si="16"/>
        <v>1.6007106751203537E-10</v>
      </c>
      <c r="R103" s="197"/>
      <c r="S103" s="197">
        <v>44336</v>
      </c>
      <c r="T103" s="2">
        <v>30</v>
      </c>
      <c r="U103" s="24">
        <f t="shared" si="12"/>
        <v>44310</v>
      </c>
      <c r="V103"/>
      <c r="W103"/>
      <c r="X103"/>
      <c r="Y103"/>
      <c r="Z103"/>
      <c r="AA103"/>
      <c r="AB103"/>
      <c r="AC103"/>
      <c r="AD103"/>
      <c r="AE103"/>
      <c r="AF103"/>
      <c r="AG103"/>
      <c r="AH103"/>
      <c r="AI103"/>
      <c r="AJ103"/>
      <c r="AK103"/>
      <c r="AL103"/>
      <c r="AM103"/>
      <c r="AN103"/>
      <c r="AO103"/>
      <c r="AP103"/>
      <c r="AQ103"/>
    </row>
    <row r="104" spans="1:43" s="10" customFormat="1" ht="15.75" customHeight="1" x14ac:dyDescent="0.25">
      <c r="A104" s="55">
        <f t="shared" si="17"/>
        <v>12</v>
      </c>
      <c r="B104" s="56">
        <v>44281</v>
      </c>
      <c r="C104" s="58"/>
      <c r="D104" s="58"/>
      <c r="E104" s="58"/>
      <c r="F104" s="111" t="s">
        <v>279</v>
      </c>
      <c r="G104" s="126" t="s">
        <v>504</v>
      </c>
      <c r="H104" s="45">
        <v>1019801.9</v>
      </c>
      <c r="I104" s="380" t="s">
        <v>505</v>
      </c>
      <c r="J104" s="301">
        <v>44285</v>
      </c>
      <c r="K104" s="28">
        <f t="shared" si="13"/>
        <v>1019801.9</v>
      </c>
      <c r="L104" s="460"/>
      <c r="M104" s="459"/>
      <c r="N104" s="28">
        <f t="shared" si="14"/>
        <v>10198.019</v>
      </c>
      <c r="O104" s="28">
        <f t="shared" si="15"/>
        <v>20396.038</v>
      </c>
      <c r="P104" s="459">
        <v>1009603.8809999999</v>
      </c>
      <c r="Q104" s="28">
        <f t="shared" si="16"/>
        <v>2.9103830456733704E-11</v>
      </c>
      <c r="R104" s="197"/>
      <c r="S104" s="197">
        <v>44351</v>
      </c>
      <c r="T104" s="2">
        <v>30</v>
      </c>
      <c r="U104" s="24">
        <f t="shared" si="12"/>
        <v>44315</v>
      </c>
      <c r="V104"/>
      <c r="W104"/>
      <c r="X104"/>
      <c r="Y104"/>
      <c r="Z104"/>
      <c r="AA104"/>
      <c r="AB104"/>
      <c r="AC104"/>
      <c r="AD104"/>
      <c r="AE104"/>
      <c r="AF104"/>
      <c r="AG104"/>
      <c r="AH104"/>
      <c r="AI104"/>
      <c r="AJ104"/>
      <c r="AK104"/>
      <c r="AL104"/>
      <c r="AM104"/>
      <c r="AN104"/>
      <c r="AO104"/>
      <c r="AP104"/>
      <c r="AQ104"/>
    </row>
    <row r="105" spans="1:43" s="10" customFormat="1" ht="15.75" customHeight="1" x14ac:dyDescent="0.25">
      <c r="A105" s="55">
        <f t="shared" si="17"/>
        <v>13</v>
      </c>
      <c r="B105" s="56">
        <v>44273</v>
      </c>
      <c r="C105" s="58"/>
      <c r="D105" s="58"/>
      <c r="E105" s="58"/>
      <c r="F105" s="111" t="s">
        <v>279</v>
      </c>
      <c r="G105" s="126" t="s">
        <v>507</v>
      </c>
      <c r="H105" s="45">
        <v>3019801.9</v>
      </c>
      <c r="I105" s="380" t="s">
        <v>506</v>
      </c>
      <c r="J105" s="301">
        <v>44285</v>
      </c>
      <c r="K105" s="28">
        <f t="shared" si="13"/>
        <v>3019801.9</v>
      </c>
      <c r="L105" s="460"/>
      <c r="M105" s="459"/>
      <c r="N105" s="28">
        <f t="shared" si="14"/>
        <v>30198.019</v>
      </c>
      <c r="O105" s="28">
        <f t="shared" si="15"/>
        <v>60396.038</v>
      </c>
      <c r="P105" s="459">
        <v>2989603.8809999996</v>
      </c>
      <c r="Q105" s="28">
        <f t="shared" si="16"/>
        <v>1.4551915228366852E-10</v>
      </c>
      <c r="R105" s="197"/>
      <c r="S105" s="197">
        <v>44351</v>
      </c>
      <c r="T105" s="2">
        <v>30</v>
      </c>
      <c r="U105" s="24">
        <f t="shared" si="12"/>
        <v>44315</v>
      </c>
      <c r="V105"/>
      <c r="W105"/>
      <c r="X105"/>
      <c r="Y105"/>
      <c r="Z105"/>
      <c r="AA105"/>
      <c r="AB105"/>
      <c r="AC105"/>
      <c r="AD105"/>
      <c r="AE105"/>
      <c r="AF105"/>
      <c r="AG105"/>
      <c r="AH105"/>
      <c r="AI105"/>
      <c r="AJ105"/>
      <c r="AK105"/>
      <c r="AL105"/>
      <c r="AM105"/>
      <c r="AN105"/>
      <c r="AO105"/>
      <c r="AP105"/>
      <c r="AQ105"/>
    </row>
    <row r="106" spans="1:43" s="10" customFormat="1" ht="15.75" customHeight="1" x14ac:dyDescent="0.25">
      <c r="A106" s="55">
        <f t="shared" si="17"/>
        <v>14</v>
      </c>
      <c r="B106" s="56"/>
      <c r="C106" s="58"/>
      <c r="D106" s="58"/>
      <c r="E106" s="58"/>
      <c r="F106" s="53" t="s">
        <v>513</v>
      </c>
      <c r="G106" s="126" t="s">
        <v>514</v>
      </c>
      <c r="H106" s="45">
        <v>665000</v>
      </c>
      <c r="I106" s="380" t="s">
        <v>512</v>
      </c>
      <c r="J106" s="301">
        <v>44285</v>
      </c>
      <c r="K106" s="28">
        <f t="shared" si="13"/>
        <v>665000</v>
      </c>
      <c r="L106" s="460"/>
      <c r="M106" s="459"/>
      <c r="N106" s="28">
        <f t="shared" si="14"/>
        <v>6650</v>
      </c>
      <c r="O106" s="28">
        <f t="shared" si="15"/>
        <v>13300</v>
      </c>
      <c r="P106" s="459">
        <v>658350</v>
      </c>
      <c r="Q106" s="28">
        <f t="shared" si="16"/>
        <v>0</v>
      </c>
      <c r="R106" s="197">
        <v>44333</v>
      </c>
      <c r="S106" s="197"/>
      <c r="T106" s="199">
        <v>30</v>
      </c>
      <c r="U106" s="24">
        <f t="shared" si="12"/>
        <v>44315</v>
      </c>
      <c r="V106"/>
      <c r="W106"/>
      <c r="X106"/>
      <c r="Y106"/>
      <c r="Z106"/>
      <c r="AA106"/>
      <c r="AB106"/>
      <c r="AC106"/>
      <c r="AD106"/>
      <c r="AE106"/>
      <c r="AF106"/>
      <c r="AG106"/>
      <c r="AH106"/>
      <c r="AI106"/>
      <c r="AJ106"/>
      <c r="AK106"/>
      <c r="AL106"/>
      <c r="AM106"/>
      <c r="AN106"/>
      <c r="AO106"/>
      <c r="AP106"/>
      <c r="AQ106"/>
    </row>
    <row r="107" spans="1:43" s="10" customFormat="1" ht="15.75" customHeight="1" x14ac:dyDescent="0.25">
      <c r="A107" s="55">
        <f t="shared" si="17"/>
        <v>15</v>
      </c>
      <c r="B107" s="56">
        <v>44279</v>
      </c>
      <c r="C107" s="58"/>
      <c r="D107" s="58"/>
      <c r="E107" s="58"/>
      <c r="F107" s="111" t="s">
        <v>279</v>
      </c>
      <c r="G107" s="126" t="s">
        <v>516</v>
      </c>
      <c r="H107" s="45">
        <v>3267326.7</v>
      </c>
      <c r="I107" s="380" t="s">
        <v>515</v>
      </c>
      <c r="J107" s="301">
        <v>44287</v>
      </c>
      <c r="K107" s="28">
        <f t="shared" si="13"/>
        <v>3267326.7</v>
      </c>
      <c r="L107" s="460"/>
      <c r="M107" s="459"/>
      <c r="N107" s="28">
        <f t="shared" si="14"/>
        <v>32673.267000000003</v>
      </c>
      <c r="O107" s="28">
        <f t="shared" si="15"/>
        <v>65346.534000000007</v>
      </c>
      <c r="P107" s="459">
        <v>3234653.4330000002</v>
      </c>
      <c r="Q107" s="28">
        <f t="shared" si="16"/>
        <v>0</v>
      </c>
      <c r="R107" s="197"/>
      <c r="S107" s="197">
        <v>44351</v>
      </c>
      <c r="T107" s="2">
        <v>30</v>
      </c>
      <c r="U107" s="24">
        <f t="shared" si="12"/>
        <v>44317</v>
      </c>
      <c r="V107"/>
      <c r="W107"/>
      <c r="X107"/>
      <c r="Y107"/>
      <c r="Z107"/>
      <c r="AA107"/>
      <c r="AB107"/>
      <c r="AC107"/>
      <c r="AD107"/>
      <c r="AE107"/>
      <c r="AF107"/>
      <c r="AG107"/>
      <c r="AH107"/>
      <c r="AI107"/>
      <c r="AJ107"/>
      <c r="AK107"/>
      <c r="AL107"/>
      <c r="AM107"/>
      <c r="AN107"/>
      <c r="AO107"/>
      <c r="AP107"/>
      <c r="AQ107"/>
    </row>
    <row r="108" spans="1:43" s="10" customFormat="1" ht="15.75" customHeight="1" x14ac:dyDescent="0.25">
      <c r="A108" s="55">
        <f t="shared" si="17"/>
        <v>16</v>
      </c>
      <c r="B108" s="56">
        <v>44279</v>
      </c>
      <c r="C108" s="58"/>
      <c r="D108" s="58"/>
      <c r="E108" s="58"/>
      <c r="F108" s="111" t="s">
        <v>279</v>
      </c>
      <c r="G108" s="126" t="s">
        <v>421</v>
      </c>
      <c r="H108" s="45">
        <v>1485148.5</v>
      </c>
      <c r="I108" s="380" t="s">
        <v>517</v>
      </c>
      <c r="J108" s="301">
        <v>44287</v>
      </c>
      <c r="K108" s="28">
        <f t="shared" si="13"/>
        <v>1485148.5</v>
      </c>
      <c r="L108" s="460"/>
      <c r="M108" s="459"/>
      <c r="N108" s="28">
        <f t="shared" si="14"/>
        <v>14851.485000000001</v>
      </c>
      <c r="O108" s="28">
        <f t="shared" si="15"/>
        <v>29702.97</v>
      </c>
      <c r="P108" s="459">
        <v>1470297.0150000001</v>
      </c>
      <c r="Q108" s="28">
        <f t="shared" si="16"/>
        <v>-1.0186340659856796E-10</v>
      </c>
      <c r="R108" s="197"/>
      <c r="S108" s="197">
        <v>44351</v>
      </c>
      <c r="T108" s="2">
        <v>30</v>
      </c>
      <c r="U108" s="24">
        <f t="shared" si="12"/>
        <v>44317</v>
      </c>
      <c r="V108"/>
      <c r="W108"/>
      <c r="X108"/>
      <c r="Y108"/>
      <c r="Z108"/>
      <c r="AA108"/>
      <c r="AB108"/>
      <c r="AC108"/>
      <c r="AD108"/>
      <c r="AE108"/>
      <c r="AF108"/>
      <c r="AG108"/>
      <c r="AH108"/>
      <c r="AI108"/>
      <c r="AJ108"/>
      <c r="AK108"/>
      <c r="AL108"/>
      <c r="AM108"/>
      <c r="AN108"/>
      <c r="AO108"/>
      <c r="AP108"/>
      <c r="AQ108"/>
    </row>
    <row r="109" spans="1:43" s="10" customFormat="1" ht="15.75" customHeight="1" x14ac:dyDescent="0.25">
      <c r="A109" s="55">
        <f t="shared" si="17"/>
        <v>17</v>
      </c>
      <c r="B109" s="56">
        <v>44286</v>
      </c>
      <c r="C109" s="58"/>
      <c r="D109" s="58"/>
      <c r="E109" s="58"/>
      <c r="F109" s="111" t="s">
        <v>279</v>
      </c>
      <c r="G109" s="126" t="s">
        <v>421</v>
      </c>
      <c r="H109" s="45">
        <v>1485148.5</v>
      </c>
      <c r="I109" s="380" t="s">
        <v>518</v>
      </c>
      <c r="J109" s="301">
        <v>44287</v>
      </c>
      <c r="K109" s="28">
        <f t="shared" si="13"/>
        <v>1485148.5</v>
      </c>
      <c r="L109" s="460"/>
      <c r="M109" s="459"/>
      <c r="N109" s="28">
        <f t="shared" si="14"/>
        <v>14851.485000000001</v>
      </c>
      <c r="O109" s="28">
        <f t="shared" si="15"/>
        <v>29702.97</v>
      </c>
      <c r="P109" s="459">
        <v>1470297.0150000001</v>
      </c>
      <c r="Q109" s="28">
        <f t="shared" si="16"/>
        <v>-1.0186340659856796E-10</v>
      </c>
      <c r="R109" s="197"/>
      <c r="S109" s="197">
        <v>44351</v>
      </c>
      <c r="T109" s="2">
        <v>30</v>
      </c>
      <c r="U109" s="24">
        <f t="shared" si="12"/>
        <v>44317</v>
      </c>
      <c r="V109"/>
      <c r="W109"/>
      <c r="X109"/>
      <c r="Y109"/>
      <c r="Z109"/>
      <c r="AA109"/>
      <c r="AB109"/>
      <c r="AC109"/>
      <c r="AD109"/>
      <c r="AE109"/>
      <c r="AF109"/>
      <c r="AG109"/>
      <c r="AH109"/>
      <c r="AI109"/>
      <c r="AJ109"/>
      <c r="AK109"/>
      <c r="AL109"/>
      <c r="AM109"/>
      <c r="AN109"/>
      <c r="AO109"/>
      <c r="AP109"/>
      <c r="AQ109"/>
    </row>
    <row r="110" spans="1:43" s="10" customFormat="1" ht="15.75" customHeight="1" x14ac:dyDescent="0.25">
      <c r="A110" s="55">
        <f t="shared" si="17"/>
        <v>18</v>
      </c>
      <c r="B110" s="56">
        <v>44286</v>
      </c>
      <c r="C110" s="58"/>
      <c r="D110" s="58"/>
      <c r="E110" s="58"/>
      <c r="F110" s="111" t="s">
        <v>279</v>
      </c>
      <c r="G110" s="126" t="s">
        <v>417</v>
      </c>
      <c r="H110" s="63">
        <v>2178217.7999999998</v>
      </c>
      <c r="I110" s="380" t="s">
        <v>519</v>
      </c>
      <c r="J110" s="301">
        <v>44287</v>
      </c>
      <c r="K110" s="28">
        <f t="shared" si="13"/>
        <v>2178217.7999999998</v>
      </c>
      <c r="L110" s="460"/>
      <c r="M110" s="459"/>
      <c r="N110" s="28">
        <f t="shared" si="14"/>
        <v>21782.178</v>
      </c>
      <c r="O110" s="28">
        <f t="shared" si="15"/>
        <v>43564.356</v>
      </c>
      <c r="P110" s="459">
        <v>2156435.6219999995</v>
      </c>
      <c r="Q110" s="28">
        <f t="shared" si="16"/>
        <v>1.6007106751203537E-10</v>
      </c>
      <c r="R110" s="197"/>
      <c r="S110" s="197">
        <v>44351</v>
      </c>
      <c r="T110" s="2">
        <v>30</v>
      </c>
      <c r="U110" s="24">
        <f t="shared" si="12"/>
        <v>44317</v>
      </c>
      <c r="V110"/>
      <c r="W110"/>
      <c r="X110"/>
      <c r="Y110"/>
      <c r="Z110"/>
      <c r="AA110"/>
      <c r="AB110"/>
      <c r="AC110"/>
      <c r="AD110"/>
      <c r="AE110"/>
      <c r="AF110"/>
      <c r="AG110"/>
      <c r="AH110"/>
      <c r="AI110"/>
      <c r="AJ110"/>
      <c r="AK110"/>
      <c r="AL110"/>
      <c r="AM110"/>
      <c r="AN110"/>
      <c r="AO110"/>
      <c r="AP110"/>
      <c r="AQ110"/>
    </row>
    <row r="111" spans="1:43" s="10" customFormat="1" ht="15.75" customHeight="1" x14ac:dyDescent="0.25">
      <c r="A111" s="55">
        <f t="shared" si="17"/>
        <v>19</v>
      </c>
      <c r="B111" s="56">
        <v>44231</v>
      </c>
      <c r="C111" s="58">
        <v>80</v>
      </c>
      <c r="D111" s="58"/>
      <c r="E111" s="58"/>
      <c r="F111" s="69" t="s">
        <v>2457</v>
      </c>
      <c r="G111" s="126" t="s">
        <v>521</v>
      </c>
      <c r="H111" s="63">
        <v>5720000</v>
      </c>
      <c r="I111" s="380" t="s">
        <v>520</v>
      </c>
      <c r="J111" s="301">
        <v>44287</v>
      </c>
      <c r="K111" s="28">
        <f t="shared" si="13"/>
        <v>5720000</v>
      </c>
      <c r="L111" s="460"/>
      <c r="M111" s="459"/>
      <c r="N111" s="28">
        <f>K111*1%</f>
        <v>57200</v>
      </c>
      <c r="O111" s="28">
        <f>K111*2%</f>
        <v>114400</v>
      </c>
      <c r="P111" s="459">
        <v>5662800</v>
      </c>
      <c r="Q111" s="28">
        <f t="shared" si="16"/>
        <v>0</v>
      </c>
      <c r="R111" s="197"/>
      <c r="S111" s="197">
        <v>44322</v>
      </c>
      <c r="T111" s="2">
        <v>30</v>
      </c>
      <c r="U111" s="24">
        <f t="shared" si="12"/>
        <v>44317</v>
      </c>
      <c r="V111"/>
      <c r="W111"/>
      <c r="X111"/>
      <c r="Y111"/>
      <c r="Z111"/>
      <c r="AA111"/>
      <c r="AB111"/>
      <c r="AC111"/>
      <c r="AD111"/>
      <c r="AE111"/>
      <c r="AF111"/>
      <c r="AG111"/>
      <c r="AH111"/>
      <c r="AI111"/>
      <c r="AJ111"/>
      <c r="AK111"/>
      <c r="AL111"/>
      <c r="AM111"/>
      <c r="AN111"/>
      <c r="AO111"/>
      <c r="AP111"/>
      <c r="AQ111"/>
    </row>
    <row r="112" spans="1:43" s="10" customFormat="1" ht="15.75" customHeight="1" x14ac:dyDescent="0.25">
      <c r="A112" s="55">
        <f t="shared" si="17"/>
        <v>20</v>
      </c>
      <c r="B112" s="56">
        <v>44256</v>
      </c>
      <c r="C112" s="58"/>
      <c r="D112" s="58"/>
      <c r="E112" s="58"/>
      <c r="F112" s="53" t="s">
        <v>432</v>
      </c>
      <c r="G112" s="126" t="s">
        <v>434</v>
      </c>
      <c r="H112" s="45">
        <v>2400000</v>
      </c>
      <c r="I112" s="380" t="s">
        <v>433</v>
      </c>
      <c r="J112" s="301">
        <v>44256</v>
      </c>
      <c r="K112" s="460">
        <f t="shared" ref="K112:K154" si="18">H112</f>
        <v>2400000</v>
      </c>
      <c r="L112" s="460"/>
      <c r="M112" s="459"/>
      <c r="N112" s="459"/>
      <c r="O112" s="459"/>
      <c r="P112" s="459">
        <v>2400000</v>
      </c>
      <c r="Q112" s="28">
        <f t="shared" si="16"/>
        <v>0</v>
      </c>
      <c r="R112" s="197">
        <v>44272</v>
      </c>
      <c r="S112" s="197"/>
      <c r="T112" s="199">
        <v>14</v>
      </c>
      <c r="U112" s="24">
        <f t="shared" si="12"/>
        <v>44270</v>
      </c>
      <c r="V112"/>
      <c r="W112"/>
      <c r="X112"/>
      <c r="Y112"/>
      <c r="Z112"/>
      <c r="AA112"/>
      <c r="AB112"/>
      <c r="AC112"/>
      <c r="AD112"/>
      <c r="AE112"/>
      <c r="AF112"/>
      <c r="AG112"/>
      <c r="AH112"/>
      <c r="AI112"/>
      <c r="AJ112"/>
      <c r="AK112"/>
      <c r="AL112"/>
      <c r="AM112"/>
      <c r="AN112"/>
      <c r="AO112"/>
      <c r="AP112"/>
      <c r="AQ112"/>
    </row>
    <row r="113" spans="1:43" s="10" customFormat="1" ht="15.75" customHeight="1" x14ac:dyDescent="0.25">
      <c r="A113" s="55">
        <f t="shared" si="17"/>
        <v>21</v>
      </c>
      <c r="B113" s="56">
        <v>44259</v>
      </c>
      <c r="C113" s="58"/>
      <c r="D113" s="58"/>
      <c r="E113" s="58"/>
      <c r="F113" s="53" t="s">
        <v>439</v>
      </c>
      <c r="G113" s="126" t="s">
        <v>440</v>
      </c>
      <c r="H113" s="45">
        <v>19500000</v>
      </c>
      <c r="I113" s="380" t="s">
        <v>442</v>
      </c>
      <c r="J113" s="301">
        <v>44259</v>
      </c>
      <c r="K113" s="460">
        <f t="shared" si="18"/>
        <v>19500000</v>
      </c>
      <c r="L113" s="460">
        <v>6800000</v>
      </c>
      <c r="M113" s="459">
        <v>2500000</v>
      </c>
      <c r="N113" s="459"/>
      <c r="O113" s="459"/>
      <c r="P113" s="459">
        <v>10200000</v>
      </c>
      <c r="Q113" s="28">
        <f t="shared" si="16"/>
        <v>0</v>
      </c>
      <c r="R113" s="197"/>
      <c r="S113" s="197">
        <v>44271</v>
      </c>
      <c r="T113" s="199">
        <v>30</v>
      </c>
      <c r="U113" s="24">
        <f t="shared" si="12"/>
        <v>44289</v>
      </c>
      <c r="V113"/>
      <c r="W113"/>
      <c r="X113"/>
      <c r="Y113"/>
      <c r="Z113"/>
      <c r="AA113"/>
      <c r="AB113"/>
      <c r="AC113"/>
      <c r="AD113"/>
      <c r="AE113"/>
      <c r="AF113"/>
      <c r="AG113"/>
      <c r="AH113"/>
      <c r="AI113"/>
      <c r="AJ113"/>
      <c r="AK113"/>
      <c r="AL113"/>
      <c r="AM113"/>
      <c r="AN113"/>
      <c r="AO113"/>
      <c r="AP113"/>
      <c r="AQ113"/>
    </row>
    <row r="114" spans="1:43" s="10" customFormat="1" ht="15.75" customHeight="1" x14ac:dyDescent="0.25">
      <c r="A114" s="55">
        <f t="shared" si="17"/>
        <v>22</v>
      </c>
      <c r="B114" s="56">
        <v>44259</v>
      </c>
      <c r="C114" s="58">
        <v>402371</v>
      </c>
      <c r="D114" s="58"/>
      <c r="E114" s="58"/>
      <c r="F114" s="53" t="s">
        <v>441</v>
      </c>
      <c r="G114" s="126" t="s">
        <v>417</v>
      </c>
      <c r="H114" s="45">
        <v>1300000</v>
      </c>
      <c r="I114" s="380" t="s">
        <v>443</v>
      </c>
      <c r="J114" s="301">
        <v>44260</v>
      </c>
      <c r="K114" s="460">
        <f t="shared" si="18"/>
        <v>1300000</v>
      </c>
      <c r="L114" s="460"/>
      <c r="M114" s="459"/>
      <c r="N114" s="459"/>
      <c r="O114" s="459"/>
      <c r="P114" s="459">
        <v>1300000</v>
      </c>
      <c r="Q114" s="28">
        <f t="shared" si="16"/>
        <v>0</v>
      </c>
      <c r="R114" s="197">
        <v>44357</v>
      </c>
      <c r="S114" s="197"/>
      <c r="T114" s="593">
        <v>14</v>
      </c>
      <c r="U114" s="24">
        <f t="shared" si="12"/>
        <v>44274</v>
      </c>
      <c r="V114"/>
      <c r="W114"/>
      <c r="X114"/>
      <c r="Y114"/>
      <c r="Z114"/>
      <c r="AA114"/>
      <c r="AB114"/>
      <c r="AC114"/>
      <c r="AD114"/>
      <c r="AE114"/>
      <c r="AF114"/>
      <c r="AG114"/>
      <c r="AH114"/>
      <c r="AI114"/>
      <c r="AJ114"/>
      <c r="AK114"/>
      <c r="AL114"/>
      <c r="AM114"/>
      <c r="AN114"/>
      <c r="AO114"/>
      <c r="AP114"/>
      <c r="AQ114"/>
    </row>
    <row r="115" spans="1:43" s="10" customFormat="1" ht="15.75" customHeight="1" x14ac:dyDescent="0.25">
      <c r="A115" s="55">
        <f t="shared" si="17"/>
        <v>23</v>
      </c>
      <c r="B115" s="56">
        <v>44258</v>
      </c>
      <c r="C115" s="58"/>
      <c r="D115" s="58"/>
      <c r="E115" s="58"/>
      <c r="F115" s="111" t="s">
        <v>279</v>
      </c>
      <c r="G115" s="126" t="s">
        <v>421</v>
      </c>
      <c r="H115" s="45">
        <v>1500000</v>
      </c>
      <c r="I115" s="380" t="s">
        <v>444</v>
      </c>
      <c r="J115" s="301">
        <v>44263</v>
      </c>
      <c r="K115" s="460">
        <f t="shared" si="18"/>
        <v>1500000</v>
      </c>
      <c r="L115" s="460"/>
      <c r="M115" s="459"/>
      <c r="N115" s="459"/>
      <c r="O115" s="459">
        <f t="shared" ref="O115:O118" si="19">K115*2%</f>
        <v>30000</v>
      </c>
      <c r="P115" s="459">
        <v>1470000</v>
      </c>
      <c r="Q115" s="28">
        <f t="shared" si="16"/>
        <v>0</v>
      </c>
      <c r="R115" s="197"/>
      <c r="S115" s="197">
        <v>44309</v>
      </c>
      <c r="T115" s="2">
        <v>30</v>
      </c>
      <c r="U115" s="24">
        <f t="shared" si="12"/>
        <v>44293</v>
      </c>
      <c r="V115"/>
      <c r="W115"/>
      <c r="X115"/>
      <c r="Y115"/>
      <c r="Z115"/>
      <c r="AA115"/>
      <c r="AB115"/>
      <c r="AC115"/>
      <c r="AD115"/>
      <c r="AE115"/>
      <c r="AF115"/>
      <c r="AG115"/>
      <c r="AH115"/>
      <c r="AI115"/>
      <c r="AJ115"/>
      <c r="AK115"/>
      <c r="AL115"/>
      <c r="AM115"/>
      <c r="AN115"/>
      <c r="AO115"/>
      <c r="AP115"/>
      <c r="AQ115"/>
    </row>
    <row r="116" spans="1:43" s="10" customFormat="1" ht="15.75" customHeight="1" x14ac:dyDescent="0.25">
      <c r="A116" s="55">
        <f t="shared" si="17"/>
        <v>24</v>
      </c>
      <c r="B116" s="56">
        <v>44258</v>
      </c>
      <c r="C116" s="58"/>
      <c r="D116" s="58"/>
      <c r="E116" s="58"/>
      <c r="F116" s="111" t="s">
        <v>279</v>
      </c>
      <c r="G116" s="126" t="s">
        <v>417</v>
      </c>
      <c r="H116" s="45">
        <v>2000000</v>
      </c>
      <c r="I116" s="380" t="s">
        <v>445</v>
      </c>
      <c r="J116" s="301">
        <v>44263</v>
      </c>
      <c r="K116" s="460">
        <f t="shared" si="18"/>
        <v>2000000</v>
      </c>
      <c r="L116" s="460"/>
      <c r="M116" s="459"/>
      <c r="N116" s="459"/>
      <c r="O116" s="459">
        <f t="shared" si="19"/>
        <v>40000</v>
      </c>
      <c r="P116" s="459">
        <v>1960000</v>
      </c>
      <c r="Q116" s="28">
        <f t="shared" si="16"/>
        <v>0</v>
      </c>
      <c r="R116" s="197"/>
      <c r="S116" s="197">
        <v>44309</v>
      </c>
      <c r="T116" s="2">
        <v>30</v>
      </c>
      <c r="U116" s="24">
        <f t="shared" si="12"/>
        <v>44293</v>
      </c>
      <c r="V116"/>
      <c r="W116"/>
      <c r="X116"/>
      <c r="Y116"/>
      <c r="Z116"/>
      <c r="AA116"/>
      <c r="AB116"/>
      <c r="AC116"/>
      <c r="AD116"/>
      <c r="AE116"/>
      <c r="AF116"/>
      <c r="AG116"/>
      <c r="AH116"/>
      <c r="AI116"/>
      <c r="AJ116"/>
      <c r="AK116"/>
      <c r="AL116"/>
      <c r="AM116"/>
      <c r="AN116"/>
      <c r="AO116"/>
      <c r="AP116"/>
      <c r="AQ116"/>
    </row>
    <row r="117" spans="1:43" s="10" customFormat="1" ht="15.75" customHeight="1" x14ac:dyDescent="0.25">
      <c r="A117" s="55">
        <f t="shared" si="17"/>
        <v>25</v>
      </c>
      <c r="B117" s="56">
        <v>44259</v>
      </c>
      <c r="C117" s="58"/>
      <c r="D117" s="58"/>
      <c r="E117" s="58"/>
      <c r="F117" s="111" t="s">
        <v>279</v>
      </c>
      <c r="G117" s="126" t="s">
        <v>447</v>
      </c>
      <c r="H117" s="45">
        <v>3050000</v>
      </c>
      <c r="I117" s="380" t="s">
        <v>446</v>
      </c>
      <c r="J117" s="301">
        <v>44263</v>
      </c>
      <c r="K117" s="460">
        <f t="shared" si="18"/>
        <v>3050000</v>
      </c>
      <c r="L117" s="460"/>
      <c r="M117" s="459"/>
      <c r="N117" s="459"/>
      <c r="O117" s="459">
        <f t="shared" si="19"/>
        <v>61000</v>
      </c>
      <c r="P117" s="459">
        <v>2989000</v>
      </c>
      <c r="Q117" s="28">
        <f t="shared" si="16"/>
        <v>0</v>
      </c>
      <c r="R117" s="197"/>
      <c r="S117" s="197">
        <v>44309</v>
      </c>
      <c r="T117" s="2">
        <v>30</v>
      </c>
      <c r="U117" s="24">
        <f t="shared" si="12"/>
        <v>44293</v>
      </c>
      <c r="V117"/>
      <c r="W117"/>
      <c r="X117"/>
      <c r="Y117"/>
      <c r="Z117"/>
      <c r="AA117"/>
      <c r="AB117"/>
      <c r="AC117"/>
      <c r="AD117"/>
      <c r="AE117"/>
      <c r="AF117"/>
      <c r="AG117"/>
      <c r="AH117"/>
      <c r="AI117"/>
      <c r="AJ117"/>
      <c r="AK117"/>
      <c r="AL117"/>
      <c r="AM117"/>
      <c r="AN117"/>
      <c r="AO117"/>
      <c r="AP117"/>
      <c r="AQ117"/>
    </row>
    <row r="118" spans="1:43" s="10" customFormat="1" ht="15.75" customHeight="1" x14ac:dyDescent="0.25">
      <c r="A118" s="55">
        <f t="shared" si="17"/>
        <v>26</v>
      </c>
      <c r="B118" s="56">
        <v>44260</v>
      </c>
      <c r="C118" s="58"/>
      <c r="D118" s="58"/>
      <c r="E118" s="58"/>
      <c r="F118" s="111" t="s">
        <v>279</v>
      </c>
      <c r="G118" s="126" t="s">
        <v>413</v>
      </c>
      <c r="H118" s="45">
        <v>2100000</v>
      </c>
      <c r="I118" s="380" t="s">
        <v>448</v>
      </c>
      <c r="J118" s="301">
        <v>44263</v>
      </c>
      <c r="K118" s="460">
        <f t="shared" si="18"/>
        <v>2100000</v>
      </c>
      <c r="L118" s="460"/>
      <c r="M118" s="459"/>
      <c r="N118" s="459"/>
      <c r="O118" s="459">
        <f t="shared" si="19"/>
        <v>42000</v>
      </c>
      <c r="P118" s="459">
        <v>2058000</v>
      </c>
      <c r="Q118" s="28">
        <f t="shared" si="16"/>
        <v>0</v>
      </c>
      <c r="R118" s="197"/>
      <c r="S118" s="197">
        <v>44309</v>
      </c>
      <c r="T118" s="2">
        <v>30</v>
      </c>
      <c r="U118" s="24">
        <f t="shared" si="12"/>
        <v>44293</v>
      </c>
      <c r="V118"/>
      <c r="W118"/>
      <c r="X118"/>
      <c r="Y118"/>
      <c r="Z118"/>
      <c r="AA118"/>
      <c r="AB118"/>
      <c r="AC118"/>
      <c r="AD118"/>
      <c r="AE118"/>
      <c r="AF118"/>
      <c r="AG118"/>
      <c r="AH118"/>
      <c r="AI118"/>
      <c r="AJ118"/>
      <c r="AK118"/>
      <c r="AL118"/>
      <c r="AM118"/>
      <c r="AN118"/>
      <c r="AO118"/>
      <c r="AP118"/>
      <c r="AQ118"/>
    </row>
    <row r="119" spans="1:43" s="10" customFormat="1" ht="15.75" customHeight="1" x14ac:dyDescent="0.25">
      <c r="A119" s="55">
        <f t="shared" si="17"/>
        <v>27</v>
      </c>
      <c r="B119" s="56">
        <v>44242</v>
      </c>
      <c r="C119" s="58"/>
      <c r="D119" s="58"/>
      <c r="E119" s="58"/>
      <c r="F119" s="53" t="s">
        <v>553</v>
      </c>
      <c r="G119" s="126" t="s">
        <v>451</v>
      </c>
      <c r="H119" s="45">
        <v>4400000</v>
      </c>
      <c r="I119" s="380" t="s">
        <v>450</v>
      </c>
      <c r="J119" s="301">
        <v>44265</v>
      </c>
      <c r="K119" s="460">
        <f t="shared" si="18"/>
        <v>4400000</v>
      </c>
      <c r="L119" s="460"/>
      <c r="M119" s="459"/>
      <c r="N119" s="459"/>
      <c r="O119" s="459">
        <f>K119*2%</f>
        <v>88000</v>
      </c>
      <c r="P119" s="459">
        <v>4312000</v>
      </c>
      <c r="Q119" s="28">
        <f t="shared" si="16"/>
        <v>0</v>
      </c>
      <c r="R119" s="197"/>
      <c r="S119" s="197">
        <v>44279</v>
      </c>
      <c r="T119" s="2">
        <v>14</v>
      </c>
      <c r="U119" s="24">
        <f t="shared" si="12"/>
        <v>44279</v>
      </c>
      <c r="V119"/>
      <c r="W119"/>
      <c r="X119"/>
      <c r="Y119"/>
      <c r="Z119"/>
      <c r="AA119"/>
      <c r="AB119"/>
      <c r="AC119"/>
      <c r="AD119"/>
      <c r="AE119"/>
      <c r="AF119"/>
      <c r="AG119"/>
      <c r="AH119"/>
      <c r="AI119"/>
      <c r="AJ119"/>
      <c r="AK119"/>
      <c r="AL119"/>
      <c r="AM119"/>
      <c r="AN119"/>
      <c r="AO119"/>
      <c r="AP119"/>
      <c r="AQ119"/>
    </row>
    <row r="120" spans="1:43" s="10" customFormat="1" ht="15" customHeight="1" x14ac:dyDescent="0.25">
      <c r="A120" s="55">
        <f t="shared" si="17"/>
        <v>28</v>
      </c>
      <c r="B120" s="56">
        <v>44264</v>
      </c>
      <c r="C120" s="137" t="s">
        <v>455</v>
      </c>
      <c r="D120" s="137"/>
      <c r="E120" s="137"/>
      <c r="F120" s="53" t="s">
        <v>453</v>
      </c>
      <c r="G120" s="126" t="s">
        <v>454</v>
      </c>
      <c r="H120" s="45">
        <v>4000000</v>
      </c>
      <c r="I120" s="380" t="s">
        <v>452</v>
      </c>
      <c r="J120" s="301">
        <v>44267</v>
      </c>
      <c r="K120" s="460">
        <f t="shared" si="18"/>
        <v>4000000</v>
      </c>
      <c r="L120" s="460">
        <v>1839603.98</v>
      </c>
      <c r="M120" s="459">
        <v>200000</v>
      </c>
      <c r="N120" s="459"/>
      <c r="O120" s="459"/>
      <c r="P120" s="459">
        <v>1960396.02</v>
      </c>
      <c r="Q120" s="28">
        <f t="shared" si="16"/>
        <v>0</v>
      </c>
      <c r="R120" s="197">
        <v>44267</v>
      </c>
      <c r="S120" s="197"/>
      <c r="T120" s="199">
        <v>14</v>
      </c>
      <c r="U120" s="24">
        <f t="shared" si="12"/>
        <v>44281</v>
      </c>
      <c r="V120"/>
      <c r="W120"/>
      <c r="X120"/>
      <c r="Y120"/>
      <c r="Z120"/>
      <c r="AA120"/>
      <c r="AB120"/>
      <c r="AC120"/>
      <c r="AD120"/>
      <c r="AE120"/>
      <c r="AF120"/>
      <c r="AG120"/>
      <c r="AH120"/>
      <c r="AI120"/>
      <c r="AJ120"/>
      <c r="AK120"/>
      <c r="AL120"/>
      <c r="AM120"/>
      <c r="AN120"/>
      <c r="AO120"/>
      <c r="AP120"/>
      <c r="AQ120"/>
    </row>
    <row r="121" spans="1:43" s="10" customFormat="1" ht="15.75" customHeight="1" x14ac:dyDescent="0.25">
      <c r="A121" s="55">
        <f t="shared" si="17"/>
        <v>29</v>
      </c>
      <c r="B121" s="56">
        <v>44270</v>
      </c>
      <c r="C121" s="58"/>
      <c r="D121" s="58"/>
      <c r="E121" s="58"/>
      <c r="F121" s="53" t="s">
        <v>457</v>
      </c>
      <c r="G121" s="126" t="s">
        <v>458</v>
      </c>
      <c r="H121" s="45">
        <v>15000000</v>
      </c>
      <c r="I121" s="380" t="s">
        <v>456</v>
      </c>
      <c r="J121" s="301">
        <v>44270</v>
      </c>
      <c r="K121" s="460">
        <f t="shared" si="18"/>
        <v>15000000</v>
      </c>
      <c r="L121" s="460">
        <v>9000000</v>
      </c>
      <c r="M121" s="459">
        <v>750000</v>
      </c>
      <c r="N121" s="459"/>
      <c r="O121" s="459"/>
      <c r="P121" s="459">
        <v>5250000</v>
      </c>
      <c r="Q121" s="28">
        <f t="shared" si="16"/>
        <v>0</v>
      </c>
      <c r="R121" s="197">
        <v>44305</v>
      </c>
      <c r="S121" s="197"/>
      <c r="T121" s="199">
        <v>14</v>
      </c>
      <c r="U121" s="24">
        <f t="shared" si="12"/>
        <v>44284</v>
      </c>
      <c r="V121"/>
      <c r="W121"/>
      <c r="X121"/>
      <c r="Y121"/>
      <c r="Z121"/>
      <c r="AA121"/>
      <c r="AB121"/>
      <c r="AC121"/>
      <c r="AD121"/>
      <c r="AE121"/>
      <c r="AF121"/>
      <c r="AG121"/>
      <c r="AH121"/>
      <c r="AI121"/>
      <c r="AJ121"/>
      <c r="AK121"/>
      <c r="AL121"/>
      <c r="AM121"/>
      <c r="AN121"/>
      <c r="AO121"/>
      <c r="AP121"/>
      <c r="AQ121"/>
    </row>
    <row r="122" spans="1:43" s="10" customFormat="1" ht="15.75" customHeight="1" x14ac:dyDescent="0.25">
      <c r="A122" s="55">
        <f t="shared" si="17"/>
        <v>30</v>
      </c>
      <c r="B122" s="361">
        <v>44260</v>
      </c>
      <c r="C122" s="58">
        <v>401361</v>
      </c>
      <c r="D122" s="58"/>
      <c r="E122" s="58"/>
      <c r="F122" s="53" t="s">
        <v>53</v>
      </c>
      <c r="G122" s="126" t="s">
        <v>462</v>
      </c>
      <c r="H122" s="45">
        <v>1200000</v>
      </c>
      <c r="I122" s="380" t="s">
        <v>460</v>
      </c>
      <c r="J122" s="301">
        <v>44270</v>
      </c>
      <c r="K122" s="460">
        <f t="shared" si="18"/>
        <v>1200000</v>
      </c>
      <c r="L122" s="460"/>
      <c r="M122" s="459"/>
      <c r="N122" s="459"/>
      <c r="O122" s="459"/>
      <c r="P122" s="459">
        <v>1200000</v>
      </c>
      <c r="Q122" s="28">
        <f t="shared" si="16"/>
        <v>0</v>
      </c>
      <c r="R122" s="197"/>
      <c r="S122" s="197">
        <v>44278</v>
      </c>
      <c r="T122" s="2">
        <v>14</v>
      </c>
      <c r="U122" s="24">
        <f t="shared" si="12"/>
        <v>44284</v>
      </c>
      <c r="V122"/>
      <c r="W122"/>
      <c r="X122"/>
      <c r="Y122"/>
      <c r="Z122"/>
      <c r="AA122"/>
      <c r="AB122"/>
      <c r="AC122"/>
      <c r="AD122"/>
      <c r="AE122"/>
      <c r="AF122"/>
      <c r="AG122"/>
      <c r="AH122"/>
      <c r="AI122"/>
      <c r="AJ122"/>
      <c r="AK122"/>
      <c r="AL122"/>
      <c r="AM122"/>
      <c r="AN122"/>
      <c r="AO122"/>
      <c r="AP122"/>
      <c r="AQ122"/>
    </row>
    <row r="123" spans="1:43" s="10" customFormat="1" ht="15.75" customHeight="1" x14ac:dyDescent="0.25">
      <c r="A123" s="55">
        <f t="shared" si="17"/>
        <v>31</v>
      </c>
      <c r="B123" s="56">
        <v>44267</v>
      </c>
      <c r="C123" s="58"/>
      <c r="D123" s="58"/>
      <c r="E123" s="58"/>
      <c r="F123" s="53" t="s">
        <v>53</v>
      </c>
      <c r="G123" s="126" t="s">
        <v>417</v>
      </c>
      <c r="H123" s="45">
        <v>2100000</v>
      </c>
      <c r="I123" s="380" t="s">
        <v>463</v>
      </c>
      <c r="J123" s="301">
        <v>44270</v>
      </c>
      <c r="K123" s="460">
        <f t="shared" si="18"/>
        <v>2100000</v>
      </c>
      <c r="L123" s="460"/>
      <c r="M123" s="459"/>
      <c r="N123" s="459"/>
      <c r="O123" s="459"/>
      <c r="P123" s="459">
        <v>2100000</v>
      </c>
      <c r="Q123" s="28">
        <f t="shared" si="16"/>
        <v>0</v>
      </c>
      <c r="R123" s="197"/>
      <c r="S123" s="197">
        <v>44278</v>
      </c>
      <c r="T123" s="2">
        <v>14</v>
      </c>
      <c r="U123" s="24">
        <f t="shared" si="12"/>
        <v>44284</v>
      </c>
      <c r="V123"/>
      <c r="W123"/>
      <c r="X123"/>
      <c r="Y123"/>
      <c r="Z123"/>
      <c r="AA123"/>
      <c r="AB123"/>
      <c r="AC123"/>
      <c r="AD123"/>
      <c r="AE123"/>
      <c r="AF123"/>
      <c r="AG123"/>
      <c r="AH123"/>
      <c r="AI123"/>
      <c r="AJ123"/>
      <c r="AK123"/>
      <c r="AL123"/>
      <c r="AM123"/>
      <c r="AN123"/>
      <c r="AO123"/>
      <c r="AP123"/>
      <c r="AQ123"/>
    </row>
    <row r="124" spans="1:43" s="10" customFormat="1" ht="15.75" customHeight="1" x14ac:dyDescent="0.25">
      <c r="A124" s="55">
        <f t="shared" si="17"/>
        <v>32</v>
      </c>
      <c r="B124" s="56">
        <v>44270</v>
      </c>
      <c r="C124" s="58"/>
      <c r="D124" s="58"/>
      <c r="E124" s="58"/>
      <c r="F124" s="53" t="s">
        <v>553</v>
      </c>
      <c r="G124" s="126" t="s">
        <v>465</v>
      </c>
      <c r="H124" s="45">
        <v>3900000</v>
      </c>
      <c r="I124" s="380" t="s">
        <v>464</v>
      </c>
      <c r="J124" s="301">
        <v>44270</v>
      </c>
      <c r="K124" s="460">
        <f t="shared" si="18"/>
        <v>3900000</v>
      </c>
      <c r="L124" s="460"/>
      <c r="M124" s="459"/>
      <c r="N124" s="459"/>
      <c r="O124" s="459">
        <f>K124*2%</f>
        <v>78000</v>
      </c>
      <c r="P124" s="459">
        <v>3822000</v>
      </c>
      <c r="Q124" s="28">
        <f t="shared" si="16"/>
        <v>0</v>
      </c>
      <c r="R124" s="197"/>
      <c r="S124" s="197">
        <v>44279</v>
      </c>
      <c r="T124" s="2">
        <v>14</v>
      </c>
      <c r="U124" s="24">
        <f t="shared" si="12"/>
        <v>44284</v>
      </c>
      <c r="V124"/>
      <c r="W124"/>
      <c r="X124"/>
      <c r="Y124"/>
      <c r="Z124"/>
      <c r="AA124"/>
      <c r="AB124"/>
      <c r="AC124"/>
      <c r="AD124"/>
      <c r="AE124"/>
      <c r="AF124"/>
      <c r="AG124"/>
      <c r="AH124"/>
      <c r="AI124"/>
      <c r="AJ124"/>
      <c r="AK124"/>
      <c r="AL124"/>
      <c r="AM124"/>
      <c r="AN124"/>
      <c r="AO124"/>
      <c r="AP124"/>
      <c r="AQ124"/>
    </row>
    <row r="125" spans="1:43" s="10" customFormat="1" ht="15.75" customHeight="1" x14ac:dyDescent="0.25">
      <c r="A125" s="55">
        <f t="shared" si="17"/>
        <v>33</v>
      </c>
      <c r="B125" s="56">
        <v>44258</v>
      </c>
      <c r="C125" s="58">
        <v>402511</v>
      </c>
      <c r="D125" s="58"/>
      <c r="E125" s="58"/>
      <c r="F125" s="31" t="s">
        <v>379</v>
      </c>
      <c r="G125" s="126" t="s">
        <v>467</v>
      </c>
      <c r="H125" s="45">
        <v>2548000</v>
      </c>
      <c r="I125" s="380" t="s">
        <v>466</v>
      </c>
      <c r="J125" s="301">
        <v>44270</v>
      </c>
      <c r="K125" s="460">
        <f t="shared" si="18"/>
        <v>2548000</v>
      </c>
      <c r="L125" s="460"/>
      <c r="M125" s="459"/>
      <c r="N125" s="459"/>
      <c r="O125" s="459">
        <f>K125*2%</f>
        <v>50960</v>
      </c>
      <c r="P125" s="459">
        <v>2497040</v>
      </c>
      <c r="Q125" s="28">
        <f t="shared" si="16"/>
        <v>0</v>
      </c>
      <c r="R125" s="197">
        <v>44285</v>
      </c>
      <c r="S125" s="197"/>
      <c r="T125" s="199">
        <v>14</v>
      </c>
      <c r="U125" s="24">
        <f t="shared" si="12"/>
        <v>44284</v>
      </c>
      <c r="V125"/>
      <c r="W125"/>
      <c r="X125"/>
      <c r="Y125"/>
      <c r="Z125"/>
      <c r="AA125"/>
      <c r="AB125"/>
      <c r="AC125"/>
      <c r="AD125"/>
      <c r="AE125"/>
      <c r="AF125"/>
      <c r="AG125"/>
      <c r="AH125"/>
      <c r="AI125"/>
      <c r="AJ125"/>
      <c r="AK125"/>
      <c r="AL125"/>
      <c r="AM125"/>
      <c r="AN125"/>
      <c r="AO125"/>
      <c r="AP125"/>
      <c r="AQ125"/>
    </row>
    <row r="126" spans="1:43" s="10" customFormat="1" ht="15.75" customHeight="1" x14ac:dyDescent="0.25">
      <c r="A126" s="55">
        <f t="shared" si="17"/>
        <v>34</v>
      </c>
      <c r="B126" s="56">
        <v>44268</v>
      </c>
      <c r="C126" s="58">
        <v>402637</v>
      </c>
      <c r="D126" s="58"/>
      <c r="E126" s="58"/>
      <c r="F126" s="53" t="s">
        <v>469</v>
      </c>
      <c r="G126" s="126" t="s">
        <v>171</v>
      </c>
      <c r="H126" s="45">
        <v>610000</v>
      </c>
      <c r="I126" s="380" t="s">
        <v>468</v>
      </c>
      <c r="J126" s="301">
        <v>44271</v>
      </c>
      <c r="K126" s="460">
        <f t="shared" si="18"/>
        <v>610000</v>
      </c>
      <c r="L126" s="460"/>
      <c r="M126" s="459"/>
      <c r="N126" s="459"/>
      <c r="O126" s="459"/>
      <c r="P126" s="459">
        <v>610000</v>
      </c>
      <c r="Q126" s="28">
        <f t="shared" si="16"/>
        <v>0</v>
      </c>
      <c r="R126" s="197"/>
      <c r="S126" s="197">
        <v>44272</v>
      </c>
      <c r="T126" s="199">
        <v>14</v>
      </c>
      <c r="U126" s="24">
        <f t="shared" si="12"/>
        <v>44285</v>
      </c>
      <c r="V126"/>
      <c r="W126"/>
      <c r="X126"/>
      <c r="Y126"/>
      <c r="Z126"/>
      <c r="AA126"/>
      <c r="AB126"/>
      <c r="AC126"/>
      <c r="AD126"/>
      <c r="AE126"/>
      <c r="AF126"/>
      <c r="AG126"/>
      <c r="AH126"/>
      <c r="AI126"/>
      <c r="AJ126"/>
      <c r="AK126"/>
      <c r="AL126"/>
      <c r="AM126"/>
      <c r="AN126"/>
      <c r="AO126"/>
      <c r="AP126"/>
      <c r="AQ126"/>
    </row>
    <row r="127" spans="1:43" s="10" customFormat="1" ht="15.75" customHeight="1" x14ac:dyDescent="0.25">
      <c r="A127" s="55">
        <f t="shared" si="17"/>
        <v>35</v>
      </c>
      <c r="B127" s="56">
        <v>44270</v>
      </c>
      <c r="C127" s="58"/>
      <c r="D127" s="58"/>
      <c r="E127" s="58"/>
      <c r="F127" s="53" t="s">
        <v>470</v>
      </c>
      <c r="G127" s="126" t="s">
        <v>472</v>
      </c>
      <c r="H127" s="45">
        <v>800000</v>
      </c>
      <c r="I127" s="380" t="s">
        <v>471</v>
      </c>
      <c r="J127" s="301">
        <v>44271</v>
      </c>
      <c r="K127" s="460">
        <v>700000</v>
      </c>
      <c r="L127" s="460"/>
      <c r="M127" s="459"/>
      <c r="N127" s="459"/>
      <c r="O127" s="459"/>
      <c r="P127" s="459">
        <v>700000</v>
      </c>
      <c r="Q127" s="28">
        <f t="shared" si="16"/>
        <v>0</v>
      </c>
      <c r="R127" s="197"/>
      <c r="S127" s="197">
        <v>44274</v>
      </c>
      <c r="T127" s="199">
        <v>14</v>
      </c>
      <c r="U127" s="24">
        <f t="shared" si="12"/>
        <v>44285</v>
      </c>
      <c r="V127"/>
      <c r="W127"/>
      <c r="X127"/>
      <c r="Y127"/>
      <c r="Z127"/>
      <c r="AA127"/>
      <c r="AB127"/>
      <c r="AC127"/>
      <c r="AD127"/>
      <c r="AE127"/>
      <c r="AF127"/>
      <c r="AG127"/>
      <c r="AH127"/>
      <c r="AI127"/>
      <c r="AJ127"/>
      <c r="AK127"/>
      <c r="AL127"/>
      <c r="AM127"/>
      <c r="AN127"/>
      <c r="AO127"/>
      <c r="AP127"/>
      <c r="AQ127"/>
    </row>
    <row r="128" spans="1:43" s="10" customFormat="1" ht="15.75" customHeight="1" x14ac:dyDescent="0.25">
      <c r="A128" s="55">
        <f t="shared" si="17"/>
        <v>36</v>
      </c>
      <c r="B128" s="56">
        <v>44272</v>
      </c>
      <c r="C128" s="58"/>
      <c r="D128" s="58"/>
      <c r="E128" s="58"/>
      <c r="F128" s="53" t="s">
        <v>474</v>
      </c>
      <c r="G128" s="126" t="s">
        <v>201</v>
      </c>
      <c r="H128" s="45">
        <v>8500000</v>
      </c>
      <c r="I128" s="380" t="s">
        <v>473</v>
      </c>
      <c r="J128" s="301">
        <v>44272</v>
      </c>
      <c r="K128" s="460">
        <f t="shared" si="18"/>
        <v>8500000</v>
      </c>
      <c r="L128" s="460">
        <v>5000000</v>
      </c>
      <c r="M128" s="459"/>
      <c r="N128" s="459"/>
      <c r="O128" s="459"/>
      <c r="P128" s="459">
        <v>3500000</v>
      </c>
      <c r="Q128" s="28">
        <f t="shared" si="16"/>
        <v>0</v>
      </c>
      <c r="R128" s="197"/>
      <c r="S128" s="197">
        <v>44280</v>
      </c>
      <c r="T128" s="199">
        <v>14</v>
      </c>
      <c r="U128" s="24">
        <f t="shared" si="12"/>
        <v>44286</v>
      </c>
      <c r="V128"/>
      <c r="W128"/>
      <c r="X128"/>
      <c r="Y128"/>
      <c r="Z128"/>
      <c r="AA128"/>
      <c r="AB128"/>
      <c r="AC128"/>
      <c r="AD128"/>
      <c r="AE128"/>
      <c r="AF128"/>
      <c r="AG128"/>
      <c r="AH128"/>
      <c r="AI128"/>
      <c r="AJ128"/>
      <c r="AK128"/>
      <c r="AL128"/>
      <c r="AM128"/>
      <c r="AN128"/>
      <c r="AO128"/>
      <c r="AP128"/>
      <c r="AQ128"/>
    </row>
    <row r="129" spans="1:43" s="10" customFormat="1" ht="15.75" customHeight="1" x14ac:dyDescent="0.25">
      <c r="A129" s="55">
        <f t="shared" si="17"/>
        <v>37</v>
      </c>
      <c r="B129" s="56">
        <v>44263</v>
      </c>
      <c r="C129" s="58">
        <v>402609</v>
      </c>
      <c r="D129" s="58"/>
      <c r="E129" s="58"/>
      <c r="F129" s="53" t="s">
        <v>53</v>
      </c>
      <c r="G129" s="126" t="s">
        <v>467</v>
      </c>
      <c r="H129" s="45">
        <v>6000000</v>
      </c>
      <c r="I129" s="380" t="s">
        <v>475</v>
      </c>
      <c r="J129" s="301">
        <v>44272</v>
      </c>
      <c r="K129" s="460">
        <f t="shared" si="18"/>
        <v>6000000</v>
      </c>
      <c r="L129" s="460"/>
      <c r="M129" s="459"/>
      <c r="N129" s="459"/>
      <c r="O129" s="459"/>
      <c r="P129" s="459">
        <v>6000000</v>
      </c>
      <c r="Q129" s="28">
        <f t="shared" si="16"/>
        <v>0</v>
      </c>
      <c r="R129" s="197"/>
      <c r="S129" s="197">
        <v>44307</v>
      </c>
      <c r="T129" s="2">
        <v>14</v>
      </c>
      <c r="U129" s="24">
        <f t="shared" si="12"/>
        <v>44286</v>
      </c>
      <c r="V129"/>
      <c r="W129"/>
      <c r="X129"/>
      <c r="Y129"/>
      <c r="Z129"/>
      <c r="AA129"/>
      <c r="AB129"/>
      <c r="AC129"/>
      <c r="AD129"/>
      <c r="AE129"/>
      <c r="AF129"/>
      <c r="AG129"/>
      <c r="AH129"/>
      <c r="AI129"/>
      <c r="AJ129"/>
      <c r="AK129"/>
      <c r="AL129"/>
      <c r="AM129"/>
      <c r="AN129"/>
      <c r="AO129"/>
      <c r="AP129"/>
      <c r="AQ129"/>
    </row>
    <row r="130" spans="1:43" s="10" customFormat="1" ht="15.75" customHeight="1" x14ac:dyDescent="0.25">
      <c r="A130" s="55">
        <f t="shared" si="17"/>
        <v>38</v>
      </c>
      <c r="B130" s="56">
        <v>44264</v>
      </c>
      <c r="C130" s="58">
        <v>400734</v>
      </c>
      <c r="D130" s="58"/>
      <c r="E130" s="58"/>
      <c r="F130" s="53" t="s">
        <v>435</v>
      </c>
      <c r="G130" s="126" t="s">
        <v>477</v>
      </c>
      <c r="H130" s="45">
        <v>1200000</v>
      </c>
      <c r="I130" s="380" t="s">
        <v>476</v>
      </c>
      <c r="J130" s="301">
        <v>44273</v>
      </c>
      <c r="K130" s="460">
        <f t="shared" si="18"/>
        <v>1200000</v>
      </c>
      <c r="L130" s="460">
        <v>600000</v>
      </c>
      <c r="M130" s="459"/>
      <c r="N130" s="459"/>
      <c r="O130" s="459"/>
      <c r="P130" s="459">
        <v>600000</v>
      </c>
      <c r="Q130" s="28">
        <f t="shared" si="16"/>
        <v>0</v>
      </c>
      <c r="R130" s="197">
        <v>44361</v>
      </c>
      <c r="S130" s="197"/>
      <c r="T130" s="199">
        <v>14</v>
      </c>
      <c r="U130" s="24">
        <f t="shared" si="12"/>
        <v>44287</v>
      </c>
      <c r="V130"/>
      <c r="W130"/>
      <c r="X130"/>
      <c r="Y130"/>
      <c r="Z130"/>
      <c r="AA130"/>
      <c r="AB130"/>
      <c r="AC130"/>
      <c r="AD130"/>
      <c r="AE130"/>
      <c r="AF130"/>
      <c r="AG130"/>
      <c r="AH130"/>
      <c r="AI130"/>
      <c r="AJ130"/>
      <c r="AK130"/>
      <c r="AL130"/>
      <c r="AM130"/>
      <c r="AN130"/>
      <c r="AO130"/>
      <c r="AP130"/>
      <c r="AQ130"/>
    </row>
    <row r="131" spans="1:43" s="10" customFormat="1" ht="15.75" customHeight="1" x14ac:dyDescent="0.25">
      <c r="A131" s="55">
        <f t="shared" si="17"/>
        <v>39</v>
      </c>
      <c r="B131" s="466">
        <v>44223</v>
      </c>
      <c r="C131" s="58" t="s">
        <v>480</v>
      </c>
      <c r="D131" s="58"/>
      <c r="E131" s="58"/>
      <c r="F131" s="266" t="s">
        <v>479</v>
      </c>
      <c r="G131" s="266" t="s">
        <v>481</v>
      </c>
      <c r="H131" s="267">
        <v>7500000</v>
      </c>
      <c r="I131" s="384" t="s">
        <v>478</v>
      </c>
      <c r="J131" s="268">
        <v>44274</v>
      </c>
      <c r="K131" s="270" t="s">
        <v>2781</v>
      </c>
      <c r="L131" s="270"/>
      <c r="M131" s="270"/>
      <c r="N131" s="270"/>
      <c r="O131" s="270"/>
      <c r="P131" s="270"/>
      <c r="Q131" s="417"/>
      <c r="R131" s="668" t="s">
        <v>2230</v>
      </c>
      <c r="S131" s="263"/>
      <c r="T131" s="263">
        <v>30</v>
      </c>
      <c r="U131" s="24">
        <f t="shared" si="12"/>
        <v>44304</v>
      </c>
      <c r="V131" t="s">
        <v>2230</v>
      </c>
      <c r="W131"/>
      <c r="X131"/>
      <c r="Y131"/>
      <c r="Z131"/>
      <c r="AA131"/>
      <c r="AB131"/>
      <c r="AC131"/>
      <c r="AD131"/>
      <c r="AE131"/>
      <c r="AF131"/>
      <c r="AG131"/>
      <c r="AH131"/>
      <c r="AI131"/>
      <c r="AJ131"/>
      <c r="AK131"/>
      <c r="AL131"/>
      <c r="AM131"/>
      <c r="AN131"/>
      <c r="AO131"/>
      <c r="AP131"/>
      <c r="AQ131"/>
    </row>
    <row r="132" spans="1:43" s="10" customFormat="1" ht="15.75" customHeight="1" x14ac:dyDescent="0.25">
      <c r="A132" s="55">
        <f t="shared" si="17"/>
        <v>40</v>
      </c>
      <c r="B132" s="56">
        <v>44274</v>
      </c>
      <c r="C132" s="58"/>
      <c r="D132" s="58"/>
      <c r="E132" s="58"/>
      <c r="F132" s="53" t="s">
        <v>435</v>
      </c>
      <c r="G132" s="126" t="s">
        <v>462</v>
      </c>
      <c r="H132" s="45">
        <v>700000</v>
      </c>
      <c r="I132" s="380" t="s">
        <v>482</v>
      </c>
      <c r="J132" s="301">
        <v>44275</v>
      </c>
      <c r="K132" s="460">
        <f t="shared" si="18"/>
        <v>700000</v>
      </c>
      <c r="L132" s="460">
        <v>500000</v>
      </c>
      <c r="M132" s="459"/>
      <c r="N132" s="459"/>
      <c r="O132" s="459"/>
      <c r="P132" s="459">
        <v>200000</v>
      </c>
      <c r="Q132" s="28"/>
      <c r="R132" s="197">
        <v>44361</v>
      </c>
      <c r="S132" s="197"/>
      <c r="T132" s="199">
        <v>14</v>
      </c>
      <c r="U132" s="24">
        <f t="shared" ref="U132:U155" si="20">J132+T132</f>
        <v>44289</v>
      </c>
      <c r="V132"/>
      <c r="W132"/>
      <c r="X132"/>
      <c r="Y132"/>
      <c r="Z132"/>
      <c r="AA132"/>
      <c r="AB132"/>
      <c r="AC132"/>
      <c r="AD132"/>
      <c r="AE132"/>
      <c r="AF132"/>
      <c r="AG132"/>
      <c r="AH132"/>
      <c r="AI132"/>
      <c r="AJ132"/>
      <c r="AK132"/>
      <c r="AL132"/>
      <c r="AM132"/>
      <c r="AN132"/>
      <c r="AO132"/>
      <c r="AP132"/>
      <c r="AQ132"/>
    </row>
    <row r="133" spans="1:43" s="10" customFormat="1" ht="15.75" customHeight="1" x14ac:dyDescent="0.25">
      <c r="A133" s="55">
        <f t="shared" si="17"/>
        <v>41</v>
      </c>
      <c r="B133" s="56">
        <v>44274</v>
      </c>
      <c r="C133" s="58" t="s">
        <v>485</v>
      </c>
      <c r="D133" s="58"/>
      <c r="E133" s="58"/>
      <c r="F133" s="53" t="s">
        <v>435</v>
      </c>
      <c r="G133" s="126" t="s">
        <v>484</v>
      </c>
      <c r="H133" s="45">
        <v>700000</v>
      </c>
      <c r="I133" s="380" t="s">
        <v>483</v>
      </c>
      <c r="J133" s="301">
        <v>44279</v>
      </c>
      <c r="K133" s="460">
        <f t="shared" si="18"/>
        <v>700000</v>
      </c>
      <c r="L133" s="460"/>
      <c r="M133" s="459"/>
      <c r="N133" s="459"/>
      <c r="O133" s="459"/>
      <c r="P133" s="459">
        <v>700000</v>
      </c>
      <c r="Q133" s="28">
        <f t="shared" si="16"/>
        <v>0</v>
      </c>
      <c r="R133" s="197">
        <v>44333</v>
      </c>
      <c r="S133" s="197"/>
      <c r="T133" s="199">
        <v>14</v>
      </c>
      <c r="U133" s="24">
        <f t="shared" si="20"/>
        <v>44293</v>
      </c>
      <c r="V133"/>
      <c r="W133"/>
      <c r="X133"/>
      <c r="Y133"/>
      <c r="Z133"/>
      <c r="AA133"/>
      <c r="AB133"/>
      <c r="AC133"/>
      <c r="AD133"/>
      <c r="AE133"/>
      <c r="AF133"/>
      <c r="AG133"/>
      <c r="AH133"/>
      <c r="AI133"/>
      <c r="AJ133"/>
      <c r="AK133"/>
      <c r="AL133"/>
      <c r="AM133"/>
      <c r="AN133"/>
      <c r="AO133"/>
      <c r="AP133"/>
      <c r="AQ133"/>
    </row>
    <row r="134" spans="1:43" s="10" customFormat="1" ht="15.75" customHeight="1" x14ac:dyDescent="0.25">
      <c r="A134" s="55">
        <f t="shared" si="17"/>
        <v>42</v>
      </c>
      <c r="B134" s="56">
        <v>44274</v>
      </c>
      <c r="C134" s="58" t="s">
        <v>488</v>
      </c>
      <c r="D134" s="58"/>
      <c r="E134" s="58"/>
      <c r="F134" s="31" t="s">
        <v>242</v>
      </c>
      <c r="G134" s="126" t="s">
        <v>487</v>
      </c>
      <c r="H134" s="45">
        <v>3000000</v>
      </c>
      <c r="I134" s="380" t="s">
        <v>486</v>
      </c>
      <c r="J134" s="301">
        <v>44279</v>
      </c>
      <c r="K134" s="460">
        <f t="shared" si="18"/>
        <v>3000000</v>
      </c>
      <c r="L134" s="460"/>
      <c r="M134" s="459"/>
      <c r="N134" s="459"/>
      <c r="O134" s="459"/>
      <c r="P134" s="459">
        <v>3000000</v>
      </c>
      <c r="Q134" s="28">
        <f t="shared" si="16"/>
        <v>0</v>
      </c>
      <c r="R134" s="197"/>
      <c r="S134" s="197">
        <v>44303</v>
      </c>
      <c r="T134" s="199">
        <v>14</v>
      </c>
      <c r="U134" s="24">
        <f t="shared" si="20"/>
        <v>44293</v>
      </c>
      <c r="V134"/>
      <c r="W134"/>
      <c r="X134"/>
      <c r="Y134"/>
      <c r="Z134"/>
      <c r="AA134"/>
      <c r="AB134"/>
      <c r="AC134"/>
      <c r="AD134"/>
      <c r="AE134"/>
      <c r="AF134"/>
      <c r="AG134"/>
      <c r="AH134"/>
      <c r="AI134"/>
      <c r="AJ134"/>
      <c r="AK134"/>
      <c r="AL134"/>
      <c r="AM134"/>
      <c r="AN134"/>
      <c r="AO134"/>
      <c r="AP134"/>
      <c r="AQ134"/>
    </row>
    <row r="135" spans="1:43" s="10" customFormat="1" ht="15.75" customHeight="1" x14ac:dyDescent="0.25">
      <c r="A135" s="55">
        <f t="shared" si="17"/>
        <v>43</v>
      </c>
      <c r="B135" s="56">
        <v>44275</v>
      </c>
      <c r="C135" s="58"/>
      <c r="D135" s="58"/>
      <c r="E135" s="58"/>
      <c r="F135" s="53" t="s">
        <v>491</v>
      </c>
      <c r="G135" s="126" t="s">
        <v>492</v>
      </c>
      <c r="H135" s="45">
        <v>5700000</v>
      </c>
      <c r="I135" s="380" t="s">
        <v>490</v>
      </c>
      <c r="J135" s="301">
        <v>44281</v>
      </c>
      <c r="K135" s="460">
        <f t="shared" si="18"/>
        <v>5700000</v>
      </c>
      <c r="L135" s="460"/>
      <c r="M135" s="459">
        <v>2500000</v>
      </c>
      <c r="N135" s="459"/>
      <c r="O135" s="459"/>
      <c r="P135" s="459">
        <v>3200000</v>
      </c>
      <c r="Q135" s="28">
        <f t="shared" si="16"/>
        <v>0</v>
      </c>
      <c r="R135" s="197">
        <v>44298</v>
      </c>
      <c r="S135" s="197"/>
      <c r="T135" s="199">
        <v>14</v>
      </c>
      <c r="U135" s="24">
        <f t="shared" si="20"/>
        <v>44295</v>
      </c>
      <c r="V135"/>
      <c r="W135"/>
      <c r="X135"/>
      <c r="Y135"/>
      <c r="Z135"/>
      <c r="AA135"/>
      <c r="AB135"/>
      <c r="AC135"/>
      <c r="AD135"/>
      <c r="AE135"/>
      <c r="AF135"/>
      <c r="AG135"/>
      <c r="AH135"/>
      <c r="AI135"/>
      <c r="AJ135"/>
      <c r="AK135"/>
      <c r="AL135"/>
      <c r="AM135"/>
      <c r="AN135"/>
      <c r="AO135"/>
      <c r="AP135"/>
      <c r="AQ135"/>
    </row>
    <row r="136" spans="1:43" s="10" customFormat="1" ht="15.75" customHeight="1" x14ac:dyDescent="0.25">
      <c r="A136" s="55">
        <f t="shared" si="17"/>
        <v>44</v>
      </c>
      <c r="B136" s="56">
        <v>44281</v>
      </c>
      <c r="C136" s="58"/>
      <c r="D136" s="58"/>
      <c r="E136" s="58"/>
      <c r="F136" s="110" t="s">
        <v>260</v>
      </c>
      <c r="G136" s="126" t="s">
        <v>494</v>
      </c>
      <c r="H136" s="45">
        <v>600000</v>
      </c>
      <c r="I136" s="380" t="s">
        <v>493</v>
      </c>
      <c r="J136" s="301">
        <v>44285</v>
      </c>
      <c r="K136" s="460">
        <f t="shared" si="18"/>
        <v>600000</v>
      </c>
      <c r="L136" s="460"/>
      <c r="M136" s="459"/>
      <c r="N136" s="459"/>
      <c r="O136" s="459"/>
      <c r="P136" s="459">
        <v>600000</v>
      </c>
      <c r="Q136" s="28">
        <f t="shared" si="16"/>
        <v>0</v>
      </c>
      <c r="R136" s="199"/>
      <c r="S136" s="197">
        <v>44463</v>
      </c>
      <c r="T136" s="199">
        <v>30</v>
      </c>
      <c r="U136" s="24">
        <f t="shared" si="20"/>
        <v>44315</v>
      </c>
      <c r="V136"/>
      <c r="W136"/>
      <c r="X136"/>
      <c r="Y136"/>
      <c r="Z136"/>
      <c r="AA136"/>
      <c r="AB136"/>
      <c r="AC136"/>
      <c r="AD136"/>
      <c r="AE136"/>
      <c r="AF136"/>
      <c r="AG136"/>
      <c r="AH136"/>
      <c r="AI136"/>
      <c r="AJ136"/>
      <c r="AK136"/>
      <c r="AL136"/>
      <c r="AM136"/>
      <c r="AN136"/>
      <c r="AO136"/>
      <c r="AP136"/>
      <c r="AQ136"/>
    </row>
    <row r="137" spans="1:43" s="10" customFormat="1" ht="15.75" customHeight="1" x14ac:dyDescent="0.25">
      <c r="A137" s="55">
        <f t="shared" si="17"/>
        <v>45</v>
      </c>
      <c r="B137" s="56">
        <v>44275</v>
      </c>
      <c r="C137" s="58">
        <v>706188125</v>
      </c>
      <c r="D137" s="58"/>
      <c r="E137" s="58"/>
      <c r="F137" s="53" t="s">
        <v>496</v>
      </c>
      <c r="G137" s="126" t="s">
        <v>351</v>
      </c>
      <c r="H137" s="45">
        <f>2700000+350000</f>
        <v>3050000</v>
      </c>
      <c r="I137" s="380" t="s">
        <v>495</v>
      </c>
      <c r="J137" s="301">
        <v>44285</v>
      </c>
      <c r="K137" s="460">
        <f t="shared" si="18"/>
        <v>3050000</v>
      </c>
      <c r="L137" s="460"/>
      <c r="M137" s="459"/>
      <c r="N137" s="459"/>
      <c r="O137" s="459"/>
      <c r="P137" s="459">
        <v>3050000</v>
      </c>
      <c r="Q137" s="28">
        <f t="shared" si="16"/>
        <v>0</v>
      </c>
      <c r="R137" s="197"/>
      <c r="S137" s="197">
        <v>44287</v>
      </c>
      <c r="T137" s="199">
        <v>14</v>
      </c>
      <c r="U137" s="24">
        <f t="shared" si="20"/>
        <v>44299</v>
      </c>
      <c r="V137"/>
      <c r="W137"/>
      <c r="X137"/>
      <c r="Y137"/>
      <c r="Z137"/>
      <c r="AA137"/>
      <c r="AB137"/>
      <c r="AC137"/>
      <c r="AD137"/>
      <c r="AE137"/>
      <c r="AF137"/>
      <c r="AG137"/>
      <c r="AH137"/>
      <c r="AI137"/>
      <c r="AJ137"/>
      <c r="AK137"/>
      <c r="AL137"/>
      <c r="AM137"/>
      <c r="AN137"/>
      <c r="AO137"/>
      <c r="AP137"/>
      <c r="AQ137"/>
    </row>
    <row r="138" spans="1:43" s="10" customFormat="1" ht="15.75" customHeight="1" x14ac:dyDescent="0.25">
      <c r="A138" s="55">
        <f t="shared" si="17"/>
        <v>46</v>
      </c>
      <c r="B138" s="56">
        <v>44270</v>
      </c>
      <c r="C138" s="58"/>
      <c r="D138" s="58"/>
      <c r="E138" s="58"/>
      <c r="F138" s="53" t="s">
        <v>53</v>
      </c>
      <c r="G138" s="126" t="s">
        <v>539</v>
      </c>
      <c r="H138" s="45">
        <v>7500000</v>
      </c>
      <c r="I138" s="380" t="s">
        <v>497</v>
      </c>
      <c r="J138" s="301">
        <v>44285</v>
      </c>
      <c r="K138" s="460">
        <f t="shared" si="18"/>
        <v>7500000</v>
      </c>
      <c r="L138" s="460"/>
      <c r="M138" s="459"/>
      <c r="N138" s="459"/>
      <c r="O138" s="459"/>
      <c r="P138" s="459">
        <v>7500000</v>
      </c>
      <c r="Q138" s="28">
        <f t="shared" si="16"/>
        <v>0</v>
      </c>
      <c r="R138" s="197"/>
      <c r="S138" s="197">
        <v>44295</v>
      </c>
      <c r="T138" s="2">
        <v>14</v>
      </c>
      <c r="U138" s="24">
        <f t="shared" si="20"/>
        <v>44299</v>
      </c>
      <c r="V138"/>
      <c r="W138"/>
      <c r="X138"/>
      <c r="Y138"/>
      <c r="Z138"/>
      <c r="AA138"/>
      <c r="AB138"/>
      <c r="AC138"/>
      <c r="AD138"/>
      <c r="AE138"/>
      <c r="AF138"/>
      <c r="AG138"/>
      <c r="AH138"/>
      <c r="AI138"/>
      <c r="AJ138"/>
      <c r="AK138"/>
      <c r="AL138"/>
      <c r="AM138"/>
      <c r="AN138"/>
      <c r="AO138"/>
      <c r="AP138"/>
      <c r="AQ138"/>
    </row>
    <row r="139" spans="1:43" s="10" customFormat="1" ht="15.75" customHeight="1" x14ac:dyDescent="0.25">
      <c r="A139" s="55">
        <f t="shared" si="17"/>
        <v>47</v>
      </c>
      <c r="B139" s="56">
        <v>44285</v>
      </c>
      <c r="C139" s="58"/>
      <c r="D139" s="58"/>
      <c r="E139" s="58"/>
      <c r="F139" s="53" t="s">
        <v>499</v>
      </c>
      <c r="G139" s="126" t="s">
        <v>500</v>
      </c>
      <c r="H139" s="45">
        <f>1100000+200000</f>
        <v>1300000</v>
      </c>
      <c r="I139" s="380" t="s">
        <v>498</v>
      </c>
      <c r="J139" s="301">
        <v>44285</v>
      </c>
      <c r="K139" s="460">
        <f t="shared" si="18"/>
        <v>1300000</v>
      </c>
      <c r="L139" s="460"/>
      <c r="M139" s="459">
        <v>100000</v>
      </c>
      <c r="N139" s="459"/>
      <c r="O139" s="459"/>
      <c r="P139" s="459">
        <v>1200000</v>
      </c>
      <c r="Q139" s="28">
        <f t="shared" si="16"/>
        <v>0</v>
      </c>
      <c r="R139" s="197"/>
      <c r="S139" s="197">
        <v>44285</v>
      </c>
      <c r="T139" s="199">
        <v>14</v>
      </c>
      <c r="U139" s="24">
        <f t="shared" si="20"/>
        <v>44299</v>
      </c>
      <c r="V139"/>
      <c r="W139"/>
      <c r="X139"/>
      <c r="Y139"/>
      <c r="Z139"/>
      <c r="AA139"/>
      <c r="AB139"/>
      <c r="AC139"/>
      <c r="AD139"/>
      <c r="AE139"/>
      <c r="AF139"/>
      <c r="AG139"/>
      <c r="AH139"/>
      <c r="AI139"/>
      <c r="AJ139"/>
      <c r="AK139"/>
      <c r="AL139"/>
      <c r="AM139"/>
      <c r="AN139"/>
      <c r="AO139"/>
      <c r="AP139"/>
      <c r="AQ139"/>
    </row>
    <row r="140" spans="1:43" s="10" customFormat="1" ht="15.75" customHeight="1" x14ac:dyDescent="0.25">
      <c r="A140" s="55">
        <f t="shared" si="17"/>
        <v>48</v>
      </c>
      <c r="B140" s="56">
        <v>44279</v>
      </c>
      <c r="C140" s="58">
        <v>402537</v>
      </c>
      <c r="D140" s="58"/>
      <c r="E140" s="58"/>
      <c r="F140" s="53" t="s">
        <v>502</v>
      </c>
      <c r="G140" s="126" t="s">
        <v>503</v>
      </c>
      <c r="H140" s="45">
        <v>650000</v>
      </c>
      <c r="I140" s="380" t="s">
        <v>501</v>
      </c>
      <c r="J140" s="301">
        <v>44285</v>
      </c>
      <c r="K140" s="460">
        <f t="shared" si="18"/>
        <v>650000</v>
      </c>
      <c r="L140" s="460"/>
      <c r="M140" s="459"/>
      <c r="N140" s="459"/>
      <c r="O140" s="459"/>
      <c r="P140" s="459">
        <v>650000</v>
      </c>
      <c r="Q140" s="28">
        <f t="shared" si="16"/>
        <v>0</v>
      </c>
      <c r="R140" s="197"/>
      <c r="S140" s="197">
        <v>44285</v>
      </c>
      <c r="T140" s="199">
        <v>14</v>
      </c>
      <c r="U140" s="24">
        <f t="shared" si="20"/>
        <v>44299</v>
      </c>
      <c r="V140"/>
      <c r="W140"/>
      <c r="X140"/>
      <c r="Y140"/>
      <c r="Z140"/>
      <c r="AA140"/>
      <c r="AB140"/>
      <c r="AC140"/>
      <c r="AD140"/>
      <c r="AE140"/>
      <c r="AF140"/>
      <c r="AG140"/>
      <c r="AH140"/>
      <c r="AI140"/>
      <c r="AJ140"/>
      <c r="AK140"/>
      <c r="AL140"/>
      <c r="AM140"/>
      <c r="AN140"/>
      <c r="AO140"/>
      <c r="AP140"/>
      <c r="AQ140"/>
    </row>
    <row r="141" spans="1:43" s="10" customFormat="1" ht="15.75" customHeight="1" x14ac:dyDescent="0.25">
      <c r="A141" s="55">
        <f t="shared" si="17"/>
        <v>49</v>
      </c>
      <c r="B141" s="56">
        <v>44273</v>
      </c>
      <c r="C141" s="58">
        <v>401475</v>
      </c>
      <c r="D141" s="58"/>
      <c r="E141" s="58"/>
      <c r="F141" s="53" t="s">
        <v>51</v>
      </c>
      <c r="G141" s="126" t="s">
        <v>523</v>
      </c>
      <c r="H141" s="45">
        <v>7350000</v>
      </c>
      <c r="I141" s="380" t="s">
        <v>522</v>
      </c>
      <c r="J141" s="301">
        <v>44286</v>
      </c>
      <c r="K141" s="460">
        <f t="shared" si="18"/>
        <v>7350000</v>
      </c>
      <c r="L141" s="460">
        <v>4400000</v>
      </c>
      <c r="M141" s="459"/>
      <c r="N141" s="459"/>
      <c r="O141" s="459"/>
      <c r="P141" s="459">
        <v>2950000</v>
      </c>
      <c r="Q141" s="28">
        <f t="shared" si="16"/>
        <v>0</v>
      </c>
      <c r="R141" s="197">
        <v>44316</v>
      </c>
      <c r="S141" s="197"/>
      <c r="T141" s="199">
        <v>14</v>
      </c>
      <c r="U141" s="24">
        <f t="shared" si="20"/>
        <v>44300</v>
      </c>
      <c r="V141"/>
      <c r="W141"/>
      <c r="X141"/>
      <c r="Y141"/>
      <c r="Z141"/>
      <c r="AA141"/>
      <c r="AB141"/>
      <c r="AC141"/>
      <c r="AD141"/>
      <c r="AE141"/>
      <c r="AF141"/>
      <c r="AG141"/>
      <c r="AH141"/>
      <c r="AI141"/>
      <c r="AJ141"/>
      <c r="AK141"/>
      <c r="AL141"/>
      <c r="AM141"/>
      <c r="AN141"/>
      <c r="AO141"/>
      <c r="AP141"/>
      <c r="AQ141"/>
    </row>
    <row r="142" spans="1:43" s="10" customFormat="1" ht="15.75" customHeight="1" x14ac:dyDescent="0.25">
      <c r="A142" s="55">
        <f t="shared" si="17"/>
        <v>50</v>
      </c>
      <c r="B142" s="56">
        <v>44274</v>
      </c>
      <c r="C142" s="58" t="s">
        <v>525</v>
      </c>
      <c r="D142" s="58"/>
      <c r="E142" s="58"/>
      <c r="F142" s="53" t="s">
        <v>51</v>
      </c>
      <c r="G142" s="126" t="s">
        <v>526</v>
      </c>
      <c r="H142" s="45">
        <v>17600000</v>
      </c>
      <c r="I142" s="380" t="s">
        <v>524</v>
      </c>
      <c r="J142" s="301">
        <v>44286</v>
      </c>
      <c r="K142" s="460">
        <f t="shared" si="18"/>
        <v>17600000</v>
      </c>
      <c r="L142" s="460">
        <v>9500000</v>
      </c>
      <c r="M142" s="459"/>
      <c r="N142" s="459"/>
      <c r="O142" s="459"/>
      <c r="P142" s="459">
        <v>8100000</v>
      </c>
      <c r="Q142" s="28">
        <f t="shared" si="16"/>
        <v>0</v>
      </c>
      <c r="R142" s="197">
        <v>44316</v>
      </c>
      <c r="S142" s="197"/>
      <c r="T142" s="199">
        <v>14</v>
      </c>
      <c r="U142" s="24">
        <f t="shared" si="20"/>
        <v>44300</v>
      </c>
      <c r="V142"/>
      <c r="W142"/>
      <c r="X142"/>
      <c r="Y142"/>
      <c r="Z142"/>
      <c r="AA142"/>
      <c r="AB142"/>
      <c r="AC142"/>
      <c r="AD142"/>
      <c r="AE142"/>
      <c r="AF142"/>
      <c r="AG142"/>
      <c r="AH142"/>
      <c r="AI142"/>
      <c r="AJ142"/>
      <c r="AK142"/>
      <c r="AL142"/>
      <c r="AM142"/>
      <c r="AN142"/>
      <c r="AO142"/>
      <c r="AP142"/>
      <c r="AQ142"/>
    </row>
    <row r="143" spans="1:43" s="10" customFormat="1" ht="15.75" customHeight="1" x14ac:dyDescent="0.25">
      <c r="A143" s="55">
        <f t="shared" si="17"/>
        <v>51</v>
      </c>
      <c r="B143" s="56">
        <v>44273</v>
      </c>
      <c r="C143" s="58" t="s">
        <v>528</v>
      </c>
      <c r="D143" s="58"/>
      <c r="E143" s="58"/>
      <c r="F143" s="53" t="s">
        <v>51</v>
      </c>
      <c r="G143" s="126" t="s">
        <v>529</v>
      </c>
      <c r="H143" s="45">
        <v>19400000</v>
      </c>
      <c r="I143" s="380" t="s">
        <v>527</v>
      </c>
      <c r="J143" s="301">
        <v>44286</v>
      </c>
      <c r="K143" s="460">
        <f t="shared" si="18"/>
        <v>19400000</v>
      </c>
      <c r="L143" s="460">
        <v>10000000</v>
      </c>
      <c r="M143" s="459"/>
      <c r="N143" s="459"/>
      <c r="O143" s="459"/>
      <c r="P143" s="459">
        <v>9400000</v>
      </c>
      <c r="Q143" s="28">
        <f t="shared" si="16"/>
        <v>0</v>
      </c>
      <c r="R143" s="197">
        <v>44344</v>
      </c>
      <c r="S143" s="197"/>
      <c r="T143" s="199">
        <v>14</v>
      </c>
      <c r="U143" s="24">
        <f t="shared" si="20"/>
        <v>44300</v>
      </c>
      <c r="V143"/>
      <c r="W143"/>
      <c r="X143"/>
      <c r="Y143"/>
      <c r="Z143"/>
      <c r="AA143"/>
      <c r="AB143"/>
      <c r="AC143"/>
      <c r="AD143"/>
      <c r="AE143"/>
      <c r="AF143"/>
      <c r="AG143"/>
      <c r="AH143"/>
      <c r="AI143"/>
      <c r="AJ143"/>
      <c r="AK143"/>
      <c r="AL143"/>
      <c r="AM143"/>
      <c r="AN143"/>
      <c r="AO143"/>
      <c r="AP143"/>
      <c r="AQ143"/>
    </row>
    <row r="144" spans="1:43" s="10" customFormat="1" ht="15.75" customHeight="1" x14ac:dyDescent="0.25">
      <c r="A144" s="55">
        <f t="shared" si="17"/>
        <v>52</v>
      </c>
      <c r="B144" s="56">
        <v>44275</v>
      </c>
      <c r="C144" s="58">
        <v>400659</v>
      </c>
      <c r="D144" s="58"/>
      <c r="E144" s="58"/>
      <c r="F144" s="53" t="s">
        <v>51</v>
      </c>
      <c r="G144" s="126" t="s">
        <v>531</v>
      </c>
      <c r="H144" s="45">
        <v>3800000</v>
      </c>
      <c r="I144" s="380" t="s">
        <v>530</v>
      </c>
      <c r="J144" s="301">
        <v>44286</v>
      </c>
      <c r="K144" s="460">
        <f t="shared" si="18"/>
        <v>3800000</v>
      </c>
      <c r="L144" s="460">
        <v>2500000</v>
      </c>
      <c r="M144" s="459"/>
      <c r="N144" s="459"/>
      <c r="O144" s="459"/>
      <c r="P144" s="459">
        <v>1300000</v>
      </c>
      <c r="Q144" s="28">
        <f t="shared" si="16"/>
        <v>0</v>
      </c>
      <c r="R144" s="197">
        <v>44302</v>
      </c>
      <c r="S144" s="197"/>
      <c r="T144" s="199">
        <v>14</v>
      </c>
      <c r="U144" s="24">
        <f t="shared" si="20"/>
        <v>44300</v>
      </c>
      <c r="V144"/>
      <c r="W144"/>
      <c r="X144"/>
      <c r="Y144"/>
      <c r="Z144"/>
      <c r="AA144"/>
      <c r="AB144"/>
      <c r="AC144"/>
      <c r="AD144"/>
      <c r="AE144"/>
      <c r="AF144"/>
      <c r="AG144"/>
      <c r="AH144"/>
      <c r="AI144"/>
      <c r="AJ144"/>
      <c r="AK144"/>
      <c r="AL144"/>
      <c r="AM144"/>
      <c r="AN144"/>
      <c r="AO144"/>
      <c r="AP144"/>
      <c r="AQ144"/>
    </row>
    <row r="145" spans="1:43" s="10" customFormat="1" ht="15.75" customHeight="1" x14ac:dyDescent="0.25">
      <c r="A145" s="55">
        <f t="shared" si="17"/>
        <v>53</v>
      </c>
      <c r="B145" s="56">
        <v>44279</v>
      </c>
      <c r="C145" s="58" t="s">
        <v>532</v>
      </c>
      <c r="D145" s="58"/>
      <c r="E145" s="58"/>
      <c r="F145" s="31" t="s">
        <v>242</v>
      </c>
      <c r="G145" s="126" t="s">
        <v>533</v>
      </c>
      <c r="H145" s="45">
        <v>1700000</v>
      </c>
      <c r="I145" s="380" t="s">
        <v>534</v>
      </c>
      <c r="J145" s="301">
        <v>44287</v>
      </c>
      <c r="K145" s="460">
        <f t="shared" si="18"/>
        <v>1700000</v>
      </c>
      <c r="L145" s="460"/>
      <c r="M145" s="459"/>
      <c r="N145" s="459"/>
      <c r="O145" s="459"/>
      <c r="P145" s="459">
        <v>1700000</v>
      </c>
      <c r="Q145" s="28">
        <f t="shared" si="16"/>
        <v>0</v>
      </c>
      <c r="R145" s="197"/>
      <c r="S145" s="197">
        <v>44324</v>
      </c>
      <c r="T145" s="199">
        <v>14</v>
      </c>
      <c r="U145" s="24">
        <f t="shared" si="20"/>
        <v>44301</v>
      </c>
      <c r="V145"/>
      <c r="W145"/>
      <c r="X145"/>
      <c r="Y145"/>
      <c r="Z145"/>
      <c r="AA145"/>
      <c r="AB145"/>
      <c r="AC145"/>
      <c r="AD145"/>
      <c r="AE145"/>
      <c r="AF145"/>
      <c r="AG145"/>
      <c r="AH145"/>
      <c r="AI145"/>
      <c r="AJ145"/>
      <c r="AK145"/>
      <c r="AL145"/>
      <c r="AM145"/>
      <c r="AN145"/>
      <c r="AO145"/>
      <c r="AP145"/>
      <c r="AQ145"/>
    </row>
    <row r="146" spans="1:43" s="10" customFormat="1" ht="15.75" customHeight="1" x14ac:dyDescent="0.25">
      <c r="A146" s="55">
        <f t="shared" si="17"/>
        <v>54</v>
      </c>
      <c r="B146" s="56">
        <v>44279</v>
      </c>
      <c r="C146" s="58"/>
      <c r="D146" s="58"/>
      <c r="E146" s="58"/>
      <c r="F146" s="23" t="s">
        <v>215</v>
      </c>
      <c r="G146" s="126" t="s">
        <v>537</v>
      </c>
      <c r="H146" s="45">
        <v>2500000</v>
      </c>
      <c r="I146" s="380" t="s">
        <v>535</v>
      </c>
      <c r="J146" s="301">
        <v>44287</v>
      </c>
      <c r="K146" s="460">
        <f t="shared" si="18"/>
        <v>2500000</v>
      </c>
      <c r="L146" s="460">
        <v>1750000</v>
      </c>
      <c r="M146" s="459"/>
      <c r="N146" s="459"/>
      <c r="O146" s="459"/>
      <c r="P146" s="459"/>
      <c r="Q146" s="28">
        <f t="shared" si="16"/>
        <v>750000</v>
      </c>
      <c r="R146" s="199"/>
      <c r="S146" s="199"/>
      <c r="T146" s="199">
        <v>60</v>
      </c>
      <c r="U146" s="24">
        <f t="shared" si="20"/>
        <v>44347</v>
      </c>
      <c r="V146"/>
      <c r="W146"/>
      <c r="X146"/>
      <c r="Y146"/>
      <c r="Z146"/>
      <c r="AA146"/>
      <c r="AB146"/>
      <c r="AC146"/>
      <c r="AD146"/>
      <c r="AE146"/>
      <c r="AF146"/>
      <c r="AG146"/>
      <c r="AH146"/>
      <c r="AI146"/>
      <c r="AJ146"/>
      <c r="AK146"/>
      <c r="AL146"/>
      <c r="AM146"/>
      <c r="AN146"/>
      <c r="AO146"/>
      <c r="AP146"/>
      <c r="AQ146"/>
    </row>
    <row r="147" spans="1:43" s="10" customFormat="1" ht="15.75" customHeight="1" x14ac:dyDescent="0.25">
      <c r="A147" s="55">
        <f t="shared" si="17"/>
        <v>55</v>
      </c>
      <c r="B147" s="361">
        <v>44236</v>
      </c>
      <c r="C147" s="58"/>
      <c r="D147" s="58"/>
      <c r="E147" s="58"/>
      <c r="F147" s="53" t="s">
        <v>260</v>
      </c>
      <c r="G147" s="126" t="s">
        <v>155</v>
      </c>
      <c r="H147" s="45">
        <v>2490000</v>
      </c>
      <c r="I147" s="380" t="s">
        <v>648</v>
      </c>
      <c r="J147" s="301">
        <v>44306</v>
      </c>
      <c r="K147" s="460">
        <f t="shared" si="18"/>
        <v>2490000</v>
      </c>
      <c r="L147" s="460"/>
      <c r="M147" s="459"/>
      <c r="N147" s="459"/>
      <c r="O147" s="459"/>
      <c r="P147" s="459">
        <v>2490000</v>
      </c>
      <c r="Q147" s="28">
        <f t="shared" si="16"/>
        <v>0</v>
      </c>
      <c r="R147" s="197"/>
      <c r="S147" s="197">
        <v>44321</v>
      </c>
      <c r="T147" s="199">
        <v>30</v>
      </c>
      <c r="U147" s="24">
        <f t="shared" si="20"/>
        <v>44336</v>
      </c>
      <c r="V147"/>
      <c r="W147"/>
      <c r="X147"/>
      <c r="Y147"/>
      <c r="Z147"/>
      <c r="AA147"/>
      <c r="AB147"/>
      <c r="AC147"/>
      <c r="AD147"/>
      <c r="AE147"/>
      <c r="AF147"/>
      <c r="AG147"/>
      <c r="AH147"/>
      <c r="AI147"/>
      <c r="AJ147"/>
      <c r="AK147"/>
      <c r="AL147"/>
      <c r="AM147"/>
      <c r="AN147"/>
      <c r="AO147"/>
      <c r="AP147"/>
      <c r="AQ147"/>
    </row>
    <row r="148" spans="1:43" s="10" customFormat="1" ht="15.75" customHeight="1" x14ac:dyDescent="0.25">
      <c r="A148" s="55">
        <f t="shared" si="17"/>
        <v>56</v>
      </c>
      <c r="B148" s="361">
        <v>44267</v>
      </c>
      <c r="C148" s="58"/>
      <c r="D148" s="58"/>
      <c r="E148" s="58"/>
      <c r="F148" s="53" t="s">
        <v>2317</v>
      </c>
      <c r="G148" s="126" t="s">
        <v>538</v>
      </c>
      <c r="H148" s="45">
        <v>4500000</v>
      </c>
      <c r="I148" s="380"/>
      <c r="J148" s="301"/>
      <c r="K148" s="460">
        <f t="shared" si="18"/>
        <v>4500000</v>
      </c>
      <c r="L148" s="460"/>
      <c r="M148" s="459"/>
      <c r="N148" s="459"/>
      <c r="O148" s="459"/>
      <c r="P148" s="459"/>
      <c r="Q148" s="28">
        <f t="shared" si="16"/>
        <v>4500000</v>
      </c>
      <c r="R148" s="199"/>
      <c r="S148" s="199"/>
      <c r="T148" s="199">
        <v>60</v>
      </c>
      <c r="U148" s="24">
        <f t="shared" si="20"/>
        <v>60</v>
      </c>
      <c r="V148"/>
      <c r="W148"/>
      <c r="X148"/>
      <c r="Y148"/>
      <c r="Z148"/>
      <c r="AA148"/>
      <c r="AB148"/>
      <c r="AC148"/>
      <c r="AD148"/>
      <c r="AE148"/>
      <c r="AF148"/>
      <c r="AG148"/>
      <c r="AH148"/>
      <c r="AI148"/>
      <c r="AJ148"/>
      <c r="AK148"/>
      <c r="AL148"/>
      <c r="AM148"/>
      <c r="AN148"/>
      <c r="AO148"/>
      <c r="AP148"/>
      <c r="AQ148"/>
    </row>
    <row r="149" spans="1:43" s="10" customFormat="1" ht="15.75" customHeight="1" x14ac:dyDescent="0.25">
      <c r="A149" s="55">
        <f t="shared" si="17"/>
        <v>57</v>
      </c>
      <c r="B149" s="56">
        <v>44270</v>
      </c>
      <c r="C149" s="58" t="s">
        <v>540</v>
      </c>
      <c r="D149" s="58"/>
      <c r="E149" s="58"/>
      <c r="F149" s="53" t="s">
        <v>2317</v>
      </c>
      <c r="G149" s="123" t="s">
        <v>13</v>
      </c>
      <c r="H149" s="45">
        <v>300000</v>
      </c>
      <c r="I149" s="380" t="s">
        <v>669</v>
      </c>
      <c r="J149" s="301">
        <v>44313</v>
      </c>
      <c r="K149" s="460">
        <f t="shared" si="18"/>
        <v>300000</v>
      </c>
      <c r="L149" s="460"/>
      <c r="M149" s="459"/>
      <c r="N149" s="459"/>
      <c r="O149" s="459"/>
      <c r="P149" s="459"/>
      <c r="Q149" s="28">
        <f t="shared" si="16"/>
        <v>300000</v>
      </c>
      <c r="R149" s="199"/>
      <c r="S149" s="199"/>
      <c r="T149" s="199">
        <v>60</v>
      </c>
      <c r="U149" s="24">
        <f t="shared" si="20"/>
        <v>44373</v>
      </c>
      <c r="V149"/>
      <c r="W149"/>
      <c r="X149"/>
      <c r="Y149"/>
      <c r="Z149"/>
      <c r="AA149"/>
      <c r="AB149"/>
      <c r="AC149"/>
      <c r="AD149"/>
      <c r="AE149"/>
      <c r="AF149"/>
      <c r="AG149"/>
      <c r="AH149"/>
      <c r="AI149"/>
      <c r="AJ149"/>
      <c r="AK149"/>
      <c r="AL149"/>
      <c r="AM149"/>
      <c r="AN149"/>
      <c r="AO149"/>
      <c r="AP149"/>
      <c r="AQ149"/>
    </row>
    <row r="150" spans="1:43" s="10" customFormat="1" ht="15.75" customHeight="1" x14ac:dyDescent="0.25">
      <c r="A150" s="55">
        <f t="shared" si="17"/>
        <v>58</v>
      </c>
      <c r="B150" s="56">
        <v>44275</v>
      </c>
      <c r="C150" s="58"/>
      <c r="D150" s="58"/>
      <c r="E150" s="58"/>
      <c r="F150" s="167" t="s">
        <v>51</v>
      </c>
      <c r="G150" s="123" t="s">
        <v>543</v>
      </c>
      <c r="H150" s="45">
        <v>5500000</v>
      </c>
      <c r="I150" s="380" t="s">
        <v>615</v>
      </c>
      <c r="J150" s="301">
        <v>44298</v>
      </c>
      <c r="K150" s="460">
        <f t="shared" si="18"/>
        <v>5500000</v>
      </c>
      <c r="L150" s="460">
        <v>4000000</v>
      </c>
      <c r="M150" s="459"/>
      <c r="N150" s="459"/>
      <c r="O150" s="459"/>
      <c r="P150" s="459">
        <v>1500000</v>
      </c>
      <c r="Q150" s="28">
        <f t="shared" si="16"/>
        <v>0</v>
      </c>
      <c r="R150" s="197">
        <v>44320</v>
      </c>
      <c r="S150" s="197"/>
      <c r="T150" s="199">
        <v>14</v>
      </c>
      <c r="U150" s="24">
        <f t="shared" si="20"/>
        <v>44312</v>
      </c>
      <c r="V150"/>
      <c r="W150"/>
      <c r="X150"/>
      <c r="Y150"/>
      <c r="Z150"/>
      <c r="AA150"/>
      <c r="AB150"/>
      <c r="AC150"/>
      <c r="AD150"/>
      <c r="AE150"/>
      <c r="AF150"/>
      <c r="AG150"/>
      <c r="AH150"/>
      <c r="AI150"/>
      <c r="AJ150"/>
      <c r="AK150"/>
      <c r="AL150"/>
      <c r="AM150"/>
      <c r="AN150"/>
      <c r="AO150"/>
      <c r="AP150"/>
      <c r="AQ150"/>
    </row>
    <row r="151" spans="1:43" s="10" customFormat="1" ht="15.75" customHeight="1" x14ac:dyDescent="0.25">
      <c r="A151" s="55">
        <f t="shared" si="17"/>
        <v>59</v>
      </c>
      <c r="B151" s="56">
        <v>44277</v>
      </c>
      <c r="C151" s="58"/>
      <c r="D151" s="58"/>
      <c r="E151" s="58"/>
      <c r="F151" s="167" t="s">
        <v>51</v>
      </c>
      <c r="G151" s="126" t="s">
        <v>541</v>
      </c>
      <c r="H151" s="45">
        <v>10300000</v>
      </c>
      <c r="I151" s="380" t="s">
        <v>547</v>
      </c>
      <c r="J151" s="301">
        <v>44291</v>
      </c>
      <c r="K151" s="460">
        <f t="shared" si="18"/>
        <v>10300000</v>
      </c>
      <c r="L151" s="460">
        <v>7500000</v>
      </c>
      <c r="M151" s="459"/>
      <c r="N151" s="459"/>
      <c r="O151" s="459"/>
      <c r="P151" s="459">
        <v>2800000</v>
      </c>
      <c r="Q151" s="28">
        <f t="shared" si="16"/>
        <v>0</v>
      </c>
      <c r="R151" s="197">
        <v>44309</v>
      </c>
      <c r="S151" s="197"/>
      <c r="T151" s="199">
        <v>14</v>
      </c>
      <c r="U151" s="24">
        <f t="shared" si="20"/>
        <v>44305</v>
      </c>
      <c r="V151"/>
      <c r="W151"/>
      <c r="X151"/>
      <c r="Y151"/>
      <c r="Z151"/>
      <c r="AA151"/>
      <c r="AB151"/>
      <c r="AC151"/>
      <c r="AD151"/>
      <c r="AE151"/>
      <c r="AF151"/>
      <c r="AG151"/>
      <c r="AH151"/>
      <c r="AI151"/>
      <c r="AJ151"/>
      <c r="AK151"/>
      <c r="AL151"/>
      <c r="AM151"/>
      <c r="AN151"/>
      <c r="AO151"/>
      <c r="AP151"/>
      <c r="AQ151"/>
    </row>
    <row r="152" spans="1:43" s="10" customFormat="1" ht="15.75" customHeight="1" x14ac:dyDescent="0.25">
      <c r="A152" s="55">
        <f t="shared" si="17"/>
        <v>60</v>
      </c>
      <c r="B152" s="56">
        <v>44277</v>
      </c>
      <c r="C152" s="58"/>
      <c r="D152" s="58"/>
      <c r="E152" s="58"/>
      <c r="F152" s="167" t="s">
        <v>51</v>
      </c>
      <c r="G152" s="126" t="s">
        <v>542</v>
      </c>
      <c r="H152" s="45">
        <v>5500000</v>
      </c>
      <c r="I152" s="380" t="s">
        <v>632</v>
      </c>
      <c r="J152" s="301">
        <v>44305</v>
      </c>
      <c r="K152" s="460">
        <f t="shared" si="18"/>
        <v>5500000</v>
      </c>
      <c r="L152" s="460">
        <v>3500000</v>
      </c>
      <c r="M152" s="459"/>
      <c r="N152" s="459"/>
      <c r="O152" s="459"/>
      <c r="P152" s="459">
        <v>2000000</v>
      </c>
      <c r="Q152" s="28">
        <f t="shared" si="16"/>
        <v>0</v>
      </c>
      <c r="R152" s="197">
        <v>44324</v>
      </c>
      <c r="S152" s="197"/>
      <c r="T152" s="199">
        <v>14</v>
      </c>
      <c r="U152" s="24">
        <f t="shared" si="20"/>
        <v>44319</v>
      </c>
      <c r="V152"/>
      <c r="W152"/>
      <c r="X152"/>
      <c r="Y152"/>
      <c r="Z152"/>
      <c r="AA152"/>
      <c r="AB152"/>
      <c r="AC152"/>
      <c r="AD152"/>
      <c r="AE152"/>
      <c r="AF152"/>
      <c r="AG152"/>
      <c r="AH152"/>
      <c r="AI152"/>
      <c r="AJ152"/>
      <c r="AK152"/>
      <c r="AL152"/>
      <c r="AM152"/>
      <c r="AN152"/>
      <c r="AO152"/>
      <c r="AP152"/>
      <c r="AQ152"/>
    </row>
    <row r="153" spans="1:43" s="10" customFormat="1" ht="15.75" customHeight="1" x14ac:dyDescent="0.25">
      <c r="A153" s="55">
        <f t="shared" si="17"/>
        <v>61</v>
      </c>
      <c r="B153" s="56">
        <v>44279</v>
      </c>
      <c r="C153" s="58">
        <v>402540</v>
      </c>
      <c r="D153" s="58"/>
      <c r="E153" s="58"/>
      <c r="F153" s="53" t="s">
        <v>115</v>
      </c>
      <c r="G153" s="126" t="s">
        <v>544</v>
      </c>
      <c r="H153" s="45">
        <v>4116000</v>
      </c>
      <c r="I153" s="380" t="s">
        <v>602</v>
      </c>
      <c r="J153" s="301">
        <v>44309</v>
      </c>
      <c r="K153" s="28">
        <f t="shared" si="18"/>
        <v>4116000</v>
      </c>
      <c r="L153" s="460"/>
      <c r="M153" s="460">
        <v>293000</v>
      </c>
      <c r="N153" s="28">
        <f>K153*1%</f>
        <v>41160</v>
      </c>
      <c r="O153" s="28">
        <f>K153*2%</f>
        <v>82320</v>
      </c>
      <c r="P153" s="459">
        <v>3781840</v>
      </c>
      <c r="Q153" s="28">
        <f t="shared" si="16"/>
        <v>0</v>
      </c>
      <c r="R153" s="197"/>
      <c r="S153" s="197">
        <v>44321</v>
      </c>
      <c r="T153" s="199">
        <v>14</v>
      </c>
      <c r="U153" s="24">
        <f t="shared" si="20"/>
        <v>44323</v>
      </c>
      <c r="V153"/>
      <c r="W153"/>
      <c r="X153"/>
      <c r="Y153"/>
      <c r="Z153"/>
      <c r="AA153"/>
      <c r="AB153"/>
      <c r="AC153"/>
      <c r="AD153"/>
      <c r="AE153"/>
      <c r="AF153"/>
      <c r="AG153"/>
      <c r="AH153"/>
      <c r="AI153"/>
      <c r="AJ153"/>
      <c r="AK153"/>
      <c r="AL153"/>
      <c r="AM153"/>
      <c r="AN153"/>
      <c r="AO153"/>
      <c r="AP153"/>
      <c r="AQ153"/>
    </row>
    <row r="154" spans="1:43" s="10" customFormat="1" ht="15.75" customHeight="1" x14ac:dyDescent="0.25">
      <c r="A154" s="55">
        <f t="shared" si="17"/>
        <v>62</v>
      </c>
      <c r="B154" s="56">
        <v>44282</v>
      </c>
      <c r="C154" s="58" t="s">
        <v>545</v>
      </c>
      <c r="D154" s="58"/>
      <c r="E154" s="58"/>
      <c r="F154" s="53" t="s">
        <v>2317</v>
      </c>
      <c r="G154" s="123" t="s">
        <v>13</v>
      </c>
      <c r="H154" s="45">
        <v>300000</v>
      </c>
      <c r="I154" s="380" t="s">
        <v>669</v>
      </c>
      <c r="J154" s="301">
        <v>44313</v>
      </c>
      <c r="K154" s="460">
        <f t="shared" si="18"/>
        <v>300000</v>
      </c>
      <c r="L154" s="460"/>
      <c r="M154" s="459"/>
      <c r="N154" s="459"/>
      <c r="O154" s="459"/>
      <c r="P154" s="459"/>
      <c r="Q154" s="28">
        <f t="shared" si="16"/>
        <v>300000</v>
      </c>
      <c r="R154" s="199"/>
      <c r="S154" s="199"/>
      <c r="T154" s="199">
        <v>60</v>
      </c>
      <c r="U154" s="24">
        <f t="shared" si="20"/>
        <v>44373</v>
      </c>
      <c r="V154"/>
      <c r="W154"/>
      <c r="X154"/>
      <c r="Y154"/>
      <c r="Z154"/>
      <c r="AA154"/>
      <c r="AB154"/>
      <c r="AC154"/>
      <c r="AD154"/>
      <c r="AE154"/>
      <c r="AF154"/>
      <c r="AG154"/>
      <c r="AH154"/>
      <c r="AI154"/>
      <c r="AJ154"/>
      <c r="AK154"/>
      <c r="AL154"/>
      <c r="AM154"/>
      <c r="AN154"/>
      <c r="AO154"/>
      <c r="AP154"/>
      <c r="AQ154"/>
    </row>
    <row r="155" spans="1:43" s="10" customFormat="1" ht="15.75" customHeight="1" x14ac:dyDescent="0.25">
      <c r="A155" s="55">
        <f t="shared" si="17"/>
        <v>63</v>
      </c>
      <c r="B155" s="56">
        <v>44282</v>
      </c>
      <c r="C155" s="58" t="s">
        <v>546</v>
      </c>
      <c r="D155" s="58"/>
      <c r="E155" s="58"/>
      <c r="F155" s="53" t="s">
        <v>2317</v>
      </c>
      <c r="G155" s="126" t="s">
        <v>24</v>
      </c>
      <c r="H155" s="45">
        <v>450000</v>
      </c>
      <c r="I155" s="380" t="s">
        <v>669</v>
      </c>
      <c r="J155" s="301">
        <v>44313</v>
      </c>
      <c r="K155" s="460">
        <f t="shared" ref="K155" si="21">H155</f>
        <v>450000</v>
      </c>
      <c r="L155" s="460"/>
      <c r="M155" s="459"/>
      <c r="N155" s="459"/>
      <c r="O155" s="459"/>
      <c r="P155" s="459"/>
      <c r="Q155" s="28">
        <f t="shared" si="16"/>
        <v>450000</v>
      </c>
      <c r="R155" s="199"/>
      <c r="S155" s="199"/>
      <c r="T155" s="199">
        <v>60</v>
      </c>
      <c r="U155" s="24">
        <f t="shared" si="20"/>
        <v>44373</v>
      </c>
      <c r="V155"/>
      <c r="W155"/>
      <c r="X155"/>
      <c r="Y155"/>
      <c r="Z155"/>
      <c r="AA155"/>
      <c r="AB155"/>
      <c r="AC155"/>
      <c r="AD155"/>
      <c r="AE155"/>
      <c r="AF155"/>
      <c r="AG155"/>
      <c r="AH155"/>
      <c r="AI155"/>
      <c r="AJ155"/>
      <c r="AK155"/>
      <c r="AL155"/>
      <c r="AM155"/>
      <c r="AN155"/>
      <c r="AO155"/>
      <c r="AP155"/>
      <c r="AQ155"/>
    </row>
    <row r="156" spans="1:43" s="10" customFormat="1" ht="32.25" customHeight="1" x14ac:dyDescent="0.25">
      <c r="A156" s="999" t="s">
        <v>552</v>
      </c>
      <c r="B156" s="999"/>
      <c r="C156" s="999"/>
      <c r="D156" s="999"/>
      <c r="E156" s="999"/>
      <c r="F156" s="999"/>
      <c r="G156" s="999"/>
      <c r="H156" s="999"/>
      <c r="I156" s="999"/>
      <c r="J156" s="999"/>
      <c r="K156" s="473"/>
      <c r="L156" s="473"/>
      <c r="M156" s="473"/>
      <c r="N156" s="473"/>
      <c r="O156" s="473"/>
      <c r="P156" s="473"/>
      <c r="Q156" s="51">
        <f>SUM(Q93:Q155)</f>
        <v>6300000.0000000009</v>
      </c>
      <c r="R156" s="479"/>
      <c r="S156" s="479"/>
      <c r="T156" s="479"/>
      <c r="U156" s="24">
        <f t="shared" ref="U156:U191" si="22">J156+T156</f>
        <v>0</v>
      </c>
      <c r="V156"/>
      <c r="W156"/>
      <c r="X156"/>
      <c r="Y156"/>
      <c r="Z156"/>
      <c r="AA156"/>
      <c r="AB156"/>
      <c r="AC156"/>
      <c r="AD156"/>
      <c r="AE156"/>
      <c r="AF156"/>
      <c r="AG156"/>
      <c r="AH156"/>
      <c r="AI156"/>
      <c r="AJ156"/>
      <c r="AK156"/>
      <c r="AL156"/>
      <c r="AM156"/>
      <c r="AN156"/>
      <c r="AO156"/>
      <c r="AP156"/>
      <c r="AQ156"/>
    </row>
    <row r="157" spans="1:43" s="10" customFormat="1" ht="15.75" customHeight="1" x14ac:dyDescent="0.25">
      <c r="A157" s="55">
        <v>1</v>
      </c>
      <c r="B157" s="79">
        <v>44288</v>
      </c>
      <c r="C157" s="58"/>
      <c r="D157" s="58"/>
      <c r="E157" s="58"/>
      <c r="F157" s="111" t="s">
        <v>279</v>
      </c>
      <c r="G157" s="126" t="s">
        <v>417</v>
      </c>
      <c r="H157" s="45">
        <v>2079207.9</v>
      </c>
      <c r="I157" s="380" t="s">
        <v>562</v>
      </c>
      <c r="J157" s="301">
        <v>44294</v>
      </c>
      <c r="K157" s="28">
        <f t="shared" ref="K157:K179" si="23">H157</f>
        <v>2079207.9</v>
      </c>
      <c r="L157" s="460"/>
      <c r="M157" s="459"/>
      <c r="N157" s="28">
        <f t="shared" ref="N157:N179" si="24">K157*1%</f>
        <v>20792.078999999998</v>
      </c>
      <c r="O157" s="28">
        <f t="shared" ref="O157:O179" si="25">K157*2%</f>
        <v>41584.157999999996</v>
      </c>
      <c r="P157" s="459">
        <v>2058415.8209999998</v>
      </c>
      <c r="Q157" s="28">
        <f t="shared" ref="Q157:Q219" si="26">K157-L157-M157-O157-P157+N157</f>
        <v>8.7311491370201111E-11</v>
      </c>
      <c r="R157" s="197"/>
      <c r="S157" s="197">
        <v>44336</v>
      </c>
      <c r="T157" s="2">
        <v>30</v>
      </c>
      <c r="U157" s="24">
        <f t="shared" si="22"/>
        <v>44324</v>
      </c>
      <c r="V157"/>
      <c r="W157"/>
      <c r="X157"/>
      <c r="Y157"/>
      <c r="Z157"/>
      <c r="AA157"/>
      <c r="AB157"/>
      <c r="AC157"/>
      <c r="AD157"/>
      <c r="AE157"/>
      <c r="AF157"/>
      <c r="AG157"/>
      <c r="AH157"/>
      <c r="AI157"/>
      <c r="AJ157"/>
      <c r="AK157"/>
      <c r="AL157"/>
      <c r="AM157"/>
      <c r="AN157"/>
      <c r="AO157"/>
      <c r="AP157"/>
      <c r="AQ157"/>
    </row>
    <row r="158" spans="1:43" s="10" customFormat="1" ht="15.75" customHeight="1" x14ac:dyDescent="0.25">
      <c r="A158" s="55">
        <f>A157+1</f>
        <v>2</v>
      </c>
      <c r="B158" s="79">
        <v>44293</v>
      </c>
      <c r="C158" s="58"/>
      <c r="D158" s="58"/>
      <c r="E158" s="58"/>
      <c r="F158" s="111" t="s">
        <v>279</v>
      </c>
      <c r="G158" s="126" t="s">
        <v>417</v>
      </c>
      <c r="H158" s="45">
        <v>1980198</v>
      </c>
      <c r="I158" s="380" t="s">
        <v>563</v>
      </c>
      <c r="J158" s="301">
        <v>44294</v>
      </c>
      <c r="K158" s="28">
        <f t="shared" si="23"/>
        <v>1980198</v>
      </c>
      <c r="L158" s="460"/>
      <c r="M158" s="459"/>
      <c r="N158" s="28">
        <f t="shared" si="24"/>
        <v>19801.98</v>
      </c>
      <c r="O158" s="28">
        <f t="shared" si="25"/>
        <v>39603.96</v>
      </c>
      <c r="P158" s="459">
        <v>1960396.02</v>
      </c>
      <c r="Q158" s="28">
        <f t="shared" si="26"/>
        <v>0</v>
      </c>
      <c r="R158" s="197"/>
      <c r="S158" s="197">
        <v>44336</v>
      </c>
      <c r="T158" s="2">
        <v>30</v>
      </c>
      <c r="U158" s="24">
        <f t="shared" si="22"/>
        <v>44324</v>
      </c>
      <c r="V158"/>
      <c r="W158"/>
      <c r="X158"/>
      <c r="Y158"/>
      <c r="Z158"/>
      <c r="AA158"/>
      <c r="AB158"/>
      <c r="AC158"/>
      <c r="AD158"/>
      <c r="AE158"/>
      <c r="AF158"/>
      <c r="AG158"/>
      <c r="AH158"/>
      <c r="AI158"/>
      <c r="AJ158"/>
      <c r="AK158"/>
      <c r="AL158"/>
      <c r="AM158"/>
      <c r="AN158"/>
      <c r="AO158"/>
      <c r="AP158"/>
      <c r="AQ158"/>
    </row>
    <row r="159" spans="1:43" s="10" customFormat="1" ht="15.75" customHeight="1" x14ac:dyDescent="0.25">
      <c r="A159" s="55">
        <f t="shared" ref="A159:A219" si="27">A158+1</f>
        <v>3</v>
      </c>
      <c r="B159" s="56">
        <v>44295</v>
      </c>
      <c r="C159" s="58"/>
      <c r="D159" s="58"/>
      <c r="E159" s="58"/>
      <c r="F159" s="111" t="s">
        <v>279</v>
      </c>
      <c r="G159" s="126" t="s">
        <v>417</v>
      </c>
      <c r="H159" s="45">
        <v>1683168</v>
      </c>
      <c r="I159" s="380" t="s">
        <v>564</v>
      </c>
      <c r="J159" s="301">
        <v>44298</v>
      </c>
      <c r="K159" s="28">
        <f t="shared" si="23"/>
        <v>1683168</v>
      </c>
      <c r="L159" s="460"/>
      <c r="M159" s="459"/>
      <c r="N159" s="28">
        <f t="shared" si="24"/>
        <v>16831.68</v>
      </c>
      <c r="O159" s="28">
        <f t="shared" si="25"/>
        <v>33663.360000000001</v>
      </c>
      <c r="P159" s="459">
        <v>1666336.3199999998</v>
      </c>
      <c r="Q159" s="28">
        <f t="shared" si="26"/>
        <v>6.5483618527650833E-11</v>
      </c>
      <c r="R159" s="197"/>
      <c r="S159" s="197">
        <v>44351</v>
      </c>
      <c r="T159" s="2">
        <v>30</v>
      </c>
      <c r="U159" s="24">
        <f t="shared" si="22"/>
        <v>44328</v>
      </c>
      <c r="V159"/>
      <c r="W159"/>
      <c r="X159"/>
      <c r="Y159"/>
      <c r="Z159"/>
      <c r="AA159"/>
      <c r="AB159"/>
      <c r="AC159"/>
      <c r="AD159"/>
      <c r="AE159"/>
      <c r="AF159"/>
      <c r="AG159"/>
      <c r="AH159"/>
      <c r="AI159"/>
      <c r="AJ159"/>
      <c r="AK159"/>
      <c r="AL159"/>
      <c r="AM159"/>
      <c r="AN159"/>
      <c r="AO159"/>
      <c r="AP159"/>
      <c r="AQ159"/>
    </row>
    <row r="160" spans="1:43" s="10" customFormat="1" ht="15.75" customHeight="1" x14ac:dyDescent="0.25">
      <c r="A160" s="55">
        <f t="shared" si="27"/>
        <v>4</v>
      </c>
      <c r="B160" s="56">
        <v>44286</v>
      </c>
      <c r="C160" s="58"/>
      <c r="D160" s="58"/>
      <c r="E160" s="58" t="s">
        <v>567</v>
      </c>
      <c r="F160" s="53" t="s">
        <v>566</v>
      </c>
      <c r="G160" s="126" t="s">
        <v>161</v>
      </c>
      <c r="H160" s="45">
        <v>1600000</v>
      </c>
      <c r="I160" s="380" t="s">
        <v>565</v>
      </c>
      <c r="J160" s="301">
        <v>44298</v>
      </c>
      <c r="K160" s="28">
        <f t="shared" si="23"/>
        <v>1600000</v>
      </c>
      <c r="L160" s="460"/>
      <c r="M160" s="459"/>
      <c r="N160" s="28">
        <f t="shared" si="24"/>
        <v>16000</v>
      </c>
      <c r="O160" s="28">
        <f t="shared" si="25"/>
        <v>32000</v>
      </c>
      <c r="P160" s="459">
        <v>1584000</v>
      </c>
      <c r="Q160" s="28">
        <f t="shared" si="26"/>
        <v>0</v>
      </c>
      <c r="R160" s="197">
        <v>44370</v>
      </c>
      <c r="S160" s="197"/>
      <c r="T160" s="199">
        <v>14</v>
      </c>
      <c r="U160" s="24">
        <f t="shared" si="22"/>
        <v>44312</v>
      </c>
      <c r="V160"/>
      <c r="W160"/>
      <c r="X160"/>
      <c r="Y160"/>
      <c r="Z160"/>
      <c r="AA160"/>
      <c r="AB160"/>
      <c r="AC160"/>
      <c r="AD160"/>
      <c r="AE160"/>
      <c r="AF160"/>
      <c r="AG160"/>
      <c r="AH160"/>
      <c r="AI160"/>
      <c r="AJ160"/>
      <c r="AK160"/>
      <c r="AL160"/>
      <c r="AM160"/>
      <c r="AN160"/>
      <c r="AO160"/>
      <c r="AP160"/>
      <c r="AQ160"/>
    </row>
    <row r="161" spans="1:43" s="10" customFormat="1" ht="15.75" customHeight="1" x14ac:dyDescent="0.25">
      <c r="A161" s="55">
        <f t="shared" si="27"/>
        <v>5</v>
      </c>
      <c r="B161" s="56">
        <v>44299</v>
      </c>
      <c r="C161" s="58"/>
      <c r="D161" s="58"/>
      <c r="E161" s="58" t="s">
        <v>569</v>
      </c>
      <c r="F161" s="112" t="s">
        <v>1098</v>
      </c>
      <c r="G161" s="126" t="s">
        <v>462</v>
      </c>
      <c r="H161" s="45">
        <v>6138613.7999999998</v>
      </c>
      <c r="I161" s="380" t="s">
        <v>568</v>
      </c>
      <c r="J161" s="301">
        <v>44299</v>
      </c>
      <c r="K161" s="28">
        <f t="shared" si="23"/>
        <v>6138613.7999999998</v>
      </c>
      <c r="L161" s="125">
        <v>3881188</v>
      </c>
      <c r="M161" s="459"/>
      <c r="N161" s="28">
        <f t="shared" si="24"/>
        <v>61386.137999999999</v>
      </c>
      <c r="O161" s="28">
        <f t="shared" si="25"/>
        <v>122772.276</v>
      </c>
      <c r="P161" s="459">
        <v>2196040</v>
      </c>
      <c r="Q161" s="28">
        <f t="shared" si="26"/>
        <v>-0.33800000025803456</v>
      </c>
      <c r="R161" s="197">
        <v>44309</v>
      </c>
      <c r="S161" s="197"/>
      <c r="T161" s="199">
        <v>14</v>
      </c>
      <c r="U161" s="24">
        <f t="shared" si="22"/>
        <v>44313</v>
      </c>
      <c r="V161"/>
      <c r="W161"/>
      <c r="X161"/>
      <c r="Y161"/>
      <c r="Z161"/>
      <c r="AA161"/>
      <c r="AB161"/>
      <c r="AC161"/>
      <c r="AD161"/>
      <c r="AE161"/>
      <c r="AF161"/>
      <c r="AG161"/>
      <c r="AH161"/>
      <c r="AI161"/>
      <c r="AJ161"/>
      <c r="AK161"/>
      <c r="AL161"/>
      <c r="AM161"/>
      <c r="AN161"/>
      <c r="AO161"/>
      <c r="AP161"/>
      <c r="AQ161"/>
    </row>
    <row r="162" spans="1:43" s="10" customFormat="1" ht="15.75" customHeight="1" x14ac:dyDescent="0.25">
      <c r="A162" s="55">
        <f t="shared" si="27"/>
        <v>6</v>
      </c>
      <c r="B162" s="56"/>
      <c r="C162" s="58"/>
      <c r="D162" s="58"/>
      <c r="E162" s="58"/>
      <c r="F162" s="53" t="s">
        <v>154</v>
      </c>
      <c r="G162" s="126" t="s">
        <v>136</v>
      </c>
      <c r="H162" s="45">
        <v>5109400</v>
      </c>
      <c r="I162" s="380" t="s">
        <v>570</v>
      </c>
      <c r="J162" s="301">
        <v>44300</v>
      </c>
      <c r="K162" s="28">
        <f t="shared" si="23"/>
        <v>5109400</v>
      </c>
      <c r="L162" s="460"/>
      <c r="M162" s="460">
        <v>2858202</v>
      </c>
      <c r="N162" s="28">
        <f t="shared" si="24"/>
        <v>51094</v>
      </c>
      <c r="O162" s="28">
        <f t="shared" si="25"/>
        <v>102188</v>
      </c>
      <c r="P162" s="460">
        <v>2200104</v>
      </c>
      <c r="Q162" s="28">
        <f t="shared" si="26"/>
        <v>0</v>
      </c>
      <c r="R162" s="197">
        <v>44363</v>
      </c>
      <c r="S162" s="197"/>
      <c r="T162" s="199">
        <v>60</v>
      </c>
      <c r="U162" s="24">
        <f t="shared" si="22"/>
        <v>44360</v>
      </c>
      <c r="V162"/>
      <c r="W162"/>
      <c r="X162"/>
      <c r="Y162"/>
      <c r="Z162"/>
      <c r="AA162"/>
      <c r="AB162"/>
      <c r="AC162"/>
      <c r="AD162"/>
      <c r="AE162"/>
      <c r="AF162"/>
      <c r="AG162"/>
      <c r="AH162"/>
      <c r="AI162"/>
      <c r="AJ162"/>
      <c r="AK162"/>
      <c r="AL162"/>
      <c r="AM162"/>
      <c r="AN162"/>
      <c r="AO162"/>
      <c r="AP162"/>
      <c r="AQ162"/>
    </row>
    <row r="163" spans="1:43" s="10" customFormat="1" ht="15.75" customHeight="1" x14ac:dyDescent="0.25">
      <c r="A163" s="55">
        <f t="shared" si="27"/>
        <v>7</v>
      </c>
      <c r="B163" s="56">
        <v>44294</v>
      </c>
      <c r="C163" s="58"/>
      <c r="D163" s="58"/>
      <c r="E163" s="58"/>
      <c r="F163" s="112" t="s">
        <v>1123</v>
      </c>
      <c r="G163" s="126" t="s">
        <v>572</v>
      </c>
      <c r="H163" s="45">
        <v>292000</v>
      </c>
      <c r="I163" s="380" t="s">
        <v>571</v>
      </c>
      <c r="J163" s="301">
        <v>44300</v>
      </c>
      <c r="K163" s="28">
        <f t="shared" si="23"/>
        <v>292000</v>
      </c>
      <c r="L163" s="460"/>
      <c r="M163" s="459"/>
      <c r="N163" s="28">
        <f t="shared" si="24"/>
        <v>2920</v>
      </c>
      <c r="O163" s="28">
        <f t="shared" si="25"/>
        <v>5840</v>
      </c>
      <c r="P163" s="459">
        <v>289080</v>
      </c>
      <c r="Q163" s="28">
        <f t="shared" si="26"/>
        <v>0</v>
      </c>
      <c r="R163" s="197"/>
      <c r="S163" s="197">
        <v>44309</v>
      </c>
      <c r="T163" s="2">
        <v>30</v>
      </c>
      <c r="U163" s="24">
        <f t="shared" si="22"/>
        <v>44330</v>
      </c>
      <c r="V163"/>
      <c r="W163"/>
      <c r="X163"/>
      <c r="Y163"/>
      <c r="Z163"/>
      <c r="AA163"/>
      <c r="AB163"/>
      <c r="AC163"/>
      <c r="AD163"/>
      <c r="AE163"/>
      <c r="AF163"/>
      <c r="AG163"/>
      <c r="AH163"/>
      <c r="AI163"/>
      <c r="AJ163"/>
      <c r="AK163"/>
      <c r="AL163"/>
      <c r="AM163"/>
      <c r="AN163"/>
      <c r="AO163"/>
      <c r="AP163"/>
      <c r="AQ163"/>
    </row>
    <row r="164" spans="1:43" s="10" customFormat="1" ht="15.75" customHeight="1" x14ac:dyDescent="0.25">
      <c r="A164" s="55">
        <f t="shared" si="27"/>
        <v>8</v>
      </c>
      <c r="B164" s="56">
        <v>44285</v>
      </c>
      <c r="C164" s="58"/>
      <c r="D164" s="58"/>
      <c r="E164" s="58"/>
      <c r="F164" s="53" t="s">
        <v>574</v>
      </c>
      <c r="G164" s="126" t="s">
        <v>575</v>
      </c>
      <c r="H164" s="45">
        <v>1565000</v>
      </c>
      <c r="I164" s="380" t="s">
        <v>573</v>
      </c>
      <c r="J164" s="301">
        <v>44301</v>
      </c>
      <c r="K164" s="28">
        <f t="shared" si="23"/>
        <v>1565000</v>
      </c>
      <c r="L164" s="460"/>
      <c r="M164" s="459"/>
      <c r="N164" s="28">
        <f t="shared" si="24"/>
        <v>15650</v>
      </c>
      <c r="O164" s="28">
        <f t="shared" si="25"/>
        <v>31300</v>
      </c>
      <c r="P164" s="459">
        <v>1549350</v>
      </c>
      <c r="Q164" s="28">
        <f t="shared" si="26"/>
        <v>0</v>
      </c>
      <c r="R164" s="197">
        <v>44333</v>
      </c>
      <c r="S164" s="197">
        <v>44340</v>
      </c>
      <c r="T164" s="199">
        <v>30</v>
      </c>
      <c r="U164" s="24">
        <f t="shared" si="22"/>
        <v>44331</v>
      </c>
      <c r="V164"/>
      <c r="W164"/>
      <c r="X164"/>
      <c r="Y164"/>
      <c r="Z164"/>
      <c r="AA164"/>
      <c r="AB164"/>
      <c r="AC164"/>
      <c r="AD164"/>
      <c r="AE164"/>
      <c r="AF164"/>
      <c r="AG164"/>
      <c r="AH164"/>
      <c r="AI164"/>
      <c r="AJ164"/>
      <c r="AK164"/>
      <c r="AL164"/>
      <c r="AM164"/>
      <c r="AN164"/>
      <c r="AO164"/>
      <c r="AP164"/>
      <c r="AQ164"/>
    </row>
    <row r="165" spans="1:43" s="10" customFormat="1" ht="15.75" customHeight="1" x14ac:dyDescent="0.25">
      <c r="A165" s="55">
        <f t="shared" si="27"/>
        <v>9</v>
      </c>
      <c r="B165" s="56">
        <v>44299</v>
      </c>
      <c r="C165" s="58" t="s">
        <v>577</v>
      </c>
      <c r="D165" s="58"/>
      <c r="E165" s="58"/>
      <c r="F165" s="112" t="s">
        <v>1098</v>
      </c>
      <c r="G165" s="126" t="s">
        <v>462</v>
      </c>
      <c r="H165" s="45">
        <v>2178217.7999999998</v>
      </c>
      <c r="I165" s="380" t="s">
        <v>576</v>
      </c>
      <c r="J165" s="301">
        <v>44306</v>
      </c>
      <c r="K165" s="28">
        <f t="shared" si="23"/>
        <v>2178217.7999999998</v>
      </c>
      <c r="L165" s="460"/>
      <c r="M165" s="459"/>
      <c r="N165" s="28">
        <f t="shared" si="24"/>
        <v>21782.178</v>
      </c>
      <c r="O165" s="28">
        <f t="shared" si="25"/>
        <v>43564.356</v>
      </c>
      <c r="P165" s="459">
        <v>2156436</v>
      </c>
      <c r="Q165" s="28">
        <f t="shared" si="26"/>
        <v>-0.37800000033166725</v>
      </c>
      <c r="R165" s="197">
        <v>44309</v>
      </c>
      <c r="S165" s="197"/>
      <c r="T165" s="199">
        <v>14</v>
      </c>
      <c r="U165" s="24">
        <f t="shared" si="22"/>
        <v>44320</v>
      </c>
      <c r="V165"/>
      <c r="W165"/>
      <c r="X165"/>
      <c r="Y165"/>
      <c r="Z165"/>
      <c r="AA165"/>
      <c r="AB165"/>
      <c r="AC165"/>
      <c r="AD165"/>
      <c r="AE165"/>
      <c r="AF165"/>
      <c r="AG165"/>
      <c r="AH165"/>
      <c r="AI165"/>
      <c r="AJ165"/>
      <c r="AK165"/>
      <c r="AL165"/>
      <c r="AM165"/>
      <c r="AN165"/>
      <c r="AO165"/>
      <c r="AP165"/>
      <c r="AQ165"/>
    </row>
    <row r="166" spans="1:43" s="10" customFormat="1" ht="15.75" customHeight="1" x14ac:dyDescent="0.25">
      <c r="A166" s="55">
        <f t="shared" si="27"/>
        <v>10</v>
      </c>
      <c r="B166" s="56">
        <v>44302</v>
      </c>
      <c r="C166" s="58"/>
      <c r="D166" s="58"/>
      <c r="E166" s="58"/>
      <c r="F166" s="112" t="s">
        <v>1098</v>
      </c>
      <c r="G166" s="126" t="s">
        <v>161</v>
      </c>
      <c r="H166" s="45">
        <v>790000</v>
      </c>
      <c r="I166" s="380" t="s">
        <v>578</v>
      </c>
      <c r="J166" s="301">
        <v>44308</v>
      </c>
      <c r="K166" s="28">
        <f t="shared" si="23"/>
        <v>790000</v>
      </c>
      <c r="L166" s="460"/>
      <c r="M166" s="459"/>
      <c r="N166" s="28">
        <f t="shared" si="24"/>
        <v>7900</v>
      </c>
      <c r="O166" s="28">
        <f t="shared" si="25"/>
        <v>15800</v>
      </c>
      <c r="P166" s="459">
        <v>782100</v>
      </c>
      <c r="Q166" s="28">
        <f t="shared" si="26"/>
        <v>0</v>
      </c>
      <c r="R166" s="197">
        <v>44309</v>
      </c>
      <c r="S166" s="197"/>
      <c r="T166" s="199">
        <v>14</v>
      </c>
      <c r="U166" s="24">
        <f t="shared" si="22"/>
        <v>44322</v>
      </c>
      <c r="V166"/>
      <c r="W166"/>
      <c r="X166"/>
      <c r="Y166"/>
      <c r="Z166"/>
      <c r="AA166"/>
      <c r="AB166"/>
      <c r="AC166"/>
      <c r="AD166"/>
      <c r="AE166"/>
      <c r="AF166"/>
      <c r="AG166"/>
      <c r="AH166"/>
      <c r="AI166"/>
      <c r="AJ166"/>
      <c r="AK166"/>
      <c r="AL166"/>
      <c r="AM166"/>
      <c r="AN166"/>
      <c r="AO166"/>
      <c r="AP166"/>
      <c r="AQ166"/>
    </row>
    <row r="167" spans="1:43" s="10" customFormat="1" ht="15.75" customHeight="1" x14ac:dyDescent="0.25">
      <c r="A167" s="55">
        <f t="shared" si="27"/>
        <v>11</v>
      </c>
      <c r="B167" s="56">
        <v>44299</v>
      </c>
      <c r="C167" s="58" t="s">
        <v>581</v>
      </c>
      <c r="D167" s="58"/>
      <c r="E167" s="58"/>
      <c r="F167" s="111" t="s">
        <v>279</v>
      </c>
      <c r="G167" s="126" t="s">
        <v>582</v>
      </c>
      <c r="H167" s="45">
        <v>5099009.9000000004</v>
      </c>
      <c r="I167" s="380" t="s">
        <v>580</v>
      </c>
      <c r="J167" s="301">
        <v>44308</v>
      </c>
      <c r="K167" s="28">
        <f t="shared" si="23"/>
        <v>5099009.9000000004</v>
      </c>
      <c r="L167" s="460"/>
      <c r="M167" s="459"/>
      <c r="N167" s="28">
        <f t="shared" si="24"/>
        <v>50990.099000000002</v>
      </c>
      <c r="O167" s="28">
        <f t="shared" si="25"/>
        <v>101980.198</v>
      </c>
      <c r="P167" s="459">
        <v>5048019.8010000009</v>
      </c>
      <c r="Q167" s="28">
        <f t="shared" si="26"/>
        <v>-3.92901711165905E-10</v>
      </c>
      <c r="R167" s="197"/>
      <c r="S167" s="197">
        <v>44351</v>
      </c>
      <c r="T167" s="2">
        <v>30</v>
      </c>
      <c r="U167" s="24">
        <f t="shared" si="22"/>
        <v>44338</v>
      </c>
      <c r="V167"/>
      <c r="W167"/>
      <c r="X167"/>
      <c r="Y167"/>
      <c r="Z167"/>
      <c r="AA167"/>
      <c r="AB167"/>
      <c r="AC167"/>
      <c r="AD167"/>
      <c r="AE167"/>
      <c r="AF167"/>
      <c r="AG167"/>
      <c r="AH167"/>
      <c r="AI167"/>
      <c r="AJ167"/>
      <c r="AK167"/>
      <c r="AL167"/>
      <c r="AM167"/>
      <c r="AN167"/>
      <c r="AO167"/>
      <c r="AP167"/>
      <c r="AQ167"/>
    </row>
    <row r="168" spans="1:43" s="10" customFormat="1" ht="15.75" customHeight="1" x14ac:dyDescent="0.25">
      <c r="A168" s="55">
        <f t="shared" si="27"/>
        <v>12</v>
      </c>
      <c r="B168" s="56">
        <v>44306</v>
      </c>
      <c r="C168" s="58"/>
      <c r="D168" s="58"/>
      <c r="E168" s="58"/>
      <c r="F168" s="111" t="s">
        <v>279</v>
      </c>
      <c r="G168" s="126" t="s">
        <v>584</v>
      </c>
      <c r="H168" s="45">
        <v>4158415.8</v>
      </c>
      <c r="I168" s="380" t="s">
        <v>583</v>
      </c>
      <c r="J168" s="301">
        <v>44308</v>
      </c>
      <c r="K168" s="28">
        <f t="shared" si="23"/>
        <v>4158415.8</v>
      </c>
      <c r="L168" s="460"/>
      <c r="M168" s="459"/>
      <c r="N168" s="28">
        <f t="shared" si="24"/>
        <v>41584.157999999996</v>
      </c>
      <c r="O168" s="28">
        <f t="shared" si="25"/>
        <v>83168.315999999992</v>
      </c>
      <c r="P168" s="459">
        <v>4116831.6419999995</v>
      </c>
      <c r="Q168" s="28">
        <f t="shared" si="26"/>
        <v>1.7462298274040222E-10</v>
      </c>
      <c r="R168" s="197"/>
      <c r="S168" s="197">
        <v>44351</v>
      </c>
      <c r="T168" s="2">
        <v>30</v>
      </c>
      <c r="U168" s="24">
        <f t="shared" si="22"/>
        <v>44338</v>
      </c>
      <c r="V168"/>
      <c r="W168"/>
      <c r="X168"/>
      <c r="Y168"/>
      <c r="Z168"/>
      <c r="AA168"/>
      <c r="AB168"/>
      <c r="AC168"/>
      <c r="AD168"/>
      <c r="AE168"/>
      <c r="AF168"/>
      <c r="AG168"/>
      <c r="AH168"/>
      <c r="AI168"/>
      <c r="AJ168"/>
      <c r="AK168"/>
      <c r="AL168"/>
      <c r="AM168"/>
      <c r="AN168"/>
      <c r="AO168"/>
      <c r="AP168"/>
      <c r="AQ168"/>
    </row>
    <row r="169" spans="1:43" s="10" customFormat="1" ht="15.75" customHeight="1" x14ac:dyDescent="0.25">
      <c r="A169" s="55">
        <f t="shared" si="27"/>
        <v>13</v>
      </c>
      <c r="B169" s="56">
        <v>44306</v>
      </c>
      <c r="C169" s="58"/>
      <c r="D169" s="58"/>
      <c r="E169" s="58"/>
      <c r="F169" s="111" t="s">
        <v>279</v>
      </c>
      <c r="G169" s="126" t="s">
        <v>421</v>
      </c>
      <c r="H169" s="63">
        <v>1485148.5</v>
      </c>
      <c r="I169" s="380" t="s">
        <v>585</v>
      </c>
      <c r="J169" s="301">
        <v>44308</v>
      </c>
      <c r="K169" s="28">
        <f t="shared" si="23"/>
        <v>1485148.5</v>
      </c>
      <c r="L169" s="460"/>
      <c r="M169" s="459"/>
      <c r="N169" s="28">
        <f t="shared" si="24"/>
        <v>14851.485000000001</v>
      </c>
      <c r="O169" s="28">
        <f t="shared" si="25"/>
        <v>29702.97</v>
      </c>
      <c r="P169" s="459">
        <v>1470297.0150000001</v>
      </c>
      <c r="Q169" s="28">
        <f t="shared" si="26"/>
        <v>-1.0186340659856796E-10</v>
      </c>
      <c r="R169" s="197"/>
      <c r="S169" s="197">
        <v>44351</v>
      </c>
      <c r="T169" s="2">
        <v>30</v>
      </c>
      <c r="U169" s="24">
        <f t="shared" si="22"/>
        <v>44338</v>
      </c>
      <c r="V169"/>
      <c r="W169"/>
      <c r="X169"/>
      <c r="Y169"/>
      <c r="Z169"/>
      <c r="AA169"/>
      <c r="AB169"/>
      <c r="AC169"/>
      <c r="AD169"/>
      <c r="AE169"/>
      <c r="AF169"/>
      <c r="AG169"/>
      <c r="AH169"/>
      <c r="AI169"/>
      <c r="AJ169"/>
      <c r="AK169"/>
      <c r="AL169"/>
      <c r="AM169"/>
      <c r="AN169"/>
      <c r="AO169"/>
      <c r="AP169"/>
      <c r="AQ169"/>
    </row>
    <row r="170" spans="1:43" s="10" customFormat="1" ht="15.75" customHeight="1" x14ac:dyDescent="0.25">
      <c r="A170" s="55">
        <f t="shared" si="27"/>
        <v>14</v>
      </c>
      <c r="B170" s="56">
        <v>44308</v>
      </c>
      <c r="C170" s="58"/>
      <c r="D170" s="58"/>
      <c r="E170" s="58"/>
      <c r="F170" s="111" t="s">
        <v>279</v>
      </c>
      <c r="G170" s="126" t="s">
        <v>421</v>
      </c>
      <c r="H170" s="63">
        <v>1485148.5</v>
      </c>
      <c r="I170" s="380" t="s">
        <v>586</v>
      </c>
      <c r="J170" s="301">
        <v>44308</v>
      </c>
      <c r="K170" s="28">
        <f t="shared" si="23"/>
        <v>1485148.5</v>
      </c>
      <c r="L170" s="460"/>
      <c r="M170" s="459"/>
      <c r="N170" s="28">
        <f t="shared" si="24"/>
        <v>14851.485000000001</v>
      </c>
      <c r="O170" s="28">
        <f t="shared" si="25"/>
        <v>29702.97</v>
      </c>
      <c r="P170" s="459">
        <v>1470297.0150000001</v>
      </c>
      <c r="Q170" s="28">
        <f t="shared" si="26"/>
        <v>-1.0186340659856796E-10</v>
      </c>
      <c r="R170" s="197"/>
      <c r="S170" s="197">
        <v>44351</v>
      </c>
      <c r="T170" s="2">
        <v>30</v>
      </c>
      <c r="U170" s="24">
        <f t="shared" si="22"/>
        <v>44338</v>
      </c>
      <c r="V170"/>
      <c r="W170"/>
      <c r="X170"/>
      <c r="Y170"/>
      <c r="Z170"/>
      <c r="AA170"/>
      <c r="AB170"/>
      <c r="AC170"/>
      <c r="AD170"/>
      <c r="AE170"/>
      <c r="AF170"/>
      <c r="AG170"/>
      <c r="AH170"/>
      <c r="AI170"/>
      <c r="AJ170"/>
      <c r="AK170"/>
      <c r="AL170"/>
      <c r="AM170"/>
      <c r="AN170"/>
      <c r="AO170"/>
      <c r="AP170"/>
      <c r="AQ170"/>
    </row>
    <row r="171" spans="1:43" s="10" customFormat="1" ht="15.75" customHeight="1" x14ac:dyDescent="0.25">
      <c r="A171" s="55">
        <f t="shared" si="27"/>
        <v>15</v>
      </c>
      <c r="B171" s="56">
        <v>44305</v>
      </c>
      <c r="C171" s="58" t="s">
        <v>588</v>
      </c>
      <c r="D171" s="58"/>
      <c r="E171" s="58"/>
      <c r="F171" s="53" t="s">
        <v>428</v>
      </c>
      <c r="G171" s="126" t="s">
        <v>503</v>
      </c>
      <c r="H171" s="45">
        <v>2654000</v>
      </c>
      <c r="I171" s="380" t="s">
        <v>587</v>
      </c>
      <c r="J171" s="301">
        <v>44308</v>
      </c>
      <c r="K171" s="28">
        <f t="shared" si="23"/>
        <v>2654000</v>
      </c>
      <c r="L171" s="460"/>
      <c r="M171" s="459"/>
      <c r="N171" s="28">
        <f t="shared" si="24"/>
        <v>26540</v>
      </c>
      <c r="O171" s="28">
        <f t="shared" si="25"/>
        <v>53080</v>
      </c>
      <c r="P171" s="459">
        <v>2627460</v>
      </c>
      <c r="Q171" s="28">
        <f t="shared" si="26"/>
        <v>0</v>
      </c>
      <c r="R171" s="197">
        <v>44319</v>
      </c>
      <c r="S171" s="197"/>
      <c r="T171" s="199">
        <v>14</v>
      </c>
      <c r="U171" s="24">
        <f t="shared" si="22"/>
        <v>44322</v>
      </c>
      <c r="V171"/>
      <c r="W171"/>
      <c r="X171"/>
      <c r="Y171"/>
      <c r="Z171"/>
      <c r="AA171"/>
      <c r="AB171"/>
      <c r="AC171"/>
      <c r="AD171"/>
      <c r="AE171"/>
      <c r="AF171"/>
      <c r="AG171"/>
      <c r="AH171"/>
      <c r="AI171"/>
      <c r="AJ171"/>
      <c r="AK171"/>
      <c r="AL171"/>
      <c r="AM171"/>
      <c r="AN171"/>
      <c r="AO171"/>
      <c r="AP171"/>
      <c r="AQ171"/>
    </row>
    <row r="172" spans="1:43" s="10" customFormat="1" ht="15.75" customHeight="1" x14ac:dyDescent="0.25">
      <c r="A172" s="55">
        <f t="shared" si="27"/>
        <v>16</v>
      </c>
      <c r="B172" s="56">
        <v>44305</v>
      </c>
      <c r="C172" s="58" t="s">
        <v>591</v>
      </c>
      <c r="D172" s="58"/>
      <c r="E172" s="58"/>
      <c r="F172" s="53" t="s">
        <v>590</v>
      </c>
      <c r="G172" s="126" t="s">
        <v>592</v>
      </c>
      <c r="H172" s="45">
        <v>2175000</v>
      </c>
      <c r="I172" s="380" t="s">
        <v>589</v>
      </c>
      <c r="J172" s="301">
        <v>44308</v>
      </c>
      <c r="K172" s="28">
        <f t="shared" si="23"/>
        <v>2175000</v>
      </c>
      <c r="L172" s="460"/>
      <c r="M172" s="459"/>
      <c r="N172" s="28">
        <f t="shared" si="24"/>
        <v>21750</v>
      </c>
      <c r="O172" s="28">
        <f t="shared" si="25"/>
        <v>43500</v>
      </c>
      <c r="P172" s="459">
        <v>2153250</v>
      </c>
      <c r="Q172" s="28">
        <f t="shared" si="26"/>
        <v>0</v>
      </c>
      <c r="R172" s="197">
        <v>44319</v>
      </c>
      <c r="S172" s="197"/>
      <c r="T172" s="199">
        <v>14</v>
      </c>
      <c r="U172" s="24">
        <f t="shared" si="22"/>
        <v>44322</v>
      </c>
      <c r="V172"/>
      <c r="W172"/>
      <c r="X172"/>
      <c r="Y172"/>
      <c r="Z172"/>
      <c r="AA172"/>
      <c r="AB172"/>
      <c r="AC172"/>
      <c r="AD172"/>
      <c r="AE172"/>
      <c r="AF172"/>
      <c r="AG172"/>
      <c r="AH172"/>
      <c r="AI172"/>
      <c r="AJ172"/>
      <c r="AK172"/>
      <c r="AL172"/>
      <c r="AM172"/>
      <c r="AN172"/>
      <c r="AO172"/>
      <c r="AP172"/>
      <c r="AQ172"/>
    </row>
    <row r="173" spans="1:43" s="10" customFormat="1" ht="15.75" customHeight="1" x14ac:dyDescent="0.25">
      <c r="A173" s="55">
        <f t="shared" si="27"/>
        <v>17</v>
      </c>
      <c r="B173" s="56">
        <v>44305</v>
      </c>
      <c r="C173" s="58" t="s">
        <v>595</v>
      </c>
      <c r="D173" s="58"/>
      <c r="E173" s="58"/>
      <c r="F173" s="53" t="s">
        <v>590</v>
      </c>
      <c r="G173" s="126" t="s">
        <v>594</v>
      </c>
      <c r="H173" s="45">
        <v>4710000</v>
      </c>
      <c r="I173" s="380" t="s">
        <v>593</v>
      </c>
      <c r="J173" s="301">
        <v>44308</v>
      </c>
      <c r="K173" s="28">
        <f t="shared" si="23"/>
        <v>4710000</v>
      </c>
      <c r="L173" s="460"/>
      <c r="M173" s="459"/>
      <c r="N173" s="28">
        <f t="shared" si="24"/>
        <v>47100</v>
      </c>
      <c r="O173" s="28">
        <f t="shared" si="25"/>
        <v>94200</v>
      </c>
      <c r="P173" s="459">
        <v>4662900</v>
      </c>
      <c r="Q173" s="28">
        <f t="shared" si="26"/>
        <v>0</v>
      </c>
      <c r="R173" s="197">
        <v>44319</v>
      </c>
      <c r="S173" s="197"/>
      <c r="T173" s="199">
        <v>14</v>
      </c>
      <c r="U173" s="24">
        <f t="shared" si="22"/>
        <v>44322</v>
      </c>
      <c r="V173"/>
      <c r="W173"/>
      <c r="X173"/>
      <c r="Y173"/>
      <c r="Z173"/>
      <c r="AA173"/>
      <c r="AB173"/>
      <c r="AC173"/>
      <c r="AD173"/>
      <c r="AE173"/>
      <c r="AF173"/>
      <c r="AG173"/>
      <c r="AH173"/>
      <c r="AI173"/>
      <c r="AJ173"/>
      <c r="AK173"/>
      <c r="AL173"/>
      <c r="AM173"/>
      <c r="AN173"/>
      <c r="AO173"/>
      <c r="AP173"/>
      <c r="AQ173"/>
    </row>
    <row r="174" spans="1:43" s="10" customFormat="1" ht="15.75" customHeight="1" x14ac:dyDescent="0.25">
      <c r="A174" s="55">
        <f t="shared" si="27"/>
        <v>18</v>
      </c>
      <c r="B174" s="56">
        <v>44306</v>
      </c>
      <c r="C174" s="58" t="s">
        <v>597</v>
      </c>
      <c r="D174" s="58"/>
      <c r="E174" s="58"/>
      <c r="F174" s="53" t="s">
        <v>590</v>
      </c>
      <c r="G174" s="126" t="s">
        <v>598</v>
      </c>
      <c r="H174" s="45">
        <v>812000</v>
      </c>
      <c r="I174" s="380" t="s">
        <v>596</v>
      </c>
      <c r="J174" s="301">
        <v>44308</v>
      </c>
      <c r="K174" s="28">
        <f t="shared" si="23"/>
        <v>812000</v>
      </c>
      <c r="L174" s="460"/>
      <c r="M174" s="459"/>
      <c r="N174" s="28">
        <f t="shared" si="24"/>
        <v>8120</v>
      </c>
      <c r="O174" s="28">
        <f t="shared" si="25"/>
        <v>16240</v>
      </c>
      <c r="P174" s="459">
        <v>803880</v>
      </c>
      <c r="Q174" s="28">
        <f t="shared" si="26"/>
        <v>0</v>
      </c>
      <c r="R174" s="197">
        <v>44319</v>
      </c>
      <c r="S174" s="197"/>
      <c r="T174" s="199">
        <v>14</v>
      </c>
      <c r="U174" s="24">
        <f t="shared" si="22"/>
        <v>44322</v>
      </c>
      <c r="V174"/>
      <c r="W174"/>
      <c r="X174"/>
      <c r="Y174"/>
      <c r="Z174"/>
      <c r="AA174"/>
      <c r="AB174"/>
      <c r="AC174"/>
      <c r="AD174"/>
      <c r="AE174"/>
      <c r="AF174"/>
      <c r="AG174"/>
      <c r="AH174"/>
      <c r="AI174"/>
      <c r="AJ174"/>
      <c r="AK174"/>
      <c r="AL174"/>
      <c r="AM174"/>
      <c r="AN174"/>
      <c r="AO174"/>
      <c r="AP174"/>
      <c r="AQ174"/>
    </row>
    <row r="175" spans="1:43" s="10" customFormat="1" ht="15.75" customHeight="1" x14ac:dyDescent="0.25">
      <c r="A175" s="55">
        <f t="shared" si="27"/>
        <v>19</v>
      </c>
      <c r="B175" s="56">
        <v>44307</v>
      </c>
      <c r="C175" s="58" t="s">
        <v>600</v>
      </c>
      <c r="D175" s="58"/>
      <c r="E175" s="58"/>
      <c r="F175" s="69" t="s">
        <v>2457</v>
      </c>
      <c r="G175" s="126" t="s">
        <v>601</v>
      </c>
      <c r="H175" s="45">
        <v>2500000</v>
      </c>
      <c r="I175" s="380" t="s">
        <v>599</v>
      </c>
      <c r="J175" s="301">
        <v>44308</v>
      </c>
      <c r="K175" s="28">
        <f t="shared" si="23"/>
        <v>2500000</v>
      </c>
      <c r="L175" s="460"/>
      <c r="M175" s="459"/>
      <c r="N175" s="28">
        <f t="shared" si="24"/>
        <v>25000</v>
      </c>
      <c r="O175" s="28">
        <f t="shared" si="25"/>
        <v>50000</v>
      </c>
      <c r="P175" s="459">
        <v>2475000</v>
      </c>
      <c r="Q175" s="28">
        <f t="shared" si="26"/>
        <v>0</v>
      </c>
      <c r="R175" s="197"/>
      <c r="S175" s="197">
        <v>44362</v>
      </c>
      <c r="T175" s="2">
        <v>30</v>
      </c>
      <c r="U175" s="24">
        <f t="shared" si="22"/>
        <v>44338</v>
      </c>
      <c r="V175"/>
      <c r="W175"/>
      <c r="X175"/>
      <c r="Y175"/>
      <c r="Z175"/>
      <c r="AA175"/>
      <c r="AB175"/>
      <c r="AC175"/>
      <c r="AD175"/>
      <c r="AE175"/>
      <c r="AF175"/>
      <c r="AG175"/>
      <c r="AH175"/>
      <c r="AI175"/>
      <c r="AJ175"/>
      <c r="AK175"/>
      <c r="AL175"/>
      <c r="AM175"/>
      <c r="AN175"/>
      <c r="AO175"/>
      <c r="AP175"/>
      <c r="AQ175"/>
    </row>
    <row r="176" spans="1:43" s="10" customFormat="1" ht="15.75" customHeight="1" x14ac:dyDescent="0.25">
      <c r="A176" s="55">
        <f t="shared" si="27"/>
        <v>20</v>
      </c>
      <c r="B176" s="56">
        <v>44307</v>
      </c>
      <c r="C176" s="58">
        <v>2800182184</v>
      </c>
      <c r="D176" s="58"/>
      <c r="E176" s="58"/>
      <c r="F176" s="53" t="s">
        <v>553</v>
      </c>
      <c r="G176" s="126" t="s">
        <v>604</v>
      </c>
      <c r="H176" s="45">
        <v>1060000</v>
      </c>
      <c r="I176" s="380" t="s">
        <v>603</v>
      </c>
      <c r="J176" s="301">
        <v>44313</v>
      </c>
      <c r="K176" s="28">
        <f t="shared" si="23"/>
        <v>1060000</v>
      </c>
      <c r="L176" s="460"/>
      <c r="M176" s="459"/>
      <c r="N176" s="28">
        <f t="shared" si="24"/>
        <v>10600</v>
      </c>
      <c r="O176" s="28">
        <f t="shared" si="25"/>
        <v>21200</v>
      </c>
      <c r="P176" s="459">
        <v>1049400</v>
      </c>
      <c r="Q176" s="28">
        <f t="shared" si="26"/>
        <v>0</v>
      </c>
      <c r="R176" s="197"/>
      <c r="S176" s="197">
        <v>44344</v>
      </c>
      <c r="T176" s="2">
        <v>14</v>
      </c>
      <c r="U176" s="24">
        <f t="shared" si="22"/>
        <v>44327</v>
      </c>
      <c r="V176"/>
      <c r="W176"/>
      <c r="X176"/>
      <c r="Y176"/>
      <c r="Z176"/>
      <c r="AA176"/>
      <c r="AB176"/>
      <c r="AC176"/>
      <c r="AD176"/>
      <c r="AE176"/>
      <c r="AF176"/>
      <c r="AG176"/>
      <c r="AH176"/>
      <c r="AI176"/>
      <c r="AJ176"/>
      <c r="AK176"/>
      <c r="AL176"/>
      <c r="AM176"/>
      <c r="AN176"/>
      <c r="AO176"/>
      <c r="AP176"/>
      <c r="AQ176"/>
    </row>
    <row r="177" spans="1:43" s="10" customFormat="1" ht="15.75" customHeight="1" x14ac:dyDescent="0.25">
      <c r="A177" s="55">
        <f t="shared" si="27"/>
        <v>21</v>
      </c>
      <c r="B177" s="56">
        <v>44286</v>
      </c>
      <c r="C177" s="58"/>
      <c r="D177" s="58"/>
      <c r="E177" s="58"/>
      <c r="F177" s="53" t="s">
        <v>513</v>
      </c>
      <c r="G177" s="126" t="s">
        <v>606</v>
      </c>
      <c r="H177" s="45">
        <v>17990500</v>
      </c>
      <c r="I177" s="380" t="s">
        <v>605</v>
      </c>
      <c r="J177" s="301">
        <v>44314</v>
      </c>
      <c r="K177" s="28">
        <f t="shared" si="23"/>
        <v>17990500</v>
      </c>
      <c r="L177" s="460"/>
      <c r="M177" s="459"/>
      <c r="N177" s="28">
        <f t="shared" si="24"/>
        <v>179905</v>
      </c>
      <c r="O177" s="28">
        <f t="shared" si="25"/>
        <v>359810</v>
      </c>
      <c r="P177" s="459">
        <v>17810595</v>
      </c>
      <c r="Q177" s="28">
        <f t="shared" si="26"/>
        <v>0</v>
      </c>
      <c r="R177" s="197">
        <v>44378</v>
      </c>
      <c r="S177" s="197"/>
      <c r="T177" s="199">
        <v>30</v>
      </c>
      <c r="U177" s="24">
        <f t="shared" si="22"/>
        <v>44344</v>
      </c>
      <c r="V177"/>
      <c r="W177"/>
      <c r="X177"/>
      <c r="Y177"/>
      <c r="Z177"/>
      <c r="AA177"/>
      <c r="AB177"/>
      <c r="AC177"/>
      <c r="AD177"/>
      <c r="AE177"/>
      <c r="AF177"/>
      <c r="AG177"/>
      <c r="AH177"/>
      <c r="AI177"/>
      <c r="AJ177"/>
      <c r="AK177"/>
      <c r="AL177"/>
      <c r="AM177"/>
      <c r="AN177"/>
      <c r="AO177"/>
      <c r="AP177"/>
      <c r="AQ177"/>
    </row>
    <row r="178" spans="1:43" s="10" customFormat="1" ht="15.75" customHeight="1" x14ac:dyDescent="0.25">
      <c r="A178" s="55">
        <f t="shared" si="27"/>
        <v>22</v>
      </c>
      <c r="B178" s="56">
        <v>44298</v>
      </c>
      <c r="C178" s="58"/>
      <c r="D178" s="58"/>
      <c r="E178" s="58"/>
      <c r="F178" s="53" t="s">
        <v>513</v>
      </c>
      <c r="G178" s="126" t="s">
        <v>608</v>
      </c>
      <c r="H178" s="45">
        <v>4818000</v>
      </c>
      <c r="I178" s="380" t="s">
        <v>607</v>
      </c>
      <c r="J178" s="301">
        <v>44314</v>
      </c>
      <c r="K178" s="28">
        <f t="shared" si="23"/>
        <v>4818000</v>
      </c>
      <c r="L178" s="460"/>
      <c r="M178" s="459"/>
      <c r="N178" s="28">
        <f t="shared" si="24"/>
        <v>48180</v>
      </c>
      <c r="O178" s="28">
        <f t="shared" si="25"/>
        <v>96360</v>
      </c>
      <c r="P178" s="459">
        <v>4769820</v>
      </c>
      <c r="Q178" s="28">
        <f t="shared" si="26"/>
        <v>0</v>
      </c>
      <c r="R178" s="197">
        <v>44343</v>
      </c>
      <c r="S178" s="197"/>
      <c r="T178" s="199">
        <v>30</v>
      </c>
      <c r="U178" s="24">
        <f t="shared" si="22"/>
        <v>44344</v>
      </c>
      <c r="V178"/>
      <c r="W178"/>
      <c r="X178"/>
      <c r="Y178"/>
      <c r="Z178"/>
      <c r="AA178"/>
      <c r="AB178"/>
      <c r="AC178"/>
      <c r="AD178"/>
      <c r="AE178"/>
      <c r="AF178"/>
      <c r="AG178"/>
      <c r="AH178"/>
      <c r="AI178"/>
      <c r="AJ178"/>
      <c r="AK178"/>
      <c r="AL178"/>
      <c r="AM178"/>
      <c r="AN178"/>
      <c r="AO178"/>
      <c r="AP178"/>
      <c r="AQ178"/>
    </row>
    <row r="179" spans="1:43" s="10" customFormat="1" ht="15" customHeight="1" x14ac:dyDescent="0.25">
      <c r="A179" s="55">
        <f t="shared" si="27"/>
        <v>23</v>
      </c>
      <c r="B179" s="56">
        <v>44302</v>
      </c>
      <c r="C179" s="137"/>
      <c r="D179" s="137"/>
      <c r="E179" s="137"/>
      <c r="F179" s="112" t="s">
        <v>1123</v>
      </c>
      <c r="G179" s="126" t="s">
        <v>610</v>
      </c>
      <c r="H179" s="45">
        <v>726000</v>
      </c>
      <c r="I179" s="380" t="s">
        <v>609</v>
      </c>
      <c r="J179" s="301">
        <v>44315</v>
      </c>
      <c r="K179" s="28">
        <f t="shared" si="23"/>
        <v>726000</v>
      </c>
      <c r="L179" s="460"/>
      <c r="M179" s="459"/>
      <c r="N179" s="28">
        <f t="shared" si="24"/>
        <v>7260</v>
      </c>
      <c r="O179" s="28">
        <f t="shared" si="25"/>
        <v>14520</v>
      </c>
      <c r="P179" s="459">
        <v>718740</v>
      </c>
      <c r="Q179" s="28">
        <f t="shared" si="26"/>
        <v>0</v>
      </c>
      <c r="R179" s="197"/>
      <c r="S179" s="197">
        <v>44340</v>
      </c>
      <c r="T179" s="2">
        <v>30</v>
      </c>
      <c r="U179" s="24">
        <f t="shared" si="22"/>
        <v>44345</v>
      </c>
      <c r="V179"/>
      <c r="W179"/>
      <c r="X179"/>
      <c r="Y179"/>
      <c r="Z179"/>
      <c r="AA179"/>
      <c r="AB179"/>
      <c r="AC179"/>
      <c r="AD179"/>
      <c r="AE179"/>
      <c r="AF179"/>
      <c r="AG179"/>
      <c r="AH179"/>
      <c r="AI179"/>
      <c r="AJ179"/>
      <c r="AK179"/>
      <c r="AL179"/>
      <c r="AM179"/>
      <c r="AN179"/>
      <c r="AO179"/>
      <c r="AP179"/>
      <c r="AQ179"/>
    </row>
    <row r="180" spans="1:43" s="10" customFormat="1" ht="15.75" customHeight="1" x14ac:dyDescent="0.25">
      <c r="A180" s="55">
        <f t="shared" si="27"/>
        <v>24</v>
      </c>
      <c r="B180" s="56">
        <v>44293</v>
      </c>
      <c r="C180" s="58"/>
      <c r="D180" s="58"/>
      <c r="E180" s="58"/>
      <c r="F180" s="53" t="s">
        <v>612</v>
      </c>
      <c r="G180" s="126" t="s">
        <v>613</v>
      </c>
      <c r="H180" s="45">
        <v>3030400</v>
      </c>
      <c r="I180" s="380" t="s">
        <v>611</v>
      </c>
      <c r="J180" s="301">
        <v>44293</v>
      </c>
      <c r="K180" s="460">
        <f t="shared" ref="K180:K215" si="28">H180</f>
        <v>3030400</v>
      </c>
      <c r="L180" s="460"/>
      <c r="M180" s="459"/>
      <c r="N180" s="459"/>
      <c r="O180" s="459"/>
      <c r="P180" s="459">
        <v>3030400</v>
      </c>
      <c r="Q180" s="28">
        <f t="shared" si="26"/>
        <v>0</v>
      </c>
      <c r="R180" s="197"/>
      <c r="S180" s="197">
        <v>44293</v>
      </c>
      <c r="T180" s="199">
        <v>14</v>
      </c>
      <c r="U180" s="24">
        <f t="shared" si="22"/>
        <v>44307</v>
      </c>
      <c r="V180"/>
      <c r="W180"/>
      <c r="X180"/>
      <c r="Y180"/>
      <c r="Z180"/>
      <c r="AA180"/>
      <c r="AB180"/>
      <c r="AC180"/>
      <c r="AD180"/>
      <c r="AE180"/>
      <c r="AF180"/>
      <c r="AG180"/>
      <c r="AH180"/>
      <c r="AI180"/>
      <c r="AJ180"/>
      <c r="AK180"/>
      <c r="AL180"/>
      <c r="AM180"/>
      <c r="AN180"/>
      <c r="AO180"/>
      <c r="AP180"/>
      <c r="AQ180"/>
    </row>
    <row r="181" spans="1:43" s="10" customFormat="1" ht="15.75" customHeight="1" x14ac:dyDescent="0.25">
      <c r="A181" s="55">
        <f t="shared" si="27"/>
        <v>25</v>
      </c>
      <c r="B181" s="361">
        <v>44294</v>
      </c>
      <c r="C181" s="58"/>
      <c r="D181" s="58"/>
      <c r="E181" s="58"/>
      <c r="F181" s="69" t="s">
        <v>18</v>
      </c>
      <c r="G181" s="126" t="s">
        <v>582</v>
      </c>
      <c r="H181" s="45">
        <v>5500000</v>
      </c>
      <c r="I181" s="380" t="s">
        <v>616</v>
      </c>
      <c r="J181" s="301">
        <v>44298</v>
      </c>
      <c r="K181" s="460">
        <f t="shared" si="28"/>
        <v>5500000</v>
      </c>
      <c r="L181" s="460"/>
      <c r="M181" s="459"/>
      <c r="N181" s="459"/>
      <c r="O181" s="459"/>
      <c r="P181" s="459">
        <v>5500000</v>
      </c>
      <c r="Q181" s="28">
        <f t="shared" si="26"/>
        <v>0</v>
      </c>
      <c r="R181" s="197">
        <v>44323</v>
      </c>
      <c r="S181" s="197"/>
      <c r="T181" s="2">
        <v>14</v>
      </c>
      <c r="U181" s="24">
        <f t="shared" si="22"/>
        <v>44312</v>
      </c>
      <c r="V181"/>
      <c r="W181"/>
      <c r="X181"/>
      <c r="Y181"/>
      <c r="Z181"/>
      <c r="AA181"/>
      <c r="AB181"/>
      <c r="AC181"/>
      <c r="AD181"/>
      <c r="AE181"/>
      <c r="AF181"/>
      <c r="AG181"/>
      <c r="AH181"/>
      <c r="AI181"/>
      <c r="AJ181"/>
      <c r="AK181"/>
      <c r="AL181"/>
      <c r="AM181"/>
      <c r="AN181"/>
      <c r="AO181"/>
      <c r="AP181"/>
      <c r="AQ181"/>
    </row>
    <row r="182" spans="1:43" s="10" customFormat="1" ht="15.75" customHeight="1" x14ac:dyDescent="0.25">
      <c r="A182" s="55">
        <f t="shared" si="27"/>
        <v>26</v>
      </c>
      <c r="B182" s="56">
        <v>44286</v>
      </c>
      <c r="C182" s="58" t="s">
        <v>619</v>
      </c>
      <c r="D182" s="58"/>
      <c r="E182" s="58"/>
      <c r="F182" s="53" t="s">
        <v>618</v>
      </c>
      <c r="G182" s="126" t="s">
        <v>161</v>
      </c>
      <c r="H182" s="45">
        <v>600000</v>
      </c>
      <c r="I182" s="380" t="s">
        <v>617</v>
      </c>
      <c r="J182" s="301">
        <v>44298</v>
      </c>
      <c r="K182" s="460">
        <f t="shared" si="28"/>
        <v>600000</v>
      </c>
      <c r="L182" s="460"/>
      <c r="M182" s="459"/>
      <c r="N182" s="459"/>
      <c r="O182" s="459"/>
      <c r="P182" s="459">
        <v>600000</v>
      </c>
      <c r="Q182" s="28">
        <f t="shared" si="26"/>
        <v>0</v>
      </c>
      <c r="R182" s="197">
        <v>44370</v>
      </c>
      <c r="S182" s="197"/>
      <c r="T182" s="199">
        <v>14</v>
      </c>
      <c r="U182" s="24">
        <f t="shared" si="22"/>
        <v>44312</v>
      </c>
      <c r="V182"/>
      <c r="W182"/>
      <c r="X182"/>
      <c r="Y182"/>
      <c r="Z182"/>
      <c r="AA182"/>
      <c r="AB182"/>
      <c r="AC182"/>
      <c r="AD182"/>
      <c r="AE182"/>
      <c r="AF182"/>
      <c r="AG182"/>
      <c r="AH182"/>
      <c r="AI182"/>
      <c r="AJ182"/>
      <c r="AK182"/>
      <c r="AL182"/>
      <c r="AM182"/>
      <c r="AN182"/>
      <c r="AO182"/>
      <c r="AP182"/>
      <c r="AQ182"/>
    </row>
    <row r="183" spans="1:43" s="10" customFormat="1" ht="15.75" customHeight="1" x14ac:dyDescent="0.25">
      <c r="A183" s="55">
        <f t="shared" si="27"/>
        <v>27</v>
      </c>
      <c r="B183" s="56">
        <v>44248</v>
      </c>
      <c r="C183" s="58"/>
      <c r="D183" s="58"/>
      <c r="E183" s="58"/>
      <c r="F183" s="53" t="s">
        <v>2317</v>
      </c>
      <c r="G183" s="126" t="s">
        <v>694</v>
      </c>
      <c r="H183" s="45">
        <f>19200000+375000+2800000</f>
        <v>22375000</v>
      </c>
      <c r="I183" s="380" t="s">
        <v>620</v>
      </c>
      <c r="J183" s="301">
        <v>44300</v>
      </c>
      <c r="K183" s="460">
        <f t="shared" si="28"/>
        <v>22375000</v>
      </c>
      <c r="L183" s="460"/>
      <c r="M183" s="459"/>
      <c r="N183" s="459"/>
      <c r="O183" s="459"/>
      <c r="P183" s="459"/>
      <c r="Q183" s="28">
        <f t="shared" si="26"/>
        <v>22375000</v>
      </c>
      <c r="R183" s="197"/>
      <c r="S183" s="197"/>
      <c r="T183" s="199">
        <v>60</v>
      </c>
      <c r="U183" s="24">
        <f t="shared" si="22"/>
        <v>44360</v>
      </c>
      <c r="V183"/>
      <c r="W183"/>
      <c r="X183"/>
      <c r="Y183"/>
      <c r="Z183"/>
      <c r="AA183"/>
      <c r="AB183"/>
      <c r="AC183"/>
      <c r="AD183"/>
      <c r="AE183"/>
      <c r="AF183"/>
      <c r="AG183"/>
      <c r="AH183"/>
      <c r="AI183"/>
      <c r="AJ183"/>
      <c r="AK183"/>
      <c r="AL183"/>
      <c r="AM183"/>
      <c r="AN183"/>
      <c r="AO183"/>
      <c r="AP183"/>
      <c r="AQ183"/>
    </row>
    <row r="184" spans="1:43" s="10" customFormat="1" ht="15.75" customHeight="1" x14ac:dyDescent="0.25">
      <c r="A184" s="55">
        <f t="shared" si="27"/>
        <v>28</v>
      </c>
      <c r="B184" s="56">
        <v>44248</v>
      </c>
      <c r="C184" s="58">
        <v>5091652786</v>
      </c>
      <c r="D184" s="58"/>
      <c r="E184" s="58"/>
      <c r="F184" s="31" t="s">
        <v>622</v>
      </c>
      <c r="G184" s="126" t="s">
        <v>623</v>
      </c>
      <c r="H184" s="45">
        <v>3250000</v>
      </c>
      <c r="I184" s="380" t="s">
        <v>621</v>
      </c>
      <c r="J184" s="301">
        <v>44300</v>
      </c>
      <c r="K184" s="460">
        <f t="shared" si="28"/>
        <v>3250000</v>
      </c>
      <c r="L184" s="460"/>
      <c r="M184" s="459"/>
      <c r="N184" s="459"/>
      <c r="O184" s="459"/>
      <c r="P184" s="459">
        <v>3250000</v>
      </c>
      <c r="Q184" s="28">
        <f t="shared" si="26"/>
        <v>0</v>
      </c>
      <c r="R184" s="197">
        <v>44315</v>
      </c>
      <c r="S184" s="197"/>
      <c r="T184" s="199">
        <v>14</v>
      </c>
      <c r="U184" s="24">
        <f t="shared" si="22"/>
        <v>44314</v>
      </c>
      <c r="V184"/>
      <c r="W184"/>
      <c r="X184"/>
      <c r="Y184"/>
      <c r="Z184"/>
      <c r="AA184"/>
      <c r="AB184"/>
      <c r="AC184"/>
      <c r="AD184"/>
      <c r="AE184"/>
      <c r="AF184"/>
      <c r="AG184"/>
      <c r="AH184"/>
      <c r="AI184"/>
      <c r="AJ184"/>
      <c r="AK184"/>
      <c r="AL184"/>
      <c r="AM184"/>
      <c r="AN184"/>
      <c r="AO184"/>
      <c r="AP184"/>
      <c r="AQ184"/>
    </row>
    <row r="185" spans="1:43" s="10" customFormat="1" ht="15.75" customHeight="1" x14ac:dyDescent="0.25">
      <c r="A185" s="55">
        <f t="shared" si="27"/>
        <v>29</v>
      </c>
      <c r="B185" s="56">
        <v>44296</v>
      </c>
      <c r="C185" s="58"/>
      <c r="D185" s="58"/>
      <c r="E185" s="58"/>
      <c r="F185" s="69" t="s">
        <v>18</v>
      </c>
      <c r="G185" s="126"/>
      <c r="H185" s="45">
        <v>7000000</v>
      </c>
      <c r="I185" s="380" t="s">
        <v>624</v>
      </c>
      <c r="J185" s="301">
        <v>44301</v>
      </c>
      <c r="K185" s="460">
        <f t="shared" si="28"/>
        <v>7000000</v>
      </c>
      <c r="L185" s="460"/>
      <c r="M185" s="459"/>
      <c r="N185" s="459"/>
      <c r="O185" s="459"/>
      <c r="P185" s="459">
        <v>7000000</v>
      </c>
      <c r="Q185" s="28">
        <f t="shared" si="26"/>
        <v>0</v>
      </c>
      <c r="R185" s="197">
        <v>44323</v>
      </c>
      <c r="S185" s="197"/>
      <c r="T185" s="2">
        <v>14</v>
      </c>
      <c r="U185" s="24">
        <f t="shared" si="22"/>
        <v>44315</v>
      </c>
      <c r="V185"/>
      <c r="W185"/>
      <c r="X185"/>
      <c r="Y185"/>
      <c r="Z185"/>
      <c r="AA185"/>
      <c r="AB185"/>
      <c r="AC185"/>
      <c r="AD185"/>
      <c r="AE185"/>
      <c r="AF185"/>
      <c r="AG185"/>
      <c r="AH185"/>
      <c r="AI185"/>
      <c r="AJ185"/>
      <c r="AK185"/>
      <c r="AL185"/>
      <c r="AM185"/>
      <c r="AN185"/>
      <c r="AO185"/>
      <c r="AP185"/>
      <c r="AQ185"/>
    </row>
    <row r="186" spans="1:43" s="10" customFormat="1" ht="15.75" customHeight="1" x14ac:dyDescent="0.25">
      <c r="A186" s="55">
        <f t="shared" si="27"/>
        <v>30</v>
      </c>
      <c r="B186" s="56">
        <v>44294</v>
      </c>
      <c r="C186" s="58"/>
      <c r="D186" s="58"/>
      <c r="E186" s="58"/>
      <c r="F186" s="53" t="s">
        <v>53</v>
      </c>
      <c r="G186" s="126" t="s">
        <v>626</v>
      </c>
      <c r="H186" s="45">
        <v>2500000</v>
      </c>
      <c r="I186" s="380" t="s">
        <v>625</v>
      </c>
      <c r="J186" s="301">
        <v>44301</v>
      </c>
      <c r="K186" s="460">
        <f t="shared" si="28"/>
        <v>2500000</v>
      </c>
      <c r="L186" s="460"/>
      <c r="M186" s="459"/>
      <c r="N186" s="459"/>
      <c r="O186" s="459"/>
      <c r="P186" s="459">
        <v>2500000</v>
      </c>
      <c r="Q186" s="28">
        <f t="shared" si="26"/>
        <v>0</v>
      </c>
      <c r="R186" s="197"/>
      <c r="S186" s="197">
        <v>44316</v>
      </c>
      <c r="T186" s="2">
        <v>14</v>
      </c>
      <c r="U186" s="24">
        <f t="shared" si="22"/>
        <v>44315</v>
      </c>
      <c r="V186"/>
      <c r="W186"/>
      <c r="X186"/>
      <c r="Y186"/>
      <c r="Z186"/>
      <c r="AA186"/>
      <c r="AB186"/>
      <c r="AC186"/>
      <c r="AD186"/>
      <c r="AE186"/>
      <c r="AF186"/>
      <c r="AG186"/>
      <c r="AH186"/>
      <c r="AI186"/>
      <c r="AJ186"/>
      <c r="AK186"/>
      <c r="AL186"/>
      <c r="AM186"/>
      <c r="AN186"/>
      <c r="AO186"/>
      <c r="AP186"/>
      <c r="AQ186"/>
    </row>
    <row r="187" spans="1:43" s="10" customFormat="1" ht="15.75" customHeight="1" x14ac:dyDescent="0.25">
      <c r="A187" s="55">
        <f t="shared" si="27"/>
        <v>31</v>
      </c>
      <c r="B187" s="56">
        <v>44302</v>
      </c>
      <c r="C187" s="58"/>
      <c r="D187" s="58"/>
      <c r="E187" s="58"/>
      <c r="F187" s="112" t="s">
        <v>1098</v>
      </c>
      <c r="G187" s="126" t="s">
        <v>161</v>
      </c>
      <c r="H187" s="45">
        <v>500000</v>
      </c>
      <c r="I187" s="380" t="s">
        <v>627</v>
      </c>
      <c r="J187" s="301">
        <v>44303</v>
      </c>
      <c r="K187" s="460">
        <f t="shared" si="28"/>
        <v>500000</v>
      </c>
      <c r="L187" s="460"/>
      <c r="M187" s="459"/>
      <c r="N187" s="459"/>
      <c r="O187" s="459"/>
      <c r="P187" s="459">
        <v>500000</v>
      </c>
      <c r="Q187" s="28">
        <f t="shared" si="26"/>
        <v>0</v>
      </c>
      <c r="R187" s="197">
        <v>44306</v>
      </c>
      <c r="S187" s="197"/>
      <c r="T187" s="199">
        <v>14</v>
      </c>
      <c r="U187" s="24">
        <f t="shared" si="22"/>
        <v>44317</v>
      </c>
      <c r="V187"/>
      <c r="W187"/>
      <c r="X187"/>
      <c r="Y187"/>
      <c r="Z187"/>
      <c r="AA187"/>
      <c r="AB187"/>
      <c r="AC187"/>
      <c r="AD187"/>
      <c r="AE187"/>
      <c r="AF187"/>
      <c r="AG187"/>
      <c r="AH187"/>
      <c r="AI187"/>
      <c r="AJ187"/>
      <c r="AK187"/>
      <c r="AL187"/>
      <c r="AM187"/>
      <c r="AN187"/>
      <c r="AO187"/>
      <c r="AP187"/>
      <c r="AQ187"/>
    </row>
    <row r="188" spans="1:43" s="10" customFormat="1" ht="15.75" customHeight="1" x14ac:dyDescent="0.25">
      <c r="A188" s="55">
        <f t="shared" si="27"/>
        <v>32</v>
      </c>
      <c r="B188" s="56">
        <v>44302</v>
      </c>
      <c r="C188" s="58"/>
      <c r="D188" s="58"/>
      <c r="E188" s="58"/>
      <c r="F188" s="53" t="s">
        <v>156</v>
      </c>
      <c r="G188" s="126" t="s">
        <v>629</v>
      </c>
      <c r="H188" s="45">
        <v>1300000</v>
      </c>
      <c r="I188" s="380" t="s">
        <v>628</v>
      </c>
      <c r="J188" s="301">
        <v>44303</v>
      </c>
      <c r="K188" s="460">
        <f t="shared" si="28"/>
        <v>1300000</v>
      </c>
      <c r="L188" s="460"/>
      <c r="M188" s="459"/>
      <c r="N188" s="459"/>
      <c r="O188" s="459"/>
      <c r="P188" s="459">
        <v>1300000</v>
      </c>
      <c r="Q188" s="28">
        <f t="shared" si="26"/>
        <v>0</v>
      </c>
      <c r="R188" s="197"/>
      <c r="S188" s="197">
        <v>44305</v>
      </c>
      <c r="T188" s="199">
        <v>14</v>
      </c>
      <c r="U188" s="24">
        <f t="shared" si="22"/>
        <v>44317</v>
      </c>
      <c r="V188"/>
      <c r="W188"/>
      <c r="X188"/>
      <c r="Y188"/>
      <c r="Z188"/>
      <c r="AA188"/>
      <c r="AB188"/>
      <c r="AC188"/>
      <c r="AD188"/>
      <c r="AE188"/>
      <c r="AF188"/>
      <c r="AG188"/>
      <c r="AH188"/>
      <c r="AI188"/>
      <c r="AJ188"/>
      <c r="AK188"/>
      <c r="AL188"/>
      <c r="AM188"/>
      <c r="AN188"/>
      <c r="AO188"/>
      <c r="AP188"/>
      <c r="AQ188"/>
    </row>
    <row r="189" spans="1:43" s="10" customFormat="1" ht="15.75" customHeight="1" x14ac:dyDescent="0.25">
      <c r="A189" s="55">
        <f t="shared" si="27"/>
        <v>33</v>
      </c>
      <c r="B189" s="56">
        <v>44302</v>
      </c>
      <c r="C189" s="58"/>
      <c r="D189" s="58"/>
      <c r="E189" s="58"/>
      <c r="F189" s="23" t="s">
        <v>239</v>
      </c>
      <c r="G189" s="126" t="s">
        <v>161</v>
      </c>
      <c r="H189" s="45">
        <v>400000</v>
      </c>
      <c r="I189" s="380" t="s">
        <v>630</v>
      </c>
      <c r="J189" s="301">
        <v>44303</v>
      </c>
      <c r="K189" s="460">
        <f t="shared" si="28"/>
        <v>400000</v>
      </c>
      <c r="L189" s="460"/>
      <c r="M189" s="459"/>
      <c r="N189" s="459"/>
      <c r="O189" s="459"/>
      <c r="P189" s="459">
        <v>400000</v>
      </c>
      <c r="Q189" s="28">
        <f t="shared" si="26"/>
        <v>0</v>
      </c>
      <c r="R189" s="197"/>
      <c r="S189" s="197">
        <v>44307</v>
      </c>
      <c r="T189" s="199">
        <v>14</v>
      </c>
      <c r="U189" s="24">
        <f t="shared" si="22"/>
        <v>44317</v>
      </c>
      <c r="V189"/>
      <c r="W189"/>
      <c r="X189"/>
      <c r="Y189"/>
      <c r="Z189"/>
      <c r="AA189"/>
      <c r="AB189"/>
      <c r="AC189"/>
      <c r="AD189"/>
      <c r="AE189"/>
      <c r="AF189"/>
      <c r="AG189"/>
      <c r="AH189"/>
      <c r="AI189"/>
      <c r="AJ189"/>
      <c r="AK189"/>
      <c r="AL189"/>
      <c r="AM189"/>
      <c r="AN189"/>
      <c r="AO189"/>
      <c r="AP189"/>
      <c r="AQ189"/>
    </row>
    <row r="190" spans="1:43" s="10" customFormat="1" ht="15.75" customHeight="1" x14ac:dyDescent="0.25">
      <c r="A190" s="55">
        <f t="shared" si="27"/>
        <v>34</v>
      </c>
      <c r="B190" s="56">
        <v>44289</v>
      </c>
      <c r="C190" s="58">
        <v>524</v>
      </c>
      <c r="D190" s="58"/>
      <c r="E190" s="58"/>
      <c r="F190" s="110" t="s">
        <v>260</v>
      </c>
      <c r="G190" s="126" t="s">
        <v>155</v>
      </c>
      <c r="H190" s="45">
        <v>700000</v>
      </c>
      <c r="I190" s="380" t="s">
        <v>631</v>
      </c>
      <c r="J190" s="301">
        <v>44303</v>
      </c>
      <c r="K190" s="460">
        <f t="shared" si="28"/>
        <v>700000</v>
      </c>
      <c r="L190" s="460"/>
      <c r="M190" s="459"/>
      <c r="N190" s="459"/>
      <c r="O190" s="459"/>
      <c r="P190" s="459">
        <v>700000</v>
      </c>
      <c r="Q190" s="28">
        <f t="shared" si="26"/>
        <v>0</v>
      </c>
      <c r="R190" s="197"/>
      <c r="S190" s="197">
        <v>44333</v>
      </c>
      <c r="T190" s="2">
        <v>30</v>
      </c>
      <c r="U190" s="24">
        <f t="shared" si="22"/>
        <v>44333</v>
      </c>
      <c r="V190"/>
      <c r="W190"/>
      <c r="X190"/>
      <c r="Y190"/>
      <c r="Z190"/>
      <c r="AA190"/>
      <c r="AB190"/>
      <c r="AC190"/>
      <c r="AD190"/>
      <c r="AE190"/>
      <c r="AF190"/>
      <c r="AG190"/>
      <c r="AH190"/>
      <c r="AI190"/>
      <c r="AJ190"/>
      <c r="AK190"/>
      <c r="AL190"/>
      <c r="AM190"/>
      <c r="AN190"/>
      <c r="AO190"/>
      <c r="AP190"/>
      <c r="AQ190"/>
    </row>
    <row r="191" spans="1:43" s="10" customFormat="1" ht="15.75" customHeight="1" x14ac:dyDescent="0.25">
      <c r="A191" s="55">
        <f t="shared" si="27"/>
        <v>35</v>
      </c>
      <c r="B191" s="56">
        <v>44292</v>
      </c>
      <c r="C191" s="58"/>
      <c r="D191" s="58"/>
      <c r="E191" s="58"/>
      <c r="F191" s="69" t="s">
        <v>18</v>
      </c>
      <c r="G191" s="126" t="s">
        <v>582</v>
      </c>
      <c r="H191" s="45">
        <v>11000000</v>
      </c>
      <c r="I191" s="380" t="s">
        <v>633</v>
      </c>
      <c r="J191" s="301">
        <v>44305</v>
      </c>
      <c r="K191" s="460">
        <f t="shared" si="28"/>
        <v>11000000</v>
      </c>
      <c r="L191" s="460"/>
      <c r="M191" s="459"/>
      <c r="N191" s="459"/>
      <c r="O191" s="459"/>
      <c r="P191" s="459">
        <v>11000000</v>
      </c>
      <c r="Q191" s="28">
        <f t="shared" si="26"/>
        <v>0</v>
      </c>
      <c r="R191" s="197">
        <v>44335</v>
      </c>
      <c r="S191" s="197"/>
      <c r="T191" s="2">
        <v>14</v>
      </c>
      <c r="U191" s="24">
        <f t="shared" si="22"/>
        <v>44319</v>
      </c>
      <c r="V191"/>
      <c r="W191"/>
      <c r="X191"/>
      <c r="Y191"/>
      <c r="Z191"/>
      <c r="AA191"/>
      <c r="AB191"/>
      <c r="AC191"/>
      <c r="AD191"/>
      <c r="AE191"/>
      <c r="AF191"/>
      <c r="AG191"/>
      <c r="AH191"/>
      <c r="AI191"/>
      <c r="AJ191"/>
      <c r="AK191"/>
      <c r="AL191"/>
      <c r="AM191"/>
      <c r="AN191"/>
      <c r="AO191"/>
      <c r="AP191"/>
      <c r="AQ191"/>
    </row>
    <row r="192" spans="1:43" s="10" customFormat="1" ht="15.75" customHeight="1" x14ac:dyDescent="0.25">
      <c r="A192" s="55">
        <f t="shared" si="27"/>
        <v>36</v>
      </c>
      <c r="B192" s="56">
        <v>44289</v>
      </c>
      <c r="C192" s="58" t="s">
        <v>635</v>
      </c>
      <c r="D192" s="58"/>
      <c r="E192" s="58"/>
      <c r="F192" s="53" t="s">
        <v>2317</v>
      </c>
      <c r="G192" s="126" t="s">
        <v>531</v>
      </c>
      <c r="H192" s="45">
        <v>830000</v>
      </c>
      <c r="I192" s="380" t="s">
        <v>634</v>
      </c>
      <c r="J192" s="301">
        <v>44305</v>
      </c>
      <c r="K192" s="460">
        <f t="shared" si="28"/>
        <v>830000</v>
      </c>
      <c r="L192" s="460"/>
      <c r="M192" s="459"/>
      <c r="N192" s="459"/>
      <c r="O192" s="459"/>
      <c r="P192" s="459"/>
      <c r="Q192" s="28">
        <f t="shared" si="26"/>
        <v>830000</v>
      </c>
      <c r="R192" s="199"/>
      <c r="S192" s="199"/>
      <c r="T192" s="199">
        <v>60</v>
      </c>
      <c r="U192" s="24">
        <f t="shared" ref="U192:U219" si="29">J192+T192</f>
        <v>44365</v>
      </c>
      <c r="V192"/>
      <c r="W192"/>
      <c r="X192"/>
      <c r="Y192"/>
      <c r="Z192"/>
      <c r="AA192"/>
      <c r="AB192"/>
      <c r="AC192"/>
      <c r="AD192"/>
      <c r="AE192"/>
      <c r="AF192"/>
      <c r="AG192"/>
      <c r="AH192"/>
      <c r="AI192"/>
      <c r="AJ192"/>
      <c r="AK192"/>
      <c r="AL192"/>
      <c r="AM192"/>
      <c r="AN192"/>
      <c r="AO192"/>
      <c r="AP192"/>
      <c r="AQ192"/>
    </row>
    <row r="193" spans="1:43" s="10" customFormat="1" ht="15.75" customHeight="1" x14ac:dyDescent="0.25">
      <c r="A193" s="55">
        <f t="shared" si="27"/>
        <v>37</v>
      </c>
      <c r="B193" s="56">
        <v>44292</v>
      </c>
      <c r="C193" s="58" t="s">
        <v>787</v>
      </c>
      <c r="D193" s="58"/>
      <c r="E193" s="58"/>
      <c r="F193" s="31" t="s">
        <v>53</v>
      </c>
      <c r="G193" s="126" t="s">
        <v>637</v>
      </c>
      <c r="H193" s="45">
        <v>4350000</v>
      </c>
      <c r="I193" s="380" t="s">
        <v>636</v>
      </c>
      <c r="J193" s="301">
        <v>44305</v>
      </c>
      <c r="K193" s="460">
        <f t="shared" si="28"/>
        <v>4350000</v>
      </c>
      <c r="L193" s="460"/>
      <c r="M193" s="459"/>
      <c r="N193" s="459"/>
      <c r="O193" s="459"/>
      <c r="P193" s="459">
        <v>4350000</v>
      </c>
      <c r="Q193" s="28">
        <f t="shared" si="26"/>
        <v>0</v>
      </c>
      <c r="R193" s="197"/>
      <c r="S193" s="197">
        <v>44347</v>
      </c>
      <c r="T193" s="2">
        <v>14</v>
      </c>
      <c r="U193" s="24">
        <f t="shared" si="29"/>
        <v>44319</v>
      </c>
      <c r="V193"/>
      <c r="W193"/>
      <c r="X193"/>
      <c r="Y193"/>
      <c r="Z193"/>
      <c r="AA193"/>
      <c r="AB193"/>
      <c r="AC193"/>
      <c r="AD193"/>
      <c r="AE193"/>
      <c r="AF193"/>
      <c r="AG193"/>
      <c r="AH193"/>
      <c r="AI193"/>
      <c r="AJ193"/>
      <c r="AK193"/>
      <c r="AL193"/>
      <c r="AM193"/>
      <c r="AN193"/>
      <c r="AO193"/>
      <c r="AP193"/>
      <c r="AQ193"/>
    </row>
    <row r="194" spans="1:43" s="10" customFormat="1" ht="15.75" customHeight="1" x14ac:dyDescent="0.25">
      <c r="A194" s="55">
        <f t="shared" si="27"/>
        <v>38</v>
      </c>
      <c r="B194" s="56">
        <v>44306</v>
      </c>
      <c r="C194" s="58"/>
      <c r="D194" s="58"/>
      <c r="E194" s="58"/>
      <c r="F194" s="53" t="s">
        <v>639</v>
      </c>
      <c r="G194" s="126" t="s">
        <v>421</v>
      </c>
      <c r="H194" s="45">
        <v>850000</v>
      </c>
      <c r="I194" s="380" t="s">
        <v>638</v>
      </c>
      <c r="J194" s="301">
        <v>44306</v>
      </c>
      <c r="K194" s="460">
        <f t="shared" si="28"/>
        <v>850000</v>
      </c>
      <c r="L194" s="460"/>
      <c r="M194" s="459"/>
      <c r="N194" s="459"/>
      <c r="O194" s="459"/>
      <c r="P194" s="459">
        <v>850000</v>
      </c>
      <c r="Q194" s="28">
        <f t="shared" si="26"/>
        <v>0</v>
      </c>
      <c r="R194" s="197"/>
      <c r="S194" s="197">
        <v>44306</v>
      </c>
      <c r="T194" s="199">
        <v>14</v>
      </c>
      <c r="U194" s="24">
        <f t="shared" si="29"/>
        <v>44320</v>
      </c>
      <c r="V194"/>
      <c r="W194"/>
      <c r="X194"/>
      <c r="Y194"/>
      <c r="Z194"/>
      <c r="AA194"/>
      <c r="AB194"/>
      <c r="AC194"/>
      <c r="AD194"/>
      <c r="AE194"/>
      <c r="AF194"/>
      <c r="AG194"/>
      <c r="AH194"/>
      <c r="AI194"/>
      <c r="AJ194"/>
      <c r="AK194"/>
      <c r="AL194"/>
      <c r="AM194"/>
      <c r="AN194"/>
      <c r="AO194"/>
      <c r="AP194"/>
      <c r="AQ194"/>
    </row>
    <row r="195" spans="1:43" s="10" customFormat="1" ht="15.75" customHeight="1" x14ac:dyDescent="0.25">
      <c r="A195" s="55">
        <f t="shared" si="27"/>
        <v>39</v>
      </c>
      <c r="B195" s="56">
        <v>44290</v>
      </c>
      <c r="C195" s="58"/>
      <c r="D195" s="58"/>
      <c r="E195" s="58"/>
      <c r="F195" s="53" t="s">
        <v>435</v>
      </c>
      <c r="G195" s="126" t="s">
        <v>641</v>
      </c>
      <c r="H195" s="45">
        <v>12394000</v>
      </c>
      <c r="I195" s="380" t="s">
        <v>640</v>
      </c>
      <c r="J195" s="301">
        <v>44306</v>
      </c>
      <c r="K195" s="460">
        <f t="shared" si="28"/>
        <v>12394000</v>
      </c>
      <c r="L195" s="460">
        <v>10000000</v>
      </c>
      <c r="M195" s="459"/>
      <c r="N195" s="459"/>
      <c r="O195" s="459"/>
      <c r="P195" s="459">
        <v>2394000</v>
      </c>
      <c r="Q195" s="28">
        <f t="shared" si="26"/>
        <v>0</v>
      </c>
      <c r="R195" s="199"/>
      <c r="S195" s="197">
        <v>44545</v>
      </c>
      <c r="T195" s="199">
        <v>14</v>
      </c>
      <c r="U195" s="24">
        <f t="shared" si="29"/>
        <v>44320</v>
      </c>
      <c r="V195"/>
      <c r="W195"/>
      <c r="X195"/>
      <c r="Y195"/>
      <c r="Z195"/>
      <c r="AA195"/>
      <c r="AB195"/>
      <c r="AC195"/>
      <c r="AD195"/>
      <c r="AE195"/>
      <c r="AF195"/>
      <c r="AG195"/>
      <c r="AH195"/>
      <c r="AI195"/>
      <c r="AJ195"/>
      <c r="AK195"/>
      <c r="AL195"/>
      <c r="AM195"/>
      <c r="AN195"/>
      <c r="AO195"/>
      <c r="AP195"/>
      <c r="AQ195"/>
    </row>
    <row r="196" spans="1:43" s="10" customFormat="1" ht="15.75" customHeight="1" x14ac:dyDescent="0.25">
      <c r="A196" s="55">
        <f t="shared" si="27"/>
        <v>40</v>
      </c>
      <c r="B196" s="56">
        <v>44281</v>
      </c>
      <c r="C196" s="58" t="s">
        <v>643</v>
      </c>
      <c r="D196" s="58"/>
      <c r="E196" s="58"/>
      <c r="F196" s="53" t="s">
        <v>435</v>
      </c>
      <c r="G196" s="126" t="s">
        <v>171</v>
      </c>
      <c r="H196" s="45">
        <v>2000000</v>
      </c>
      <c r="I196" s="380" t="s">
        <v>642</v>
      </c>
      <c r="J196" s="301">
        <v>44306</v>
      </c>
      <c r="K196" s="460">
        <f t="shared" si="28"/>
        <v>2000000</v>
      </c>
      <c r="L196" s="460"/>
      <c r="M196" s="459"/>
      <c r="N196" s="459"/>
      <c r="O196" s="459"/>
      <c r="P196" s="459">
        <v>2000000</v>
      </c>
      <c r="Q196" s="28">
        <f t="shared" si="26"/>
        <v>0</v>
      </c>
      <c r="R196" s="197"/>
      <c r="S196" s="197">
        <v>44545</v>
      </c>
      <c r="T196" s="199">
        <v>14</v>
      </c>
      <c r="U196" s="24">
        <f t="shared" si="29"/>
        <v>44320</v>
      </c>
      <c r="V196"/>
      <c r="W196"/>
      <c r="X196"/>
      <c r="Y196"/>
      <c r="Z196"/>
      <c r="AA196"/>
      <c r="AB196"/>
      <c r="AC196"/>
      <c r="AD196"/>
      <c r="AE196"/>
      <c r="AF196"/>
      <c r="AG196"/>
      <c r="AH196"/>
      <c r="AI196"/>
      <c r="AJ196"/>
      <c r="AK196"/>
      <c r="AL196"/>
      <c r="AM196"/>
      <c r="AN196"/>
      <c r="AO196"/>
      <c r="AP196"/>
      <c r="AQ196"/>
    </row>
    <row r="197" spans="1:43" s="10" customFormat="1" ht="15.75" customHeight="1" x14ac:dyDescent="0.25">
      <c r="A197" s="55">
        <f t="shared" si="27"/>
        <v>41</v>
      </c>
      <c r="B197" s="56">
        <v>44291</v>
      </c>
      <c r="C197" s="58"/>
      <c r="D197" s="58"/>
      <c r="E197" s="58"/>
      <c r="F197" s="53" t="s">
        <v>435</v>
      </c>
      <c r="G197" s="126" t="s">
        <v>645</v>
      </c>
      <c r="H197" s="45">
        <v>700000</v>
      </c>
      <c r="I197" s="380" t="s">
        <v>644</v>
      </c>
      <c r="J197" s="301">
        <v>44306</v>
      </c>
      <c r="K197" s="460">
        <f t="shared" si="28"/>
        <v>700000</v>
      </c>
      <c r="L197" s="460">
        <v>550000</v>
      </c>
      <c r="M197" s="459"/>
      <c r="N197" s="459"/>
      <c r="O197" s="459"/>
      <c r="P197" s="459">
        <v>150000</v>
      </c>
      <c r="Q197" s="28">
        <f t="shared" si="26"/>
        <v>0</v>
      </c>
      <c r="R197" s="197"/>
      <c r="S197" s="197">
        <v>44545</v>
      </c>
      <c r="T197" s="199">
        <v>14</v>
      </c>
      <c r="U197" s="24">
        <f t="shared" si="29"/>
        <v>44320</v>
      </c>
      <c r="V197"/>
      <c r="W197"/>
      <c r="X197"/>
      <c r="Y197"/>
      <c r="Z197"/>
      <c r="AA197"/>
      <c r="AB197"/>
      <c r="AC197"/>
      <c r="AD197"/>
      <c r="AE197"/>
      <c r="AF197"/>
      <c r="AG197"/>
      <c r="AH197"/>
      <c r="AI197"/>
      <c r="AJ197"/>
      <c r="AK197"/>
      <c r="AL197"/>
      <c r="AM197"/>
      <c r="AN197"/>
      <c r="AO197"/>
      <c r="AP197"/>
      <c r="AQ197"/>
    </row>
    <row r="198" spans="1:43" s="10" customFormat="1" ht="15.75" customHeight="1" x14ac:dyDescent="0.25">
      <c r="A198" s="55">
        <f t="shared" si="27"/>
        <v>42</v>
      </c>
      <c r="B198" s="56">
        <v>44292</v>
      </c>
      <c r="C198" s="58"/>
      <c r="D198" s="58"/>
      <c r="E198" s="58"/>
      <c r="F198" s="53" t="s">
        <v>646</v>
      </c>
      <c r="G198" s="126" t="s">
        <v>647</v>
      </c>
      <c r="H198" s="45">
        <v>600000</v>
      </c>
      <c r="I198" s="380" t="s">
        <v>558</v>
      </c>
      <c r="J198" s="301">
        <v>44306</v>
      </c>
      <c r="K198" s="460">
        <f t="shared" si="28"/>
        <v>600000</v>
      </c>
      <c r="L198" s="460"/>
      <c r="M198" s="459"/>
      <c r="N198" s="459"/>
      <c r="O198" s="459"/>
      <c r="P198" s="459">
        <v>600000</v>
      </c>
      <c r="Q198" s="28">
        <f t="shared" si="26"/>
        <v>0</v>
      </c>
      <c r="R198" s="197"/>
      <c r="S198" s="197">
        <v>44294</v>
      </c>
      <c r="T198" s="199">
        <v>14</v>
      </c>
      <c r="U198" s="24">
        <f t="shared" si="29"/>
        <v>44320</v>
      </c>
      <c r="V198"/>
      <c r="W198"/>
      <c r="X198"/>
      <c r="Y198"/>
      <c r="Z198"/>
      <c r="AA198"/>
      <c r="AB198"/>
      <c r="AC198"/>
      <c r="AD198"/>
      <c r="AE198"/>
      <c r="AF198"/>
      <c r="AG198"/>
      <c r="AH198"/>
      <c r="AI198"/>
      <c r="AJ198"/>
      <c r="AK198"/>
      <c r="AL198"/>
      <c r="AM198"/>
      <c r="AN198"/>
      <c r="AO198"/>
      <c r="AP198"/>
      <c r="AQ198"/>
    </row>
    <row r="199" spans="1:43" s="10" customFormat="1" ht="15.75" customHeight="1" x14ac:dyDescent="0.25">
      <c r="A199" s="55">
        <f t="shared" si="27"/>
        <v>43</v>
      </c>
      <c r="B199" s="56">
        <v>44306</v>
      </c>
      <c r="C199" s="58"/>
      <c r="D199" s="58"/>
      <c r="E199" s="58"/>
      <c r="F199" s="53" t="s">
        <v>650</v>
      </c>
      <c r="G199" s="126" t="s">
        <v>161</v>
      </c>
      <c r="H199" s="45">
        <v>3200000</v>
      </c>
      <c r="I199" s="380" t="s">
        <v>649</v>
      </c>
      <c r="J199" s="301">
        <v>44306</v>
      </c>
      <c r="K199" s="460">
        <f t="shared" si="28"/>
        <v>3200000</v>
      </c>
      <c r="L199" s="460">
        <v>2000000</v>
      </c>
      <c r="M199" s="459">
        <v>100000</v>
      </c>
      <c r="N199" s="459"/>
      <c r="O199" s="459"/>
      <c r="P199" s="459">
        <v>1100000</v>
      </c>
      <c r="Q199" s="28">
        <f t="shared" si="26"/>
        <v>0</v>
      </c>
      <c r="R199" s="197"/>
      <c r="S199" s="197">
        <v>44312</v>
      </c>
      <c r="T199" s="199">
        <v>14</v>
      </c>
      <c r="U199" s="24">
        <f t="shared" si="29"/>
        <v>44320</v>
      </c>
      <c r="V199"/>
      <c r="W199"/>
      <c r="X199"/>
      <c r="Y199"/>
      <c r="Z199"/>
      <c r="AA199"/>
      <c r="AB199"/>
      <c r="AC199"/>
      <c r="AD199"/>
      <c r="AE199"/>
      <c r="AF199"/>
      <c r="AG199"/>
      <c r="AH199"/>
      <c r="AI199"/>
      <c r="AJ199"/>
      <c r="AK199"/>
      <c r="AL199"/>
      <c r="AM199"/>
      <c r="AN199"/>
      <c r="AO199"/>
      <c r="AP199"/>
      <c r="AQ199"/>
    </row>
    <row r="200" spans="1:43" s="10" customFormat="1" ht="15.75" customHeight="1" x14ac:dyDescent="0.25">
      <c r="A200" s="55">
        <f t="shared" si="27"/>
        <v>44</v>
      </c>
      <c r="B200" s="56">
        <v>44306</v>
      </c>
      <c r="C200" s="58"/>
      <c r="D200" s="58"/>
      <c r="E200" s="58"/>
      <c r="F200" s="53" t="s">
        <v>652</v>
      </c>
      <c r="G200" s="126" t="s">
        <v>653</v>
      </c>
      <c r="H200" s="45">
        <v>4500000</v>
      </c>
      <c r="I200" s="380" t="s">
        <v>651</v>
      </c>
      <c r="J200" s="301">
        <v>44306</v>
      </c>
      <c r="K200" s="460">
        <f t="shared" si="28"/>
        <v>4500000</v>
      </c>
      <c r="L200" s="460">
        <v>3000000</v>
      </c>
      <c r="M200" s="459"/>
      <c r="N200" s="459"/>
      <c r="O200" s="459"/>
      <c r="P200" s="459">
        <v>1500000</v>
      </c>
      <c r="Q200" s="28">
        <f t="shared" si="26"/>
        <v>0</v>
      </c>
      <c r="R200" s="197"/>
      <c r="S200" s="197">
        <v>44320</v>
      </c>
      <c r="T200" s="199">
        <v>30</v>
      </c>
      <c r="U200" s="24">
        <f t="shared" si="29"/>
        <v>44336</v>
      </c>
      <c r="V200"/>
      <c r="W200"/>
      <c r="X200"/>
      <c r="Y200"/>
      <c r="Z200"/>
      <c r="AA200"/>
      <c r="AB200"/>
      <c r="AC200"/>
      <c r="AD200"/>
      <c r="AE200"/>
      <c r="AF200"/>
      <c r="AG200"/>
      <c r="AH200"/>
      <c r="AI200"/>
      <c r="AJ200"/>
      <c r="AK200"/>
      <c r="AL200"/>
      <c r="AM200"/>
      <c r="AN200"/>
      <c r="AO200"/>
      <c r="AP200"/>
      <c r="AQ200"/>
    </row>
    <row r="201" spans="1:43" s="10" customFormat="1" ht="15.75" customHeight="1" x14ac:dyDescent="0.25">
      <c r="A201" s="55">
        <f t="shared" si="27"/>
        <v>45</v>
      </c>
      <c r="B201" s="56">
        <v>44306</v>
      </c>
      <c r="C201" s="58" t="s">
        <v>786</v>
      </c>
      <c r="D201" s="58"/>
      <c r="E201" s="58"/>
      <c r="F201" s="53" t="s">
        <v>53</v>
      </c>
      <c r="G201" s="126" t="s">
        <v>655</v>
      </c>
      <c r="H201" s="45">
        <v>5100000</v>
      </c>
      <c r="I201" s="380" t="s">
        <v>654</v>
      </c>
      <c r="J201" s="301">
        <v>44307</v>
      </c>
      <c r="K201" s="460">
        <f t="shared" si="28"/>
        <v>5100000</v>
      </c>
      <c r="L201" s="460"/>
      <c r="M201" s="459"/>
      <c r="N201" s="459"/>
      <c r="O201" s="459"/>
      <c r="P201" s="459">
        <v>5100000</v>
      </c>
      <c r="Q201" s="28">
        <f t="shared" si="26"/>
        <v>0</v>
      </c>
      <c r="R201" s="197"/>
      <c r="S201" s="197">
        <v>44358</v>
      </c>
      <c r="T201" s="2">
        <v>14</v>
      </c>
      <c r="U201" s="24">
        <f t="shared" si="29"/>
        <v>44321</v>
      </c>
      <c r="V201"/>
      <c r="W201"/>
      <c r="X201"/>
      <c r="Y201"/>
      <c r="Z201"/>
      <c r="AA201"/>
      <c r="AB201"/>
      <c r="AC201"/>
      <c r="AD201"/>
      <c r="AE201"/>
      <c r="AF201"/>
      <c r="AG201"/>
      <c r="AH201"/>
      <c r="AI201"/>
      <c r="AJ201"/>
      <c r="AK201"/>
      <c r="AL201"/>
      <c r="AM201"/>
      <c r="AN201"/>
      <c r="AO201"/>
      <c r="AP201"/>
      <c r="AQ201"/>
    </row>
    <row r="202" spans="1:43" s="10" customFormat="1" ht="15.75" customHeight="1" x14ac:dyDescent="0.25">
      <c r="A202" s="55">
        <f t="shared" si="27"/>
        <v>46</v>
      </c>
      <c r="B202" s="56"/>
      <c r="C202" s="58"/>
      <c r="D202" s="58"/>
      <c r="E202" s="58"/>
      <c r="F202" s="69" t="s">
        <v>18</v>
      </c>
      <c r="G202" s="126" t="s">
        <v>582</v>
      </c>
      <c r="H202" s="45">
        <v>11000000</v>
      </c>
      <c r="I202" s="380" t="s">
        <v>656</v>
      </c>
      <c r="J202" s="301">
        <v>44307</v>
      </c>
      <c r="K202" s="460">
        <f t="shared" si="28"/>
        <v>11000000</v>
      </c>
      <c r="L202" s="460"/>
      <c r="M202" s="459"/>
      <c r="N202" s="459"/>
      <c r="O202" s="459"/>
      <c r="P202" s="459">
        <v>11000000</v>
      </c>
      <c r="Q202" s="28">
        <f t="shared" si="26"/>
        <v>0</v>
      </c>
      <c r="R202" s="197">
        <v>44335</v>
      </c>
      <c r="S202" s="197"/>
      <c r="T202" s="2">
        <v>14</v>
      </c>
      <c r="U202" s="24">
        <f t="shared" si="29"/>
        <v>44321</v>
      </c>
      <c r="V202"/>
      <c r="W202"/>
      <c r="X202"/>
      <c r="Y202"/>
      <c r="Z202"/>
      <c r="AA202"/>
      <c r="AB202"/>
      <c r="AC202"/>
      <c r="AD202"/>
      <c r="AE202"/>
      <c r="AF202"/>
      <c r="AG202"/>
      <c r="AH202"/>
      <c r="AI202"/>
      <c r="AJ202"/>
      <c r="AK202"/>
      <c r="AL202"/>
      <c r="AM202"/>
      <c r="AN202"/>
      <c r="AO202"/>
      <c r="AP202"/>
      <c r="AQ202"/>
    </row>
    <row r="203" spans="1:43" s="10" customFormat="1" ht="15.75" customHeight="1" x14ac:dyDescent="0.25">
      <c r="A203" s="55">
        <f t="shared" si="27"/>
        <v>47</v>
      </c>
      <c r="B203" s="56">
        <v>44299</v>
      </c>
      <c r="C203" s="58" t="s">
        <v>785</v>
      </c>
      <c r="D203" s="58"/>
      <c r="E203" s="58"/>
      <c r="F203" s="53" t="s">
        <v>461</v>
      </c>
      <c r="G203" s="126" t="s">
        <v>658</v>
      </c>
      <c r="H203" s="45">
        <v>6500000</v>
      </c>
      <c r="I203" s="380" t="s">
        <v>657</v>
      </c>
      <c r="J203" s="301">
        <v>44309</v>
      </c>
      <c r="K203" s="460">
        <f t="shared" si="28"/>
        <v>6500000</v>
      </c>
      <c r="L203" s="460"/>
      <c r="M203" s="459">
        <v>3593700</v>
      </c>
      <c r="N203" s="459"/>
      <c r="O203" s="459"/>
      <c r="P203" s="459">
        <v>2906300</v>
      </c>
      <c r="Q203" s="28">
        <f t="shared" si="26"/>
        <v>0</v>
      </c>
      <c r="R203" s="197"/>
      <c r="S203" s="197">
        <v>44365</v>
      </c>
      <c r="T203" s="2">
        <v>14</v>
      </c>
      <c r="U203" s="24">
        <f t="shared" si="29"/>
        <v>44323</v>
      </c>
      <c r="V203"/>
      <c r="W203"/>
      <c r="X203"/>
      <c r="Y203"/>
      <c r="Z203"/>
      <c r="AA203"/>
      <c r="AB203"/>
      <c r="AC203"/>
      <c r="AD203"/>
      <c r="AE203"/>
      <c r="AF203"/>
      <c r="AG203"/>
      <c r="AH203"/>
      <c r="AI203"/>
      <c r="AJ203"/>
      <c r="AK203"/>
      <c r="AL203"/>
      <c r="AM203"/>
      <c r="AN203"/>
      <c r="AO203"/>
      <c r="AP203"/>
      <c r="AQ203"/>
    </row>
    <row r="204" spans="1:43" s="607" customFormat="1" ht="15.75" customHeight="1" x14ac:dyDescent="0.25">
      <c r="A204" s="55">
        <f t="shared" si="27"/>
        <v>48</v>
      </c>
      <c r="B204" s="79">
        <v>44308</v>
      </c>
      <c r="C204" s="330"/>
      <c r="D204" s="330"/>
      <c r="E204" s="330"/>
      <c r="F204" s="23" t="s">
        <v>659</v>
      </c>
      <c r="G204" s="126" t="s">
        <v>161</v>
      </c>
      <c r="H204" s="403">
        <v>700000</v>
      </c>
      <c r="I204" s="377" t="s">
        <v>660</v>
      </c>
      <c r="J204" s="301">
        <v>44309</v>
      </c>
      <c r="K204" s="752">
        <f t="shared" si="28"/>
        <v>700000</v>
      </c>
      <c r="L204" s="752"/>
      <c r="M204" s="752">
        <v>200000</v>
      </c>
      <c r="N204" s="752"/>
      <c r="O204" s="752"/>
      <c r="P204" s="752">
        <v>500000</v>
      </c>
      <c r="Q204" s="28">
        <f t="shared" si="26"/>
        <v>0</v>
      </c>
      <c r="R204" s="126"/>
      <c r="S204" s="301">
        <v>44555</v>
      </c>
      <c r="T204" s="55">
        <v>30</v>
      </c>
      <c r="U204" s="24">
        <f t="shared" si="29"/>
        <v>44339</v>
      </c>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row>
    <row r="205" spans="1:43" s="10" customFormat="1" ht="15.75" customHeight="1" x14ac:dyDescent="0.25">
      <c r="A205" s="55">
        <f t="shared" si="27"/>
        <v>49</v>
      </c>
      <c r="B205" s="56">
        <v>44309</v>
      </c>
      <c r="C205" s="58"/>
      <c r="D205" s="58"/>
      <c r="E205" s="58"/>
      <c r="F205" s="53" t="s">
        <v>662</v>
      </c>
      <c r="G205" s="126" t="s">
        <v>161</v>
      </c>
      <c r="H205" s="45">
        <v>1700000</v>
      </c>
      <c r="I205" s="380" t="s">
        <v>661</v>
      </c>
      <c r="J205" s="301">
        <v>44309</v>
      </c>
      <c r="K205" s="460">
        <f t="shared" si="28"/>
        <v>1700000</v>
      </c>
      <c r="L205" s="460"/>
      <c r="M205" s="459">
        <v>400000</v>
      </c>
      <c r="N205" s="459"/>
      <c r="O205" s="459"/>
      <c r="P205" s="459">
        <v>1300000</v>
      </c>
      <c r="Q205" s="28">
        <f t="shared" si="26"/>
        <v>0</v>
      </c>
      <c r="R205" s="197">
        <v>44310</v>
      </c>
      <c r="S205" s="197"/>
      <c r="T205" s="199">
        <v>14</v>
      </c>
      <c r="U205" s="24">
        <f t="shared" si="29"/>
        <v>44323</v>
      </c>
      <c r="V205"/>
      <c r="W205"/>
      <c r="X205"/>
      <c r="Y205"/>
      <c r="Z205"/>
      <c r="AA205"/>
      <c r="AB205"/>
      <c r="AC205"/>
      <c r="AD205"/>
      <c r="AE205"/>
      <c r="AF205"/>
      <c r="AG205"/>
      <c r="AH205"/>
      <c r="AI205"/>
      <c r="AJ205"/>
      <c r="AK205"/>
      <c r="AL205"/>
      <c r="AM205"/>
      <c r="AN205"/>
      <c r="AO205"/>
      <c r="AP205"/>
      <c r="AQ205"/>
    </row>
    <row r="206" spans="1:43" s="10" customFormat="1" ht="15.75" customHeight="1" x14ac:dyDescent="0.25">
      <c r="A206" s="55">
        <f t="shared" si="27"/>
        <v>50</v>
      </c>
      <c r="B206" s="361">
        <v>44309</v>
      </c>
      <c r="C206" s="58"/>
      <c r="D206" s="58"/>
      <c r="E206" s="58"/>
      <c r="F206" s="53" t="s">
        <v>664</v>
      </c>
      <c r="G206" s="126" t="s">
        <v>665</v>
      </c>
      <c r="H206" s="45">
        <v>1107000</v>
      </c>
      <c r="I206" s="380" t="s">
        <v>663</v>
      </c>
      <c r="J206" s="301">
        <v>44309</v>
      </c>
      <c r="K206" s="460">
        <f t="shared" si="28"/>
        <v>1107000</v>
      </c>
      <c r="L206" s="460"/>
      <c r="M206" s="459">
        <v>37000</v>
      </c>
      <c r="N206" s="459"/>
      <c r="O206" s="459"/>
      <c r="P206" s="459">
        <v>1070000</v>
      </c>
      <c r="Q206" s="28">
        <f t="shared" si="26"/>
        <v>0</v>
      </c>
      <c r="R206" s="197"/>
      <c r="S206" s="197">
        <v>44315</v>
      </c>
      <c r="T206" s="199">
        <v>14</v>
      </c>
      <c r="U206" s="24">
        <f t="shared" si="29"/>
        <v>44323</v>
      </c>
      <c r="V206"/>
      <c r="W206"/>
      <c r="X206"/>
      <c r="Y206"/>
      <c r="Z206"/>
      <c r="AA206"/>
      <c r="AB206"/>
      <c r="AC206"/>
      <c r="AD206"/>
      <c r="AE206"/>
      <c r="AF206"/>
      <c r="AG206"/>
      <c r="AH206"/>
      <c r="AI206"/>
      <c r="AJ206"/>
      <c r="AK206"/>
      <c r="AL206"/>
      <c r="AM206"/>
      <c r="AN206"/>
      <c r="AO206"/>
      <c r="AP206"/>
      <c r="AQ206"/>
    </row>
    <row r="207" spans="1:43" s="10" customFormat="1" ht="15.75" customHeight="1" x14ac:dyDescent="0.25">
      <c r="A207" s="55">
        <f t="shared" si="27"/>
        <v>51</v>
      </c>
      <c r="B207" s="361">
        <v>44312</v>
      </c>
      <c r="C207" s="58"/>
      <c r="D207" s="58"/>
      <c r="E207" s="58"/>
      <c r="F207" s="53" t="s">
        <v>666</v>
      </c>
      <c r="G207" s="126" t="s">
        <v>668</v>
      </c>
      <c r="H207" s="45">
        <v>9000000</v>
      </c>
      <c r="I207" s="380" t="s">
        <v>667</v>
      </c>
      <c r="J207" s="301">
        <v>44313</v>
      </c>
      <c r="K207" s="460">
        <f t="shared" si="28"/>
        <v>9000000</v>
      </c>
      <c r="L207" s="460">
        <v>6000000</v>
      </c>
      <c r="M207" s="459"/>
      <c r="N207" s="459"/>
      <c r="O207" s="459"/>
      <c r="P207" s="459"/>
      <c r="Q207" s="568">
        <f t="shared" si="26"/>
        <v>3000000</v>
      </c>
      <c r="R207" s="199"/>
      <c r="S207" s="199"/>
      <c r="T207" s="199">
        <v>30</v>
      </c>
      <c r="U207" s="24">
        <f t="shared" si="29"/>
        <v>44343</v>
      </c>
      <c r="V207" s="433" t="s">
        <v>1699</v>
      </c>
      <c r="W207"/>
      <c r="X207"/>
      <c r="Y207"/>
      <c r="Z207"/>
      <c r="AA207"/>
      <c r="AB207"/>
      <c r="AC207"/>
      <c r="AD207"/>
      <c r="AE207"/>
      <c r="AF207"/>
      <c r="AG207"/>
      <c r="AH207"/>
      <c r="AI207"/>
      <c r="AJ207"/>
      <c r="AK207"/>
      <c r="AL207"/>
      <c r="AM207"/>
      <c r="AN207"/>
      <c r="AO207"/>
      <c r="AP207"/>
      <c r="AQ207"/>
    </row>
    <row r="208" spans="1:43" s="10" customFormat="1" ht="15.75" customHeight="1" x14ac:dyDescent="0.25">
      <c r="A208" s="55">
        <f t="shared" si="27"/>
        <v>52</v>
      </c>
      <c r="B208" s="56">
        <v>44313</v>
      </c>
      <c r="C208" s="58"/>
      <c r="D208" s="58"/>
      <c r="E208" s="58"/>
      <c r="F208" s="69" t="s">
        <v>670</v>
      </c>
      <c r="G208" s="126" t="s">
        <v>668</v>
      </c>
      <c r="H208" s="45">
        <v>7000000</v>
      </c>
      <c r="I208" s="380" t="s">
        <v>671</v>
      </c>
      <c r="J208" s="301">
        <v>44313</v>
      </c>
      <c r="K208" s="460">
        <f t="shared" si="28"/>
        <v>7000000</v>
      </c>
      <c r="L208" s="460">
        <v>3500000</v>
      </c>
      <c r="M208" s="459"/>
      <c r="N208" s="459"/>
      <c r="O208" s="459"/>
      <c r="P208" s="459">
        <v>3500000</v>
      </c>
      <c r="Q208" s="28">
        <f t="shared" si="26"/>
        <v>0</v>
      </c>
      <c r="R208" s="197"/>
      <c r="S208" s="197">
        <v>44320</v>
      </c>
      <c r="T208" s="199">
        <v>14</v>
      </c>
      <c r="U208" s="24">
        <f t="shared" si="29"/>
        <v>44327</v>
      </c>
      <c r="V208"/>
      <c r="W208"/>
      <c r="X208"/>
      <c r="Y208"/>
      <c r="Z208"/>
      <c r="AA208"/>
      <c r="AB208"/>
      <c r="AC208"/>
      <c r="AD208"/>
      <c r="AE208"/>
      <c r="AF208"/>
      <c r="AG208"/>
      <c r="AH208"/>
      <c r="AI208"/>
      <c r="AJ208"/>
      <c r="AK208"/>
      <c r="AL208"/>
      <c r="AM208"/>
      <c r="AN208"/>
      <c r="AO208"/>
      <c r="AP208"/>
      <c r="AQ208"/>
    </row>
    <row r="209" spans="1:43" s="10" customFormat="1" ht="15.75" customHeight="1" x14ac:dyDescent="0.25">
      <c r="A209" s="55">
        <f t="shared" si="27"/>
        <v>53</v>
      </c>
      <c r="B209" s="56">
        <v>44313</v>
      </c>
      <c r="C209" s="58"/>
      <c r="D209" s="58"/>
      <c r="E209" s="58"/>
      <c r="F209" s="53" t="s">
        <v>670</v>
      </c>
      <c r="G209" s="123" t="s">
        <v>653</v>
      </c>
      <c r="H209" s="45">
        <v>1400000</v>
      </c>
      <c r="I209" s="380" t="s">
        <v>672</v>
      </c>
      <c r="J209" s="301">
        <v>44313</v>
      </c>
      <c r="K209" s="460">
        <f t="shared" si="28"/>
        <v>1400000</v>
      </c>
      <c r="L209" s="460"/>
      <c r="M209" s="459"/>
      <c r="N209" s="459"/>
      <c r="O209" s="459"/>
      <c r="P209" s="459">
        <v>1400000</v>
      </c>
      <c r="Q209" s="28">
        <f t="shared" si="26"/>
        <v>0</v>
      </c>
      <c r="R209" s="197"/>
      <c r="S209" s="197">
        <v>44309</v>
      </c>
      <c r="T209" s="199">
        <v>14</v>
      </c>
      <c r="U209" s="24">
        <f t="shared" si="29"/>
        <v>44327</v>
      </c>
      <c r="V209"/>
      <c r="W209"/>
      <c r="X209"/>
      <c r="Y209"/>
      <c r="Z209"/>
      <c r="AA209"/>
      <c r="AB209"/>
      <c r="AC209"/>
      <c r="AD209"/>
      <c r="AE209"/>
      <c r="AF209"/>
      <c r="AG209"/>
      <c r="AH209"/>
      <c r="AI209"/>
      <c r="AJ209"/>
      <c r="AK209"/>
      <c r="AL209"/>
      <c r="AM209"/>
      <c r="AN209"/>
      <c r="AO209"/>
      <c r="AP209"/>
      <c r="AQ209"/>
    </row>
    <row r="210" spans="1:43" s="10" customFormat="1" ht="15.75" customHeight="1" x14ac:dyDescent="0.25">
      <c r="A210" s="55">
        <f t="shared" si="27"/>
        <v>54</v>
      </c>
      <c r="B210" s="56">
        <v>44308</v>
      </c>
      <c r="C210" s="58"/>
      <c r="D210" s="58"/>
      <c r="E210" s="58"/>
      <c r="F210" s="53" t="s">
        <v>674</v>
      </c>
      <c r="G210" s="123" t="s">
        <v>675</v>
      </c>
      <c r="H210" s="45">
        <v>2000000</v>
      </c>
      <c r="I210" s="380" t="s">
        <v>673</v>
      </c>
      <c r="J210" s="301">
        <v>44314</v>
      </c>
      <c r="K210" s="460">
        <f t="shared" si="28"/>
        <v>2000000</v>
      </c>
      <c r="L210" s="460"/>
      <c r="M210" s="459"/>
      <c r="N210" s="459"/>
      <c r="O210" s="459"/>
      <c r="P210" s="459">
        <v>2000000</v>
      </c>
      <c r="Q210" s="28">
        <f t="shared" si="26"/>
        <v>0</v>
      </c>
      <c r="R210" s="197"/>
      <c r="S210" s="197">
        <v>44308</v>
      </c>
      <c r="T210" s="199">
        <v>14</v>
      </c>
      <c r="U210" s="24">
        <f t="shared" si="29"/>
        <v>44328</v>
      </c>
      <c r="V210"/>
      <c r="W210"/>
      <c r="X210"/>
      <c r="Y210"/>
      <c r="Z210"/>
      <c r="AA210"/>
      <c r="AB210"/>
      <c r="AC210"/>
      <c r="AD210"/>
      <c r="AE210"/>
      <c r="AF210"/>
      <c r="AG210"/>
      <c r="AH210"/>
      <c r="AI210"/>
      <c r="AJ210"/>
      <c r="AK210"/>
      <c r="AL210"/>
      <c r="AM210"/>
      <c r="AN210"/>
      <c r="AO210"/>
      <c r="AP210"/>
      <c r="AQ210"/>
    </row>
    <row r="211" spans="1:43" s="10" customFormat="1" ht="15.75" customHeight="1" x14ac:dyDescent="0.25">
      <c r="A211" s="55">
        <f t="shared" si="27"/>
        <v>55</v>
      </c>
      <c r="B211" s="56">
        <v>44305</v>
      </c>
      <c r="C211" s="58"/>
      <c r="D211" s="58"/>
      <c r="E211" s="58"/>
      <c r="F211" s="23" t="s">
        <v>215</v>
      </c>
      <c r="G211" s="123" t="s">
        <v>677</v>
      </c>
      <c r="H211" s="45">
        <v>2400000</v>
      </c>
      <c r="I211" s="380" t="s">
        <v>676</v>
      </c>
      <c r="J211" s="301">
        <v>44314</v>
      </c>
      <c r="K211" s="460">
        <f t="shared" si="28"/>
        <v>2400000</v>
      </c>
      <c r="L211" s="460"/>
      <c r="M211" s="459"/>
      <c r="N211" s="459"/>
      <c r="O211" s="459"/>
      <c r="P211" s="459">
        <v>2400000</v>
      </c>
      <c r="Q211" s="28">
        <f t="shared" si="26"/>
        <v>0</v>
      </c>
      <c r="R211" s="197"/>
      <c r="S211" s="197">
        <v>44303</v>
      </c>
      <c r="T211" s="2">
        <v>60</v>
      </c>
      <c r="U211" s="24">
        <f t="shared" si="29"/>
        <v>44374</v>
      </c>
      <c r="V211"/>
      <c r="W211"/>
      <c r="X211"/>
      <c r="Y211"/>
      <c r="Z211"/>
      <c r="AA211"/>
      <c r="AB211"/>
      <c r="AC211"/>
      <c r="AD211"/>
      <c r="AE211"/>
      <c r="AF211"/>
      <c r="AG211"/>
      <c r="AH211"/>
      <c r="AI211"/>
      <c r="AJ211"/>
      <c r="AK211"/>
      <c r="AL211"/>
      <c r="AM211"/>
      <c r="AN211"/>
      <c r="AO211"/>
      <c r="AP211"/>
      <c r="AQ211"/>
    </row>
    <row r="212" spans="1:43" s="607" customFormat="1" ht="15.75" customHeight="1" x14ac:dyDescent="0.25">
      <c r="A212" s="55">
        <f t="shared" si="27"/>
        <v>56</v>
      </c>
      <c r="B212" s="79">
        <v>44307</v>
      </c>
      <c r="C212" s="330"/>
      <c r="D212" s="330"/>
      <c r="E212" s="330"/>
      <c r="F212" s="753" t="s">
        <v>659</v>
      </c>
      <c r="G212" s="126" t="s">
        <v>582</v>
      </c>
      <c r="H212" s="45">
        <v>4100000</v>
      </c>
      <c r="I212" s="377" t="s">
        <v>678</v>
      </c>
      <c r="J212" s="301">
        <v>44315</v>
      </c>
      <c r="K212" s="752">
        <f t="shared" si="28"/>
        <v>4100000</v>
      </c>
      <c r="L212" s="752">
        <f>2000000+1400000</f>
        <v>3400000</v>
      </c>
      <c r="M212" s="752"/>
      <c r="N212" s="752"/>
      <c r="O212" s="752"/>
      <c r="P212" s="752"/>
      <c r="Q212" s="28">
        <f t="shared" si="26"/>
        <v>700000</v>
      </c>
      <c r="R212" s="126"/>
      <c r="S212" s="55"/>
      <c r="T212" s="55">
        <v>30</v>
      </c>
      <c r="U212" s="24">
        <f t="shared" si="29"/>
        <v>44345</v>
      </c>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row>
    <row r="213" spans="1:43" s="10" customFormat="1" ht="15.75" customHeight="1" x14ac:dyDescent="0.25">
      <c r="A213" s="263">
        <f t="shared" si="27"/>
        <v>57</v>
      </c>
      <c r="B213" s="466">
        <v>44294</v>
      </c>
      <c r="C213" s="264"/>
      <c r="D213" s="264"/>
      <c r="E213" s="264"/>
      <c r="F213" s="502" t="s">
        <v>680</v>
      </c>
      <c r="G213" s="266" t="s">
        <v>161</v>
      </c>
      <c r="H213" s="267">
        <v>2300000</v>
      </c>
      <c r="I213" s="384" t="s">
        <v>679</v>
      </c>
      <c r="J213" s="268">
        <v>44315</v>
      </c>
      <c r="K213" s="270">
        <f t="shared" si="28"/>
        <v>2300000</v>
      </c>
      <c r="L213" s="270">
        <v>1200000</v>
      </c>
      <c r="M213" s="270"/>
      <c r="N213" s="270"/>
      <c r="O213" s="270"/>
      <c r="P213" s="270"/>
      <c r="Q213" s="417">
        <f t="shared" si="26"/>
        <v>1100000</v>
      </c>
      <c r="R213" s="266" t="s">
        <v>1700</v>
      </c>
      <c r="S213" s="263"/>
      <c r="T213" s="263"/>
      <c r="U213" s="24">
        <f t="shared" si="29"/>
        <v>44315</v>
      </c>
      <c r="V213" s="433" t="s">
        <v>1700</v>
      </c>
      <c r="W213"/>
      <c r="X213"/>
      <c r="Y213"/>
      <c r="Z213"/>
      <c r="AA213"/>
      <c r="AB213"/>
      <c r="AC213"/>
      <c r="AD213"/>
      <c r="AE213"/>
      <c r="AF213"/>
      <c r="AG213"/>
      <c r="AH213"/>
      <c r="AI213"/>
      <c r="AJ213"/>
      <c r="AK213"/>
      <c r="AL213"/>
      <c r="AM213"/>
      <c r="AN213"/>
      <c r="AO213"/>
      <c r="AP213"/>
      <c r="AQ213"/>
    </row>
    <row r="214" spans="1:43" s="10" customFormat="1" ht="15.75" customHeight="1" x14ac:dyDescent="0.25">
      <c r="A214" s="55">
        <f t="shared" si="27"/>
        <v>58</v>
      </c>
      <c r="B214" s="56">
        <v>44308</v>
      </c>
      <c r="C214" s="58" t="s">
        <v>683</v>
      </c>
      <c r="D214" s="58"/>
      <c r="E214" s="58"/>
      <c r="F214" s="53" t="s">
        <v>652</v>
      </c>
      <c r="G214" s="126" t="s">
        <v>682</v>
      </c>
      <c r="H214" s="45">
        <v>2600000</v>
      </c>
      <c r="I214" s="380" t="s">
        <v>681</v>
      </c>
      <c r="J214" s="301">
        <v>44316</v>
      </c>
      <c r="K214" s="460">
        <f t="shared" si="28"/>
        <v>2600000</v>
      </c>
      <c r="L214" s="460"/>
      <c r="M214" s="459"/>
      <c r="N214" s="459"/>
      <c r="O214" s="459"/>
      <c r="P214" s="459">
        <v>2600000</v>
      </c>
      <c r="Q214" s="28">
        <f t="shared" si="26"/>
        <v>0</v>
      </c>
      <c r="R214" s="197"/>
      <c r="S214" s="197">
        <v>44320</v>
      </c>
      <c r="T214" s="199">
        <v>14</v>
      </c>
      <c r="U214" s="24">
        <f t="shared" si="29"/>
        <v>44330</v>
      </c>
      <c r="V214"/>
      <c r="W214"/>
      <c r="X214"/>
      <c r="Y214"/>
      <c r="Z214"/>
      <c r="AA214"/>
      <c r="AB214"/>
      <c r="AC214"/>
      <c r="AD214"/>
      <c r="AE214"/>
      <c r="AF214"/>
      <c r="AG214"/>
      <c r="AH214"/>
      <c r="AI214"/>
      <c r="AJ214"/>
      <c r="AK214"/>
      <c r="AL214"/>
      <c r="AM214"/>
      <c r="AN214"/>
      <c r="AO214"/>
      <c r="AP214"/>
      <c r="AQ214"/>
    </row>
    <row r="215" spans="1:43" s="10" customFormat="1" ht="15.75" customHeight="1" x14ac:dyDescent="0.25">
      <c r="A215" s="55">
        <f t="shared" si="27"/>
        <v>59</v>
      </c>
      <c r="B215" s="56">
        <v>44309</v>
      </c>
      <c r="C215" s="58"/>
      <c r="D215" s="58"/>
      <c r="E215" s="58"/>
      <c r="F215" s="69" t="s">
        <v>18</v>
      </c>
      <c r="G215" s="126" t="s">
        <v>161</v>
      </c>
      <c r="H215" s="45">
        <v>3800000</v>
      </c>
      <c r="I215" s="380" t="s">
        <v>684</v>
      </c>
      <c r="J215" s="301">
        <v>44316</v>
      </c>
      <c r="K215" s="460">
        <f t="shared" si="28"/>
        <v>3800000</v>
      </c>
      <c r="L215" s="460"/>
      <c r="M215" s="459"/>
      <c r="N215" s="459"/>
      <c r="O215" s="459"/>
      <c r="P215" s="459">
        <v>3800000</v>
      </c>
      <c r="Q215" s="28">
        <f t="shared" si="26"/>
        <v>0</v>
      </c>
      <c r="R215" s="197">
        <v>44335</v>
      </c>
      <c r="S215" s="197"/>
      <c r="T215" s="2">
        <v>14</v>
      </c>
      <c r="U215" s="24">
        <f t="shared" si="29"/>
        <v>44330</v>
      </c>
      <c r="V215"/>
      <c r="W215"/>
      <c r="X215"/>
      <c r="Y215"/>
      <c r="Z215"/>
      <c r="AA215"/>
      <c r="AB215"/>
      <c r="AC215"/>
      <c r="AD215"/>
      <c r="AE215"/>
      <c r="AF215"/>
      <c r="AG215"/>
      <c r="AH215"/>
      <c r="AI215"/>
      <c r="AJ215"/>
      <c r="AK215"/>
      <c r="AL215"/>
      <c r="AM215"/>
      <c r="AN215"/>
      <c r="AO215"/>
      <c r="AP215"/>
      <c r="AQ215"/>
    </row>
    <row r="216" spans="1:43" s="10" customFormat="1" ht="15.75" customHeight="1" x14ac:dyDescent="0.25">
      <c r="A216" s="55">
        <f t="shared" si="27"/>
        <v>60</v>
      </c>
      <c r="B216" s="56">
        <v>44284</v>
      </c>
      <c r="C216" s="58"/>
      <c r="D216" s="58"/>
      <c r="E216" s="58"/>
      <c r="F216" s="110" t="s">
        <v>260</v>
      </c>
      <c r="G216" s="168" t="s">
        <v>665</v>
      </c>
      <c r="H216" s="45">
        <v>22000000</v>
      </c>
      <c r="I216" s="380" t="s">
        <v>685</v>
      </c>
      <c r="J216" s="301">
        <v>44316</v>
      </c>
      <c r="K216" s="460">
        <f t="shared" ref="K216:K219" si="30">H216</f>
        <v>22000000</v>
      </c>
      <c r="L216" s="460"/>
      <c r="M216" s="459"/>
      <c r="N216" s="459"/>
      <c r="O216" s="459"/>
      <c r="P216" s="459">
        <v>22000000</v>
      </c>
      <c r="Q216" s="28">
        <f t="shared" si="26"/>
        <v>0</v>
      </c>
      <c r="R216" s="199"/>
      <c r="S216" s="197">
        <v>44545</v>
      </c>
      <c r="T216" s="2">
        <v>30</v>
      </c>
      <c r="U216" s="24">
        <f t="shared" si="29"/>
        <v>44346</v>
      </c>
      <c r="V216"/>
      <c r="W216"/>
      <c r="X216"/>
      <c r="Y216"/>
      <c r="Z216"/>
      <c r="AA216"/>
      <c r="AB216"/>
      <c r="AC216"/>
      <c r="AD216"/>
      <c r="AE216"/>
      <c r="AF216"/>
      <c r="AG216"/>
      <c r="AH216"/>
      <c r="AI216"/>
      <c r="AJ216"/>
      <c r="AK216"/>
      <c r="AL216"/>
      <c r="AM216"/>
      <c r="AN216"/>
      <c r="AO216"/>
      <c r="AP216"/>
      <c r="AQ216"/>
    </row>
    <row r="217" spans="1:43" s="10" customFormat="1" ht="15.75" customHeight="1" x14ac:dyDescent="0.25">
      <c r="A217" s="55">
        <f t="shared" si="27"/>
        <v>61</v>
      </c>
      <c r="B217" s="56">
        <v>44308</v>
      </c>
      <c r="C217" s="58"/>
      <c r="D217" s="58"/>
      <c r="E217" s="58"/>
      <c r="F217" s="110" t="s">
        <v>260</v>
      </c>
      <c r="G217" s="168" t="s">
        <v>161</v>
      </c>
      <c r="H217" s="45">
        <v>600000</v>
      </c>
      <c r="I217" s="380" t="s">
        <v>686</v>
      </c>
      <c r="J217" s="301">
        <v>44316</v>
      </c>
      <c r="K217" s="460">
        <f t="shared" si="30"/>
        <v>600000</v>
      </c>
      <c r="L217" s="460"/>
      <c r="M217" s="459"/>
      <c r="N217" s="459"/>
      <c r="O217" s="459"/>
      <c r="P217" s="459">
        <v>600000</v>
      </c>
      <c r="Q217" s="28">
        <f t="shared" si="26"/>
        <v>0</v>
      </c>
      <c r="R217" s="199"/>
      <c r="S217" s="197">
        <v>44463</v>
      </c>
      <c r="T217" s="2">
        <v>30</v>
      </c>
      <c r="U217" s="24">
        <f t="shared" si="29"/>
        <v>44346</v>
      </c>
      <c r="V217"/>
      <c r="W217"/>
      <c r="X217"/>
      <c r="Y217"/>
      <c r="Z217"/>
      <c r="AA217"/>
      <c r="AB217"/>
      <c r="AC217"/>
      <c r="AD217"/>
      <c r="AE217"/>
      <c r="AF217"/>
      <c r="AG217"/>
      <c r="AH217"/>
      <c r="AI217"/>
      <c r="AJ217"/>
      <c r="AK217"/>
      <c r="AL217"/>
      <c r="AM217"/>
      <c r="AN217"/>
      <c r="AO217"/>
      <c r="AP217"/>
      <c r="AQ217"/>
    </row>
    <row r="218" spans="1:43" s="10" customFormat="1" ht="15.75" customHeight="1" x14ac:dyDescent="0.25">
      <c r="A218" s="55">
        <f t="shared" si="27"/>
        <v>62</v>
      </c>
      <c r="B218" s="56">
        <v>44316</v>
      </c>
      <c r="C218" s="58"/>
      <c r="D218" s="58"/>
      <c r="E218" s="58"/>
      <c r="F218" s="53" t="s">
        <v>689</v>
      </c>
      <c r="G218" s="168" t="s">
        <v>688</v>
      </c>
      <c r="H218" s="45">
        <v>1000000</v>
      </c>
      <c r="I218" s="380" t="s">
        <v>687</v>
      </c>
      <c r="J218" s="301">
        <v>44316</v>
      </c>
      <c r="K218" s="460">
        <f t="shared" si="30"/>
        <v>1000000</v>
      </c>
      <c r="L218" s="460"/>
      <c r="M218" s="459"/>
      <c r="N218" s="459"/>
      <c r="O218" s="459"/>
      <c r="P218" s="459">
        <v>1000000</v>
      </c>
      <c r="Q218" s="28">
        <f t="shared" si="26"/>
        <v>0</v>
      </c>
      <c r="R218" s="197"/>
      <c r="S218" s="197">
        <v>44316</v>
      </c>
      <c r="T218" s="199">
        <v>14</v>
      </c>
      <c r="U218" s="24">
        <f t="shared" si="29"/>
        <v>44330</v>
      </c>
      <c r="V218"/>
      <c r="W218"/>
      <c r="X218"/>
      <c r="Y218"/>
      <c r="Z218"/>
      <c r="AA218"/>
      <c r="AB218"/>
      <c r="AC218"/>
      <c r="AD218"/>
      <c r="AE218"/>
      <c r="AF218"/>
      <c r="AG218"/>
      <c r="AH218"/>
      <c r="AI218"/>
      <c r="AJ218"/>
      <c r="AK218"/>
      <c r="AL218"/>
      <c r="AM218"/>
      <c r="AN218"/>
      <c r="AO218"/>
      <c r="AP218"/>
      <c r="AQ218"/>
    </row>
    <row r="219" spans="1:43" s="10" customFormat="1" ht="15.75" customHeight="1" x14ac:dyDescent="0.25">
      <c r="A219" s="55">
        <f t="shared" si="27"/>
        <v>63</v>
      </c>
      <c r="B219" s="56">
        <v>44308</v>
      </c>
      <c r="C219" s="58"/>
      <c r="D219" s="58"/>
      <c r="E219" s="58"/>
      <c r="F219" s="53" t="s">
        <v>435</v>
      </c>
      <c r="G219" s="168" t="s">
        <v>133</v>
      </c>
      <c r="H219" s="45">
        <v>1100000</v>
      </c>
      <c r="I219" s="380" t="s">
        <v>690</v>
      </c>
      <c r="J219" s="301">
        <v>44316</v>
      </c>
      <c r="K219" s="460">
        <f t="shared" si="30"/>
        <v>1100000</v>
      </c>
      <c r="L219" s="460">
        <v>1000000</v>
      </c>
      <c r="M219" s="459"/>
      <c r="N219" s="459"/>
      <c r="O219" s="459"/>
      <c r="P219" s="459">
        <v>100000</v>
      </c>
      <c r="Q219" s="28">
        <f t="shared" si="26"/>
        <v>0</v>
      </c>
      <c r="R219" s="197">
        <v>44361</v>
      </c>
      <c r="S219" s="197"/>
      <c r="T219" s="199">
        <v>14</v>
      </c>
      <c r="U219" s="24">
        <f t="shared" si="29"/>
        <v>44330</v>
      </c>
      <c r="V219"/>
      <c r="W219"/>
      <c r="X219"/>
      <c r="Y219"/>
      <c r="Z219"/>
      <c r="AA219"/>
      <c r="AB219"/>
      <c r="AC219"/>
      <c r="AD219"/>
      <c r="AE219"/>
      <c r="AF219"/>
      <c r="AG219"/>
      <c r="AH219"/>
      <c r="AI219"/>
      <c r="AJ219"/>
      <c r="AK219"/>
      <c r="AL219"/>
      <c r="AM219"/>
      <c r="AN219"/>
      <c r="AO219"/>
      <c r="AP219"/>
      <c r="AQ219"/>
    </row>
    <row r="220" spans="1:43" s="10" customFormat="1" ht="32.25" customHeight="1" x14ac:dyDescent="0.25">
      <c r="A220" s="998" t="s">
        <v>691</v>
      </c>
      <c r="B220" s="998"/>
      <c r="C220" s="998"/>
      <c r="D220" s="998"/>
      <c r="E220" s="998"/>
      <c r="F220" s="998"/>
      <c r="G220" s="998"/>
      <c r="H220" s="998"/>
      <c r="I220" s="998"/>
      <c r="J220" s="998"/>
      <c r="K220" s="473"/>
      <c r="L220" s="473"/>
      <c r="M220" s="473"/>
      <c r="N220" s="473"/>
      <c r="O220" s="473"/>
      <c r="P220" s="473"/>
      <c r="Q220" s="51">
        <f>SUM(Q157:Q219)</f>
        <v>28004999.283999998</v>
      </c>
      <c r="R220" s="479"/>
      <c r="S220" s="479"/>
      <c r="T220" s="479"/>
      <c r="U220" s="24">
        <f t="shared" ref="U220:U255" si="31">J220+T220</f>
        <v>0</v>
      </c>
      <c r="V220"/>
      <c r="W220"/>
      <c r="X220"/>
      <c r="Y220"/>
      <c r="Z220"/>
      <c r="AA220"/>
      <c r="AB220"/>
      <c r="AC220"/>
      <c r="AD220"/>
      <c r="AE220"/>
      <c r="AF220"/>
      <c r="AG220"/>
      <c r="AH220"/>
      <c r="AI220"/>
      <c r="AJ220"/>
      <c r="AK220"/>
      <c r="AL220"/>
      <c r="AM220"/>
      <c r="AN220"/>
      <c r="AO220"/>
      <c r="AP220"/>
      <c r="AQ220"/>
    </row>
    <row r="221" spans="1:43" s="10" customFormat="1" ht="15.75" customHeight="1" x14ac:dyDescent="0.25">
      <c r="A221" s="55">
        <v>1</v>
      </c>
      <c r="B221" s="56">
        <v>44301</v>
      </c>
      <c r="C221" s="58"/>
      <c r="D221" s="58"/>
      <c r="E221" s="58"/>
      <c r="F221" s="53" t="s">
        <v>574</v>
      </c>
      <c r="G221" s="126" t="s">
        <v>35</v>
      </c>
      <c r="H221" s="63">
        <v>977000</v>
      </c>
      <c r="I221" s="380" t="s">
        <v>696</v>
      </c>
      <c r="J221" s="301">
        <v>44319</v>
      </c>
      <c r="K221" s="28">
        <f t="shared" ref="K221:K260" si="32">H221</f>
        <v>977000</v>
      </c>
      <c r="L221" s="460"/>
      <c r="M221" s="459"/>
      <c r="N221" s="28">
        <f t="shared" ref="N221:N228" si="33">K221*1%</f>
        <v>9770</v>
      </c>
      <c r="O221" s="28">
        <f t="shared" ref="O221:O228" si="34">K221*2%</f>
        <v>19540</v>
      </c>
      <c r="P221" s="459">
        <v>967230</v>
      </c>
      <c r="Q221" s="28">
        <f t="shared" ref="Q221:Q284" si="35">K221-L221-M221-O221-P221+N221</f>
        <v>0</v>
      </c>
      <c r="R221" s="197">
        <v>44343</v>
      </c>
      <c r="S221" s="197"/>
      <c r="T221" s="199">
        <v>30</v>
      </c>
      <c r="U221" s="24">
        <f t="shared" si="31"/>
        <v>44349</v>
      </c>
      <c r="V221"/>
      <c r="W221"/>
      <c r="X221"/>
      <c r="Y221"/>
      <c r="Z221"/>
      <c r="AA221"/>
      <c r="AB221"/>
      <c r="AC221"/>
      <c r="AD221"/>
      <c r="AE221"/>
      <c r="AF221"/>
      <c r="AG221"/>
      <c r="AH221"/>
      <c r="AI221"/>
      <c r="AJ221"/>
      <c r="AK221"/>
      <c r="AL221"/>
      <c r="AM221"/>
      <c r="AN221"/>
      <c r="AO221"/>
      <c r="AP221"/>
      <c r="AQ221"/>
    </row>
    <row r="222" spans="1:43" s="10" customFormat="1" ht="15.75" customHeight="1" x14ac:dyDescent="0.25">
      <c r="A222" s="55">
        <f>A221+1</f>
        <v>2</v>
      </c>
      <c r="B222" s="56">
        <v>44307</v>
      </c>
      <c r="C222" s="58" t="s">
        <v>700</v>
      </c>
      <c r="D222" s="58"/>
      <c r="E222" s="58"/>
      <c r="F222" s="111" t="s">
        <v>279</v>
      </c>
      <c r="G222" s="126" t="s">
        <v>772</v>
      </c>
      <c r="H222" s="45">
        <v>3762376</v>
      </c>
      <c r="I222" s="380" t="s">
        <v>697</v>
      </c>
      <c r="J222" s="301">
        <v>44321</v>
      </c>
      <c r="K222" s="28">
        <f t="shared" si="32"/>
        <v>3762376</v>
      </c>
      <c r="L222" s="460"/>
      <c r="M222" s="459"/>
      <c r="N222" s="28">
        <f t="shared" si="33"/>
        <v>37623.760000000002</v>
      </c>
      <c r="O222" s="28">
        <f t="shared" si="34"/>
        <v>75247.520000000004</v>
      </c>
      <c r="P222" s="459">
        <v>3724752.2399999998</v>
      </c>
      <c r="Q222" s="28">
        <f t="shared" si="35"/>
        <v>2.255546860396862E-10</v>
      </c>
      <c r="R222" s="197"/>
      <c r="S222" s="197">
        <v>44372</v>
      </c>
      <c r="T222" s="2">
        <v>30</v>
      </c>
      <c r="U222" s="24">
        <f t="shared" si="31"/>
        <v>44351</v>
      </c>
      <c r="V222"/>
      <c r="W222"/>
      <c r="X222"/>
      <c r="Y222"/>
      <c r="Z222"/>
      <c r="AA222"/>
      <c r="AB222"/>
      <c r="AC222"/>
      <c r="AD222"/>
      <c r="AE222"/>
      <c r="AF222"/>
      <c r="AG222"/>
      <c r="AH222"/>
      <c r="AI222"/>
      <c r="AJ222"/>
      <c r="AK222"/>
      <c r="AL222"/>
      <c r="AM222"/>
      <c r="AN222"/>
      <c r="AO222"/>
      <c r="AP222"/>
      <c r="AQ222"/>
    </row>
    <row r="223" spans="1:43" s="10" customFormat="1" ht="15.75" customHeight="1" x14ac:dyDescent="0.25">
      <c r="A223" s="55">
        <f t="shared" ref="A223:A286" si="36">A222+1</f>
        <v>3</v>
      </c>
      <c r="B223" s="56">
        <v>44307</v>
      </c>
      <c r="C223" s="58" t="s">
        <v>704</v>
      </c>
      <c r="D223" s="136"/>
      <c r="E223" s="136"/>
      <c r="F223" s="111" t="s">
        <v>279</v>
      </c>
      <c r="G223" s="126" t="s">
        <v>218</v>
      </c>
      <c r="H223" s="45">
        <v>4059405.9</v>
      </c>
      <c r="I223" s="380" t="s">
        <v>703</v>
      </c>
      <c r="J223" s="301">
        <v>44321</v>
      </c>
      <c r="K223" s="28">
        <f t="shared" si="32"/>
        <v>4059405.9</v>
      </c>
      <c r="L223" s="460"/>
      <c r="M223" s="459"/>
      <c r="N223" s="28">
        <f t="shared" si="33"/>
        <v>40594.059000000001</v>
      </c>
      <c r="O223" s="28">
        <f t="shared" si="34"/>
        <v>81188.118000000002</v>
      </c>
      <c r="P223" s="459">
        <v>4018811.841</v>
      </c>
      <c r="Q223" s="28">
        <f t="shared" si="35"/>
        <v>1.0913936421275139E-10</v>
      </c>
      <c r="R223" s="197"/>
      <c r="S223" s="197">
        <v>44372</v>
      </c>
      <c r="T223" s="2">
        <v>30</v>
      </c>
      <c r="U223" s="24">
        <f t="shared" si="31"/>
        <v>44351</v>
      </c>
      <c r="V223"/>
      <c r="W223"/>
      <c r="X223"/>
      <c r="Y223"/>
      <c r="Z223"/>
      <c r="AA223"/>
      <c r="AB223"/>
      <c r="AC223"/>
      <c r="AD223"/>
      <c r="AE223"/>
      <c r="AF223"/>
      <c r="AG223"/>
      <c r="AH223"/>
      <c r="AI223"/>
      <c r="AJ223"/>
      <c r="AK223"/>
      <c r="AL223"/>
      <c r="AM223"/>
      <c r="AN223"/>
      <c r="AO223"/>
      <c r="AP223"/>
      <c r="AQ223"/>
    </row>
    <row r="224" spans="1:43" s="10" customFormat="1" ht="15.75" customHeight="1" x14ac:dyDescent="0.25">
      <c r="A224" s="55">
        <f t="shared" si="36"/>
        <v>4</v>
      </c>
      <c r="B224" s="56">
        <v>44315</v>
      </c>
      <c r="C224" s="58" t="s">
        <v>706</v>
      </c>
      <c r="D224" s="58"/>
      <c r="E224" s="58"/>
      <c r="F224" s="111" t="s">
        <v>279</v>
      </c>
      <c r="G224" s="126" t="s">
        <v>32</v>
      </c>
      <c r="H224" s="45">
        <v>1485148.5</v>
      </c>
      <c r="I224" s="380" t="s">
        <v>705</v>
      </c>
      <c r="J224" s="301">
        <v>44321</v>
      </c>
      <c r="K224" s="28">
        <f t="shared" si="32"/>
        <v>1485148.5</v>
      </c>
      <c r="L224" s="460"/>
      <c r="M224" s="459"/>
      <c r="N224" s="28">
        <f t="shared" si="33"/>
        <v>14851.485000000001</v>
      </c>
      <c r="O224" s="28">
        <f t="shared" si="34"/>
        <v>29702.97</v>
      </c>
      <c r="P224" s="459">
        <v>1470297.0150000001</v>
      </c>
      <c r="Q224" s="28">
        <f t="shared" si="35"/>
        <v>-1.0186340659856796E-10</v>
      </c>
      <c r="R224" s="197"/>
      <c r="S224" s="197">
        <v>44372</v>
      </c>
      <c r="T224" s="2">
        <v>30</v>
      </c>
      <c r="U224" s="24">
        <f t="shared" si="31"/>
        <v>44351</v>
      </c>
      <c r="V224"/>
      <c r="W224"/>
      <c r="X224"/>
      <c r="Y224"/>
      <c r="Z224"/>
      <c r="AA224"/>
      <c r="AB224"/>
      <c r="AC224"/>
      <c r="AD224"/>
      <c r="AE224"/>
      <c r="AF224"/>
      <c r="AG224"/>
      <c r="AH224"/>
      <c r="AI224"/>
      <c r="AJ224"/>
      <c r="AK224"/>
      <c r="AL224"/>
      <c r="AM224"/>
      <c r="AN224"/>
      <c r="AO224"/>
      <c r="AP224"/>
      <c r="AQ224"/>
    </row>
    <row r="225" spans="1:43" s="10" customFormat="1" ht="15.75" customHeight="1" x14ac:dyDescent="0.25">
      <c r="A225" s="55">
        <f t="shared" si="36"/>
        <v>5</v>
      </c>
      <c r="B225" s="56">
        <v>44315</v>
      </c>
      <c r="C225" s="58">
        <v>400685</v>
      </c>
      <c r="D225" s="58"/>
      <c r="E225" s="58"/>
      <c r="F225" s="111" t="s">
        <v>279</v>
      </c>
      <c r="G225" s="126" t="s">
        <v>35</v>
      </c>
      <c r="H225" s="45">
        <v>2079207.9</v>
      </c>
      <c r="I225" s="380" t="s">
        <v>707</v>
      </c>
      <c r="J225" s="301">
        <v>44321</v>
      </c>
      <c r="K225" s="28">
        <f t="shared" si="32"/>
        <v>2079207.9</v>
      </c>
      <c r="L225" s="460"/>
      <c r="M225" s="459"/>
      <c r="N225" s="28">
        <f t="shared" si="33"/>
        <v>20792.078999999998</v>
      </c>
      <c r="O225" s="28">
        <f t="shared" si="34"/>
        <v>41584.157999999996</v>
      </c>
      <c r="P225" s="459">
        <v>2058415.8209999998</v>
      </c>
      <c r="Q225" s="28">
        <f t="shared" si="35"/>
        <v>8.7311491370201111E-11</v>
      </c>
      <c r="R225" s="197"/>
      <c r="S225" s="197">
        <v>44372</v>
      </c>
      <c r="T225" s="2">
        <v>30</v>
      </c>
      <c r="U225" s="24">
        <f t="shared" si="31"/>
        <v>44351</v>
      </c>
      <c r="V225"/>
      <c r="W225"/>
      <c r="X225"/>
      <c r="Y225"/>
      <c r="Z225"/>
      <c r="AA225"/>
      <c r="AB225"/>
      <c r="AC225"/>
      <c r="AD225"/>
      <c r="AE225"/>
      <c r="AF225"/>
      <c r="AG225"/>
      <c r="AH225"/>
      <c r="AI225"/>
      <c r="AJ225"/>
      <c r="AK225"/>
      <c r="AL225"/>
      <c r="AM225"/>
      <c r="AN225"/>
      <c r="AO225"/>
      <c r="AP225"/>
      <c r="AQ225"/>
    </row>
    <row r="226" spans="1:43" s="10" customFormat="1" ht="15.75" customHeight="1" x14ac:dyDescent="0.25">
      <c r="A226" s="55">
        <f t="shared" si="36"/>
        <v>6</v>
      </c>
      <c r="B226" s="56">
        <v>44316</v>
      </c>
      <c r="C226" s="58" t="s">
        <v>709</v>
      </c>
      <c r="D226" s="58"/>
      <c r="E226" s="58"/>
      <c r="F226" s="111" t="s">
        <v>279</v>
      </c>
      <c r="G226" s="126" t="s">
        <v>35</v>
      </c>
      <c r="H226" s="45">
        <v>2178217.7999999998</v>
      </c>
      <c r="I226" s="380" t="s">
        <v>708</v>
      </c>
      <c r="J226" s="301">
        <v>44321</v>
      </c>
      <c r="K226" s="28">
        <f t="shared" si="32"/>
        <v>2178217.7999999998</v>
      </c>
      <c r="L226" s="460"/>
      <c r="M226" s="459"/>
      <c r="N226" s="28">
        <f t="shared" si="33"/>
        <v>21782.178</v>
      </c>
      <c r="O226" s="28">
        <f t="shared" si="34"/>
        <v>43564.356</v>
      </c>
      <c r="P226" s="459">
        <v>2156435.6219999995</v>
      </c>
      <c r="Q226" s="28">
        <f t="shared" si="35"/>
        <v>1.6007106751203537E-10</v>
      </c>
      <c r="R226" s="197"/>
      <c r="S226" s="197">
        <v>44372</v>
      </c>
      <c r="T226" s="2">
        <v>30</v>
      </c>
      <c r="U226" s="24">
        <f t="shared" si="31"/>
        <v>44351</v>
      </c>
      <c r="V226"/>
      <c r="W226"/>
      <c r="X226"/>
      <c r="Y226"/>
      <c r="Z226"/>
      <c r="AA226"/>
      <c r="AB226"/>
      <c r="AC226"/>
      <c r="AD226"/>
      <c r="AE226"/>
      <c r="AF226"/>
      <c r="AG226"/>
      <c r="AH226"/>
      <c r="AI226"/>
      <c r="AJ226"/>
      <c r="AK226"/>
      <c r="AL226"/>
      <c r="AM226"/>
      <c r="AN226"/>
      <c r="AO226"/>
      <c r="AP226"/>
      <c r="AQ226"/>
    </row>
    <row r="227" spans="1:43" s="10" customFormat="1" ht="15.75" customHeight="1" x14ac:dyDescent="0.25">
      <c r="A227" s="55">
        <f t="shared" si="36"/>
        <v>7</v>
      </c>
      <c r="B227" s="56">
        <v>44321</v>
      </c>
      <c r="C227" s="58">
        <v>400692</v>
      </c>
      <c r="D227" s="58"/>
      <c r="E227" s="58"/>
      <c r="F227" s="111" t="s">
        <v>279</v>
      </c>
      <c r="G227" s="126" t="s">
        <v>35</v>
      </c>
      <c r="H227" s="45">
        <v>4356435.5999999996</v>
      </c>
      <c r="I227" s="380" t="s">
        <v>710</v>
      </c>
      <c r="J227" s="301">
        <v>44322</v>
      </c>
      <c r="K227" s="28">
        <f t="shared" si="32"/>
        <v>4356435.5999999996</v>
      </c>
      <c r="L227" s="460"/>
      <c r="M227" s="459"/>
      <c r="N227" s="28">
        <f t="shared" si="33"/>
        <v>43564.356</v>
      </c>
      <c r="O227" s="28">
        <f t="shared" si="34"/>
        <v>87128.712</v>
      </c>
      <c r="P227" s="459">
        <v>4312871.243999999</v>
      </c>
      <c r="Q227" s="28">
        <f t="shared" si="35"/>
        <v>3.2014213502407074E-10</v>
      </c>
      <c r="R227" s="197"/>
      <c r="S227" s="197">
        <v>44372</v>
      </c>
      <c r="T227" s="2">
        <v>30</v>
      </c>
      <c r="U227" s="24">
        <f t="shared" si="31"/>
        <v>44352</v>
      </c>
      <c r="V227"/>
      <c r="W227"/>
      <c r="X227"/>
      <c r="Y227"/>
      <c r="Z227"/>
      <c r="AA227"/>
      <c r="AB227"/>
      <c r="AC227"/>
      <c r="AD227"/>
      <c r="AE227"/>
      <c r="AF227"/>
      <c r="AG227"/>
      <c r="AH227"/>
      <c r="AI227"/>
      <c r="AJ227"/>
      <c r="AK227"/>
      <c r="AL227"/>
      <c r="AM227"/>
      <c r="AN227"/>
      <c r="AO227"/>
      <c r="AP227"/>
      <c r="AQ227"/>
    </row>
    <row r="228" spans="1:43" s="10" customFormat="1" ht="15.75" customHeight="1" x14ac:dyDescent="0.25">
      <c r="A228" s="55">
        <f t="shared" si="36"/>
        <v>8</v>
      </c>
      <c r="B228" s="56">
        <v>44321</v>
      </c>
      <c r="C228" s="58">
        <v>400690</v>
      </c>
      <c r="D228" s="58"/>
      <c r="E228" s="58"/>
      <c r="F228" s="111" t="s">
        <v>279</v>
      </c>
      <c r="G228" s="126" t="s">
        <v>32</v>
      </c>
      <c r="H228" s="63">
        <v>1485148.5</v>
      </c>
      <c r="I228" s="380" t="s">
        <v>711</v>
      </c>
      <c r="J228" s="301">
        <v>44322</v>
      </c>
      <c r="K228" s="28">
        <f t="shared" si="32"/>
        <v>1485148.5</v>
      </c>
      <c r="L228" s="460"/>
      <c r="M228" s="459"/>
      <c r="N228" s="28">
        <f t="shared" si="33"/>
        <v>14851.485000000001</v>
      </c>
      <c r="O228" s="28">
        <f t="shared" si="34"/>
        <v>29702.97</v>
      </c>
      <c r="P228" s="459">
        <v>1470297.0150000001</v>
      </c>
      <c r="Q228" s="28">
        <f t="shared" si="35"/>
        <v>-1.0186340659856796E-10</v>
      </c>
      <c r="R228" s="197"/>
      <c r="S228" s="197">
        <v>44372</v>
      </c>
      <c r="T228" s="2">
        <v>30</v>
      </c>
      <c r="U228" s="24">
        <f t="shared" si="31"/>
        <v>44352</v>
      </c>
      <c r="V228" s="170"/>
      <c r="W228"/>
      <c r="X228"/>
      <c r="Y228"/>
      <c r="Z228"/>
      <c r="AA228"/>
      <c r="AB228"/>
      <c r="AC228"/>
      <c r="AD228"/>
      <c r="AE228"/>
      <c r="AF228"/>
      <c r="AG228"/>
      <c r="AH228"/>
      <c r="AI228"/>
      <c r="AJ228"/>
      <c r="AK228"/>
      <c r="AL228"/>
      <c r="AM228"/>
      <c r="AN228"/>
      <c r="AO228"/>
      <c r="AP228"/>
      <c r="AQ228"/>
    </row>
    <row r="229" spans="1:43" s="10" customFormat="1" ht="15.75" customHeight="1" x14ac:dyDescent="0.25">
      <c r="A229" s="55">
        <f t="shared" si="36"/>
        <v>9</v>
      </c>
      <c r="B229" s="56">
        <v>44319</v>
      </c>
      <c r="C229" s="58" t="s">
        <v>712</v>
      </c>
      <c r="D229" s="58"/>
      <c r="E229" s="58"/>
      <c r="F229" s="53" t="s">
        <v>945</v>
      </c>
      <c r="G229" s="126" t="s">
        <v>713</v>
      </c>
      <c r="H229" s="45">
        <v>18360000</v>
      </c>
      <c r="I229" s="380" t="s">
        <v>946</v>
      </c>
      <c r="J229" s="301">
        <v>44322</v>
      </c>
      <c r="K229" s="28">
        <f t="shared" si="32"/>
        <v>18360000</v>
      </c>
      <c r="L229" s="460"/>
      <c r="M229" s="459"/>
      <c r="N229" s="459">
        <f t="shared" ref="N229:N259" si="37">K229*1%</f>
        <v>183600</v>
      </c>
      <c r="O229" s="459"/>
      <c r="P229" s="459">
        <v>18543600</v>
      </c>
      <c r="Q229" s="28">
        <f t="shared" si="35"/>
        <v>0</v>
      </c>
      <c r="R229" s="197">
        <v>44327</v>
      </c>
      <c r="S229" s="197"/>
      <c r="T229" s="199">
        <v>14</v>
      </c>
      <c r="U229" s="24">
        <f t="shared" si="31"/>
        <v>44336</v>
      </c>
      <c r="V229"/>
      <c r="W229"/>
      <c r="X229"/>
      <c r="Y229"/>
      <c r="Z229"/>
      <c r="AA229"/>
      <c r="AB229"/>
      <c r="AC229"/>
      <c r="AD229"/>
      <c r="AE229"/>
      <c r="AF229"/>
      <c r="AG229"/>
      <c r="AH229"/>
      <c r="AI229"/>
      <c r="AJ229"/>
      <c r="AK229"/>
      <c r="AL229"/>
      <c r="AM229"/>
      <c r="AN229"/>
      <c r="AO229"/>
      <c r="AP229"/>
      <c r="AQ229"/>
    </row>
    <row r="230" spans="1:43" s="10" customFormat="1" ht="15.75" customHeight="1" x14ac:dyDescent="0.25">
      <c r="A230" s="55">
        <f t="shared" si="36"/>
        <v>10</v>
      </c>
      <c r="B230" s="56">
        <v>44314</v>
      </c>
      <c r="C230" s="58">
        <v>2208593752</v>
      </c>
      <c r="D230" s="58"/>
      <c r="E230" s="58"/>
      <c r="F230" s="53" t="s">
        <v>553</v>
      </c>
      <c r="G230" s="126" t="s">
        <v>715</v>
      </c>
      <c r="H230" s="45">
        <v>3300000</v>
      </c>
      <c r="I230" s="380" t="s">
        <v>714</v>
      </c>
      <c r="J230" s="301">
        <v>44323</v>
      </c>
      <c r="K230" s="28">
        <f t="shared" si="32"/>
        <v>3300000</v>
      </c>
      <c r="L230" s="460"/>
      <c r="M230" s="459"/>
      <c r="N230" s="28">
        <f t="shared" si="37"/>
        <v>33000</v>
      </c>
      <c r="O230" s="28">
        <f t="shared" ref="O230:O259" si="38">K230*2%</f>
        <v>66000</v>
      </c>
      <c r="P230" s="459">
        <v>3267000</v>
      </c>
      <c r="Q230" s="28">
        <f t="shared" si="35"/>
        <v>0</v>
      </c>
      <c r="R230" s="197"/>
      <c r="S230" s="197">
        <v>44344</v>
      </c>
      <c r="T230" s="2">
        <v>14</v>
      </c>
      <c r="U230" s="24">
        <f t="shared" si="31"/>
        <v>44337</v>
      </c>
      <c r="V230"/>
      <c r="W230"/>
      <c r="X230"/>
      <c r="Y230"/>
      <c r="Z230"/>
      <c r="AA230"/>
      <c r="AB230"/>
      <c r="AC230"/>
      <c r="AD230"/>
      <c r="AE230"/>
      <c r="AF230"/>
      <c r="AG230"/>
      <c r="AH230"/>
      <c r="AI230"/>
      <c r="AJ230"/>
      <c r="AK230"/>
      <c r="AL230"/>
      <c r="AM230"/>
      <c r="AN230"/>
      <c r="AO230"/>
      <c r="AP230"/>
      <c r="AQ230"/>
    </row>
    <row r="231" spans="1:43" s="10" customFormat="1" ht="15.75" customHeight="1" x14ac:dyDescent="0.25">
      <c r="A231" s="55">
        <f t="shared" si="36"/>
        <v>11</v>
      </c>
      <c r="B231" s="56">
        <v>44321</v>
      </c>
      <c r="C231" s="58">
        <v>3388114612</v>
      </c>
      <c r="D231" s="58"/>
      <c r="E231" s="58"/>
      <c r="F231" s="53" t="s">
        <v>553</v>
      </c>
      <c r="G231" s="126" t="s">
        <v>604</v>
      </c>
      <c r="H231" s="45">
        <v>2400000</v>
      </c>
      <c r="I231" s="380" t="s">
        <v>716</v>
      </c>
      <c r="J231" s="301">
        <v>44323</v>
      </c>
      <c r="K231" s="28">
        <f t="shared" si="32"/>
        <v>2400000</v>
      </c>
      <c r="L231" s="460"/>
      <c r="M231" s="459"/>
      <c r="N231" s="28">
        <f t="shared" si="37"/>
        <v>24000</v>
      </c>
      <c r="O231" s="28">
        <f t="shared" si="38"/>
        <v>48000</v>
      </c>
      <c r="P231" s="459">
        <v>2376000</v>
      </c>
      <c r="Q231" s="28">
        <f t="shared" si="35"/>
        <v>0</v>
      </c>
      <c r="R231" s="197"/>
      <c r="S231" s="197">
        <v>44344</v>
      </c>
      <c r="T231" s="2">
        <v>14</v>
      </c>
      <c r="U231" s="24">
        <f t="shared" si="31"/>
        <v>44337</v>
      </c>
      <c r="V231"/>
      <c r="W231"/>
      <c r="X231"/>
      <c r="Y231"/>
      <c r="Z231"/>
      <c r="AA231"/>
      <c r="AB231"/>
      <c r="AC231"/>
      <c r="AD231"/>
      <c r="AE231"/>
      <c r="AF231"/>
      <c r="AG231"/>
      <c r="AH231"/>
      <c r="AI231"/>
      <c r="AJ231"/>
      <c r="AK231"/>
      <c r="AL231"/>
      <c r="AM231"/>
      <c r="AN231"/>
      <c r="AO231"/>
      <c r="AP231"/>
      <c r="AQ231"/>
    </row>
    <row r="232" spans="1:43" s="10" customFormat="1" ht="15.75" customHeight="1" x14ac:dyDescent="0.25">
      <c r="A232" s="55">
        <f t="shared" si="36"/>
        <v>12</v>
      </c>
      <c r="B232" s="56">
        <v>44322</v>
      </c>
      <c r="C232" s="58" t="s">
        <v>763</v>
      </c>
      <c r="D232" s="58"/>
      <c r="E232" s="58"/>
      <c r="F232" s="111" t="s">
        <v>279</v>
      </c>
      <c r="G232" s="126" t="s">
        <v>762</v>
      </c>
      <c r="H232" s="45">
        <v>2277227.7000000002</v>
      </c>
      <c r="I232" s="380" t="s">
        <v>761</v>
      </c>
      <c r="J232" s="301">
        <v>44336</v>
      </c>
      <c r="K232" s="28">
        <f t="shared" si="32"/>
        <v>2277227.7000000002</v>
      </c>
      <c r="L232" s="460"/>
      <c r="M232" s="459"/>
      <c r="N232" s="28">
        <f t="shared" si="37"/>
        <v>22772.277000000002</v>
      </c>
      <c r="O232" s="28">
        <f t="shared" si="38"/>
        <v>45544.554000000004</v>
      </c>
      <c r="P232" s="459">
        <v>2254455.4230000004</v>
      </c>
      <c r="Q232" s="28">
        <f t="shared" si="35"/>
        <v>-2.3283064365386963E-10</v>
      </c>
      <c r="R232" s="197"/>
      <c r="S232" s="197">
        <v>44372</v>
      </c>
      <c r="T232" s="2">
        <v>30</v>
      </c>
      <c r="U232" s="24">
        <f t="shared" si="31"/>
        <v>44366</v>
      </c>
      <c r="V232"/>
      <c r="W232"/>
      <c r="X232"/>
      <c r="Y232"/>
      <c r="Z232"/>
      <c r="AA232"/>
      <c r="AB232"/>
      <c r="AC232"/>
      <c r="AD232"/>
      <c r="AE232"/>
      <c r="AF232"/>
      <c r="AG232"/>
      <c r="AH232"/>
      <c r="AI232"/>
      <c r="AJ232"/>
      <c r="AK232"/>
      <c r="AL232"/>
      <c r="AM232"/>
      <c r="AN232"/>
      <c r="AO232"/>
      <c r="AP232"/>
      <c r="AQ232"/>
    </row>
    <row r="233" spans="1:43" s="10" customFormat="1" ht="15.75" customHeight="1" x14ac:dyDescent="0.25">
      <c r="A233" s="55">
        <f t="shared" si="36"/>
        <v>13</v>
      </c>
      <c r="B233" s="56">
        <v>44322</v>
      </c>
      <c r="C233" s="58" t="s">
        <v>765</v>
      </c>
      <c r="D233" s="58"/>
      <c r="E233" s="58"/>
      <c r="F233" s="111" t="s">
        <v>279</v>
      </c>
      <c r="G233" s="126" t="s">
        <v>190</v>
      </c>
      <c r="H233" s="45">
        <v>1188118.8</v>
      </c>
      <c r="I233" s="380" t="s">
        <v>764</v>
      </c>
      <c r="J233" s="301">
        <v>44336</v>
      </c>
      <c r="K233" s="28">
        <f t="shared" si="32"/>
        <v>1188118.8</v>
      </c>
      <c r="L233" s="460"/>
      <c r="M233" s="459"/>
      <c r="N233" s="28">
        <f t="shared" si="37"/>
        <v>11881.188</v>
      </c>
      <c r="O233" s="28">
        <f t="shared" si="38"/>
        <v>23762.376</v>
      </c>
      <c r="P233" s="459">
        <v>1176237.6120000002</v>
      </c>
      <c r="Q233" s="28">
        <f t="shared" si="35"/>
        <v>-8.1854523159563541E-11</v>
      </c>
      <c r="R233" s="197"/>
      <c r="S233" s="197">
        <v>44372</v>
      </c>
      <c r="T233" s="2">
        <v>30</v>
      </c>
      <c r="U233" s="24">
        <f t="shared" si="31"/>
        <v>44366</v>
      </c>
      <c r="V233"/>
      <c r="W233"/>
      <c r="X233"/>
      <c r="Y233"/>
      <c r="Z233"/>
      <c r="AA233"/>
      <c r="AB233"/>
      <c r="AC233"/>
      <c r="AD233"/>
      <c r="AE233"/>
      <c r="AF233"/>
      <c r="AG233"/>
      <c r="AH233"/>
      <c r="AI233"/>
      <c r="AJ233"/>
      <c r="AK233"/>
      <c r="AL233"/>
      <c r="AM233"/>
      <c r="AN233"/>
      <c r="AO233"/>
      <c r="AP233"/>
      <c r="AQ233"/>
    </row>
    <row r="234" spans="1:43" s="10" customFormat="1" ht="15.75" customHeight="1" x14ac:dyDescent="0.25">
      <c r="A234" s="55">
        <f t="shared" si="36"/>
        <v>14</v>
      </c>
      <c r="B234" s="56">
        <v>44321</v>
      </c>
      <c r="C234" s="58" t="s">
        <v>767</v>
      </c>
      <c r="D234" s="58"/>
      <c r="E234" s="58"/>
      <c r="F234" s="111" t="s">
        <v>279</v>
      </c>
      <c r="G234" s="126" t="s">
        <v>516</v>
      </c>
      <c r="H234" s="45">
        <v>3267326.7</v>
      </c>
      <c r="I234" s="380" t="s">
        <v>766</v>
      </c>
      <c r="J234" s="301">
        <v>44336</v>
      </c>
      <c r="K234" s="28">
        <f t="shared" si="32"/>
        <v>3267326.7</v>
      </c>
      <c r="L234" s="460"/>
      <c r="M234" s="459"/>
      <c r="N234" s="28">
        <f t="shared" si="37"/>
        <v>32673.267000000003</v>
      </c>
      <c r="O234" s="28">
        <f t="shared" si="38"/>
        <v>65346.534000000007</v>
      </c>
      <c r="P234" s="459">
        <v>3234653.4330000002</v>
      </c>
      <c r="Q234" s="28">
        <f t="shared" si="35"/>
        <v>0</v>
      </c>
      <c r="R234" s="197"/>
      <c r="S234" s="197">
        <v>44372</v>
      </c>
      <c r="T234" s="2">
        <v>30</v>
      </c>
      <c r="U234" s="24">
        <f t="shared" si="31"/>
        <v>44366</v>
      </c>
      <c r="V234"/>
      <c r="W234"/>
      <c r="X234"/>
      <c r="Y234"/>
      <c r="Z234"/>
      <c r="AA234"/>
      <c r="AB234"/>
      <c r="AC234"/>
      <c r="AD234"/>
      <c r="AE234"/>
      <c r="AF234"/>
      <c r="AG234"/>
      <c r="AH234"/>
      <c r="AI234"/>
      <c r="AJ234"/>
      <c r="AK234"/>
      <c r="AL234"/>
      <c r="AM234"/>
      <c r="AN234"/>
      <c r="AO234"/>
      <c r="AP234"/>
      <c r="AQ234"/>
    </row>
    <row r="235" spans="1:43" s="10" customFormat="1" ht="15.75" customHeight="1" x14ac:dyDescent="0.25">
      <c r="A235" s="55">
        <f t="shared" si="36"/>
        <v>15</v>
      </c>
      <c r="B235" s="56">
        <v>44312</v>
      </c>
      <c r="C235" s="58">
        <v>403101</v>
      </c>
      <c r="D235" s="58"/>
      <c r="E235" s="58"/>
      <c r="F235" s="69" t="s">
        <v>2497</v>
      </c>
      <c r="G235" s="126" t="s">
        <v>730</v>
      </c>
      <c r="H235" s="45">
        <v>2600000</v>
      </c>
      <c r="I235" s="380" t="s">
        <v>768</v>
      </c>
      <c r="J235" s="301">
        <v>44336</v>
      </c>
      <c r="K235" s="28">
        <f t="shared" si="32"/>
        <v>2600000</v>
      </c>
      <c r="L235" s="460"/>
      <c r="M235" s="459">
        <v>2900</v>
      </c>
      <c r="N235" s="28">
        <f t="shared" si="37"/>
        <v>26000</v>
      </c>
      <c r="O235" s="28">
        <f t="shared" si="38"/>
        <v>52000</v>
      </c>
      <c r="P235" s="459">
        <v>2571100</v>
      </c>
      <c r="Q235" s="28">
        <f t="shared" si="35"/>
        <v>0</v>
      </c>
      <c r="R235" s="199"/>
      <c r="S235" s="480">
        <v>44392</v>
      </c>
      <c r="T235" s="199">
        <v>30</v>
      </c>
      <c r="U235" s="24">
        <f t="shared" si="31"/>
        <v>44366</v>
      </c>
      <c r="V235"/>
      <c r="W235"/>
      <c r="X235"/>
      <c r="Y235"/>
      <c r="Z235"/>
      <c r="AA235"/>
      <c r="AB235"/>
      <c r="AC235"/>
      <c r="AD235"/>
      <c r="AE235"/>
      <c r="AF235"/>
      <c r="AG235"/>
      <c r="AH235"/>
      <c r="AI235"/>
      <c r="AJ235"/>
      <c r="AK235"/>
      <c r="AL235"/>
      <c r="AM235"/>
      <c r="AN235"/>
      <c r="AO235"/>
      <c r="AP235"/>
      <c r="AQ235"/>
    </row>
    <row r="236" spans="1:43" s="10" customFormat="1" ht="15.75" customHeight="1" x14ac:dyDescent="0.25">
      <c r="A236" s="55">
        <f t="shared" si="36"/>
        <v>16</v>
      </c>
      <c r="B236" s="56">
        <v>44316</v>
      </c>
      <c r="C236" s="58"/>
      <c r="D236" s="58"/>
      <c r="E236" s="58"/>
      <c r="F236" s="53" t="s">
        <v>574</v>
      </c>
      <c r="G236" s="126" t="s">
        <v>190</v>
      </c>
      <c r="H236" s="45">
        <v>482000</v>
      </c>
      <c r="I236" s="380" t="s">
        <v>769</v>
      </c>
      <c r="J236" s="301">
        <v>44337</v>
      </c>
      <c r="K236" s="28">
        <f t="shared" si="32"/>
        <v>482000</v>
      </c>
      <c r="L236" s="460"/>
      <c r="M236" s="459"/>
      <c r="N236" s="28">
        <f t="shared" si="37"/>
        <v>4820</v>
      </c>
      <c r="O236" s="28">
        <f t="shared" si="38"/>
        <v>9640</v>
      </c>
      <c r="P236" s="459">
        <v>477180</v>
      </c>
      <c r="Q236" s="28">
        <f t="shared" si="35"/>
        <v>0</v>
      </c>
      <c r="R236" s="197">
        <v>44378</v>
      </c>
      <c r="S236" s="197"/>
      <c r="T236" s="199">
        <v>30</v>
      </c>
      <c r="U236" s="24">
        <f t="shared" si="31"/>
        <v>44367</v>
      </c>
      <c r="V236"/>
      <c r="W236"/>
      <c r="X236"/>
      <c r="Y236"/>
      <c r="Z236"/>
      <c r="AA236"/>
      <c r="AB236"/>
      <c r="AC236"/>
      <c r="AD236"/>
      <c r="AE236"/>
      <c r="AF236"/>
      <c r="AG236"/>
      <c r="AH236"/>
      <c r="AI236"/>
      <c r="AJ236"/>
      <c r="AK236"/>
      <c r="AL236"/>
      <c r="AM236"/>
      <c r="AN236"/>
      <c r="AO236"/>
      <c r="AP236"/>
      <c r="AQ236"/>
    </row>
    <row r="237" spans="1:43" s="10" customFormat="1" ht="15.75" customHeight="1" x14ac:dyDescent="0.25">
      <c r="A237" s="55">
        <f t="shared" si="36"/>
        <v>17</v>
      </c>
      <c r="B237" s="56">
        <v>44313</v>
      </c>
      <c r="C237" s="58"/>
      <c r="D237" s="58"/>
      <c r="E237" s="58"/>
      <c r="F237" s="53" t="s">
        <v>574</v>
      </c>
      <c r="G237" s="126" t="s">
        <v>190</v>
      </c>
      <c r="H237" s="45">
        <v>1015000</v>
      </c>
      <c r="I237" s="380" t="s">
        <v>770</v>
      </c>
      <c r="J237" s="301">
        <v>44337</v>
      </c>
      <c r="K237" s="28">
        <f t="shared" si="32"/>
        <v>1015000</v>
      </c>
      <c r="L237" s="460"/>
      <c r="M237" s="459"/>
      <c r="N237" s="28">
        <f t="shared" si="37"/>
        <v>10150</v>
      </c>
      <c r="O237" s="28">
        <f t="shared" si="38"/>
        <v>20300</v>
      </c>
      <c r="P237" s="459">
        <v>1004850</v>
      </c>
      <c r="Q237" s="28">
        <f t="shared" si="35"/>
        <v>0</v>
      </c>
      <c r="R237" s="197">
        <v>44378</v>
      </c>
      <c r="S237" s="197"/>
      <c r="T237" s="199">
        <v>30</v>
      </c>
      <c r="U237" s="24">
        <f t="shared" si="31"/>
        <v>44367</v>
      </c>
      <c r="V237"/>
      <c r="W237"/>
      <c r="X237"/>
      <c r="Y237"/>
      <c r="Z237"/>
      <c r="AA237"/>
      <c r="AB237"/>
      <c r="AC237"/>
      <c r="AD237"/>
      <c r="AE237"/>
      <c r="AF237"/>
      <c r="AG237"/>
      <c r="AH237"/>
      <c r="AI237"/>
      <c r="AJ237"/>
      <c r="AK237"/>
      <c r="AL237"/>
      <c r="AM237"/>
      <c r="AN237"/>
      <c r="AO237"/>
      <c r="AP237"/>
      <c r="AQ237"/>
    </row>
    <row r="238" spans="1:43" s="10" customFormat="1" ht="15.75" customHeight="1" x14ac:dyDescent="0.25">
      <c r="A238" s="55">
        <f t="shared" si="36"/>
        <v>18</v>
      </c>
      <c r="B238" s="56">
        <v>44343</v>
      </c>
      <c r="C238" s="58" t="s">
        <v>806</v>
      </c>
      <c r="D238" s="58"/>
      <c r="E238" s="58"/>
      <c r="F238" s="53" t="s">
        <v>590</v>
      </c>
      <c r="G238" s="126" t="s">
        <v>807</v>
      </c>
      <c r="H238" s="45">
        <v>1280000</v>
      </c>
      <c r="I238" s="380" t="s">
        <v>805</v>
      </c>
      <c r="J238" s="301">
        <v>44347</v>
      </c>
      <c r="K238" s="28">
        <f t="shared" si="32"/>
        <v>1280000</v>
      </c>
      <c r="L238" s="460"/>
      <c r="M238" s="459"/>
      <c r="N238" s="28">
        <f t="shared" si="37"/>
        <v>12800</v>
      </c>
      <c r="O238" s="28">
        <f t="shared" si="38"/>
        <v>25600</v>
      </c>
      <c r="P238" s="459">
        <v>1273700</v>
      </c>
      <c r="Q238" s="28">
        <f t="shared" si="35"/>
        <v>-6500</v>
      </c>
      <c r="R238" s="197">
        <v>44358</v>
      </c>
      <c r="S238" s="197"/>
      <c r="T238" s="199">
        <v>14</v>
      </c>
      <c r="U238" s="24">
        <f t="shared" si="31"/>
        <v>44361</v>
      </c>
      <c r="V238"/>
      <c r="W238"/>
      <c r="X238"/>
      <c r="Y238"/>
      <c r="Z238"/>
      <c r="AA238"/>
      <c r="AB238"/>
      <c r="AC238"/>
      <c r="AD238"/>
      <c r="AE238"/>
      <c r="AF238"/>
      <c r="AG238"/>
      <c r="AH238"/>
      <c r="AI238"/>
      <c r="AJ238"/>
      <c r="AK238"/>
      <c r="AL238"/>
      <c r="AM238"/>
      <c r="AN238"/>
      <c r="AO238"/>
      <c r="AP238"/>
      <c r="AQ238"/>
    </row>
    <row r="239" spans="1:43" s="10" customFormat="1" ht="15.75" customHeight="1" x14ac:dyDescent="0.25">
      <c r="A239" s="55">
        <f t="shared" si="36"/>
        <v>19</v>
      </c>
      <c r="B239" s="56">
        <v>44336</v>
      </c>
      <c r="C239" s="58"/>
      <c r="D239" s="58"/>
      <c r="E239" s="58"/>
      <c r="F239" s="111" t="s">
        <v>279</v>
      </c>
      <c r="G239" s="126" t="s">
        <v>809</v>
      </c>
      <c r="H239" s="45">
        <v>2277227.7000000002</v>
      </c>
      <c r="I239" s="380" t="s">
        <v>808</v>
      </c>
      <c r="J239" s="301">
        <v>44347</v>
      </c>
      <c r="K239" s="28">
        <f t="shared" si="32"/>
        <v>2277227.7000000002</v>
      </c>
      <c r="L239" s="460"/>
      <c r="M239" s="459"/>
      <c r="N239" s="28">
        <f t="shared" si="37"/>
        <v>22772.277000000002</v>
      </c>
      <c r="O239" s="28">
        <f t="shared" si="38"/>
        <v>45544.554000000004</v>
      </c>
      <c r="P239" s="459">
        <v>2254455.4230000004</v>
      </c>
      <c r="Q239" s="28">
        <f t="shared" si="35"/>
        <v>-2.3283064365386963E-10</v>
      </c>
      <c r="R239" s="197"/>
      <c r="S239" s="197">
        <v>44403</v>
      </c>
      <c r="T239" s="2">
        <v>30</v>
      </c>
      <c r="U239" s="24">
        <f t="shared" si="31"/>
        <v>44377</v>
      </c>
      <c r="V239"/>
      <c r="W239"/>
      <c r="X239"/>
      <c r="Y239"/>
      <c r="Z239"/>
      <c r="AA239"/>
      <c r="AB239"/>
      <c r="AC239"/>
      <c r="AD239"/>
      <c r="AE239"/>
      <c r="AF239"/>
      <c r="AG239"/>
      <c r="AH239"/>
      <c r="AI239"/>
      <c r="AJ239"/>
      <c r="AK239"/>
      <c r="AL239"/>
      <c r="AM239"/>
      <c r="AN239"/>
      <c r="AO239"/>
      <c r="AP239"/>
      <c r="AQ239"/>
    </row>
    <row r="240" spans="1:43" s="10" customFormat="1" ht="15.75" customHeight="1" x14ac:dyDescent="0.25">
      <c r="A240" s="55">
        <f t="shared" si="36"/>
        <v>20</v>
      </c>
      <c r="B240" s="56">
        <v>44335</v>
      </c>
      <c r="C240" s="58">
        <v>402409</v>
      </c>
      <c r="D240" s="58"/>
      <c r="E240" s="58"/>
      <c r="F240" s="111" t="s">
        <v>279</v>
      </c>
      <c r="G240" s="126" t="s">
        <v>811</v>
      </c>
      <c r="H240" s="45">
        <v>4059406</v>
      </c>
      <c r="I240" s="380" t="s">
        <v>810</v>
      </c>
      <c r="J240" s="301">
        <v>44347</v>
      </c>
      <c r="K240" s="28">
        <f t="shared" si="32"/>
        <v>4059406</v>
      </c>
      <c r="L240" s="460"/>
      <c r="M240" s="459"/>
      <c r="N240" s="28">
        <f t="shared" si="37"/>
        <v>40594.06</v>
      </c>
      <c r="O240" s="28">
        <f t="shared" si="38"/>
        <v>81188.12</v>
      </c>
      <c r="P240" s="459">
        <v>4018811.94</v>
      </c>
      <c r="Q240" s="28">
        <f t="shared" si="35"/>
        <v>-5.8207660913467407E-11</v>
      </c>
      <c r="R240" s="197"/>
      <c r="S240" s="197">
        <v>44403</v>
      </c>
      <c r="T240" s="2">
        <v>30</v>
      </c>
      <c r="U240" s="24">
        <f t="shared" si="31"/>
        <v>44377</v>
      </c>
      <c r="V240"/>
      <c r="W240"/>
      <c r="X240"/>
      <c r="Y240"/>
      <c r="Z240"/>
      <c r="AA240"/>
      <c r="AB240"/>
      <c r="AC240"/>
      <c r="AD240"/>
      <c r="AE240"/>
      <c r="AF240"/>
      <c r="AG240"/>
      <c r="AH240"/>
      <c r="AI240"/>
      <c r="AJ240"/>
      <c r="AK240"/>
      <c r="AL240"/>
      <c r="AM240"/>
      <c r="AN240"/>
      <c r="AO240"/>
      <c r="AP240"/>
      <c r="AQ240"/>
    </row>
    <row r="241" spans="1:43" s="10" customFormat="1" ht="15.75" customHeight="1" x14ac:dyDescent="0.25">
      <c r="A241" s="55">
        <f t="shared" si="36"/>
        <v>21</v>
      </c>
      <c r="B241" s="56">
        <v>44341</v>
      </c>
      <c r="C241" s="58"/>
      <c r="D241" s="58"/>
      <c r="E241" s="58"/>
      <c r="F241" s="69" t="s">
        <v>279</v>
      </c>
      <c r="G241" s="126" t="s">
        <v>881</v>
      </c>
      <c r="H241" s="45">
        <v>3267327</v>
      </c>
      <c r="I241" s="380" t="s">
        <v>873</v>
      </c>
      <c r="J241" s="301">
        <v>44349</v>
      </c>
      <c r="K241" s="28">
        <f t="shared" si="32"/>
        <v>3267327</v>
      </c>
      <c r="L241" s="460"/>
      <c r="M241" s="459"/>
      <c r="N241" s="28">
        <f t="shared" si="37"/>
        <v>32673.27</v>
      </c>
      <c r="O241" s="28">
        <f t="shared" si="38"/>
        <v>65346.54</v>
      </c>
      <c r="P241" s="459">
        <v>3234653.73</v>
      </c>
      <c r="Q241" s="28">
        <f t="shared" si="35"/>
        <v>0</v>
      </c>
      <c r="R241" s="197"/>
      <c r="S241" s="197">
        <v>44403</v>
      </c>
      <c r="T241" s="2">
        <v>30</v>
      </c>
      <c r="U241" s="24">
        <f t="shared" si="31"/>
        <v>44379</v>
      </c>
      <c r="V241"/>
      <c r="W241"/>
      <c r="X241"/>
      <c r="Y241"/>
      <c r="Z241"/>
      <c r="AA241"/>
      <c r="AB241"/>
      <c r="AC241"/>
      <c r="AD241"/>
      <c r="AE241"/>
      <c r="AF241"/>
      <c r="AG241"/>
      <c r="AH241"/>
      <c r="AI241"/>
      <c r="AJ241"/>
      <c r="AK241"/>
      <c r="AL241"/>
      <c r="AM241"/>
      <c r="AN241"/>
      <c r="AO241"/>
      <c r="AP241"/>
      <c r="AQ241"/>
    </row>
    <row r="242" spans="1:43" s="10" customFormat="1" ht="15.75" customHeight="1" x14ac:dyDescent="0.25">
      <c r="A242" s="55">
        <f t="shared" si="36"/>
        <v>22</v>
      </c>
      <c r="B242" s="56">
        <v>44321</v>
      </c>
      <c r="C242" s="58" t="s">
        <v>847</v>
      </c>
      <c r="D242" s="58"/>
      <c r="E242" s="58"/>
      <c r="F242" s="69" t="s">
        <v>279</v>
      </c>
      <c r="G242" s="126" t="s">
        <v>849</v>
      </c>
      <c r="H242" s="45">
        <v>3019802</v>
      </c>
      <c r="I242" s="380" t="s">
        <v>850</v>
      </c>
      <c r="J242" s="301">
        <v>44349</v>
      </c>
      <c r="K242" s="28">
        <f t="shared" si="32"/>
        <v>3019802</v>
      </c>
      <c r="L242" s="460"/>
      <c r="M242" s="459"/>
      <c r="N242" s="28">
        <f t="shared" si="37"/>
        <v>30198.02</v>
      </c>
      <c r="O242" s="28">
        <f t="shared" si="38"/>
        <v>60396.04</v>
      </c>
      <c r="P242" s="459">
        <v>2989603.98</v>
      </c>
      <c r="Q242" s="28">
        <f t="shared" si="35"/>
        <v>0</v>
      </c>
      <c r="R242" s="197"/>
      <c r="S242" s="197">
        <v>44403</v>
      </c>
      <c r="T242" s="2">
        <v>30</v>
      </c>
      <c r="U242" s="24">
        <f t="shared" si="31"/>
        <v>44379</v>
      </c>
      <c r="V242"/>
      <c r="W242"/>
      <c r="X242"/>
      <c r="Y242"/>
      <c r="Z242"/>
      <c r="AA242"/>
      <c r="AB242"/>
      <c r="AC242"/>
      <c r="AD242"/>
      <c r="AE242"/>
      <c r="AF242"/>
      <c r="AG242"/>
      <c r="AH242"/>
      <c r="AI242"/>
      <c r="AJ242"/>
      <c r="AK242"/>
      <c r="AL242"/>
      <c r="AM242"/>
      <c r="AN242"/>
      <c r="AO242"/>
      <c r="AP242"/>
      <c r="AQ242"/>
    </row>
    <row r="243" spans="1:43" s="10" customFormat="1" ht="15.75" customHeight="1" x14ac:dyDescent="0.25">
      <c r="A243" s="55">
        <f t="shared" si="36"/>
        <v>23</v>
      </c>
      <c r="B243" s="56">
        <v>44321</v>
      </c>
      <c r="C243" s="58" t="s">
        <v>851</v>
      </c>
      <c r="D243" s="58"/>
      <c r="E243" s="58"/>
      <c r="F243" s="69" t="s">
        <v>279</v>
      </c>
      <c r="G243" s="126" t="s">
        <v>285</v>
      </c>
      <c r="H243" s="45">
        <v>4059406</v>
      </c>
      <c r="I243" s="380" t="s">
        <v>852</v>
      </c>
      <c r="J243" s="301">
        <v>44349</v>
      </c>
      <c r="K243" s="28">
        <f t="shared" si="32"/>
        <v>4059406</v>
      </c>
      <c r="L243" s="460"/>
      <c r="M243" s="459"/>
      <c r="N243" s="28">
        <f t="shared" si="37"/>
        <v>40594.06</v>
      </c>
      <c r="O243" s="28">
        <f t="shared" si="38"/>
        <v>81188.12</v>
      </c>
      <c r="P243" s="459">
        <v>4018811.94</v>
      </c>
      <c r="Q243" s="28">
        <f t="shared" si="35"/>
        <v>-5.8207660913467407E-11</v>
      </c>
      <c r="R243" s="197"/>
      <c r="S243" s="197">
        <v>44403</v>
      </c>
      <c r="T243" s="2">
        <v>30</v>
      </c>
      <c r="U243" s="24">
        <f t="shared" si="31"/>
        <v>44379</v>
      </c>
      <c r="V243"/>
      <c r="W243"/>
      <c r="X243"/>
      <c r="Y243"/>
      <c r="Z243"/>
      <c r="AA243"/>
      <c r="AB243"/>
      <c r="AC243"/>
      <c r="AD243"/>
      <c r="AE243"/>
      <c r="AF243"/>
      <c r="AG243"/>
      <c r="AH243"/>
      <c r="AI243"/>
      <c r="AJ243"/>
      <c r="AK243"/>
      <c r="AL243"/>
      <c r="AM243"/>
      <c r="AN243"/>
      <c r="AO243"/>
      <c r="AP243"/>
      <c r="AQ243"/>
    </row>
    <row r="244" spans="1:43" s="10" customFormat="1" ht="15.75" customHeight="1" x14ac:dyDescent="0.25">
      <c r="A244" s="55">
        <f t="shared" si="36"/>
        <v>24</v>
      </c>
      <c r="B244" s="56">
        <v>44334</v>
      </c>
      <c r="C244" s="58" t="s">
        <v>854</v>
      </c>
      <c r="D244" s="58"/>
      <c r="E244" s="58"/>
      <c r="F244" s="69" t="s">
        <v>279</v>
      </c>
      <c r="G244" s="126" t="s">
        <v>315</v>
      </c>
      <c r="H244" s="45">
        <v>2178218</v>
      </c>
      <c r="I244" s="380" t="s">
        <v>853</v>
      </c>
      <c r="J244" s="301">
        <v>44349</v>
      </c>
      <c r="K244" s="28">
        <f t="shared" si="32"/>
        <v>2178218</v>
      </c>
      <c r="L244" s="460"/>
      <c r="M244" s="459"/>
      <c r="N244" s="28">
        <f t="shared" si="37"/>
        <v>21782.18</v>
      </c>
      <c r="O244" s="28">
        <f t="shared" si="38"/>
        <v>43564.36</v>
      </c>
      <c r="P244" s="459">
        <v>2156435.8200000003</v>
      </c>
      <c r="Q244" s="28">
        <f t="shared" si="35"/>
        <v>-1.673470251262188E-10</v>
      </c>
      <c r="R244" s="197"/>
      <c r="S244" s="197">
        <v>44403</v>
      </c>
      <c r="T244" s="2">
        <v>30</v>
      </c>
      <c r="U244" s="24">
        <f t="shared" si="31"/>
        <v>44379</v>
      </c>
      <c r="V244"/>
      <c r="W244"/>
      <c r="X244"/>
      <c r="Y244"/>
      <c r="Z244"/>
      <c r="AA244"/>
      <c r="AB244"/>
      <c r="AC244"/>
      <c r="AD244"/>
      <c r="AE244"/>
      <c r="AF244"/>
      <c r="AG244"/>
      <c r="AH244"/>
      <c r="AI244"/>
      <c r="AJ244"/>
      <c r="AK244"/>
      <c r="AL244"/>
      <c r="AM244"/>
      <c r="AN244"/>
      <c r="AO244"/>
      <c r="AP244"/>
      <c r="AQ244"/>
    </row>
    <row r="245" spans="1:43" s="10" customFormat="1" ht="15.75" customHeight="1" x14ac:dyDescent="0.25">
      <c r="A245" s="55">
        <f t="shared" si="36"/>
        <v>25</v>
      </c>
      <c r="B245" s="56">
        <v>44343</v>
      </c>
      <c r="C245" s="58" t="s">
        <v>883</v>
      </c>
      <c r="D245" s="58"/>
      <c r="E245" s="58"/>
      <c r="F245" s="69" t="s">
        <v>279</v>
      </c>
      <c r="G245" s="126" t="s">
        <v>838</v>
      </c>
      <c r="H245" s="45">
        <v>1782178</v>
      </c>
      <c r="I245" s="380" t="s">
        <v>882</v>
      </c>
      <c r="J245" s="301">
        <v>44349</v>
      </c>
      <c r="K245" s="28">
        <f t="shared" si="32"/>
        <v>1782178</v>
      </c>
      <c r="L245" s="460"/>
      <c r="M245" s="459"/>
      <c r="N245" s="28">
        <f t="shared" si="37"/>
        <v>17821.78</v>
      </c>
      <c r="O245" s="28">
        <f t="shared" si="38"/>
        <v>35643.56</v>
      </c>
      <c r="P245" s="459">
        <v>1764356.22</v>
      </c>
      <c r="Q245" s="28">
        <f t="shared" si="35"/>
        <v>-2.9103830456733704E-11</v>
      </c>
      <c r="R245" s="197"/>
      <c r="S245" s="197">
        <v>44403</v>
      </c>
      <c r="T245" s="2">
        <v>30</v>
      </c>
      <c r="U245" s="24">
        <f t="shared" si="31"/>
        <v>44379</v>
      </c>
      <c r="V245"/>
      <c r="W245"/>
      <c r="X245"/>
      <c r="Y245"/>
      <c r="Z245"/>
      <c r="AA245"/>
      <c r="AB245"/>
      <c r="AC245"/>
      <c r="AD245"/>
      <c r="AE245"/>
      <c r="AF245"/>
      <c r="AG245"/>
      <c r="AH245"/>
      <c r="AI245"/>
      <c r="AJ245"/>
      <c r="AK245"/>
      <c r="AL245"/>
      <c r="AM245"/>
      <c r="AN245"/>
      <c r="AO245"/>
      <c r="AP245"/>
      <c r="AQ245"/>
    </row>
    <row r="246" spans="1:43" s="10" customFormat="1" ht="15.75" customHeight="1" x14ac:dyDescent="0.25">
      <c r="A246" s="55">
        <f t="shared" si="36"/>
        <v>26</v>
      </c>
      <c r="B246" s="56">
        <v>44340</v>
      </c>
      <c r="C246" s="58" t="s">
        <v>868</v>
      </c>
      <c r="D246" s="58"/>
      <c r="E246" s="58"/>
      <c r="F246" s="69" t="s">
        <v>869</v>
      </c>
      <c r="G246" s="126" t="s">
        <v>870</v>
      </c>
      <c r="H246" s="45">
        <v>6300000</v>
      </c>
      <c r="I246" s="380" t="s">
        <v>867</v>
      </c>
      <c r="J246" s="301">
        <v>44351</v>
      </c>
      <c r="K246" s="28">
        <f t="shared" si="32"/>
        <v>6300000</v>
      </c>
      <c r="L246" s="460"/>
      <c r="M246" s="459">
        <v>2900</v>
      </c>
      <c r="N246" s="28">
        <f t="shared" si="37"/>
        <v>63000</v>
      </c>
      <c r="O246" s="28">
        <f t="shared" si="38"/>
        <v>126000</v>
      </c>
      <c r="P246" s="26">
        <v>6234100</v>
      </c>
      <c r="Q246" s="28">
        <f t="shared" si="35"/>
        <v>0</v>
      </c>
      <c r="R246" s="197"/>
      <c r="S246" s="197">
        <v>44378</v>
      </c>
      <c r="T246" s="199">
        <v>30</v>
      </c>
      <c r="U246" s="24">
        <f t="shared" si="31"/>
        <v>44381</v>
      </c>
      <c r="V246"/>
      <c r="W246"/>
      <c r="X246"/>
      <c r="Y246"/>
      <c r="Z246"/>
      <c r="AA246"/>
      <c r="AB246"/>
      <c r="AC246"/>
      <c r="AD246"/>
      <c r="AE246"/>
      <c r="AF246"/>
      <c r="AG246"/>
      <c r="AH246"/>
      <c r="AI246"/>
      <c r="AJ246"/>
      <c r="AK246"/>
      <c r="AL246"/>
      <c r="AM246"/>
      <c r="AN246"/>
      <c r="AO246"/>
      <c r="AP246"/>
      <c r="AQ246"/>
    </row>
    <row r="247" spans="1:43" s="10" customFormat="1" ht="15.75" customHeight="1" x14ac:dyDescent="0.25">
      <c r="A247" s="55">
        <f t="shared" si="36"/>
        <v>27</v>
      </c>
      <c r="B247" s="56">
        <v>44345</v>
      </c>
      <c r="C247" s="58"/>
      <c r="D247" s="58"/>
      <c r="E247" s="58" t="s">
        <v>1069</v>
      </c>
      <c r="F247" s="123" t="s">
        <v>2694</v>
      </c>
      <c r="G247" s="126" t="s">
        <v>927</v>
      </c>
      <c r="H247" s="45">
        <v>750000</v>
      </c>
      <c r="I247" s="380" t="s">
        <v>922</v>
      </c>
      <c r="J247" s="301">
        <v>44354</v>
      </c>
      <c r="K247" s="28">
        <f t="shared" si="32"/>
        <v>750000</v>
      </c>
      <c r="L247" s="460"/>
      <c r="M247" s="459">
        <f>K247*2.5%</f>
        <v>18750</v>
      </c>
      <c r="N247" s="28">
        <f t="shared" si="37"/>
        <v>7500</v>
      </c>
      <c r="O247" s="28">
        <f t="shared" si="38"/>
        <v>15000</v>
      </c>
      <c r="P247" s="481">
        <v>723750</v>
      </c>
      <c r="Q247" s="28">
        <f t="shared" si="35"/>
        <v>0</v>
      </c>
      <c r="R247" s="197"/>
      <c r="S247" s="197">
        <v>44368</v>
      </c>
      <c r="T247" s="199">
        <v>14</v>
      </c>
      <c r="U247" s="24">
        <f t="shared" si="31"/>
        <v>44368</v>
      </c>
      <c r="V247"/>
      <c r="W247"/>
      <c r="X247"/>
      <c r="Y247"/>
      <c r="Z247"/>
      <c r="AA247"/>
      <c r="AB247"/>
      <c r="AC247"/>
      <c r="AD247"/>
      <c r="AE247"/>
      <c r="AF247"/>
      <c r="AG247"/>
      <c r="AH247"/>
      <c r="AI247"/>
      <c r="AJ247"/>
      <c r="AK247"/>
      <c r="AL247"/>
      <c r="AM247"/>
      <c r="AN247"/>
      <c r="AO247"/>
      <c r="AP247"/>
      <c r="AQ247"/>
    </row>
    <row r="248" spans="1:43" s="10" customFormat="1" ht="15.75" customHeight="1" x14ac:dyDescent="0.25">
      <c r="A248" s="55">
        <f t="shared" si="36"/>
        <v>28</v>
      </c>
      <c r="B248" s="56">
        <v>44347</v>
      </c>
      <c r="C248" s="58"/>
      <c r="D248" s="58"/>
      <c r="E248" s="58" t="s">
        <v>1068</v>
      </c>
      <c r="F248" s="123" t="s">
        <v>2694</v>
      </c>
      <c r="G248" s="126" t="s">
        <v>928</v>
      </c>
      <c r="H248" s="45">
        <v>900000</v>
      </c>
      <c r="I248" s="380" t="s">
        <v>924</v>
      </c>
      <c r="J248" s="301">
        <v>44354</v>
      </c>
      <c r="K248" s="28">
        <f t="shared" si="32"/>
        <v>900000</v>
      </c>
      <c r="L248" s="460"/>
      <c r="M248" s="459">
        <f>K248*2.5%</f>
        <v>22500</v>
      </c>
      <c r="N248" s="28">
        <f t="shared" si="37"/>
        <v>9000</v>
      </c>
      <c r="O248" s="28">
        <f t="shared" si="38"/>
        <v>18000</v>
      </c>
      <c r="P248" s="481">
        <v>868500</v>
      </c>
      <c r="Q248" s="28">
        <f t="shared" si="35"/>
        <v>0</v>
      </c>
      <c r="R248" s="197"/>
      <c r="S248" s="197">
        <v>44369</v>
      </c>
      <c r="T248" s="199">
        <v>14</v>
      </c>
      <c r="U248" s="24">
        <f t="shared" si="31"/>
        <v>44368</v>
      </c>
      <c r="V248"/>
      <c r="W248"/>
      <c r="X248"/>
      <c r="Y248"/>
      <c r="Z248"/>
      <c r="AA248"/>
      <c r="AB248"/>
      <c r="AC248"/>
      <c r="AD248"/>
      <c r="AE248"/>
      <c r="AF248"/>
      <c r="AG248"/>
      <c r="AH248"/>
      <c r="AI248"/>
      <c r="AJ248"/>
      <c r="AK248"/>
      <c r="AL248"/>
      <c r="AM248"/>
      <c r="AN248"/>
      <c r="AO248"/>
      <c r="AP248"/>
      <c r="AQ248"/>
    </row>
    <row r="249" spans="1:43" s="10" customFormat="1" ht="15.75" customHeight="1" x14ac:dyDescent="0.25">
      <c r="A249" s="55">
        <f t="shared" si="36"/>
        <v>29</v>
      </c>
      <c r="B249" s="56">
        <v>44345</v>
      </c>
      <c r="C249" s="58"/>
      <c r="D249" s="58"/>
      <c r="E249" s="58" t="s">
        <v>1056</v>
      </c>
      <c r="F249" s="123" t="s">
        <v>2694</v>
      </c>
      <c r="G249" s="126" t="s">
        <v>927</v>
      </c>
      <c r="H249" s="45">
        <v>1300000</v>
      </c>
      <c r="I249" s="380" t="s">
        <v>921</v>
      </c>
      <c r="J249" s="301">
        <v>44354</v>
      </c>
      <c r="K249" s="28">
        <f t="shared" si="32"/>
        <v>1300000</v>
      </c>
      <c r="L249" s="481">
        <v>633750</v>
      </c>
      <c r="M249" s="459">
        <f>K249*2.5%</f>
        <v>32500</v>
      </c>
      <c r="N249" s="28">
        <f t="shared" si="37"/>
        <v>13000</v>
      </c>
      <c r="O249" s="28">
        <f t="shared" si="38"/>
        <v>26000</v>
      </c>
      <c r="P249" s="481">
        <v>620750</v>
      </c>
      <c r="Q249" s="28">
        <f t="shared" si="35"/>
        <v>0</v>
      </c>
      <c r="R249" s="197"/>
      <c r="S249" s="197">
        <v>44372</v>
      </c>
      <c r="T249" s="199">
        <v>14</v>
      </c>
      <c r="U249" s="24">
        <f t="shared" si="31"/>
        <v>44368</v>
      </c>
      <c r="V249"/>
      <c r="W249"/>
      <c r="X249"/>
      <c r="Y249"/>
      <c r="Z249"/>
      <c r="AA249"/>
      <c r="AB249"/>
      <c r="AC249"/>
      <c r="AD249"/>
      <c r="AE249"/>
      <c r="AF249"/>
      <c r="AG249"/>
      <c r="AH249"/>
      <c r="AI249"/>
      <c r="AJ249"/>
      <c r="AK249"/>
      <c r="AL249"/>
      <c r="AM249"/>
      <c r="AN249"/>
      <c r="AO249"/>
      <c r="AP249"/>
      <c r="AQ249"/>
    </row>
    <row r="250" spans="1:43" s="10" customFormat="1" ht="15.75" customHeight="1" x14ac:dyDescent="0.25">
      <c r="A250" s="55">
        <f t="shared" si="36"/>
        <v>30</v>
      </c>
      <c r="B250" s="56">
        <v>44344</v>
      </c>
      <c r="C250" s="58"/>
      <c r="D250" s="58"/>
      <c r="E250" s="58" t="s">
        <v>920</v>
      </c>
      <c r="F250" s="123" t="s">
        <v>2694</v>
      </c>
      <c r="G250" s="126" t="s">
        <v>910</v>
      </c>
      <c r="H250" s="45">
        <v>2200000</v>
      </c>
      <c r="I250" s="380" t="s">
        <v>901</v>
      </c>
      <c r="J250" s="301">
        <v>44354</v>
      </c>
      <c r="K250" s="28">
        <f t="shared" si="32"/>
        <v>2200000</v>
      </c>
      <c r="L250" s="460">
        <v>1072500</v>
      </c>
      <c r="M250" s="459">
        <f>K250*2.5%</f>
        <v>55000</v>
      </c>
      <c r="N250" s="28">
        <f t="shared" si="37"/>
        <v>22000</v>
      </c>
      <c r="O250" s="28">
        <f t="shared" si="38"/>
        <v>44000</v>
      </c>
      <c r="P250" s="481">
        <v>1050500</v>
      </c>
      <c r="Q250" s="28">
        <f t="shared" si="35"/>
        <v>0</v>
      </c>
      <c r="R250" s="197"/>
      <c r="S250" s="197">
        <v>44369</v>
      </c>
      <c r="T250" s="199">
        <v>14</v>
      </c>
      <c r="U250" s="24">
        <f t="shared" si="31"/>
        <v>44368</v>
      </c>
      <c r="V250"/>
      <c r="W250"/>
      <c r="X250"/>
      <c r="Y250"/>
      <c r="Z250"/>
      <c r="AA250"/>
      <c r="AB250"/>
      <c r="AC250"/>
      <c r="AD250"/>
      <c r="AE250"/>
      <c r="AF250"/>
      <c r="AG250"/>
      <c r="AH250"/>
      <c r="AI250"/>
      <c r="AJ250"/>
      <c r="AK250"/>
      <c r="AL250"/>
      <c r="AM250"/>
      <c r="AN250"/>
      <c r="AO250"/>
      <c r="AP250"/>
      <c r="AQ250"/>
    </row>
    <row r="251" spans="1:43" s="10" customFormat="1" ht="15.75" customHeight="1" x14ac:dyDescent="0.25">
      <c r="A251" s="55">
        <f t="shared" si="36"/>
        <v>31</v>
      </c>
      <c r="B251" s="56">
        <v>44343</v>
      </c>
      <c r="C251" s="58"/>
      <c r="D251" s="58"/>
      <c r="E251" s="58" t="s">
        <v>918</v>
      </c>
      <c r="F251" s="123" t="s">
        <v>2694</v>
      </c>
      <c r="G251" s="126" t="s">
        <v>910</v>
      </c>
      <c r="H251" s="45">
        <v>2200000</v>
      </c>
      <c r="I251" s="380" t="s">
        <v>897</v>
      </c>
      <c r="J251" s="301">
        <v>44354</v>
      </c>
      <c r="K251" s="28">
        <f t="shared" si="32"/>
        <v>2200000</v>
      </c>
      <c r="L251" s="460">
        <v>1072500</v>
      </c>
      <c r="M251" s="459">
        <f t="shared" ref="M251:M259" si="39">K251*2.5%</f>
        <v>55000</v>
      </c>
      <c r="N251" s="28">
        <f t="shared" si="37"/>
        <v>22000</v>
      </c>
      <c r="O251" s="28">
        <f t="shared" si="38"/>
        <v>44000</v>
      </c>
      <c r="P251" s="481">
        <v>1050500</v>
      </c>
      <c r="Q251" s="28">
        <f t="shared" si="35"/>
        <v>0</v>
      </c>
      <c r="R251" s="197"/>
      <c r="S251" s="197">
        <v>44369</v>
      </c>
      <c r="T251" s="199">
        <v>14</v>
      </c>
      <c r="U251" s="24">
        <f t="shared" si="31"/>
        <v>44368</v>
      </c>
      <c r="V251"/>
      <c r="W251"/>
      <c r="X251"/>
      <c r="Y251"/>
      <c r="Z251"/>
      <c r="AA251"/>
      <c r="AB251"/>
      <c r="AC251"/>
      <c r="AD251"/>
      <c r="AE251"/>
      <c r="AF251"/>
      <c r="AG251"/>
      <c r="AH251"/>
      <c r="AI251"/>
      <c r="AJ251"/>
      <c r="AK251"/>
      <c r="AL251"/>
      <c r="AM251"/>
      <c r="AN251"/>
      <c r="AO251"/>
      <c r="AP251"/>
      <c r="AQ251"/>
    </row>
    <row r="252" spans="1:43" s="10" customFormat="1" ht="15.75" customHeight="1" x14ac:dyDescent="0.25">
      <c r="A252" s="55">
        <f t="shared" si="36"/>
        <v>32</v>
      </c>
      <c r="B252" s="56">
        <v>44343</v>
      </c>
      <c r="C252" s="58"/>
      <c r="D252" s="58"/>
      <c r="E252" s="58" t="s">
        <v>915</v>
      </c>
      <c r="F252" s="123" t="s">
        <v>2694</v>
      </c>
      <c r="G252" s="126" t="s">
        <v>35</v>
      </c>
      <c r="H252" s="45">
        <v>1400000</v>
      </c>
      <c r="I252" s="380" t="s">
        <v>893</v>
      </c>
      <c r="J252" s="301">
        <v>44354</v>
      </c>
      <c r="K252" s="28">
        <f t="shared" si="32"/>
        <v>1400000</v>
      </c>
      <c r="L252" s="460"/>
      <c r="M252" s="459">
        <f t="shared" si="39"/>
        <v>35000</v>
      </c>
      <c r="N252" s="28">
        <f t="shared" si="37"/>
        <v>14000</v>
      </c>
      <c r="O252" s="28">
        <f t="shared" si="38"/>
        <v>28000</v>
      </c>
      <c r="P252" s="481">
        <v>1351000</v>
      </c>
      <c r="Q252" s="28">
        <f t="shared" si="35"/>
        <v>0</v>
      </c>
      <c r="R252" s="197"/>
      <c r="S252" s="197">
        <v>44368</v>
      </c>
      <c r="T252" s="199">
        <v>14</v>
      </c>
      <c r="U252" s="24">
        <f t="shared" si="31"/>
        <v>44368</v>
      </c>
      <c r="V252"/>
      <c r="W252"/>
      <c r="X252"/>
      <c r="Y252"/>
      <c r="Z252"/>
      <c r="AA252"/>
      <c r="AB252"/>
      <c r="AC252"/>
      <c r="AD252"/>
      <c r="AE252"/>
      <c r="AF252"/>
      <c r="AG252"/>
      <c r="AH252"/>
      <c r="AI252"/>
      <c r="AJ252"/>
      <c r="AK252"/>
      <c r="AL252"/>
      <c r="AM252"/>
      <c r="AN252"/>
      <c r="AO252"/>
      <c r="AP252"/>
      <c r="AQ252"/>
    </row>
    <row r="253" spans="1:43" s="10" customFormat="1" ht="15.75" customHeight="1" x14ac:dyDescent="0.25">
      <c r="A253" s="55">
        <f t="shared" si="36"/>
        <v>33</v>
      </c>
      <c r="B253" s="56">
        <v>44342</v>
      </c>
      <c r="C253" s="58"/>
      <c r="D253" s="58"/>
      <c r="E253" s="58" t="s">
        <v>912</v>
      </c>
      <c r="F253" s="123" t="s">
        <v>2694</v>
      </c>
      <c r="G253" s="126" t="s">
        <v>906</v>
      </c>
      <c r="H253" s="45">
        <v>1000000</v>
      </c>
      <c r="I253" s="380" t="s">
        <v>888</v>
      </c>
      <c r="J253" s="301">
        <v>44354</v>
      </c>
      <c r="K253" s="28">
        <f t="shared" si="32"/>
        <v>1000000</v>
      </c>
      <c r="L253" s="460"/>
      <c r="M253" s="459">
        <f t="shared" si="39"/>
        <v>25000</v>
      </c>
      <c r="N253" s="28">
        <f t="shared" si="37"/>
        <v>10000</v>
      </c>
      <c r="O253" s="28">
        <f t="shared" si="38"/>
        <v>20000</v>
      </c>
      <c r="P253" s="481">
        <v>965000</v>
      </c>
      <c r="Q253" s="28">
        <f t="shared" si="35"/>
        <v>0</v>
      </c>
      <c r="R253" s="197"/>
      <c r="S253" s="197">
        <v>44369</v>
      </c>
      <c r="T253" s="199">
        <v>14</v>
      </c>
      <c r="U253" s="24">
        <f t="shared" si="31"/>
        <v>44368</v>
      </c>
      <c r="V253"/>
      <c r="W253"/>
      <c r="X253"/>
      <c r="Y253"/>
      <c r="Z253"/>
      <c r="AA253"/>
      <c r="AB253"/>
      <c r="AC253"/>
      <c r="AD253"/>
      <c r="AE253"/>
      <c r="AF253"/>
      <c r="AG253"/>
      <c r="AH253"/>
      <c r="AI253"/>
      <c r="AJ253"/>
      <c r="AK253"/>
      <c r="AL253"/>
      <c r="AM253"/>
      <c r="AN253"/>
      <c r="AO253"/>
      <c r="AP253"/>
      <c r="AQ253"/>
    </row>
    <row r="254" spans="1:43" s="10" customFormat="1" ht="15.75" customHeight="1" x14ac:dyDescent="0.25">
      <c r="A254" s="55">
        <f t="shared" si="36"/>
        <v>34</v>
      </c>
      <c r="B254" s="56">
        <v>44344</v>
      </c>
      <c r="C254" s="58"/>
      <c r="D254" s="58"/>
      <c r="E254" s="58" t="s">
        <v>919</v>
      </c>
      <c r="F254" s="123" t="s">
        <v>2694</v>
      </c>
      <c r="G254" s="126" t="s">
        <v>15</v>
      </c>
      <c r="H254" s="45">
        <v>9400000</v>
      </c>
      <c r="I254" s="380" t="s">
        <v>899</v>
      </c>
      <c r="J254" s="301">
        <v>44354</v>
      </c>
      <c r="K254" s="28">
        <f t="shared" si="32"/>
        <v>9400000</v>
      </c>
      <c r="L254" s="460">
        <v>4582500</v>
      </c>
      <c r="M254" s="459">
        <f t="shared" si="39"/>
        <v>235000</v>
      </c>
      <c r="N254" s="28">
        <f t="shared" si="37"/>
        <v>94000</v>
      </c>
      <c r="O254" s="28">
        <f t="shared" si="38"/>
        <v>188000</v>
      </c>
      <c r="P254" s="481">
        <v>4488500</v>
      </c>
      <c r="Q254" s="28">
        <f t="shared" si="35"/>
        <v>0</v>
      </c>
      <c r="R254" s="197"/>
      <c r="S254" s="197">
        <v>44369</v>
      </c>
      <c r="T254" s="199">
        <v>14</v>
      </c>
      <c r="U254" s="24">
        <f t="shared" si="31"/>
        <v>44368</v>
      </c>
      <c r="V254"/>
      <c r="W254"/>
      <c r="X254"/>
      <c r="Y254"/>
      <c r="Z254"/>
      <c r="AA254"/>
      <c r="AB254"/>
      <c r="AC254"/>
      <c r="AD254"/>
      <c r="AE254"/>
      <c r="AF254"/>
      <c r="AG254"/>
      <c r="AH254"/>
      <c r="AI254"/>
      <c r="AJ254"/>
      <c r="AK254"/>
      <c r="AL254"/>
      <c r="AM254"/>
      <c r="AN254"/>
      <c r="AO254"/>
      <c r="AP254"/>
      <c r="AQ254"/>
    </row>
    <row r="255" spans="1:43" s="10" customFormat="1" ht="15.75" customHeight="1" x14ac:dyDescent="0.25">
      <c r="A255" s="55">
        <f t="shared" si="36"/>
        <v>35</v>
      </c>
      <c r="B255" s="56">
        <v>44343</v>
      </c>
      <c r="C255" s="58"/>
      <c r="D255" s="58"/>
      <c r="E255" s="58" t="s">
        <v>917</v>
      </c>
      <c r="F255" s="123" t="s">
        <v>2694</v>
      </c>
      <c r="G255" s="126" t="s">
        <v>909</v>
      </c>
      <c r="H255" s="45">
        <v>1000000</v>
      </c>
      <c r="I255" s="380" t="s">
        <v>895</v>
      </c>
      <c r="J255" s="301">
        <v>44354</v>
      </c>
      <c r="K255" s="28">
        <f t="shared" si="32"/>
        <v>1000000</v>
      </c>
      <c r="L255" s="460"/>
      <c r="M255" s="459">
        <f t="shared" si="39"/>
        <v>25000</v>
      </c>
      <c r="N255" s="28">
        <f t="shared" si="37"/>
        <v>10000</v>
      </c>
      <c r="O255" s="28">
        <f t="shared" si="38"/>
        <v>20000</v>
      </c>
      <c r="P255" s="481">
        <v>965000</v>
      </c>
      <c r="Q255" s="28">
        <f t="shared" si="35"/>
        <v>0</v>
      </c>
      <c r="R255" s="197"/>
      <c r="S255" s="197">
        <v>44369</v>
      </c>
      <c r="T255" s="199">
        <v>14</v>
      </c>
      <c r="U255" s="24">
        <f t="shared" si="31"/>
        <v>44368</v>
      </c>
      <c r="V255"/>
      <c r="W255"/>
      <c r="X255"/>
      <c r="Y255"/>
      <c r="Z255"/>
      <c r="AA255"/>
      <c r="AB255"/>
      <c r="AC255"/>
      <c r="AD255"/>
      <c r="AE255"/>
      <c r="AF255"/>
      <c r="AG255"/>
      <c r="AH255"/>
      <c r="AI255"/>
      <c r="AJ255"/>
      <c r="AK255"/>
      <c r="AL255"/>
      <c r="AM255"/>
      <c r="AN255"/>
      <c r="AO255"/>
      <c r="AP255"/>
      <c r="AQ255"/>
    </row>
    <row r="256" spans="1:43" s="10" customFormat="1" ht="15.75" customHeight="1" x14ac:dyDescent="0.25">
      <c r="A256" s="55">
        <f t="shared" si="36"/>
        <v>36</v>
      </c>
      <c r="B256" s="56">
        <v>44343</v>
      </c>
      <c r="C256" s="58"/>
      <c r="D256" s="58"/>
      <c r="E256" s="58" t="s">
        <v>916</v>
      </c>
      <c r="F256" s="123" t="s">
        <v>2694</v>
      </c>
      <c r="G256" s="126" t="s">
        <v>908</v>
      </c>
      <c r="H256" s="45">
        <v>1000000</v>
      </c>
      <c r="I256" s="380" t="s">
        <v>894</v>
      </c>
      <c r="J256" s="301">
        <v>44354</v>
      </c>
      <c r="K256" s="28">
        <f t="shared" si="32"/>
        <v>1000000</v>
      </c>
      <c r="L256" s="460"/>
      <c r="M256" s="459">
        <f t="shared" si="39"/>
        <v>25000</v>
      </c>
      <c r="N256" s="28">
        <f t="shared" si="37"/>
        <v>10000</v>
      </c>
      <c r="O256" s="28">
        <f t="shared" si="38"/>
        <v>20000</v>
      </c>
      <c r="P256" s="481">
        <v>965000</v>
      </c>
      <c r="Q256" s="28">
        <f t="shared" si="35"/>
        <v>0</v>
      </c>
      <c r="R256" s="197"/>
      <c r="S256" s="197">
        <v>44369</v>
      </c>
      <c r="T256" s="199">
        <v>14</v>
      </c>
      <c r="U256" s="24">
        <f t="shared" ref="U256:U319" si="40">J256+T256</f>
        <v>44368</v>
      </c>
      <c r="V256"/>
      <c r="W256"/>
      <c r="X256"/>
      <c r="Y256"/>
      <c r="Z256"/>
      <c r="AA256"/>
      <c r="AB256"/>
      <c r="AC256"/>
      <c r="AD256"/>
      <c r="AE256"/>
      <c r="AF256"/>
      <c r="AG256"/>
      <c r="AH256"/>
      <c r="AI256"/>
      <c r="AJ256"/>
      <c r="AK256"/>
      <c r="AL256"/>
      <c r="AM256"/>
      <c r="AN256"/>
      <c r="AO256"/>
      <c r="AP256"/>
      <c r="AQ256"/>
    </row>
    <row r="257" spans="1:43" s="10" customFormat="1" ht="15.75" customHeight="1" x14ac:dyDescent="0.25">
      <c r="A257" s="55">
        <f t="shared" si="36"/>
        <v>37</v>
      </c>
      <c r="B257" s="56">
        <v>44343</v>
      </c>
      <c r="C257" s="58"/>
      <c r="D257" s="58"/>
      <c r="E257" s="58" t="s">
        <v>913</v>
      </c>
      <c r="F257" s="123" t="s">
        <v>2694</v>
      </c>
      <c r="G257" s="126" t="s">
        <v>30</v>
      </c>
      <c r="H257" s="45">
        <v>7100000</v>
      </c>
      <c r="I257" s="380" t="s">
        <v>889</v>
      </c>
      <c r="J257" s="301">
        <v>44354</v>
      </c>
      <c r="K257" s="28">
        <f t="shared" si="32"/>
        <v>7100000</v>
      </c>
      <c r="L257" s="481">
        <v>3461250</v>
      </c>
      <c r="M257" s="459">
        <f t="shared" si="39"/>
        <v>177500</v>
      </c>
      <c r="N257" s="28">
        <f t="shared" si="37"/>
        <v>71000</v>
      </c>
      <c r="O257" s="28">
        <f t="shared" si="38"/>
        <v>142000</v>
      </c>
      <c r="P257" s="481">
        <v>3390250</v>
      </c>
      <c r="Q257" s="28">
        <f t="shared" si="35"/>
        <v>0</v>
      </c>
      <c r="R257" s="197"/>
      <c r="S257" s="197">
        <v>44369</v>
      </c>
      <c r="T257" s="199">
        <v>14</v>
      </c>
      <c r="U257" s="24">
        <f t="shared" si="40"/>
        <v>44368</v>
      </c>
      <c r="V257"/>
      <c r="W257"/>
      <c r="X257"/>
      <c r="Y257"/>
      <c r="Z257"/>
      <c r="AA257"/>
      <c r="AB257"/>
      <c r="AC257"/>
      <c r="AD257"/>
      <c r="AE257"/>
      <c r="AF257"/>
      <c r="AG257"/>
      <c r="AH257"/>
      <c r="AI257"/>
      <c r="AJ257"/>
      <c r="AK257"/>
      <c r="AL257"/>
      <c r="AM257"/>
      <c r="AN257"/>
      <c r="AO257"/>
      <c r="AP257"/>
      <c r="AQ257"/>
    </row>
    <row r="258" spans="1:43" s="10" customFormat="1" ht="15.75" customHeight="1" x14ac:dyDescent="0.25">
      <c r="A258" s="55">
        <f t="shared" si="36"/>
        <v>38</v>
      </c>
      <c r="B258" s="56">
        <v>44343</v>
      </c>
      <c r="C258" s="58"/>
      <c r="D258" s="58"/>
      <c r="E258" s="58" t="s">
        <v>914</v>
      </c>
      <c r="F258" s="123" t="s">
        <v>2694</v>
      </c>
      <c r="G258" s="126" t="s">
        <v>907</v>
      </c>
      <c r="H258" s="45">
        <v>2200000</v>
      </c>
      <c r="I258" s="380" t="s">
        <v>891</v>
      </c>
      <c r="J258" s="301">
        <v>44354</v>
      </c>
      <c r="K258" s="28">
        <f t="shared" si="32"/>
        <v>2200000</v>
      </c>
      <c r="L258" s="460">
        <v>1072500</v>
      </c>
      <c r="M258" s="459">
        <f t="shared" si="39"/>
        <v>55000</v>
      </c>
      <c r="N258" s="28">
        <f t="shared" si="37"/>
        <v>22000</v>
      </c>
      <c r="O258" s="28">
        <f t="shared" si="38"/>
        <v>44000</v>
      </c>
      <c r="P258" s="481">
        <v>1050500</v>
      </c>
      <c r="Q258" s="28">
        <f t="shared" si="35"/>
        <v>0</v>
      </c>
      <c r="R258" s="197"/>
      <c r="S258" s="197">
        <v>44248</v>
      </c>
      <c r="T258" s="199">
        <v>14</v>
      </c>
      <c r="U258" s="24">
        <f t="shared" si="40"/>
        <v>44368</v>
      </c>
      <c r="V258"/>
      <c r="W258"/>
      <c r="X258"/>
      <c r="Y258"/>
      <c r="Z258"/>
      <c r="AA258"/>
      <c r="AB258"/>
      <c r="AC258"/>
      <c r="AD258"/>
      <c r="AE258"/>
      <c r="AF258"/>
      <c r="AG258"/>
      <c r="AH258"/>
      <c r="AI258"/>
      <c r="AJ258"/>
      <c r="AK258"/>
      <c r="AL258"/>
      <c r="AM258"/>
      <c r="AN258"/>
      <c r="AO258"/>
      <c r="AP258"/>
      <c r="AQ258"/>
    </row>
    <row r="259" spans="1:43" s="10" customFormat="1" ht="15.75" customHeight="1" x14ac:dyDescent="0.25">
      <c r="A259" s="55">
        <f t="shared" si="36"/>
        <v>39</v>
      </c>
      <c r="B259" s="56">
        <v>44341</v>
      </c>
      <c r="C259" s="58"/>
      <c r="D259" s="58"/>
      <c r="E259" s="58" t="s">
        <v>911</v>
      </c>
      <c r="F259" s="123" t="s">
        <v>2694</v>
      </c>
      <c r="G259" s="126" t="s">
        <v>334</v>
      </c>
      <c r="H259" s="45">
        <v>3500000</v>
      </c>
      <c r="I259" s="380" t="s">
        <v>886</v>
      </c>
      <c r="J259" s="301">
        <v>44354</v>
      </c>
      <c r="K259" s="28">
        <f t="shared" si="32"/>
        <v>3500000</v>
      </c>
      <c r="L259" s="460">
        <v>1706250</v>
      </c>
      <c r="M259" s="459">
        <f t="shared" si="39"/>
        <v>87500</v>
      </c>
      <c r="N259" s="28">
        <f t="shared" si="37"/>
        <v>35000</v>
      </c>
      <c r="O259" s="28">
        <f t="shared" si="38"/>
        <v>70000</v>
      </c>
      <c r="P259" s="481">
        <v>1671250</v>
      </c>
      <c r="Q259" s="28">
        <f t="shared" si="35"/>
        <v>0</v>
      </c>
      <c r="R259" s="197"/>
      <c r="S259" s="197">
        <v>44368</v>
      </c>
      <c r="T259" s="199">
        <v>14</v>
      </c>
      <c r="U259" s="24">
        <f t="shared" si="40"/>
        <v>44368</v>
      </c>
      <c r="V259"/>
      <c r="W259"/>
      <c r="X259"/>
      <c r="Y259"/>
      <c r="Z259"/>
      <c r="AA259"/>
      <c r="AB259"/>
      <c r="AC259"/>
      <c r="AD259"/>
      <c r="AE259"/>
      <c r="AF259"/>
      <c r="AG259"/>
      <c r="AH259"/>
      <c r="AI259"/>
      <c r="AJ259"/>
      <c r="AK259"/>
      <c r="AL259"/>
      <c r="AM259"/>
      <c r="AN259"/>
      <c r="AO259"/>
      <c r="AP259"/>
      <c r="AQ259"/>
    </row>
    <row r="260" spans="1:43" s="10" customFormat="1" ht="15.75" customHeight="1" x14ac:dyDescent="0.25">
      <c r="A260" s="55">
        <f t="shared" si="36"/>
        <v>40</v>
      </c>
      <c r="B260" s="56">
        <v>44335</v>
      </c>
      <c r="C260" s="58">
        <v>402411</v>
      </c>
      <c r="D260" s="58"/>
      <c r="E260" s="58"/>
      <c r="F260" s="69" t="s">
        <v>279</v>
      </c>
      <c r="G260" s="126" t="s">
        <v>848</v>
      </c>
      <c r="H260" s="45">
        <v>3019802</v>
      </c>
      <c r="I260" s="380" t="s">
        <v>855</v>
      </c>
      <c r="J260" s="301">
        <v>44356</v>
      </c>
      <c r="K260" s="28">
        <f t="shared" si="32"/>
        <v>3019802</v>
      </c>
      <c r="L260" s="460"/>
      <c r="M260" s="459"/>
      <c r="N260" s="28">
        <f>K260*1%</f>
        <v>30198.02</v>
      </c>
      <c r="O260" s="28">
        <f>K260*2%</f>
        <v>60396.04</v>
      </c>
      <c r="P260" s="459">
        <v>2989603.98</v>
      </c>
      <c r="Q260" s="28">
        <f t="shared" si="35"/>
        <v>0</v>
      </c>
      <c r="R260" s="197"/>
      <c r="S260" s="197">
        <v>44403</v>
      </c>
      <c r="T260" s="2">
        <v>30</v>
      </c>
      <c r="U260" s="24">
        <f t="shared" si="40"/>
        <v>44386</v>
      </c>
      <c r="V260"/>
      <c r="W260"/>
      <c r="X260"/>
      <c r="Y260"/>
      <c r="Z260"/>
      <c r="AA260"/>
      <c r="AB260"/>
      <c r="AC260"/>
      <c r="AD260"/>
      <c r="AE260"/>
      <c r="AF260"/>
      <c r="AG260"/>
      <c r="AH260"/>
      <c r="AI260"/>
      <c r="AJ260"/>
      <c r="AK260"/>
      <c r="AL260"/>
      <c r="AM260"/>
      <c r="AN260"/>
      <c r="AO260"/>
      <c r="AP260"/>
      <c r="AQ260"/>
    </row>
    <row r="261" spans="1:43" s="10" customFormat="1" ht="15.75" customHeight="1" x14ac:dyDescent="0.25">
      <c r="A261" s="55">
        <f t="shared" si="36"/>
        <v>41</v>
      </c>
      <c r="B261" s="56">
        <v>44317</v>
      </c>
      <c r="C261" s="58"/>
      <c r="D261" s="58"/>
      <c r="E261" s="58"/>
      <c r="F261" s="53" t="s">
        <v>718</v>
      </c>
      <c r="G261" s="126" t="s">
        <v>719</v>
      </c>
      <c r="H261" s="45">
        <v>10500000</v>
      </c>
      <c r="I261" s="380" t="s">
        <v>717</v>
      </c>
      <c r="J261" s="301">
        <v>44319</v>
      </c>
      <c r="K261" s="460">
        <f t="shared" ref="K261:K319" si="41">H261</f>
        <v>10500000</v>
      </c>
      <c r="L261" s="460">
        <v>7350000</v>
      </c>
      <c r="M261" s="459">
        <v>1189603.98</v>
      </c>
      <c r="N261" s="459">
        <v>0</v>
      </c>
      <c r="O261" s="459">
        <v>0</v>
      </c>
      <c r="P261" s="459">
        <v>1960396.02</v>
      </c>
      <c r="Q261" s="28">
        <f t="shared" si="35"/>
        <v>0</v>
      </c>
      <c r="R261" s="197"/>
      <c r="S261" s="197">
        <v>44324</v>
      </c>
      <c r="T261" s="199">
        <v>30</v>
      </c>
      <c r="U261" s="24">
        <f t="shared" si="40"/>
        <v>44349</v>
      </c>
      <c r="V261"/>
      <c r="W261"/>
      <c r="X261"/>
      <c r="Y261"/>
      <c r="Z261"/>
      <c r="AA261"/>
      <c r="AB261"/>
      <c r="AC261"/>
      <c r="AD261"/>
      <c r="AE261"/>
      <c r="AF261"/>
      <c r="AG261"/>
      <c r="AH261"/>
      <c r="AI261"/>
      <c r="AJ261"/>
      <c r="AK261"/>
      <c r="AL261"/>
      <c r="AM261"/>
      <c r="AN261"/>
      <c r="AO261"/>
      <c r="AP261"/>
      <c r="AQ261"/>
    </row>
    <row r="262" spans="1:43" s="10" customFormat="1" ht="15.75" customHeight="1" x14ac:dyDescent="0.25">
      <c r="A262" s="55">
        <f t="shared" si="36"/>
        <v>42</v>
      </c>
      <c r="B262" s="56">
        <v>44289</v>
      </c>
      <c r="C262" s="58" t="s">
        <v>721</v>
      </c>
      <c r="D262" s="58"/>
      <c r="E262" s="58"/>
      <c r="F262" s="123" t="s">
        <v>1467</v>
      </c>
      <c r="G262" s="126" t="s">
        <v>722</v>
      </c>
      <c r="H262" s="45">
        <v>2520000</v>
      </c>
      <c r="I262" s="380" t="s">
        <v>720</v>
      </c>
      <c r="J262" s="301">
        <v>44320</v>
      </c>
      <c r="K262" s="460">
        <f t="shared" si="41"/>
        <v>2520000</v>
      </c>
      <c r="L262" s="460"/>
      <c r="M262" s="459"/>
      <c r="N262" s="459">
        <v>0</v>
      </c>
      <c r="O262" s="459">
        <v>0</v>
      </c>
      <c r="P262" s="459">
        <v>2520000</v>
      </c>
      <c r="Q262" s="28">
        <f t="shared" si="35"/>
        <v>0</v>
      </c>
      <c r="R262" s="197"/>
      <c r="S262" s="197">
        <v>44320</v>
      </c>
      <c r="T262" s="199">
        <v>14</v>
      </c>
      <c r="U262" s="24">
        <f t="shared" si="40"/>
        <v>44334</v>
      </c>
      <c r="V262"/>
      <c r="W262"/>
      <c r="X262"/>
      <c r="Y262"/>
      <c r="Z262"/>
      <c r="AA262"/>
      <c r="AB262"/>
      <c r="AC262"/>
      <c r="AD262"/>
      <c r="AE262"/>
      <c r="AF262"/>
      <c r="AG262"/>
      <c r="AH262"/>
      <c r="AI262"/>
      <c r="AJ262"/>
      <c r="AK262"/>
      <c r="AL262"/>
      <c r="AM262"/>
      <c r="AN262"/>
      <c r="AO262"/>
      <c r="AP262"/>
      <c r="AQ262"/>
    </row>
    <row r="263" spans="1:43" s="10" customFormat="1" ht="15" customHeight="1" x14ac:dyDescent="0.25">
      <c r="A263" s="55">
        <f t="shared" si="36"/>
        <v>43</v>
      </c>
      <c r="B263" s="56">
        <v>44303</v>
      </c>
      <c r="C263" s="137" t="s">
        <v>726</v>
      </c>
      <c r="D263" s="137"/>
      <c r="E263" s="137"/>
      <c r="F263" s="53" t="s">
        <v>724</v>
      </c>
      <c r="G263" s="126" t="s">
        <v>725</v>
      </c>
      <c r="H263" s="45">
        <v>1000000</v>
      </c>
      <c r="I263" s="380" t="s">
        <v>723</v>
      </c>
      <c r="J263" s="301">
        <v>44320</v>
      </c>
      <c r="K263" s="460">
        <f t="shared" si="41"/>
        <v>1000000</v>
      </c>
      <c r="L263" s="460"/>
      <c r="M263" s="459"/>
      <c r="N263" s="459">
        <v>0</v>
      </c>
      <c r="O263" s="459">
        <v>0</v>
      </c>
      <c r="P263" s="459">
        <v>1000000</v>
      </c>
      <c r="Q263" s="28">
        <f t="shared" si="35"/>
        <v>0</v>
      </c>
      <c r="R263" s="197"/>
      <c r="S263" s="197"/>
      <c r="T263" s="199">
        <v>14</v>
      </c>
      <c r="U263" s="24">
        <f t="shared" si="40"/>
        <v>44334</v>
      </c>
      <c r="V263"/>
      <c r="W263"/>
      <c r="X263"/>
      <c r="Y263"/>
      <c r="Z263"/>
      <c r="AA263"/>
      <c r="AB263"/>
      <c r="AC263"/>
      <c r="AD263"/>
      <c r="AE263"/>
      <c r="AF263"/>
      <c r="AG263"/>
      <c r="AH263"/>
      <c r="AI263"/>
      <c r="AJ263"/>
      <c r="AK263"/>
      <c r="AL263"/>
      <c r="AM263"/>
      <c r="AN263"/>
      <c r="AO263"/>
      <c r="AP263"/>
      <c r="AQ263"/>
    </row>
    <row r="264" spans="1:43" s="10" customFormat="1" ht="15.75" customHeight="1" x14ac:dyDescent="0.25">
      <c r="A264" s="55">
        <f t="shared" si="36"/>
        <v>44</v>
      </c>
      <c r="B264" s="56">
        <v>44298</v>
      </c>
      <c r="C264" s="58"/>
      <c r="D264" s="58"/>
      <c r="E264" s="58"/>
      <c r="F264" s="53" t="s">
        <v>2317</v>
      </c>
      <c r="G264" s="126" t="s">
        <v>702</v>
      </c>
      <c r="H264" s="45">
        <v>500000</v>
      </c>
      <c r="I264" s="380" t="s">
        <v>727</v>
      </c>
      <c r="J264" s="301">
        <v>44320</v>
      </c>
      <c r="K264" s="460">
        <f t="shared" si="41"/>
        <v>500000</v>
      </c>
      <c r="L264" s="460"/>
      <c r="M264" s="459"/>
      <c r="N264" s="459">
        <v>0</v>
      </c>
      <c r="O264" s="459">
        <v>0</v>
      </c>
      <c r="P264" s="459"/>
      <c r="Q264" s="28">
        <f t="shared" si="35"/>
        <v>500000</v>
      </c>
      <c r="R264" s="197"/>
      <c r="S264" s="197"/>
      <c r="T264" s="199">
        <v>60</v>
      </c>
      <c r="U264" s="24">
        <f t="shared" si="40"/>
        <v>44380</v>
      </c>
      <c r="V264"/>
      <c r="W264"/>
      <c r="X264"/>
      <c r="Y264"/>
      <c r="Z264"/>
      <c r="AA264"/>
      <c r="AB264"/>
      <c r="AC264"/>
      <c r="AD264"/>
      <c r="AE264"/>
      <c r="AF264"/>
      <c r="AG264"/>
      <c r="AH264"/>
      <c r="AI264"/>
      <c r="AJ264"/>
      <c r="AK264"/>
      <c r="AL264"/>
      <c r="AM264"/>
      <c r="AN264"/>
      <c r="AO264"/>
      <c r="AP264"/>
      <c r="AQ264"/>
    </row>
    <row r="265" spans="1:43" s="10" customFormat="1" ht="15.75" customHeight="1" x14ac:dyDescent="0.25">
      <c r="A265" s="55">
        <f t="shared" si="36"/>
        <v>45</v>
      </c>
      <c r="B265" s="361">
        <v>44307</v>
      </c>
      <c r="C265" s="58" t="s">
        <v>731</v>
      </c>
      <c r="D265" s="58"/>
      <c r="E265" s="58"/>
      <c r="F265" s="53" t="s">
        <v>729</v>
      </c>
      <c r="G265" s="126" t="s">
        <v>730</v>
      </c>
      <c r="H265" s="45">
        <v>250000</v>
      </c>
      <c r="I265" s="380" t="s">
        <v>728</v>
      </c>
      <c r="J265" s="301">
        <v>44320</v>
      </c>
      <c r="K265" s="460">
        <f t="shared" si="41"/>
        <v>250000</v>
      </c>
      <c r="L265" s="460"/>
      <c r="M265" s="459"/>
      <c r="N265" s="459">
        <v>0</v>
      </c>
      <c r="O265" s="459">
        <v>0</v>
      </c>
      <c r="P265" s="459"/>
      <c r="Q265" s="568">
        <f t="shared" si="35"/>
        <v>250000</v>
      </c>
      <c r="R265" s="197"/>
      <c r="S265" s="197"/>
      <c r="T265" s="199">
        <v>14</v>
      </c>
      <c r="U265" s="24">
        <f t="shared" si="40"/>
        <v>44334</v>
      </c>
      <c r="V265"/>
      <c r="W265"/>
      <c r="X265"/>
      <c r="Y265"/>
      <c r="Z265"/>
      <c r="AA265"/>
      <c r="AB265"/>
      <c r="AC265"/>
      <c r="AD265"/>
      <c r="AE265"/>
      <c r="AF265"/>
      <c r="AG265"/>
      <c r="AH265"/>
      <c r="AI265"/>
      <c r="AJ265"/>
      <c r="AK265"/>
      <c r="AL265"/>
      <c r="AM265"/>
      <c r="AN265"/>
      <c r="AO265"/>
      <c r="AP265"/>
      <c r="AQ265"/>
    </row>
    <row r="266" spans="1:43" s="10" customFormat="1" ht="15.75" customHeight="1" x14ac:dyDescent="0.25">
      <c r="A266" s="55">
        <f t="shared" si="36"/>
        <v>46</v>
      </c>
      <c r="B266" s="56">
        <v>44320</v>
      </c>
      <c r="C266" s="58"/>
      <c r="D266" s="58"/>
      <c r="E266" s="58"/>
      <c r="F266" s="123" t="s">
        <v>1975</v>
      </c>
      <c r="G266" s="126" t="s">
        <v>467</v>
      </c>
      <c r="H266" s="45">
        <v>9500000</v>
      </c>
      <c r="I266" s="380" t="s">
        <v>732</v>
      </c>
      <c r="J266" s="301">
        <v>44321</v>
      </c>
      <c r="K266" s="460">
        <f t="shared" si="41"/>
        <v>9500000</v>
      </c>
      <c r="L266" s="460">
        <v>4750000</v>
      </c>
      <c r="M266" s="459"/>
      <c r="N266" s="459">
        <v>0</v>
      </c>
      <c r="O266" s="459">
        <v>0</v>
      </c>
      <c r="P266" s="459">
        <v>4750000</v>
      </c>
      <c r="Q266" s="28">
        <f t="shared" si="35"/>
        <v>0</v>
      </c>
      <c r="R266" s="197">
        <v>44349</v>
      </c>
      <c r="S266" s="197"/>
      <c r="T266" s="199">
        <v>14</v>
      </c>
      <c r="U266" s="24">
        <f t="shared" si="40"/>
        <v>44335</v>
      </c>
      <c r="V266"/>
      <c r="W266"/>
      <c r="X266"/>
      <c r="Y266"/>
      <c r="Z266"/>
      <c r="AA266"/>
      <c r="AB266"/>
      <c r="AC266"/>
      <c r="AD266"/>
      <c r="AE266"/>
      <c r="AF266"/>
      <c r="AG266"/>
      <c r="AH266"/>
      <c r="AI266"/>
      <c r="AJ266"/>
      <c r="AK266"/>
      <c r="AL266"/>
      <c r="AM266"/>
      <c r="AN266"/>
      <c r="AO266"/>
      <c r="AP266"/>
      <c r="AQ266"/>
    </row>
    <row r="267" spans="1:43" s="10" customFormat="1" ht="15.75" customHeight="1" x14ac:dyDescent="0.25">
      <c r="A267" s="55">
        <f t="shared" si="36"/>
        <v>47</v>
      </c>
      <c r="B267" s="56">
        <v>44321</v>
      </c>
      <c r="C267" s="58" t="s">
        <v>735</v>
      </c>
      <c r="D267" s="58"/>
      <c r="E267" s="58"/>
      <c r="F267" s="53" t="s">
        <v>734</v>
      </c>
      <c r="G267" s="126" t="s">
        <v>771</v>
      </c>
      <c r="H267" s="45">
        <v>10107000</v>
      </c>
      <c r="I267" s="380" t="s">
        <v>733</v>
      </c>
      <c r="J267" s="301">
        <v>44321</v>
      </c>
      <c r="K267" s="460">
        <f t="shared" si="41"/>
        <v>10107000</v>
      </c>
      <c r="L267" s="460">
        <v>5714100</v>
      </c>
      <c r="M267" s="459">
        <v>1010700</v>
      </c>
      <c r="N267" s="459">
        <v>0</v>
      </c>
      <c r="O267" s="459">
        <v>0</v>
      </c>
      <c r="P267" s="459">
        <v>3382200</v>
      </c>
      <c r="Q267" s="28">
        <f t="shared" si="35"/>
        <v>0</v>
      </c>
      <c r="R267" s="197"/>
      <c r="S267" s="197">
        <v>44421</v>
      </c>
      <c r="T267" s="199">
        <v>14</v>
      </c>
      <c r="U267" s="24">
        <f t="shared" si="40"/>
        <v>44335</v>
      </c>
      <c r="V267" s="434" t="s">
        <v>1701</v>
      </c>
      <c r="W267"/>
      <c r="X267"/>
      <c r="Y267"/>
      <c r="Z267"/>
      <c r="AA267"/>
      <c r="AB267"/>
      <c r="AC267"/>
      <c r="AD267"/>
      <c r="AE267"/>
      <c r="AF267"/>
      <c r="AG267"/>
      <c r="AH267"/>
      <c r="AI267"/>
      <c r="AJ267"/>
      <c r="AK267"/>
      <c r="AL267"/>
      <c r="AM267"/>
      <c r="AN267"/>
      <c r="AO267"/>
      <c r="AP267"/>
      <c r="AQ267"/>
    </row>
    <row r="268" spans="1:43" s="10" customFormat="1" ht="15.75" customHeight="1" x14ac:dyDescent="0.25">
      <c r="A268" s="55">
        <f t="shared" si="36"/>
        <v>48</v>
      </c>
      <c r="B268" s="56">
        <v>44302</v>
      </c>
      <c r="C268" s="58" t="s">
        <v>736</v>
      </c>
      <c r="D268" s="58"/>
      <c r="E268" s="58"/>
      <c r="F268" s="69" t="s">
        <v>18</v>
      </c>
      <c r="G268" s="126" t="s">
        <v>582</v>
      </c>
      <c r="H268" s="45">
        <v>360000</v>
      </c>
      <c r="I268" s="380" t="s">
        <v>737</v>
      </c>
      <c r="J268" s="301">
        <v>44323</v>
      </c>
      <c r="K268" s="460">
        <f t="shared" si="41"/>
        <v>360000</v>
      </c>
      <c r="L268" s="460"/>
      <c r="M268" s="459"/>
      <c r="N268" s="459">
        <v>0</v>
      </c>
      <c r="O268" s="459">
        <v>0</v>
      </c>
      <c r="P268" s="459">
        <v>360000</v>
      </c>
      <c r="Q268" s="28">
        <f t="shared" si="35"/>
        <v>0</v>
      </c>
      <c r="R268" s="197">
        <v>44335</v>
      </c>
      <c r="S268" s="197"/>
      <c r="T268" s="2">
        <v>14</v>
      </c>
      <c r="U268" s="24">
        <f t="shared" si="40"/>
        <v>44337</v>
      </c>
      <c r="V268"/>
      <c r="W268"/>
      <c r="X268"/>
      <c r="Y268"/>
      <c r="Z268"/>
      <c r="AA268"/>
      <c r="AB268"/>
      <c r="AC268"/>
      <c r="AD268"/>
      <c r="AE268"/>
      <c r="AF268"/>
      <c r="AG268"/>
      <c r="AH268"/>
      <c r="AI268"/>
      <c r="AJ268"/>
      <c r="AK268"/>
      <c r="AL268"/>
      <c r="AM268"/>
      <c r="AN268"/>
      <c r="AO268"/>
      <c r="AP268"/>
      <c r="AQ268"/>
    </row>
    <row r="269" spans="1:43" s="10" customFormat="1" ht="15.75" customHeight="1" x14ac:dyDescent="0.25">
      <c r="A269" s="55">
        <f t="shared" si="36"/>
        <v>49</v>
      </c>
      <c r="B269" s="56">
        <v>44320</v>
      </c>
      <c r="C269" s="58"/>
      <c r="D269" s="58"/>
      <c r="E269" s="58"/>
      <c r="F269" s="53" t="s">
        <v>51</v>
      </c>
      <c r="G269" s="126" t="s">
        <v>467</v>
      </c>
      <c r="H269" s="45">
        <v>2000000</v>
      </c>
      <c r="I269" s="380" t="s">
        <v>738</v>
      </c>
      <c r="J269" s="301">
        <v>44324</v>
      </c>
      <c r="K269" s="460">
        <f t="shared" si="41"/>
        <v>2000000</v>
      </c>
      <c r="L269" s="460">
        <v>1500000</v>
      </c>
      <c r="M269" s="459"/>
      <c r="N269" s="459">
        <v>0</v>
      </c>
      <c r="O269" s="459">
        <v>0</v>
      </c>
      <c r="P269" s="459">
        <v>500000</v>
      </c>
      <c r="Q269" s="28">
        <f t="shared" si="35"/>
        <v>0</v>
      </c>
      <c r="R269" s="197">
        <v>44365</v>
      </c>
      <c r="S269" s="197"/>
      <c r="T269" s="199">
        <v>14</v>
      </c>
      <c r="U269" s="24">
        <f t="shared" si="40"/>
        <v>44338</v>
      </c>
      <c r="V269"/>
      <c r="W269"/>
      <c r="X269"/>
      <c r="Y269"/>
      <c r="Z269"/>
      <c r="AA269"/>
      <c r="AB269"/>
      <c r="AC269"/>
      <c r="AD269"/>
      <c r="AE269"/>
      <c r="AF269"/>
      <c r="AG269"/>
      <c r="AH269"/>
      <c r="AI269"/>
      <c r="AJ269"/>
      <c r="AK269"/>
      <c r="AL269"/>
      <c r="AM269"/>
      <c r="AN269"/>
      <c r="AO269"/>
      <c r="AP269"/>
      <c r="AQ269"/>
    </row>
    <row r="270" spans="1:43" s="607" customFormat="1" ht="15.75" customHeight="1" x14ac:dyDescent="0.25">
      <c r="A270" s="55">
        <f t="shared" si="36"/>
        <v>50</v>
      </c>
      <c r="B270" s="79">
        <v>44318</v>
      </c>
      <c r="C270" s="330" t="s">
        <v>740</v>
      </c>
      <c r="D270" s="330"/>
      <c r="E270" s="330"/>
      <c r="F270" s="126" t="s">
        <v>659</v>
      </c>
      <c r="G270" s="126" t="s">
        <v>16</v>
      </c>
      <c r="H270" s="45">
        <v>2600000</v>
      </c>
      <c r="I270" s="377" t="s">
        <v>739</v>
      </c>
      <c r="J270" s="301">
        <v>44324</v>
      </c>
      <c r="K270" s="752">
        <f t="shared" si="41"/>
        <v>2600000</v>
      </c>
      <c r="L270" s="752"/>
      <c r="M270" s="752"/>
      <c r="N270" s="752">
        <v>0</v>
      </c>
      <c r="O270" s="752">
        <v>0</v>
      </c>
      <c r="P270" s="752"/>
      <c r="Q270" s="28">
        <f t="shared" si="35"/>
        <v>2600000</v>
      </c>
      <c r="R270" s="126"/>
      <c r="S270" s="301"/>
      <c r="T270" s="55">
        <v>30</v>
      </c>
      <c r="U270" s="24">
        <f t="shared" si="40"/>
        <v>44354</v>
      </c>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row>
    <row r="271" spans="1:43" s="10" customFormat="1" ht="15.75" customHeight="1" x14ac:dyDescent="0.25">
      <c r="A271" s="55">
        <f t="shared" si="36"/>
        <v>51</v>
      </c>
      <c r="B271" s="56">
        <v>44334</v>
      </c>
      <c r="C271" s="58" t="s">
        <v>773</v>
      </c>
      <c r="D271" s="58"/>
      <c r="E271" s="58"/>
      <c r="F271" s="123" t="s">
        <v>1329</v>
      </c>
      <c r="G271" s="126" t="s">
        <v>774</v>
      </c>
      <c r="H271" s="63">
        <v>3195000</v>
      </c>
      <c r="I271" s="380" t="s">
        <v>746</v>
      </c>
      <c r="J271" s="301">
        <v>44334</v>
      </c>
      <c r="K271" s="460">
        <f t="shared" si="41"/>
        <v>3195000</v>
      </c>
      <c r="L271" s="460"/>
      <c r="M271" s="459"/>
      <c r="N271" s="459">
        <v>0</v>
      </c>
      <c r="O271" s="459">
        <v>0</v>
      </c>
      <c r="P271" s="459">
        <v>3195000</v>
      </c>
      <c r="Q271" s="28">
        <f t="shared" si="35"/>
        <v>0</v>
      </c>
      <c r="R271" s="197">
        <v>44343</v>
      </c>
      <c r="S271" s="197"/>
      <c r="T271" s="199">
        <v>14</v>
      </c>
      <c r="U271" s="24">
        <f t="shared" si="40"/>
        <v>44348</v>
      </c>
      <c r="V271"/>
      <c r="W271"/>
      <c r="X271"/>
      <c r="Y271"/>
      <c r="Z271"/>
      <c r="AA271"/>
      <c r="AB271"/>
      <c r="AC271"/>
      <c r="AD271"/>
      <c r="AE271"/>
      <c r="AF271"/>
      <c r="AG271"/>
      <c r="AH271"/>
      <c r="AI271"/>
      <c r="AJ271"/>
      <c r="AK271"/>
      <c r="AL271"/>
      <c r="AM271"/>
      <c r="AN271"/>
      <c r="AO271"/>
      <c r="AP271"/>
      <c r="AQ271"/>
    </row>
    <row r="272" spans="1:43" s="10" customFormat="1" ht="15.75" customHeight="1" x14ac:dyDescent="0.25">
      <c r="A272" s="55">
        <f t="shared" si="36"/>
        <v>52</v>
      </c>
      <c r="B272" s="56">
        <v>44316</v>
      </c>
      <c r="C272" s="58"/>
      <c r="D272" s="58"/>
      <c r="E272" s="58"/>
      <c r="F272" s="69" t="s">
        <v>18</v>
      </c>
      <c r="G272" s="126" t="s">
        <v>775</v>
      </c>
      <c r="H272" s="460">
        <v>15431000</v>
      </c>
      <c r="I272" s="380" t="s">
        <v>746</v>
      </c>
      <c r="J272" s="301">
        <v>44335</v>
      </c>
      <c r="K272" s="460">
        <f t="shared" si="41"/>
        <v>15431000</v>
      </c>
      <c r="L272" s="460"/>
      <c r="M272" s="459"/>
      <c r="N272" s="459">
        <v>0</v>
      </c>
      <c r="O272" s="459">
        <v>0</v>
      </c>
      <c r="P272" s="459">
        <v>15431000</v>
      </c>
      <c r="Q272" s="28">
        <f t="shared" si="35"/>
        <v>0</v>
      </c>
      <c r="R272" s="197">
        <v>44337</v>
      </c>
      <c r="S272" s="197"/>
      <c r="T272" s="2">
        <v>14</v>
      </c>
      <c r="U272" s="24">
        <f t="shared" si="40"/>
        <v>44349</v>
      </c>
      <c r="V272"/>
      <c r="W272"/>
      <c r="X272"/>
      <c r="Y272"/>
      <c r="Z272"/>
      <c r="AA272"/>
      <c r="AB272"/>
      <c r="AC272"/>
      <c r="AD272"/>
      <c r="AE272"/>
      <c r="AF272"/>
      <c r="AG272"/>
      <c r="AH272"/>
      <c r="AI272"/>
      <c r="AJ272"/>
      <c r="AK272"/>
      <c r="AL272"/>
      <c r="AM272"/>
      <c r="AN272"/>
      <c r="AO272"/>
      <c r="AP272"/>
      <c r="AQ272"/>
    </row>
    <row r="273" spans="1:43" s="10" customFormat="1" ht="15.75" customHeight="1" x14ac:dyDescent="0.25">
      <c r="A273" s="55">
        <f t="shared" si="36"/>
        <v>53</v>
      </c>
      <c r="B273" s="56">
        <v>44316</v>
      </c>
      <c r="C273" s="58"/>
      <c r="D273" s="58"/>
      <c r="E273" s="58"/>
      <c r="F273" s="69" t="s">
        <v>18</v>
      </c>
      <c r="G273" s="126" t="s">
        <v>775</v>
      </c>
      <c r="H273" s="45">
        <v>30000000</v>
      </c>
      <c r="I273" s="380" t="s">
        <v>947</v>
      </c>
      <c r="J273" s="301">
        <v>44335</v>
      </c>
      <c r="K273" s="460">
        <f t="shared" si="41"/>
        <v>30000000</v>
      </c>
      <c r="L273" s="460"/>
      <c r="M273" s="459"/>
      <c r="N273" s="459">
        <v>0</v>
      </c>
      <c r="O273" s="459">
        <v>0</v>
      </c>
      <c r="P273" s="459">
        <v>30000000</v>
      </c>
      <c r="Q273" s="28">
        <f t="shared" si="35"/>
        <v>0</v>
      </c>
      <c r="R273" s="197">
        <v>44337</v>
      </c>
      <c r="S273" s="197"/>
      <c r="T273" s="2">
        <v>14</v>
      </c>
      <c r="U273" s="24">
        <f t="shared" si="40"/>
        <v>44349</v>
      </c>
      <c r="V273"/>
      <c r="W273"/>
      <c r="X273"/>
      <c r="Y273"/>
      <c r="Z273"/>
      <c r="AA273"/>
      <c r="AB273"/>
      <c r="AC273"/>
      <c r="AD273"/>
      <c r="AE273"/>
      <c r="AF273"/>
      <c r="AG273"/>
      <c r="AH273"/>
      <c r="AI273"/>
      <c r="AJ273"/>
      <c r="AK273"/>
      <c r="AL273"/>
      <c r="AM273"/>
      <c r="AN273"/>
      <c r="AO273"/>
      <c r="AP273"/>
      <c r="AQ273"/>
    </row>
    <row r="274" spans="1:43" s="10" customFormat="1" ht="15.75" customHeight="1" x14ac:dyDescent="0.25">
      <c r="A274" s="55">
        <f t="shared" si="36"/>
        <v>54</v>
      </c>
      <c r="B274" s="361">
        <v>44292</v>
      </c>
      <c r="C274" s="58"/>
      <c r="D274" s="58"/>
      <c r="E274" s="58"/>
      <c r="F274" s="69" t="s">
        <v>18</v>
      </c>
      <c r="G274" s="126" t="s">
        <v>398</v>
      </c>
      <c r="H274" s="45">
        <v>84824000</v>
      </c>
      <c r="I274" s="380" t="s">
        <v>748</v>
      </c>
      <c r="J274" s="301">
        <v>44335</v>
      </c>
      <c r="K274" s="460">
        <f t="shared" si="41"/>
        <v>84824000</v>
      </c>
      <c r="L274" s="460"/>
      <c r="M274" s="459"/>
      <c r="N274" s="459">
        <v>0</v>
      </c>
      <c r="O274" s="459">
        <v>0</v>
      </c>
      <c r="P274" s="459">
        <v>84824000</v>
      </c>
      <c r="Q274" s="28">
        <f t="shared" si="35"/>
        <v>0</v>
      </c>
      <c r="R274" s="197">
        <v>44344</v>
      </c>
      <c r="S274" s="197"/>
      <c r="T274" s="2">
        <v>14</v>
      </c>
      <c r="U274" s="24">
        <f t="shared" si="40"/>
        <v>44349</v>
      </c>
      <c r="V274"/>
      <c r="W274"/>
      <c r="X274"/>
      <c r="Y274"/>
      <c r="Z274"/>
      <c r="AA274"/>
      <c r="AB274"/>
      <c r="AC274"/>
      <c r="AD274"/>
      <c r="AE274"/>
      <c r="AF274"/>
      <c r="AG274"/>
      <c r="AH274"/>
      <c r="AI274"/>
      <c r="AJ274"/>
      <c r="AK274"/>
      <c r="AL274"/>
      <c r="AM274"/>
      <c r="AN274"/>
      <c r="AO274"/>
      <c r="AP274"/>
      <c r="AQ274"/>
    </row>
    <row r="275" spans="1:43" s="10" customFormat="1" ht="15.75" customHeight="1" x14ac:dyDescent="0.25">
      <c r="A275" s="55">
        <f t="shared" si="36"/>
        <v>55</v>
      </c>
      <c r="B275" s="361">
        <v>44292</v>
      </c>
      <c r="C275" s="58"/>
      <c r="D275" s="58"/>
      <c r="E275" s="58"/>
      <c r="F275" s="69" t="s">
        <v>18</v>
      </c>
      <c r="G275" s="126" t="s">
        <v>398</v>
      </c>
      <c r="H275" s="45">
        <v>248841300</v>
      </c>
      <c r="I275" s="380" t="s">
        <v>814</v>
      </c>
      <c r="J275" s="301">
        <v>44335</v>
      </c>
      <c r="K275" s="460">
        <f t="shared" ref="K275" si="42">H275</f>
        <v>248841300</v>
      </c>
      <c r="L275" s="460"/>
      <c r="M275" s="459">
        <v>56000000</v>
      </c>
      <c r="N275" s="459">
        <v>0</v>
      </c>
      <c r="O275" s="459"/>
      <c r="P275" s="577">
        <v>192841300</v>
      </c>
      <c r="Q275" s="28">
        <f t="shared" si="35"/>
        <v>0</v>
      </c>
      <c r="R275" s="197">
        <v>44358</v>
      </c>
      <c r="S275" s="197"/>
      <c r="T275" s="2">
        <v>14</v>
      </c>
      <c r="U275" s="24">
        <f t="shared" si="40"/>
        <v>44349</v>
      </c>
      <c r="V275"/>
      <c r="W275"/>
      <c r="X275"/>
      <c r="Y275"/>
      <c r="Z275"/>
      <c r="AA275"/>
      <c r="AB275"/>
      <c r="AC275"/>
      <c r="AD275"/>
      <c r="AE275"/>
      <c r="AF275"/>
      <c r="AG275"/>
      <c r="AH275"/>
      <c r="AI275"/>
      <c r="AJ275"/>
      <c r="AK275"/>
      <c r="AL275"/>
      <c r="AM275"/>
      <c r="AN275"/>
      <c r="AO275"/>
      <c r="AP275"/>
      <c r="AQ275"/>
    </row>
    <row r="276" spans="1:43" s="10" customFormat="1" ht="15.75" customHeight="1" x14ac:dyDescent="0.25">
      <c r="A276" s="55">
        <f t="shared" si="36"/>
        <v>56</v>
      </c>
      <c r="B276" s="469">
        <v>44299</v>
      </c>
      <c r="C276" s="264"/>
      <c r="D276" s="264"/>
      <c r="E276" s="264"/>
      <c r="F276" s="265" t="s">
        <v>18</v>
      </c>
      <c r="G276" s="266" t="s">
        <v>776</v>
      </c>
      <c r="H276" s="267">
        <v>27000000</v>
      </c>
      <c r="I276" s="384" t="s">
        <v>751</v>
      </c>
      <c r="J276" s="268">
        <v>44335</v>
      </c>
      <c r="K276" s="270"/>
      <c r="L276" s="270"/>
      <c r="M276" s="270"/>
      <c r="N276" s="270"/>
      <c r="O276" s="270"/>
      <c r="P276" s="270"/>
      <c r="Q276" s="417">
        <f t="shared" si="35"/>
        <v>0</v>
      </c>
      <c r="R276" s="270"/>
      <c r="S276" s="270"/>
      <c r="T276" s="2">
        <v>14</v>
      </c>
      <c r="U276" s="24">
        <f t="shared" si="40"/>
        <v>44349</v>
      </c>
      <c r="V276"/>
      <c r="W276"/>
      <c r="X276"/>
      <c r="Y276"/>
      <c r="Z276"/>
      <c r="AA276"/>
      <c r="AB276"/>
      <c r="AC276"/>
      <c r="AD276"/>
      <c r="AE276"/>
      <c r="AF276"/>
      <c r="AG276"/>
      <c r="AH276"/>
      <c r="AI276"/>
      <c r="AJ276"/>
      <c r="AK276"/>
      <c r="AL276"/>
      <c r="AM276"/>
      <c r="AN276"/>
      <c r="AO276"/>
      <c r="AP276"/>
      <c r="AQ276"/>
    </row>
    <row r="277" spans="1:43" s="10" customFormat="1" ht="15.75" customHeight="1" x14ac:dyDescent="0.25">
      <c r="A277" s="55">
        <f t="shared" si="36"/>
        <v>57</v>
      </c>
      <c r="B277" s="56" t="s">
        <v>781</v>
      </c>
      <c r="C277" s="58"/>
      <c r="D277" s="58"/>
      <c r="E277" s="58"/>
      <c r="F277" s="69" t="s">
        <v>18</v>
      </c>
      <c r="G277" s="126" t="s">
        <v>777</v>
      </c>
      <c r="H277" s="45">
        <v>67324400</v>
      </c>
      <c r="I277" s="380" t="s">
        <v>753</v>
      </c>
      <c r="J277" s="301">
        <v>44335</v>
      </c>
      <c r="K277" s="460">
        <f t="shared" si="41"/>
        <v>67324400</v>
      </c>
      <c r="L277" s="460"/>
      <c r="M277" s="459"/>
      <c r="N277" s="459"/>
      <c r="O277" s="459"/>
      <c r="P277" s="577">
        <v>67324400</v>
      </c>
      <c r="Q277" s="28">
        <f t="shared" si="35"/>
        <v>0</v>
      </c>
      <c r="R277" s="197">
        <v>44369</v>
      </c>
      <c r="S277" s="197"/>
      <c r="T277" s="2">
        <v>14</v>
      </c>
      <c r="U277" s="24">
        <f t="shared" si="40"/>
        <v>44349</v>
      </c>
      <c r="V277"/>
      <c r="W277"/>
      <c r="X277"/>
      <c r="Y277"/>
      <c r="Z277"/>
      <c r="AA277"/>
      <c r="AB277"/>
      <c r="AC277"/>
      <c r="AD277"/>
      <c r="AE277"/>
      <c r="AF277"/>
      <c r="AG277"/>
      <c r="AH277"/>
      <c r="AI277"/>
      <c r="AJ277"/>
      <c r="AK277"/>
      <c r="AL277"/>
      <c r="AM277"/>
      <c r="AN277"/>
      <c r="AO277"/>
      <c r="AP277"/>
      <c r="AQ277"/>
    </row>
    <row r="278" spans="1:43" s="10" customFormat="1" ht="15.75" customHeight="1" x14ac:dyDescent="0.25">
      <c r="A278" s="55">
        <f t="shared" si="36"/>
        <v>58</v>
      </c>
      <c r="B278" s="56">
        <v>44318</v>
      </c>
      <c r="C278" s="58" t="s">
        <v>780</v>
      </c>
      <c r="D278" s="58"/>
      <c r="E278" s="58"/>
      <c r="F278" s="53" t="s">
        <v>779</v>
      </c>
      <c r="G278" s="123" t="s">
        <v>782</v>
      </c>
      <c r="H278" s="45">
        <v>2800000</v>
      </c>
      <c r="I278" s="380" t="s">
        <v>778</v>
      </c>
      <c r="J278" s="301">
        <v>44335</v>
      </c>
      <c r="K278" s="460">
        <f t="shared" si="41"/>
        <v>2800000</v>
      </c>
      <c r="L278" s="460">
        <v>2000000</v>
      </c>
      <c r="M278" s="459"/>
      <c r="N278" s="459"/>
      <c r="O278" s="459"/>
      <c r="P278" s="459">
        <v>800000</v>
      </c>
      <c r="Q278" s="28">
        <f t="shared" si="35"/>
        <v>0</v>
      </c>
      <c r="R278" s="197">
        <v>44340</v>
      </c>
      <c r="S278" s="197"/>
      <c r="T278" s="199">
        <v>14</v>
      </c>
      <c r="U278" s="24">
        <f t="shared" si="40"/>
        <v>44349</v>
      </c>
      <c r="V278"/>
      <c r="W278"/>
      <c r="X278"/>
      <c r="Y278"/>
      <c r="Z278"/>
      <c r="AA278"/>
      <c r="AB278"/>
      <c r="AC278"/>
      <c r="AD278"/>
      <c r="AE278"/>
      <c r="AF278"/>
      <c r="AG278"/>
      <c r="AH278"/>
      <c r="AI278"/>
      <c r="AJ278"/>
      <c r="AK278"/>
      <c r="AL278"/>
      <c r="AM278"/>
      <c r="AN278"/>
      <c r="AO278"/>
      <c r="AP278"/>
      <c r="AQ278"/>
    </row>
    <row r="279" spans="1:43" s="607" customFormat="1" ht="15.75" customHeight="1" x14ac:dyDescent="0.25">
      <c r="A279" s="55">
        <f t="shared" si="36"/>
        <v>59</v>
      </c>
      <c r="B279" s="79">
        <v>44315</v>
      </c>
      <c r="C279" s="330" t="s">
        <v>784</v>
      </c>
      <c r="D279" s="330"/>
      <c r="E279" s="330"/>
      <c r="F279" s="126" t="s">
        <v>659</v>
      </c>
      <c r="G279" s="33" t="s">
        <v>417</v>
      </c>
      <c r="H279" s="45">
        <v>1600000</v>
      </c>
      <c r="I279" s="377" t="s">
        <v>783</v>
      </c>
      <c r="J279" s="301">
        <v>44336</v>
      </c>
      <c r="K279" s="752">
        <f t="shared" si="41"/>
        <v>1600000</v>
      </c>
      <c r="L279" s="752"/>
      <c r="M279" s="752">
        <v>300000</v>
      </c>
      <c r="N279" s="752"/>
      <c r="O279" s="752"/>
      <c r="P279" s="752">
        <v>1300000</v>
      </c>
      <c r="Q279" s="28">
        <f t="shared" si="35"/>
        <v>0</v>
      </c>
      <c r="R279" s="126"/>
      <c r="S279" s="301">
        <v>44555</v>
      </c>
      <c r="T279" s="55">
        <v>30</v>
      </c>
      <c r="U279" s="24">
        <f t="shared" si="40"/>
        <v>44366</v>
      </c>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row>
    <row r="280" spans="1:43" s="10" customFormat="1" ht="15.75" customHeight="1" x14ac:dyDescent="0.25">
      <c r="A280" s="55">
        <f t="shared" si="36"/>
        <v>60</v>
      </c>
      <c r="B280" s="56">
        <v>44302</v>
      </c>
      <c r="C280" s="58"/>
      <c r="D280" s="58"/>
      <c r="E280" s="58"/>
      <c r="F280" s="31" t="s">
        <v>379</v>
      </c>
      <c r="G280" s="123" t="s">
        <v>790</v>
      </c>
      <c r="H280" s="45">
        <v>11250000</v>
      </c>
      <c r="I280" s="380" t="s">
        <v>789</v>
      </c>
      <c r="J280" s="301">
        <v>44341</v>
      </c>
      <c r="K280" s="460">
        <f t="shared" si="41"/>
        <v>11250000</v>
      </c>
      <c r="L280" s="460"/>
      <c r="M280" s="459"/>
      <c r="N280" s="459"/>
      <c r="O280" s="459">
        <f>K280*2%</f>
        <v>225000</v>
      </c>
      <c r="P280" s="459">
        <v>11025000</v>
      </c>
      <c r="Q280" s="28">
        <f t="shared" si="35"/>
        <v>0</v>
      </c>
      <c r="R280" s="197">
        <v>44350</v>
      </c>
      <c r="S280" s="197"/>
      <c r="T280" s="199">
        <v>14</v>
      </c>
      <c r="U280" s="24">
        <f t="shared" si="40"/>
        <v>44355</v>
      </c>
      <c r="V280"/>
      <c r="W280"/>
      <c r="X280"/>
      <c r="Y280"/>
      <c r="Z280"/>
      <c r="AA280"/>
      <c r="AB280"/>
      <c r="AC280"/>
      <c r="AD280"/>
      <c r="AE280"/>
      <c r="AF280"/>
      <c r="AG280"/>
      <c r="AH280"/>
      <c r="AI280"/>
      <c r="AJ280"/>
      <c r="AK280"/>
      <c r="AL280"/>
      <c r="AM280"/>
      <c r="AN280"/>
      <c r="AO280"/>
      <c r="AP280"/>
      <c r="AQ280"/>
    </row>
    <row r="281" spans="1:43" s="10" customFormat="1" ht="15.75" customHeight="1" x14ac:dyDescent="0.25">
      <c r="A281" s="55">
        <f t="shared" si="36"/>
        <v>61</v>
      </c>
      <c r="B281" s="56">
        <v>44323</v>
      </c>
      <c r="C281" s="58" t="s">
        <v>792</v>
      </c>
      <c r="D281" s="58"/>
      <c r="E281" s="58"/>
      <c r="F281" s="53" t="s">
        <v>2317</v>
      </c>
      <c r="G281" s="126" t="s">
        <v>793</v>
      </c>
      <c r="H281" s="45">
        <v>1056000</v>
      </c>
      <c r="I281" s="380" t="s">
        <v>791</v>
      </c>
      <c r="J281" s="301">
        <v>44341</v>
      </c>
      <c r="K281" s="460">
        <f t="shared" si="41"/>
        <v>1056000</v>
      </c>
      <c r="L281" s="460"/>
      <c r="M281" s="459"/>
      <c r="N281" s="459"/>
      <c r="O281" s="459"/>
      <c r="P281" s="459"/>
      <c r="Q281" s="28">
        <f t="shared" si="35"/>
        <v>1056000</v>
      </c>
      <c r="R281" s="199"/>
      <c r="S281" s="199"/>
      <c r="T281" s="199">
        <v>60</v>
      </c>
      <c r="U281" s="24">
        <f t="shared" si="40"/>
        <v>44401</v>
      </c>
      <c r="V281"/>
      <c r="W281"/>
      <c r="X281"/>
      <c r="Y281"/>
      <c r="Z281"/>
      <c r="AA281"/>
      <c r="AB281"/>
      <c r="AC281"/>
      <c r="AD281"/>
      <c r="AE281"/>
      <c r="AF281"/>
      <c r="AG281"/>
      <c r="AH281"/>
      <c r="AI281"/>
      <c r="AJ281"/>
      <c r="AK281"/>
      <c r="AL281"/>
      <c r="AM281"/>
      <c r="AN281"/>
      <c r="AO281"/>
      <c r="AP281"/>
      <c r="AQ281"/>
    </row>
    <row r="282" spans="1:43" s="10" customFormat="1" ht="15.75" customHeight="1" x14ac:dyDescent="0.25">
      <c r="A282" s="55">
        <f t="shared" si="36"/>
        <v>62</v>
      </c>
      <c r="B282" s="56">
        <v>44321</v>
      </c>
      <c r="C282" s="58">
        <v>403504</v>
      </c>
      <c r="D282" s="58"/>
      <c r="E282" s="58"/>
      <c r="F282" s="167" t="s">
        <v>435</v>
      </c>
      <c r="G282" s="126" t="s">
        <v>668</v>
      </c>
      <c r="H282" s="45">
        <v>14000000</v>
      </c>
      <c r="I282" s="380" t="s">
        <v>794</v>
      </c>
      <c r="J282" s="301">
        <v>44341</v>
      </c>
      <c r="K282" s="460">
        <f t="shared" si="41"/>
        <v>14000000</v>
      </c>
      <c r="L282" s="460">
        <v>7000000</v>
      </c>
      <c r="M282" s="459"/>
      <c r="N282" s="459"/>
      <c r="O282" s="459"/>
      <c r="P282" s="459">
        <v>7000000</v>
      </c>
      <c r="Q282" s="28">
        <f t="shared" si="35"/>
        <v>0</v>
      </c>
      <c r="R282" s="199"/>
      <c r="S282" s="197">
        <v>44545</v>
      </c>
      <c r="T282" s="199">
        <v>14</v>
      </c>
      <c r="U282" s="24">
        <f t="shared" si="40"/>
        <v>44355</v>
      </c>
      <c r="V282"/>
      <c r="W282"/>
      <c r="X282"/>
      <c r="Y282"/>
      <c r="Z282"/>
      <c r="AA282"/>
      <c r="AB282"/>
      <c r="AC282"/>
      <c r="AD282"/>
      <c r="AE282"/>
      <c r="AF282"/>
      <c r="AG282"/>
      <c r="AH282"/>
      <c r="AI282"/>
      <c r="AJ282"/>
      <c r="AK282"/>
      <c r="AL282"/>
      <c r="AM282"/>
      <c r="AN282"/>
      <c r="AO282"/>
      <c r="AP282"/>
      <c r="AQ282"/>
    </row>
    <row r="283" spans="1:43" s="10" customFormat="1" ht="15.75" customHeight="1" x14ac:dyDescent="0.25">
      <c r="A283" s="55">
        <f t="shared" si="36"/>
        <v>63</v>
      </c>
      <c r="B283" s="56">
        <v>44334</v>
      </c>
      <c r="C283" s="58" t="s">
        <v>796</v>
      </c>
      <c r="D283" s="58"/>
      <c r="E283" s="58"/>
      <c r="F283" s="69" t="s">
        <v>18</v>
      </c>
      <c r="G283" s="126" t="s">
        <v>582</v>
      </c>
      <c r="H283" s="45">
        <v>5500000</v>
      </c>
      <c r="I283" s="380" t="s">
        <v>795</v>
      </c>
      <c r="J283" s="301">
        <v>44347</v>
      </c>
      <c r="K283" s="460">
        <f t="shared" si="41"/>
        <v>5500000</v>
      </c>
      <c r="L283" s="460"/>
      <c r="M283" s="459"/>
      <c r="N283" s="459"/>
      <c r="O283" s="459"/>
      <c r="P283" s="459">
        <f>'rekap tm'!E77</f>
        <v>5500000</v>
      </c>
      <c r="Q283" s="28">
        <f t="shared" si="35"/>
        <v>0</v>
      </c>
      <c r="R283" s="197">
        <v>44369</v>
      </c>
      <c r="S283" s="197"/>
      <c r="T283" s="2">
        <v>14</v>
      </c>
      <c r="U283" s="24">
        <f t="shared" si="40"/>
        <v>44361</v>
      </c>
      <c r="V283"/>
      <c r="W283"/>
      <c r="X283"/>
      <c r="Y283"/>
      <c r="Z283"/>
      <c r="AA283"/>
      <c r="AB283"/>
      <c r="AC283"/>
      <c r="AD283"/>
      <c r="AE283"/>
      <c r="AF283"/>
      <c r="AG283"/>
      <c r="AH283"/>
      <c r="AI283"/>
      <c r="AJ283"/>
      <c r="AK283"/>
      <c r="AL283"/>
      <c r="AM283"/>
      <c r="AN283"/>
      <c r="AO283"/>
      <c r="AP283"/>
      <c r="AQ283"/>
    </row>
    <row r="284" spans="1:43" s="10" customFormat="1" ht="15.75" customHeight="1" x14ac:dyDescent="0.25">
      <c r="A284" s="55">
        <f t="shared" si="36"/>
        <v>64</v>
      </c>
      <c r="B284" s="56">
        <v>44321</v>
      </c>
      <c r="C284" s="58" t="s">
        <v>798</v>
      </c>
      <c r="D284" s="58"/>
      <c r="E284" s="58"/>
      <c r="F284" s="69" t="s">
        <v>18</v>
      </c>
      <c r="G284" s="126" t="s">
        <v>582</v>
      </c>
      <c r="H284" s="45">
        <v>5500000</v>
      </c>
      <c r="I284" s="380" t="s">
        <v>797</v>
      </c>
      <c r="J284" s="301">
        <v>44347</v>
      </c>
      <c r="K284" s="460">
        <f t="shared" si="41"/>
        <v>5500000</v>
      </c>
      <c r="L284" s="460"/>
      <c r="M284" s="459"/>
      <c r="N284" s="459"/>
      <c r="O284" s="459"/>
      <c r="P284" s="459">
        <f>'rekap tm'!E80</f>
        <v>5500000</v>
      </c>
      <c r="Q284" s="28">
        <f t="shared" si="35"/>
        <v>0</v>
      </c>
      <c r="R284" s="197">
        <v>44369</v>
      </c>
      <c r="S284" s="197"/>
      <c r="T284" s="2">
        <v>14</v>
      </c>
      <c r="U284" s="24">
        <f t="shared" si="40"/>
        <v>44361</v>
      </c>
      <c r="V284"/>
      <c r="W284"/>
      <c r="X284"/>
      <c r="Y284"/>
      <c r="Z284"/>
      <c r="AA284"/>
      <c r="AB284"/>
      <c r="AC284"/>
      <c r="AD284"/>
      <c r="AE284"/>
      <c r="AF284"/>
      <c r="AG284"/>
      <c r="AH284"/>
      <c r="AI284"/>
      <c r="AJ284"/>
      <c r="AK284"/>
      <c r="AL284"/>
      <c r="AM284"/>
      <c r="AN284"/>
      <c r="AO284"/>
      <c r="AP284"/>
      <c r="AQ284"/>
    </row>
    <row r="285" spans="1:43" s="10" customFormat="1" ht="15.75" customHeight="1" x14ac:dyDescent="0.25">
      <c r="A285" s="55">
        <f t="shared" si="36"/>
        <v>65</v>
      </c>
      <c r="B285" s="56">
        <v>44305</v>
      </c>
      <c r="C285" s="58" t="s">
        <v>801</v>
      </c>
      <c r="D285" s="58"/>
      <c r="E285" s="58"/>
      <c r="F285" s="53" t="s">
        <v>435</v>
      </c>
      <c r="G285" s="168" t="s">
        <v>800</v>
      </c>
      <c r="H285" s="45">
        <v>1500000</v>
      </c>
      <c r="I285" s="380" t="s">
        <v>799</v>
      </c>
      <c r="J285" s="301">
        <v>44347</v>
      </c>
      <c r="K285" s="460">
        <f t="shared" si="41"/>
        <v>1500000</v>
      </c>
      <c r="L285" s="460"/>
      <c r="M285" s="459"/>
      <c r="N285" s="459"/>
      <c r="O285" s="459"/>
      <c r="P285" s="459">
        <v>1500000</v>
      </c>
      <c r="Q285" s="28">
        <f t="shared" ref="Q285:Q319" si="43">K285-L285-M285-O285-P285+N285</f>
        <v>0</v>
      </c>
      <c r="R285" s="197">
        <v>44361</v>
      </c>
      <c r="S285" s="197"/>
      <c r="T285" s="199">
        <v>14</v>
      </c>
      <c r="U285" s="24">
        <f t="shared" si="40"/>
        <v>44361</v>
      </c>
      <c r="V285"/>
      <c r="W285"/>
      <c r="X285"/>
      <c r="Y285"/>
      <c r="Z285"/>
      <c r="AA285"/>
      <c r="AB285"/>
      <c r="AC285"/>
      <c r="AD285"/>
      <c r="AE285"/>
      <c r="AF285"/>
      <c r="AG285"/>
      <c r="AH285"/>
      <c r="AI285"/>
      <c r="AJ285"/>
      <c r="AK285"/>
      <c r="AL285"/>
      <c r="AM285"/>
      <c r="AN285"/>
      <c r="AO285"/>
      <c r="AP285"/>
      <c r="AQ285"/>
    </row>
    <row r="286" spans="1:43" s="10" customFormat="1" ht="15.75" customHeight="1" x14ac:dyDescent="0.25">
      <c r="A286" s="55">
        <f t="shared" si="36"/>
        <v>66</v>
      </c>
      <c r="B286" s="56">
        <v>44334</v>
      </c>
      <c r="C286" s="58"/>
      <c r="D286" s="58"/>
      <c r="E286" s="58"/>
      <c r="F286" s="53" t="s">
        <v>435</v>
      </c>
      <c r="G286" s="168" t="s">
        <v>163</v>
      </c>
      <c r="H286" s="45">
        <v>8550000</v>
      </c>
      <c r="I286" s="380" t="s">
        <v>802</v>
      </c>
      <c r="J286" s="301">
        <v>44347</v>
      </c>
      <c r="K286" s="460">
        <f t="shared" si="41"/>
        <v>8550000</v>
      </c>
      <c r="L286" s="460">
        <v>5000000</v>
      </c>
      <c r="M286" s="459"/>
      <c r="N286" s="459"/>
      <c r="O286" s="459"/>
      <c r="P286" s="459">
        <v>3550000</v>
      </c>
      <c r="Q286" s="28">
        <f t="shared" si="43"/>
        <v>0</v>
      </c>
      <c r="R286" s="197">
        <v>44361</v>
      </c>
      <c r="S286" s="197"/>
      <c r="T286" s="199">
        <v>14</v>
      </c>
      <c r="U286" s="24">
        <f t="shared" si="40"/>
        <v>44361</v>
      </c>
      <c r="V286"/>
      <c r="W286"/>
      <c r="X286"/>
      <c r="Y286"/>
      <c r="Z286"/>
      <c r="AA286"/>
      <c r="AB286"/>
      <c r="AC286"/>
      <c r="AD286"/>
      <c r="AE286"/>
      <c r="AF286"/>
      <c r="AG286"/>
      <c r="AH286"/>
      <c r="AI286"/>
      <c r="AJ286"/>
      <c r="AK286"/>
      <c r="AL286"/>
      <c r="AM286"/>
      <c r="AN286"/>
      <c r="AO286"/>
      <c r="AP286"/>
      <c r="AQ286"/>
    </row>
    <row r="287" spans="1:43" s="10" customFormat="1" ht="15.75" customHeight="1" x14ac:dyDescent="0.25">
      <c r="A287" s="55">
        <f t="shared" ref="A287:A324" si="44">A286+1</f>
        <v>67</v>
      </c>
      <c r="B287" s="56">
        <v>44337</v>
      </c>
      <c r="C287" s="58"/>
      <c r="D287" s="58"/>
      <c r="E287" s="58"/>
      <c r="F287" s="53" t="s">
        <v>53</v>
      </c>
      <c r="G287" s="491" t="s">
        <v>804</v>
      </c>
      <c r="H287" s="45">
        <v>1200000</v>
      </c>
      <c r="I287" s="380" t="s">
        <v>803</v>
      </c>
      <c r="J287" s="301">
        <v>44347</v>
      </c>
      <c r="K287" s="460">
        <f t="shared" si="41"/>
        <v>1200000</v>
      </c>
      <c r="L287" s="460"/>
      <c r="M287" s="459"/>
      <c r="N287" s="459"/>
      <c r="O287" s="459"/>
      <c r="P287" s="459">
        <v>1200000</v>
      </c>
      <c r="Q287" s="28">
        <f t="shared" si="43"/>
        <v>0</v>
      </c>
      <c r="R287" s="197"/>
      <c r="S287" s="197">
        <v>44392</v>
      </c>
      <c r="T287" s="2">
        <v>14</v>
      </c>
      <c r="U287" s="24">
        <f t="shared" si="40"/>
        <v>44361</v>
      </c>
      <c r="V287"/>
      <c r="W287"/>
      <c r="X287"/>
      <c r="Y287"/>
      <c r="Z287"/>
      <c r="AA287"/>
      <c r="AB287"/>
      <c r="AC287"/>
      <c r="AD287"/>
      <c r="AE287"/>
      <c r="AF287"/>
      <c r="AG287"/>
      <c r="AH287"/>
      <c r="AI287"/>
      <c r="AJ287"/>
      <c r="AK287"/>
      <c r="AL287"/>
      <c r="AM287"/>
      <c r="AN287"/>
      <c r="AO287"/>
      <c r="AP287"/>
      <c r="AQ287"/>
    </row>
    <row r="288" spans="1:43" s="10" customFormat="1" ht="15.75" customHeight="1" x14ac:dyDescent="0.25">
      <c r="A288" s="55">
        <f t="shared" si="44"/>
        <v>68</v>
      </c>
      <c r="B288" s="56">
        <v>44341</v>
      </c>
      <c r="C288" s="58" t="s">
        <v>877</v>
      </c>
      <c r="D288" s="58"/>
      <c r="E288" s="58"/>
      <c r="F288" s="69" t="s">
        <v>18</v>
      </c>
      <c r="G288" s="126" t="s">
        <v>880</v>
      </c>
      <c r="H288" s="45">
        <v>5500000</v>
      </c>
      <c r="I288" s="380" t="s">
        <v>872</v>
      </c>
      <c r="J288" s="301">
        <v>44348</v>
      </c>
      <c r="K288" s="460">
        <f t="shared" si="41"/>
        <v>5500000</v>
      </c>
      <c r="L288" s="460"/>
      <c r="M288" s="459"/>
      <c r="N288" s="459"/>
      <c r="O288" s="459"/>
      <c r="P288" s="459">
        <f>'rekap tm'!E83</f>
        <v>5500000</v>
      </c>
      <c r="Q288" s="28">
        <f t="shared" si="43"/>
        <v>0</v>
      </c>
      <c r="R288" s="197">
        <v>44369</v>
      </c>
      <c r="S288" s="197"/>
      <c r="T288" s="2">
        <v>14</v>
      </c>
      <c r="U288" s="24">
        <f t="shared" si="40"/>
        <v>44362</v>
      </c>
      <c r="V288"/>
      <c r="W288"/>
      <c r="X288"/>
      <c r="Y288"/>
      <c r="Z288"/>
      <c r="AA288"/>
      <c r="AB288"/>
      <c r="AC288"/>
      <c r="AD288"/>
      <c r="AE288"/>
      <c r="AF288"/>
      <c r="AG288"/>
      <c r="AH288"/>
      <c r="AI288"/>
      <c r="AJ288"/>
      <c r="AK288"/>
      <c r="AL288"/>
      <c r="AM288"/>
      <c r="AN288"/>
      <c r="AO288"/>
      <c r="AP288"/>
      <c r="AQ288"/>
    </row>
    <row r="289" spans="1:43" s="10" customFormat="1" ht="15.75" customHeight="1" x14ac:dyDescent="0.25">
      <c r="A289" s="55">
        <f t="shared" si="44"/>
        <v>69</v>
      </c>
      <c r="B289" s="56" t="s">
        <v>1111</v>
      </c>
      <c r="C289" s="58" t="s">
        <v>840</v>
      </c>
      <c r="D289" s="58"/>
      <c r="E289" s="58"/>
      <c r="F289" s="69" t="s">
        <v>841</v>
      </c>
      <c r="G289" s="126" t="s">
        <v>842</v>
      </c>
      <c r="H289" s="45">
        <v>3500000</v>
      </c>
      <c r="I289" s="380" t="s">
        <v>843</v>
      </c>
      <c r="J289" s="301">
        <v>44351</v>
      </c>
      <c r="K289" s="460">
        <f t="shared" si="41"/>
        <v>3500000</v>
      </c>
      <c r="L289" s="460"/>
      <c r="M289" s="459">
        <v>1000000</v>
      </c>
      <c r="N289" s="459"/>
      <c r="O289" s="459"/>
      <c r="P289" s="459">
        <v>2500000</v>
      </c>
      <c r="Q289" s="28">
        <f t="shared" si="43"/>
        <v>0</v>
      </c>
      <c r="R289" s="199"/>
      <c r="S289" s="199"/>
      <c r="T289" s="199"/>
      <c r="U289" s="24">
        <f t="shared" si="40"/>
        <v>44351</v>
      </c>
      <c r="V289"/>
      <c r="W289"/>
      <c r="X289"/>
      <c r="Y289"/>
      <c r="Z289"/>
      <c r="AA289"/>
      <c r="AB289"/>
      <c r="AC289"/>
      <c r="AD289"/>
      <c r="AE289"/>
      <c r="AF289"/>
      <c r="AG289"/>
      <c r="AH289"/>
      <c r="AI289"/>
      <c r="AJ289"/>
      <c r="AK289"/>
      <c r="AL289"/>
      <c r="AM289"/>
      <c r="AN289"/>
      <c r="AO289"/>
      <c r="AP289"/>
      <c r="AQ289"/>
    </row>
    <row r="290" spans="1:43" s="10" customFormat="1" ht="15.75" customHeight="1" x14ac:dyDescent="0.25">
      <c r="A290" s="55">
        <f t="shared" si="44"/>
        <v>70</v>
      </c>
      <c r="B290" s="56">
        <v>44321</v>
      </c>
      <c r="C290" s="58"/>
      <c r="D290" s="58"/>
      <c r="E290" s="58"/>
      <c r="F290" s="69" t="s">
        <v>933</v>
      </c>
      <c r="G290" s="126" t="s">
        <v>747</v>
      </c>
      <c r="H290" s="45">
        <v>30000000</v>
      </c>
      <c r="I290" s="380" t="s">
        <v>934</v>
      </c>
      <c r="J290" s="301">
        <v>44354</v>
      </c>
      <c r="K290" s="460">
        <f t="shared" si="41"/>
        <v>30000000</v>
      </c>
      <c r="L290" s="460"/>
      <c r="M290" s="459">
        <v>15000000</v>
      </c>
      <c r="N290" s="459"/>
      <c r="O290" s="459"/>
      <c r="P290" s="459">
        <f>'rekap tm'!E86+'rekap tm'!F86</f>
        <v>15000000</v>
      </c>
      <c r="Q290" s="28">
        <f t="shared" si="43"/>
        <v>0</v>
      </c>
      <c r="R290" s="197">
        <v>44372</v>
      </c>
      <c r="S290" s="197"/>
      <c r="T290" s="2">
        <v>14</v>
      </c>
      <c r="U290" s="24">
        <f t="shared" si="40"/>
        <v>44368</v>
      </c>
      <c r="V290"/>
      <c r="W290"/>
      <c r="X290"/>
      <c r="Y290"/>
      <c r="Z290"/>
      <c r="AA290"/>
      <c r="AB290"/>
      <c r="AC290"/>
      <c r="AD290"/>
      <c r="AE290"/>
      <c r="AF290"/>
      <c r="AG290"/>
      <c r="AH290"/>
      <c r="AI290"/>
      <c r="AJ290"/>
      <c r="AK290"/>
      <c r="AL290"/>
      <c r="AM290"/>
      <c r="AN290"/>
      <c r="AO290"/>
      <c r="AP290"/>
      <c r="AQ290"/>
    </row>
    <row r="291" spans="1:43" s="10" customFormat="1" ht="15.75" customHeight="1" x14ac:dyDescent="0.25">
      <c r="A291" s="55">
        <f t="shared" si="44"/>
        <v>71</v>
      </c>
      <c r="B291" s="56">
        <v>44322</v>
      </c>
      <c r="C291" s="58"/>
      <c r="D291" s="58"/>
      <c r="E291" s="58"/>
      <c r="F291" s="69" t="s">
        <v>933</v>
      </c>
      <c r="G291" s="126" t="s">
        <v>936</v>
      </c>
      <c r="H291" s="45">
        <v>38288000</v>
      </c>
      <c r="I291" s="380" t="s">
        <v>935</v>
      </c>
      <c r="J291" s="301">
        <v>44354</v>
      </c>
      <c r="K291" s="460">
        <f t="shared" si="41"/>
        <v>38288000</v>
      </c>
      <c r="L291" s="460"/>
      <c r="M291" s="459">
        <v>12830000</v>
      </c>
      <c r="N291" s="459"/>
      <c r="O291" s="459"/>
      <c r="P291" s="459">
        <f>'rekap tm'!E89+'rekap tm'!F89</f>
        <v>25458000</v>
      </c>
      <c r="Q291" s="28">
        <f t="shared" si="43"/>
        <v>0</v>
      </c>
      <c r="R291" s="197">
        <v>44382</v>
      </c>
      <c r="S291" s="197"/>
      <c r="T291" s="2">
        <v>14</v>
      </c>
      <c r="U291" s="24">
        <f t="shared" si="40"/>
        <v>44368</v>
      </c>
      <c r="V291"/>
      <c r="W291"/>
      <c r="X291"/>
      <c r="Y291"/>
      <c r="Z291"/>
      <c r="AA291"/>
      <c r="AB291"/>
      <c r="AC291"/>
      <c r="AD291"/>
      <c r="AE291"/>
      <c r="AF291"/>
      <c r="AG291"/>
      <c r="AH291"/>
      <c r="AI291"/>
      <c r="AJ291"/>
      <c r="AK291"/>
      <c r="AL291"/>
      <c r="AM291"/>
      <c r="AN291"/>
      <c r="AO291"/>
      <c r="AP291"/>
      <c r="AQ291"/>
    </row>
    <row r="292" spans="1:43" s="10" customFormat="1" ht="15.75" customHeight="1" x14ac:dyDescent="0.25">
      <c r="A292" s="55">
        <f t="shared" si="44"/>
        <v>72</v>
      </c>
      <c r="B292" s="56">
        <v>44324</v>
      </c>
      <c r="C292" s="58"/>
      <c r="D292" s="58"/>
      <c r="E292" s="58"/>
      <c r="F292" s="69" t="s">
        <v>933</v>
      </c>
      <c r="G292" s="126" t="s">
        <v>938</v>
      </c>
      <c r="H292" s="45">
        <v>12215000</v>
      </c>
      <c r="I292" s="380" t="s">
        <v>937</v>
      </c>
      <c r="J292" s="301">
        <v>44354</v>
      </c>
      <c r="K292" s="460">
        <f t="shared" si="41"/>
        <v>12215000</v>
      </c>
      <c r="L292" s="460"/>
      <c r="M292" s="459"/>
      <c r="N292" s="459"/>
      <c r="O292" s="459"/>
      <c r="P292" s="459">
        <f>'rekap tm'!E92+'rekap tm'!F92</f>
        <v>12215000</v>
      </c>
      <c r="Q292" s="28">
        <f t="shared" si="43"/>
        <v>0</v>
      </c>
      <c r="R292" s="197">
        <v>44382</v>
      </c>
      <c r="S292" s="197"/>
      <c r="T292" s="2">
        <v>14</v>
      </c>
      <c r="U292" s="24">
        <f t="shared" si="40"/>
        <v>44368</v>
      </c>
      <c r="V292"/>
      <c r="W292"/>
      <c r="X292"/>
      <c r="Y292"/>
      <c r="Z292"/>
      <c r="AA292"/>
      <c r="AB292"/>
      <c r="AC292"/>
      <c r="AD292"/>
      <c r="AE292"/>
      <c r="AF292"/>
      <c r="AG292"/>
      <c r="AH292"/>
      <c r="AI292"/>
      <c r="AJ292"/>
      <c r="AK292"/>
      <c r="AL292"/>
      <c r="AM292"/>
      <c r="AN292"/>
      <c r="AO292"/>
      <c r="AP292"/>
      <c r="AQ292"/>
    </row>
    <row r="293" spans="1:43" s="10" customFormat="1" ht="15.75" customHeight="1" x14ac:dyDescent="0.25">
      <c r="A293" s="55">
        <f t="shared" si="44"/>
        <v>73</v>
      </c>
      <c r="B293" s="56">
        <v>44333</v>
      </c>
      <c r="C293" s="58"/>
      <c r="D293" s="58"/>
      <c r="E293" s="58"/>
      <c r="F293" s="69" t="s">
        <v>933</v>
      </c>
      <c r="G293" s="126" t="s">
        <v>940</v>
      </c>
      <c r="H293" s="45">
        <v>13542400</v>
      </c>
      <c r="I293" s="380" t="s">
        <v>939</v>
      </c>
      <c r="J293" s="301">
        <v>44354</v>
      </c>
      <c r="K293" s="460">
        <f t="shared" si="41"/>
        <v>13542400</v>
      </c>
      <c r="L293" s="460"/>
      <c r="M293" s="459">
        <v>5000000</v>
      </c>
      <c r="N293" s="459"/>
      <c r="O293" s="459"/>
      <c r="P293" s="459">
        <f>'rekap tm'!E95</f>
        <v>8542400</v>
      </c>
      <c r="Q293" s="28">
        <f t="shared" si="43"/>
        <v>0</v>
      </c>
      <c r="R293" s="197">
        <v>44382</v>
      </c>
      <c r="S293" s="197"/>
      <c r="T293" s="2">
        <v>14</v>
      </c>
      <c r="U293" s="24">
        <f t="shared" si="40"/>
        <v>44368</v>
      </c>
      <c r="V293"/>
      <c r="W293"/>
      <c r="X293"/>
      <c r="Y293"/>
      <c r="Z293"/>
      <c r="AA293"/>
      <c r="AB293"/>
      <c r="AC293"/>
      <c r="AD293"/>
      <c r="AE293"/>
      <c r="AF293"/>
      <c r="AG293"/>
      <c r="AH293"/>
      <c r="AI293"/>
      <c r="AJ293"/>
      <c r="AK293"/>
      <c r="AL293"/>
      <c r="AM293"/>
      <c r="AN293"/>
      <c r="AO293"/>
      <c r="AP293"/>
      <c r="AQ293"/>
    </row>
    <row r="294" spans="1:43" s="10" customFormat="1" ht="15.75" customHeight="1" x14ac:dyDescent="0.25">
      <c r="A294" s="55">
        <f t="shared" si="44"/>
        <v>74</v>
      </c>
      <c r="B294" s="56">
        <v>44324</v>
      </c>
      <c r="C294" s="58"/>
      <c r="D294" s="58"/>
      <c r="E294" s="58"/>
      <c r="F294" s="69" t="s">
        <v>933</v>
      </c>
      <c r="G294" s="126" t="s">
        <v>942</v>
      </c>
      <c r="H294" s="45">
        <v>28516000</v>
      </c>
      <c r="I294" s="380" t="s">
        <v>941</v>
      </c>
      <c r="J294" s="301">
        <v>44354</v>
      </c>
      <c r="K294" s="460">
        <f t="shared" si="41"/>
        <v>28516000</v>
      </c>
      <c r="L294" s="460"/>
      <c r="M294" s="459">
        <v>5000000</v>
      </c>
      <c r="N294" s="459"/>
      <c r="O294" s="459"/>
      <c r="P294" s="459">
        <f>'rekap tm'!E98+'rekap tm'!F98</f>
        <v>23516000</v>
      </c>
      <c r="Q294" s="28">
        <f t="shared" si="43"/>
        <v>0</v>
      </c>
      <c r="R294" s="197">
        <v>44386</v>
      </c>
      <c r="S294" s="197"/>
      <c r="T294" s="2">
        <v>14</v>
      </c>
      <c r="U294" s="24">
        <f t="shared" si="40"/>
        <v>44368</v>
      </c>
      <c r="V294"/>
      <c r="W294"/>
      <c r="X294"/>
      <c r="Y294"/>
      <c r="Z294"/>
      <c r="AA294"/>
      <c r="AB294"/>
      <c r="AC294"/>
      <c r="AD294"/>
      <c r="AE294"/>
      <c r="AF294"/>
      <c r="AG294"/>
      <c r="AH294"/>
      <c r="AI294"/>
      <c r="AJ294"/>
      <c r="AK294"/>
      <c r="AL294"/>
      <c r="AM294"/>
      <c r="AN294"/>
      <c r="AO294"/>
      <c r="AP294"/>
      <c r="AQ294"/>
    </row>
    <row r="295" spans="1:43" s="10" customFormat="1" ht="15.75" customHeight="1" x14ac:dyDescent="0.25">
      <c r="A295" s="55">
        <f t="shared" si="44"/>
        <v>75</v>
      </c>
      <c r="B295" s="56">
        <v>44347</v>
      </c>
      <c r="C295" s="58"/>
      <c r="D295" s="58"/>
      <c r="E295" s="58"/>
      <c r="F295" s="69" t="s">
        <v>933</v>
      </c>
      <c r="G295" s="126" t="s">
        <v>944</v>
      </c>
      <c r="H295" s="45">
        <v>21000000</v>
      </c>
      <c r="I295" s="380" t="s">
        <v>943</v>
      </c>
      <c r="J295" s="301">
        <v>44354</v>
      </c>
      <c r="K295" s="460">
        <f t="shared" si="41"/>
        <v>21000000</v>
      </c>
      <c r="L295" s="460"/>
      <c r="M295" s="459"/>
      <c r="N295" s="459"/>
      <c r="O295" s="459"/>
      <c r="P295" s="459">
        <v>21000000</v>
      </c>
      <c r="Q295" s="28">
        <f t="shared" si="43"/>
        <v>0</v>
      </c>
      <c r="R295" s="197">
        <v>44386</v>
      </c>
      <c r="S295" s="197"/>
      <c r="T295" s="2">
        <v>14</v>
      </c>
      <c r="U295" s="24">
        <f t="shared" si="40"/>
        <v>44368</v>
      </c>
      <c r="V295"/>
      <c r="W295"/>
      <c r="X295"/>
      <c r="Y295"/>
      <c r="Z295"/>
      <c r="AA295"/>
      <c r="AB295"/>
      <c r="AC295"/>
      <c r="AD295"/>
      <c r="AE295"/>
      <c r="AF295"/>
      <c r="AG295"/>
      <c r="AH295"/>
      <c r="AI295"/>
      <c r="AJ295"/>
      <c r="AK295"/>
      <c r="AL295"/>
      <c r="AM295"/>
      <c r="AN295"/>
      <c r="AO295"/>
      <c r="AP295"/>
      <c r="AQ295"/>
    </row>
    <row r="296" spans="1:43" s="10" customFormat="1" ht="15.75" customHeight="1" x14ac:dyDescent="0.25">
      <c r="A296" s="55">
        <f t="shared" si="44"/>
        <v>76</v>
      </c>
      <c r="B296" s="56">
        <v>44336</v>
      </c>
      <c r="C296" s="58" t="s">
        <v>926</v>
      </c>
      <c r="D296" s="58"/>
      <c r="E296" s="58"/>
      <c r="F296" s="69" t="s">
        <v>18</v>
      </c>
      <c r="G296" s="126" t="s">
        <v>880</v>
      </c>
      <c r="H296" s="45">
        <v>5500000</v>
      </c>
      <c r="I296" s="380" t="s">
        <v>925</v>
      </c>
      <c r="J296" s="301">
        <v>44348</v>
      </c>
      <c r="K296" s="460">
        <f t="shared" si="41"/>
        <v>5500000</v>
      </c>
      <c r="L296" s="460"/>
      <c r="M296" s="459"/>
      <c r="N296" s="459"/>
      <c r="O296" s="459"/>
      <c r="P296" s="459">
        <v>5500000</v>
      </c>
      <c r="Q296" s="28">
        <f t="shared" si="43"/>
        <v>0</v>
      </c>
      <c r="R296" s="197">
        <v>44386</v>
      </c>
      <c r="S296" s="197"/>
      <c r="T296" s="2">
        <v>14</v>
      </c>
      <c r="U296" s="24">
        <f t="shared" si="40"/>
        <v>44362</v>
      </c>
      <c r="V296"/>
      <c r="W296"/>
      <c r="X296"/>
      <c r="Y296"/>
      <c r="Z296"/>
      <c r="AA296"/>
      <c r="AB296"/>
      <c r="AC296"/>
      <c r="AD296"/>
      <c r="AE296"/>
      <c r="AF296"/>
      <c r="AG296"/>
      <c r="AH296"/>
      <c r="AI296"/>
      <c r="AJ296"/>
      <c r="AK296"/>
      <c r="AL296"/>
      <c r="AM296"/>
      <c r="AN296"/>
      <c r="AO296"/>
      <c r="AP296"/>
      <c r="AQ296"/>
    </row>
    <row r="297" spans="1:43" s="10" customFormat="1" ht="15.75" customHeight="1" x14ac:dyDescent="0.25">
      <c r="A297" s="55">
        <f t="shared" si="44"/>
        <v>77</v>
      </c>
      <c r="B297" s="79">
        <v>44345</v>
      </c>
      <c r="C297" s="330"/>
      <c r="D297" s="330"/>
      <c r="E297" s="330" t="s">
        <v>1069</v>
      </c>
      <c r="F297" s="123" t="s">
        <v>2694</v>
      </c>
      <c r="G297" s="126" t="s">
        <v>927</v>
      </c>
      <c r="H297" s="45">
        <v>150000</v>
      </c>
      <c r="I297" s="377" t="s">
        <v>923</v>
      </c>
      <c r="J297" s="301">
        <v>44354</v>
      </c>
      <c r="K297" s="460">
        <f t="shared" si="41"/>
        <v>150000</v>
      </c>
      <c r="L297" s="460"/>
      <c r="M297" s="460"/>
      <c r="N297" s="460"/>
      <c r="O297" s="460"/>
      <c r="P297" s="460"/>
      <c r="Q297" s="28">
        <f t="shared" si="43"/>
        <v>150000</v>
      </c>
      <c r="R297" s="199"/>
      <c r="S297" s="199"/>
      <c r="T297" s="199">
        <v>14</v>
      </c>
      <c r="U297" s="24">
        <f t="shared" si="40"/>
        <v>44368</v>
      </c>
      <c r="V297"/>
      <c r="W297"/>
      <c r="X297"/>
      <c r="Y297"/>
      <c r="Z297"/>
      <c r="AA297"/>
      <c r="AB297"/>
      <c r="AC297"/>
      <c r="AD297"/>
      <c r="AE297"/>
      <c r="AF297"/>
      <c r="AG297"/>
      <c r="AH297"/>
      <c r="AI297"/>
      <c r="AJ297"/>
      <c r="AK297"/>
      <c r="AL297"/>
      <c r="AM297"/>
      <c r="AN297"/>
      <c r="AO297"/>
      <c r="AP297"/>
      <c r="AQ297"/>
    </row>
    <row r="298" spans="1:43" s="10" customFormat="1" ht="15.75" customHeight="1" x14ac:dyDescent="0.25">
      <c r="A298" s="55">
        <f t="shared" si="44"/>
        <v>78</v>
      </c>
      <c r="B298" s="79">
        <v>44344</v>
      </c>
      <c r="C298" s="330"/>
      <c r="D298" s="330"/>
      <c r="E298" s="330" t="s">
        <v>920</v>
      </c>
      <c r="F298" s="123" t="s">
        <v>2694</v>
      </c>
      <c r="G298" s="126" t="s">
        <v>910</v>
      </c>
      <c r="H298" s="45">
        <v>800000</v>
      </c>
      <c r="I298" s="377" t="s">
        <v>902</v>
      </c>
      <c r="J298" s="301">
        <v>44354</v>
      </c>
      <c r="K298" s="460">
        <f t="shared" si="41"/>
        <v>800000</v>
      </c>
      <c r="L298" s="460"/>
      <c r="M298" s="460"/>
      <c r="N298" s="460"/>
      <c r="O298" s="460"/>
      <c r="P298" s="460"/>
      <c r="Q298" s="28">
        <f t="shared" si="43"/>
        <v>800000</v>
      </c>
      <c r="R298" s="199"/>
      <c r="S298" s="199"/>
      <c r="T298" s="199">
        <v>14</v>
      </c>
      <c r="U298" s="24">
        <f t="shared" si="40"/>
        <v>44368</v>
      </c>
      <c r="V298"/>
      <c r="W298"/>
      <c r="X298"/>
      <c r="Y298"/>
      <c r="Z298"/>
      <c r="AA298"/>
      <c r="AB298"/>
      <c r="AC298"/>
      <c r="AD298"/>
      <c r="AE298"/>
      <c r="AF298"/>
      <c r="AG298"/>
      <c r="AH298"/>
      <c r="AI298"/>
      <c r="AJ298"/>
      <c r="AK298"/>
      <c r="AL298"/>
      <c r="AM298"/>
      <c r="AN298"/>
      <c r="AO298"/>
      <c r="AP298"/>
      <c r="AQ298"/>
    </row>
    <row r="299" spans="1:43" s="10" customFormat="1" ht="15.75" customHeight="1" x14ac:dyDescent="0.25">
      <c r="A299" s="55">
        <f t="shared" si="44"/>
        <v>79</v>
      </c>
      <c r="B299" s="79">
        <v>44343</v>
      </c>
      <c r="C299" s="330"/>
      <c r="D299" s="330"/>
      <c r="E299" s="330" t="s">
        <v>918</v>
      </c>
      <c r="F299" s="123" t="s">
        <v>2694</v>
      </c>
      <c r="G299" s="126" t="s">
        <v>910</v>
      </c>
      <c r="H299" s="45">
        <v>150000</v>
      </c>
      <c r="I299" s="377" t="s">
        <v>898</v>
      </c>
      <c r="J299" s="301">
        <v>44354</v>
      </c>
      <c r="K299" s="460">
        <f t="shared" si="41"/>
        <v>150000</v>
      </c>
      <c r="L299" s="460"/>
      <c r="M299" s="460"/>
      <c r="N299" s="460"/>
      <c r="O299" s="460"/>
      <c r="P299" s="460"/>
      <c r="Q299" s="28">
        <f t="shared" si="43"/>
        <v>150000</v>
      </c>
      <c r="R299" s="199"/>
      <c r="S299" s="199"/>
      <c r="T299" s="199">
        <v>14</v>
      </c>
      <c r="U299" s="24">
        <f t="shared" si="40"/>
        <v>44368</v>
      </c>
      <c r="V299"/>
      <c r="W299"/>
      <c r="X299"/>
      <c r="Y299"/>
      <c r="Z299"/>
      <c r="AA299"/>
      <c r="AB299"/>
      <c r="AC299"/>
      <c r="AD299"/>
      <c r="AE299"/>
      <c r="AF299"/>
      <c r="AG299"/>
      <c r="AH299"/>
      <c r="AI299"/>
      <c r="AJ299"/>
      <c r="AK299"/>
      <c r="AL299"/>
      <c r="AM299"/>
      <c r="AN299"/>
      <c r="AO299"/>
      <c r="AP299"/>
      <c r="AQ299"/>
    </row>
    <row r="300" spans="1:43" s="10" customFormat="1" ht="15.75" customHeight="1" x14ac:dyDescent="0.25">
      <c r="A300" s="55">
        <f t="shared" si="44"/>
        <v>80</v>
      </c>
      <c r="B300" s="79">
        <v>44344</v>
      </c>
      <c r="C300" s="330"/>
      <c r="D300" s="330"/>
      <c r="E300" s="330" t="s">
        <v>919</v>
      </c>
      <c r="F300" s="123" t="s">
        <v>2694</v>
      </c>
      <c r="G300" s="126" t="s">
        <v>15</v>
      </c>
      <c r="H300" s="45">
        <v>850000</v>
      </c>
      <c r="I300" s="377" t="s">
        <v>900</v>
      </c>
      <c r="J300" s="301">
        <v>44354</v>
      </c>
      <c r="K300" s="460">
        <f t="shared" si="41"/>
        <v>850000</v>
      </c>
      <c r="L300" s="460"/>
      <c r="M300" s="460"/>
      <c r="N300" s="460"/>
      <c r="O300" s="460"/>
      <c r="P300" s="460">
        <v>850000</v>
      </c>
      <c r="Q300" s="28">
        <f t="shared" si="43"/>
        <v>0</v>
      </c>
      <c r="R300" s="199"/>
      <c r="S300" s="197">
        <v>44516</v>
      </c>
      <c r="T300" s="199">
        <v>14</v>
      </c>
      <c r="U300" s="24">
        <f t="shared" si="40"/>
        <v>44368</v>
      </c>
      <c r="V300"/>
      <c r="W300"/>
      <c r="X300"/>
      <c r="Y300"/>
      <c r="Z300"/>
      <c r="AA300"/>
      <c r="AB300"/>
      <c r="AC300"/>
      <c r="AD300"/>
      <c r="AE300"/>
      <c r="AF300"/>
      <c r="AG300"/>
      <c r="AH300"/>
      <c r="AI300"/>
      <c r="AJ300"/>
      <c r="AK300"/>
      <c r="AL300"/>
      <c r="AM300"/>
      <c r="AN300"/>
      <c r="AO300"/>
      <c r="AP300"/>
      <c r="AQ300"/>
    </row>
    <row r="301" spans="1:43" s="10" customFormat="1" ht="15.75" customHeight="1" x14ac:dyDescent="0.25">
      <c r="A301" s="55">
        <f t="shared" si="44"/>
        <v>81</v>
      </c>
      <c r="B301" s="79">
        <v>44348</v>
      </c>
      <c r="C301" s="330"/>
      <c r="D301" s="330"/>
      <c r="E301" s="330" t="s">
        <v>953</v>
      </c>
      <c r="F301" s="123" t="s">
        <v>2694</v>
      </c>
      <c r="G301" s="126" t="s">
        <v>954</v>
      </c>
      <c r="H301" s="45">
        <v>249900</v>
      </c>
      <c r="I301" s="377" t="s">
        <v>1486</v>
      </c>
      <c r="J301" s="301">
        <v>44354</v>
      </c>
      <c r="K301" s="460">
        <f t="shared" si="41"/>
        <v>249900</v>
      </c>
      <c r="L301" s="460"/>
      <c r="M301" s="460"/>
      <c r="N301" s="460"/>
      <c r="O301" s="460"/>
      <c r="P301" s="460">
        <v>249900</v>
      </c>
      <c r="Q301" s="28">
        <f t="shared" si="43"/>
        <v>0</v>
      </c>
      <c r="R301" s="197"/>
      <c r="S301" s="197">
        <v>44516</v>
      </c>
      <c r="T301" s="199">
        <v>14</v>
      </c>
      <c r="U301" s="24">
        <f t="shared" si="40"/>
        <v>44368</v>
      </c>
      <c r="V301"/>
      <c r="W301"/>
      <c r="X301"/>
      <c r="Y301"/>
      <c r="Z301"/>
      <c r="AA301"/>
      <c r="AB301"/>
      <c r="AC301"/>
      <c r="AD301"/>
      <c r="AE301"/>
      <c r="AF301"/>
      <c r="AG301"/>
      <c r="AH301"/>
      <c r="AI301"/>
      <c r="AJ301"/>
      <c r="AK301"/>
      <c r="AL301"/>
      <c r="AM301"/>
      <c r="AN301"/>
      <c r="AO301"/>
      <c r="AP301"/>
      <c r="AQ301"/>
    </row>
    <row r="302" spans="1:43" s="10" customFormat="1" ht="15.75" customHeight="1" x14ac:dyDescent="0.25">
      <c r="A302" s="55">
        <f t="shared" si="44"/>
        <v>82</v>
      </c>
      <c r="B302" s="79">
        <v>44343</v>
      </c>
      <c r="C302" s="330"/>
      <c r="D302" s="330"/>
      <c r="E302" s="330" t="s">
        <v>913</v>
      </c>
      <c r="F302" s="123" t="s">
        <v>2694</v>
      </c>
      <c r="G302" s="126" t="s">
        <v>30</v>
      </c>
      <c r="H302" s="45">
        <v>800000</v>
      </c>
      <c r="I302" s="377" t="s">
        <v>890</v>
      </c>
      <c r="J302" s="301">
        <v>44354</v>
      </c>
      <c r="K302" s="460">
        <f t="shared" si="41"/>
        <v>800000</v>
      </c>
      <c r="L302" s="460"/>
      <c r="M302" s="460">
        <v>16000</v>
      </c>
      <c r="N302" s="460"/>
      <c r="O302" s="460"/>
      <c r="P302" s="460">
        <v>784000</v>
      </c>
      <c r="Q302" s="28">
        <f t="shared" si="43"/>
        <v>0</v>
      </c>
      <c r="R302" s="199"/>
      <c r="S302" s="199"/>
      <c r="T302" s="199">
        <v>14</v>
      </c>
      <c r="U302" s="24">
        <f t="shared" si="40"/>
        <v>44368</v>
      </c>
      <c r="V302"/>
      <c r="W302"/>
      <c r="X302"/>
      <c r="Y302"/>
      <c r="Z302"/>
      <c r="AA302"/>
      <c r="AB302"/>
      <c r="AC302"/>
      <c r="AD302"/>
      <c r="AE302"/>
      <c r="AF302"/>
      <c r="AG302"/>
      <c r="AH302"/>
      <c r="AI302"/>
      <c r="AJ302"/>
      <c r="AK302"/>
      <c r="AL302"/>
      <c r="AM302"/>
      <c r="AN302"/>
      <c r="AO302"/>
      <c r="AP302"/>
      <c r="AQ302"/>
    </row>
    <row r="303" spans="1:43" s="10" customFormat="1" ht="15.75" customHeight="1" x14ac:dyDescent="0.25">
      <c r="A303" s="55">
        <f t="shared" si="44"/>
        <v>83</v>
      </c>
      <c r="B303" s="79">
        <v>44343</v>
      </c>
      <c r="C303" s="330"/>
      <c r="D303" s="330"/>
      <c r="E303" s="330" t="s">
        <v>914</v>
      </c>
      <c r="F303" s="123" t="s">
        <v>2694</v>
      </c>
      <c r="G303" s="126" t="s">
        <v>907</v>
      </c>
      <c r="H303" s="45">
        <v>245600</v>
      </c>
      <c r="I303" s="377" t="s">
        <v>892</v>
      </c>
      <c r="J303" s="301">
        <v>44354</v>
      </c>
      <c r="K303" s="460">
        <f t="shared" si="41"/>
        <v>245600</v>
      </c>
      <c r="L303" s="460"/>
      <c r="M303" s="460"/>
      <c r="N303" s="460"/>
      <c r="O303" s="460"/>
      <c r="P303" s="460">
        <v>245600</v>
      </c>
      <c r="Q303" s="28">
        <f t="shared" si="43"/>
        <v>0</v>
      </c>
      <c r="R303" s="199"/>
      <c r="S303" s="197">
        <v>44516</v>
      </c>
      <c r="T303" s="199">
        <v>14</v>
      </c>
      <c r="U303" s="24">
        <f t="shared" si="40"/>
        <v>44368</v>
      </c>
      <c r="V303"/>
      <c r="W303"/>
      <c r="X303"/>
      <c r="Y303"/>
      <c r="Z303"/>
      <c r="AA303"/>
      <c r="AB303"/>
      <c r="AC303"/>
      <c r="AD303"/>
      <c r="AE303"/>
      <c r="AF303"/>
      <c r="AG303"/>
      <c r="AH303"/>
      <c r="AI303"/>
      <c r="AJ303"/>
      <c r="AK303"/>
      <c r="AL303"/>
      <c r="AM303"/>
      <c r="AN303"/>
      <c r="AO303"/>
      <c r="AP303"/>
      <c r="AQ303"/>
    </row>
    <row r="304" spans="1:43" s="10" customFormat="1" ht="15.75" customHeight="1" x14ac:dyDescent="0.25">
      <c r="A304" s="55">
        <f t="shared" si="44"/>
        <v>84</v>
      </c>
      <c r="B304" s="79">
        <v>44343</v>
      </c>
      <c r="C304" s="330"/>
      <c r="D304" s="330"/>
      <c r="E304" s="330" t="s">
        <v>917</v>
      </c>
      <c r="F304" s="123" t="s">
        <v>2694</v>
      </c>
      <c r="G304" s="126" t="s">
        <v>909</v>
      </c>
      <c r="H304" s="45">
        <v>100000</v>
      </c>
      <c r="I304" s="377" t="s">
        <v>896</v>
      </c>
      <c r="J304" s="301">
        <v>44354</v>
      </c>
      <c r="K304" s="460">
        <f t="shared" si="41"/>
        <v>100000</v>
      </c>
      <c r="L304" s="460"/>
      <c r="M304" s="460">
        <v>2000</v>
      </c>
      <c r="N304" s="460"/>
      <c r="O304" s="460"/>
      <c r="P304" s="460">
        <v>98000</v>
      </c>
      <c r="Q304" s="28">
        <f t="shared" si="43"/>
        <v>0</v>
      </c>
      <c r="R304" s="199"/>
      <c r="S304" s="197">
        <v>44516</v>
      </c>
      <c r="T304" s="199">
        <v>14</v>
      </c>
      <c r="U304" s="24">
        <f t="shared" si="40"/>
        <v>44368</v>
      </c>
      <c r="V304"/>
      <c r="W304"/>
      <c r="X304"/>
      <c r="Y304"/>
      <c r="Z304"/>
      <c r="AA304"/>
      <c r="AB304"/>
      <c r="AC304"/>
      <c r="AD304"/>
      <c r="AE304"/>
      <c r="AF304"/>
      <c r="AG304"/>
      <c r="AH304"/>
      <c r="AI304"/>
      <c r="AJ304"/>
      <c r="AK304"/>
      <c r="AL304"/>
      <c r="AM304"/>
      <c r="AN304"/>
      <c r="AO304"/>
      <c r="AP304"/>
      <c r="AQ304"/>
    </row>
    <row r="305" spans="1:43" s="10" customFormat="1" ht="15.75" customHeight="1" x14ac:dyDescent="0.25">
      <c r="A305" s="55">
        <f t="shared" si="44"/>
        <v>85</v>
      </c>
      <c r="B305" s="79">
        <v>44341</v>
      </c>
      <c r="C305" s="330"/>
      <c r="D305" s="330"/>
      <c r="E305" s="330" t="s">
        <v>911</v>
      </c>
      <c r="F305" s="123" t="s">
        <v>2694</v>
      </c>
      <c r="G305" s="126" t="s">
        <v>334</v>
      </c>
      <c r="H305" s="45">
        <v>200000</v>
      </c>
      <c r="I305" s="377" t="s">
        <v>887</v>
      </c>
      <c r="J305" s="301">
        <v>44354</v>
      </c>
      <c r="K305" s="460">
        <f t="shared" si="41"/>
        <v>200000</v>
      </c>
      <c r="L305" s="460"/>
      <c r="M305" s="460"/>
      <c r="N305" s="460"/>
      <c r="O305" s="460"/>
      <c r="P305" s="460">
        <v>200000</v>
      </c>
      <c r="Q305" s="28">
        <f t="shared" si="43"/>
        <v>0</v>
      </c>
      <c r="R305" s="199"/>
      <c r="S305" s="197">
        <v>44517</v>
      </c>
      <c r="T305" s="199">
        <v>14</v>
      </c>
      <c r="U305" s="24">
        <f t="shared" si="40"/>
        <v>44368</v>
      </c>
      <c r="V305"/>
      <c r="W305"/>
      <c r="X305"/>
      <c r="Y305"/>
      <c r="Z305"/>
      <c r="AA305"/>
      <c r="AB305"/>
      <c r="AC305"/>
      <c r="AD305"/>
      <c r="AE305"/>
      <c r="AF305"/>
      <c r="AG305"/>
      <c r="AH305"/>
      <c r="AI305"/>
      <c r="AJ305"/>
      <c r="AK305"/>
      <c r="AL305"/>
      <c r="AM305"/>
      <c r="AN305"/>
      <c r="AO305"/>
      <c r="AP305"/>
      <c r="AQ305"/>
    </row>
    <row r="306" spans="1:43" s="10" customFormat="1" ht="15.75" customHeight="1" x14ac:dyDescent="0.25">
      <c r="A306" s="55">
        <f t="shared" si="44"/>
        <v>86</v>
      </c>
      <c r="B306" s="56">
        <v>44343</v>
      </c>
      <c r="C306" s="58" t="s">
        <v>878</v>
      </c>
      <c r="D306" s="58"/>
      <c r="E306" s="58"/>
      <c r="F306" s="53" t="s">
        <v>51</v>
      </c>
      <c r="G306" s="126" t="s">
        <v>827</v>
      </c>
      <c r="H306" s="45">
        <v>4600000</v>
      </c>
      <c r="I306" s="380" t="s">
        <v>874</v>
      </c>
      <c r="J306" s="301" t="s">
        <v>875</v>
      </c>
      <c r="K306" s="460">
        <f t="shared" si="41"/>
        <v>4600000</v>
      </c>
      <c r="L306" s="460"/>
      <c r="M306" s="459"/>
      <c r="N306" s="459"/>
      <c r="O306" s="459"/>
      <c r="P306" s="459">
        <v>4600000</v>
      </c>
      <c r="Q306" s="28">
        <f t="shared" si="43"/>
        <v>0</v>
      </c>
      <c r="R306" s="197">
        <v>44363</v>
      </c>
      <c r="S306" s="197"/>
      <c r="T306" s="199">
        <v>14</v>
      </c>
      <c r="U306" s="24" t="e">
        <f t="shared" si="40"/>
        <v>#VALUE!</v>
      </c>
      <c r="V306"/>
      <c r="W306"/>
      <c r="X306"/>
      <c r="Y306"/>
      <c r="Z306"/>
      <c r="AA306"/>
      <c r="AB306"/>
      <c r="AC306"/>
      <c r="AD306"/>
      <c r="AE306"/>
      <c r="AF306"/>
      <c r="AG306"/>
      <c r="AH306"/>
      <c r="AI306"/>
      <c r="AJ306"/>
      <c r="AK306"/>
      <c r="AL306"/>
      <c r="AM306"/>
      <c r="AN306"/>
      <c r="AO306"/>
      <c r="AP306"/>
      <c r="AQ306"/>
    </row>
    <row r="307" spans="1:43" s="10" customFormat="1" ht="15.75" customHeight="1" x14ac:dyDescent="0.25">
      <c r="A307" s="55">
        <f t="shared" si="44"/>
        <v>87</v>
      </c>
      <c r="B307" s="56">
        <v>44337</v>
      </c>
      <c r="C307" s="58" t="s">
        <v>857</v>
      </c>
      <c r="D307" s="58"/>
      <c r="E307" s="58"/>
      <c r="F307" s="53" t="s">
        <v>53</v>
      </c>
      <c r="G307" s="126" t="s">
        <v>858</v>
      </c>
      <c r="H307" s="45">
        <v>8000000</v>
      </c>
      <c r="I307" s="380" t="s">
        <v>856</v>
      </c>
      <c r="J307" s="301">
        <v>44356</v>
      </c>
      <c r="K307" s="460">
        <f t="shared" si="41"/>
        <v>8000000</v>
      </c>
      <c r="L307" s="460"/>
      <c r="M307" s="459"/>
      <c r="N307" s="459"/>
      <c r="O307" s="459"/>
      <c r="P307" s="459">
        <v>8000000</v>
      </c>
      <c r="Q307" s="28">
        <f t="shared" si="43"/>
        <v>0</v>
      </c>
      <c r="R307" s="197"/>
      <c r="S307" s="197">
        <v>44420</v>
      </c>
      <c r="T307" s="2">
        <v>14</v>
      </c>
      <c r="U307" s="24">
        <f t="shared" si="40"/>
        <v>44370</v>
      </c>
      <c r="V307"/>
      <c r="W307"/>
      <c r="X307"/>
      <c r="Y307"/>
      <c r="Z307"/>
      <c r="AA307"/>
      <c r="AB307"/>
      <c r="AC307"/>
      <c r="AD307"/>
      <c r="AE307"/>
      <c r="AF307"/>
      <c r="AG307"/>
      <c r="AH307"/>
      <c r="AI307"/>
      <c r="AJ307"/>
      <c r="AK307"/>
      <c r="AL307"/>
      <c r="AM307"/>
      <c r="AN307"/>
      <c r="AO307"/>
      <c r="AP307"/>
      <c r="AQ307"/>
    </row>
    <row r="308" spans="1:43" s="10" customFormat="1" ht="15.75" customHeight="1" x14ac:dyDescent="0.25">
      <c r="A308" s="55">
        <f t="shared" si="44"/>
        <v>88</v>
      </c>
      <c r="B308" s="56">
        <v>44320</v>
      </c>
      <c r="C308" s="58" t="s">
        <v>844</v>
      </c>
      <c r="D308" s="58"/>
      <c r="E308" s="58"/>
      <c r="F308" s="69" t="s">
        <v>260</v>
      </c>
      <c r="G308" s="126" t="s">
        <v>845</v>
      </c>
      <c r="H308" s="45">
        <v>3050000</v>
      </c>
      <c r="I308" s="380" t="s">
        <v>846</v>
      </c>
      <c r="J308" s="301">
        <v>44356</v>
      </c>
      <c r="K308" s="460">
        <f t="shared" si="41"/>
        <v>3050000</v>
      </c>
      <c r="L308" s="460"/>
      <c r="M308" s="459"/>
      <c r="N308" s="459"/>
      <c r="O308" s="459"/>
      <c r="P308" s="459">
        <v>3050000</v>
      </c>
      <c r="Q308" s="28">
        <f t="shared" si="43"/>
        <v>0</v>
      </c>
      <c r="R308" s="197"/>
      <c r="S308" s="197">
        <v>44399</v>
      </c>
      <c r="T308" s="2">
        <v>30</v>
      </c>
      <c r="U308" s="24">
        <f t="shared" si="40"/>
        <v>44386</v>
      </c>
      <c r="V308"/>
      <c r="W308"/>
      <c r="X308"/>
      <c r="Y308"/>
      <c r="Z308"/>
      <c r="AA308"/>
      <c r="AB308"/>
      <c r="AC308"/>
      <c r="AD308"/>
      <c r="AE308"/>
      <c r="AF308"/>
      <c r="AG308"/>
      <c r="AH308"/>
      <c r="AI308"/>
      <c r="AJ308"/>
      <c r="AK308"/>
      <c r="AL308"/>
      <c r="AM308"/>
      <c r="AN308"/>
      <c r="AO308"/>
      <c r="AP308"/>
      <c r="AQ308"/>
    </row>
    <row r="309" spans="1:43" s="10" customFormat="1" ht="15.75" customHeight="1" x14ac:dyDescent="0.25">
      <c r="A309" s="55">
        <f t="shared" si="44"/>
        <v>89</v>
      </c>
      <c r="B309" s="56">
        <v>44341</v>
      </c>
      <c r="C309" s="58"/>
      <c r="D309" s="58"/>
      <c r="E309" s="58"/>
      <c r="F309" s="69" t="s">
        <v>260</v>
      </c>
      <c r="G309" s="126" t="s">
        <v>905</v>
      </c>
      <c r="H309" s="45">
        <v>3500000</v>
      </c>
      <c r="I309" s="380" t="s">
        <v>885</v>
      </c>
      <c r="J309" s="301">
        <v>44356</v>
      </c>
      <c r="K309" s="460">
        <f t="shared" si="41"/>
        <v>3500000</v>
      </c>
      <c r="L309" s="460"/>
      <c r="M309" s="459"/>
      <c r="N309" s="459"/>
      <c r="O309" s="459"/>
      <c r="P309" s="459">
        <v>3500000</v>
      </c>
      <c r="Q309" s="28">
        <f t="shared" si="43"/>
        <v>0</v>
      </c>
      <c r="R309" s="197"/>
      <c r="S309" s="197">
        <v>44377</v>
      </c>
      <c r="T309" s="2">
        <v>30</v>
      </c>
      <c r="U309" s="24">
        <f t="shared" si="40"/>
        <v>44386</v>
      </c>
      <c r="V309"/>
      <c r="W309"/>
      <c r="X309"/>
      <c r="Y309"/>
      <c r="Z309"/>
      <c r="AA309"/>
      <c r="AB309"/>
      <c r="AC309"/>
      <c r="AD309"/>
      <c r="AE309"/>
      <c r="AF309"/>
      <c r="AG309"/>
      <c r="AH309"/>
      <c r="AI309"/>
      <c r="AJ309"/>
      <c r="AK309"/>
      <c r="AL309"/>
      <c r="AM309"/>
      <c r="AN309"/>
      <c r="AO309"/>
      <c r="AP309"/>
      <c r="AQ309"/>
    </row>
    <row r="310" spans="1:43" s="10" customFormat="1" ht="15.75" customHeight="1" x14ac:dyDescent="0.25">
      <c r="A310" s="55">
        <f t="shared" si="44"/>
        <v>90</v>
      </c>
      <c r="B310" s="56">
        <v>44343</v>
      </c>
      <c r="C310" s="58"/>
      <c r="D310" s="58"/>
      <c r="E310" s="58"/>
      <c r="F310" s="53" t="s">
        <v>53</v>
      </c>
      <c r="G310" s="126" t="s">
        <v>904</v>
      </c>
      <c r="H310" s="45">
        <v>1600000</v>
      </c>
      <c r="I310" s="380" t="s">
        <v>884</v>
      </c>
      <c r="J310" s="301">
        <v>44356</v>
      </c>
      <c r="K310" s="460">
        <f t="shared" si="41"/>
        <v>1600000</v>
      </c>
      <c r="L310" s="460"/>
      <c r="M310" s="459"/>
      <c r="N310" s="459"/>
      <c r="O310" s="459"/>
      <c r="P310" s="459">
        <v>1600000</v>
      </c>
      <c r="Q310" s="28">
        <f t="shared" si="43"/>
        <v>0</v>
      </c>
      <c r="R310" s="197"/>
      <c r="S310" s="197">
        <v>44389</v>
      </c>
      <c r="T310" s="2">
        <v>14</v>
      </c>
      <c r="U310" s="24">
        <f t="shared" si="40"/>
        <v>44370</v>
      </c>
      <c r="V310"/>
      <c r="W310"/>
      <c r="X310"/>
      <c r="Y310"/>
      <c r="Z310"/>
      <c r="AA310"/>
      <c r="AB310"/>
      <c r="AC310"/>
      <c r="AD310"/>
      <c r="AE310"/>
      <c r="AF310"/>
      <c r="AG310"/>
      <c r="AH310"/>
      <c r="AI310"/>
      <c r="AJ310"/>
      <c r="AK310"/>
      <c r="AL310"/>
      <c r="AM310"/>
      <c r="AN310"/>
      <c r="AO310"/>
      <c r="AP310"/>
      <c r="AQ310"/>
    </row>
    <row r="311" spans="1:43" s="10" customFormat="1" ht="15.75" customHeight="1" x14ac:dyDescent="0.25">
      <c r="A311" s="55">
        <f t="shared" si="44"/>
        <v>91</v>
      </c>
      <c r="B311" s="56">
        <v>44338</v>
      </c>
      <c r="C311" s="58"/>
      <c r="D311" s="58"/>
      <c r="E311" s="58"/>
      <c r="F311" s="69" t="s">
        <v>862</v>
      </c>
      <c r="G311" s="126" t="s">
        <v>864</v>
      </c>
      <c r="H311" s="45">
        <v>700000</v>
      </c>
      <c r="I311" s="380" t="s">
        <v>859</v>
      </c>
      <c r="J311" s="301">
        <v>44356</v>
      </c>
      <c r="K311" s="460">
        <f t="shared" si="41"/>
        <v>700000</v>
      </c>
      <c r="L311" s="460"/>
      <c r="M311" s="459"/>
      <c r="N311" s="459"/>
      <c r="O311" s="459"/>
      <c r="P311" s="459"/>
      <c r="Q311" s="568">
        <f t="shared" si="43"/>
        <v>700000</v>
      </c>
      <c r="R311" s="199"/>
      <c r="S311" s="199"/>
      <c r="T311" s="199">
        <v>14</v>
      </c>
      <c r="U311" s="24">
        <f t="shared" si="40"/>
        <v>44370</v>
      </c>
      <c r="V311"/>
      <c r="W311"/>
      <c r="X311"/>
      <c r="Y311"/>
      <c r="Z311"/>
      <c r="AA311"/>
      <c r="AB311"/>
      <c r="AC311"/>
      <c r="AD311"/>
      <c r="AE311"/>
      <c r="AF311"/>
      <c r="AG311"/>
      <c r="AH311"/>
      <c r="AI311"/>
      <c r="AJ311"/>
      <c r="AK311"/>
      <c r="AL311"/>
      <c r="AM311"/>
      <c r="AN311"/>
      <c r="AO311"/>
      <c r="AP311"/>
      <c r="AQ311"/>
    </row>
    <row r="312" spans="1:43" s="10" customFormat="1" ht="15.75" customHeight="1" x14ac:dyDescent="0.25">
      <c r="A312" s="55">
        <f t="shared" si="44"/>
        <v>92</v>
      </c>
      <c r="B312" s="56">
        <v>44341</v>
      </c>
      <c r="C312" s="58" t="s">
        <v>876</v>
      </c>
      <c r="D312" s="58"/>
      <c r="E312" s="58"/>
      <c r="F312" s="69" t="s">
        <v>863</v>
      </c>
      <c r="G312" s="126" t="s">
        <v>879</v>
      </c>
      <c r="H312" s="45">
        <v>2000000</v>
      </c>
      <c r="I312" s="380" t="s">
        <v>871</v>
      </c>
      <c r="J312" s="301">
        <v>44357</v>
      </c>
      <c r="K312" s="460">
        <f t="shared" si="41"/>
        <v>2000000</v>
      </c>
      <c r="L312" s="460">
        <v>1000000</v>
      </c>
      <c r="M312" s="459"/>
      <c r="N312" s="459"/>
      <c r="O312" s="459"/>
      <c r="P312" s="459">
        <v>1000000</v>
      </c>
      <c r="Q312" s="28">
        <f t="shared" si="43"/>
        <v>0</v>
      </c>
      <c r="R312" s="199"/>
      <c r="S312" s="197">
        <v>44515</v>
      </c>
      <c r="T312" s="199">
        <v>14</v>
      </c>
      <c r="U312" s="24">
        <f t="shared" si="40"/>
        <v>44371</v>
      </c>
      <c r="V312"/>
      <c r="W312"/>
      <c r="X312"/>
      <c r="Y312"/>
      <c r="Z312"/>
      <c r="AA312"/>
      <c r="AB312"/>
      <c r="AC312"/>
      <c r="AD312"/>
      <c r="AE312"/>
      <c r="AF312"/>
      <c r="AG312"/>
      <c r="AH312"/>
      <c r="AI312"/>
      <c r="AJ312"/>
      <c r="AK312"/>
      <c r="AL312"/>
      <c r="AM312"/>
      <c r="AN312"/>
      <c r="AO312"/>
      <c r="AP312"/>
      <c r="AQ312"/>
    </row>
    <row r="313" spans="1:43" s="10" customFormat="1" ht="15.75" customHeight="1" x14ac:dyDescent="0.25">
      <c r="A313" s="55">
        <f t="shared" si="44"/>
        <v>93</v>
      </c>
      <c r="B313" s="56">
        <v>44340</v>
      </c>
      <c r="C313" s="58"/>
      <c r="D313" s="58"/>
      <c r="E313" s="58"/>
      <c r="F313" s="69" t="s">
        <v>863</v>
      </c>
      <c r="G313" s="126" t="s">
        <v>865</v>
      </c>
      <c r="H313" s="45">
        <v>850000</v>
      </c>
      <c r="I313" s="380" t="s">
        <v>860</v>
      </c>
      <c r="J313" s="301">
        <v>44357</v>
      </c>
      <c r="K313" s="460">
        <f t="shared" si="41"/>
        <v>850000</v>
      </c>
      <c r="L313" s="460"/>
      <c r="M313" s="459"/>
      <c r="N313" s="459"/>
      <c r="O313" s="459"/>
      <c r="P313" s="459">
        <v>850000</v>
      </c>
      <c r="Q313" s="28">
        <f t="shared" si="43"/>
        <v>0</v>
      </c>
      <c r="R313" s="197">
        <v>44341</v>
      </c>
      <c r="S313" s="197"/>
      <c r="T313" s="199">
        <v>14</v>
      </c>
      <c r="U313" s="24">
        <f t="shared" si="40"/>
        <v>44371</v>
      </c>
      <c r="V313" t="s">
        <v>1868</v>
      </c>
      <c r="W313"/>
      <c r="X313"/>
      <c r="Y313"/>
      <c r="Z313"/>
      <c r="AA313"/>
      <c r="AB313"/>
      <c r="AC313"/>
      <c r="AD313"/>
      <c r="AE313"/>
      <c r="AF313"/>
      <c r="AG313"/>
      <c r="AH313"/>
      <c r="AI313"/>
      <c r="AJ313"/>
      <c r="AK313"/>
      <c r="AL313"/>
      <c r="AM313"/>
      <c r="AN313"/>
      <c r="AO313"/>
      <c r="AP313"/>
      <c r="AQ313"/>
    </row>
    <row r="314" spans="1:43" s="10" customFormat="1" ht="15.75" customHeight="1" x14ac:dyDescent="0.25">
      <c r="A314" s="55">
        <f t="shared" si="44"/>
        <v>94</v>
      </c>
      <c r="B314" s="56">
        <v>44340</v>
      </c>
      <c r="C314" s="58"/>
      <c r="D314" s="58"/>
      <c r="E314" s="58"/>
      <c r="F314" s="69" t="s">
        <v>863</v>
      </c>
      <c r="G314" s="126" t="s">
        <v>866</v>
      </c>
      <c r="H314" s="45">
        <v>9000000</v>
      </c>
      <c r="I314" s="380" t="s">
        <v>861</v>
      </c>
      <c r="J314" s="301">
        <v>44357</v>
      </c>
      <c r="K314" s="460">
        <f t="shared" si="41"/>
        <v>9000000</v>
      </c>
      <c r="L314" s="460">
        <v>4500000</v>
      </c>
      <c r="M314" s="459"/>
      <c r="N314" s="459"/>
      <c r="O314" s="459"/>
      <c r="P314" s="459">
        <v>4500000</v>
      </c>
      <c r="Q314" s="28">
        <f t="shared" si="43"/>
        <v>0</v>
      </c>
      <c r="R314" s="199"/>
      <c r="S314" s="197">
        <v>44515</v>
      </c>
      <c r="T314" s="199">
        <v>14</v>
      </c>
      <c r="U314" s="24">
        <f t="shared" si="40"/>
        <v>44371</v>
      </c>
      <c r="V314" t="s">
        <v>1868</v>
      </c>
      <c r="W314"/>
      <c r="X314"/>
      <c r="Y314"/>
      <c r="Z314"/>
      <c r="AA314"/>
      <c r="AB314"/>
      <c r="AC314"/>
      <c r="AD314"/>
      <c r="AE314"/>
      <c r="AF314"/>
      <c r="AG314"/>
      <c r="AH314"/>
      <c r="AI314"/>
      <c r="AJ314"/>
      <c r="AK314"/>
      <c r="AL314"/>
      <c r="AM314"/>
      <c r="AN314"/>
      <c r="AO314"/>
      <c r="AP314"/>
      <c r="AQ314"/>
    </row>
    <row r="315" spans="1:43" s="10" customFormat="1" ht="15.75" customHeight="1" x14ac:dyDescent="0.25">
      <c r="A315" s="55">
        <f t="shared" si="44"/>
        <v>95</v>
      </c>
      <c r="B315" s="56">
        <v>44335</v>
      </c>
      <c r="C315" s="58"/>
      <c r="D315" s="58"/>
      <c r="E315" s="58"/>
      <c r="F315" s="123" t="s">
        <v>828</v>
      </c>
      <c r="G315" s="168" t="s">
        <v>829</v>
      </c>
      <c r="H315" s="45">
        <v>6145800</v>
      </c>
      <c r="I315" s="380" t="s">
        <v>830</v>
      </c>
      <c r="J315" s="301">
        <v>44357</v>
      </c>
      <c r="K315" s="460">
        <f t="shared" si="41"/>
        <v>6145800</v>
      </c>
      <c r="L315" s="460"/>
      <c r="M315" s="459"/>
      <c r="N315" s="459"/>
      <c r="O315" s="459">
        <f>K315*2%</f>
        <v>122916</v>
      </c>
      <c r="P315" s="459">
        <v>6022884</v>
      </c>
      <c r="Q315" s="28">
        <f t="shared" si="43"/>
        <v>0</v>
      </c>
      <c r="R315" s="197"/>
      <c r="S315" s="197">
        <v>44361</v>
      </c>
      <c r="T315" s="199">
        <v>14</v>
      </c>
      <c r="U315" s="24">
        <f t="shared" si="40"/>
        <v>44371</v>
      </c>
      <c r="V315" t="s">
        <v>1868</v>
      </c>
      <c r="W315"/>
      <c r="X315"/>
      <c r="Y315"/>
      <c r="Z315"/>
      <c r="AA315"/>
      <c r="AB315"/>
      <c r="AC315"/>
      <c r="AD315"/>
      <c r="AE315"/>
      <c r="AF315"/>
      <c r="AG315"/>
      <c r="AH315"/>
      <c r="AI315"/>
      <c r="AJ315"/>
      <c r="AK315"/>
      <c r="AL315"/>
      <c r="AM315"/>
      <c r="AN315"/>
      <c r="AO315"/>
      <c r="AP315"/>
      <c r="AQ315"/>
    </row>
    <row r="316" spans="1:43" s="10" customFormat="1" ht="15.75" customHeight="1" x14ac:dyDescent="0.25">
      <c r="A316" s="55">
        <f t="shared" si="44"/>
        <v>96</v>
      </c>
      <c r="B316" s="56">
        <v>44318</v>
      </c>
      <c r="C316" s="58"/>
      <c r="D316" s="58"/>
      <c r="E316" s="58"/>
      <c r="F316" s="53" t="s">
        <v>2317</v>
      </c>
      <c r="G316" s="168" t="s">
        <v>822</v>
      </c>
      <c r="H316" s="45">
        <v>500000</v>
      </c>
      <c r="I316" s="380" t="s">
        <v>1142</v>
      </c>
      <c r="J316" s="301">
        <v>44393</v>
      </c>
      <c r="K316" s="460">
        <f t="shared" si="41"/>
        <v>500000</v>
      </c>
      <c r="L316" s="460"/>
      <c r="M316" s="459"/>
      <c r="N316" s="459"/>
      <c r="O316" s="459"/>
      <c r="P316" s="459"/>
      <c r="Q316" s="28">
        <f t="shared" si="43"/>
        <v>500000</v>
      </c>
      <c r="R316" s="199"/>
      <c r="S316" s="199"/>
      <c r="T316" s="199">
        <v>60</v>
      </c>
      <c r="U316" s="24">
        <f t="shared" si="40"/>
        <v>44453</v>
      </c>
      <c r="V316"/>
      <c r="W316"/>
      <c r="X316"/>
      <c r="Y316"/>
      <c r="Z316"/>
      <c r="AA316"/>
      <c r="AB316"/>
      <c r="AC316"/>
      <c r="AD316"/>
      <c r="AE316"/>
      <c r="AF316"/>
      <c r="AG316"/>
      <c r="AH316"/>
      <c r="AI316"/>
      <c r="AJ316"/>
      <c r="AK316"/>
      <c r="AL316"/>
      <c r="AM316"/>
      <c r="AN316"/>
      <c r="AO316"/>
      <c r="AP316"/>
      <c r="AQ316"/>
    </row>
    <row r="317" spans="1:43" s="10" customFormat="1" ht="15.75" customHeight="1" x14ac:dyDescent="0.25">
      <c r="A317" s="55">
        <f t="shared" si="44"/>
        <v>97</v>
      </c>
      <c r="B317" s="56">
        <v>44319</v>
      </c>
      <c r="C317" s="58" t="s">
        <v>821</v>
      </c>
      <c r="D317" s="58"/>
      <c r="E317" s="58"/>
      <c r="F317" s="53" t="s">
        <v>2317</v>
      </c>
      <c r="G317" s="168" t="s">
        <v>823</v>
      </c>
      <c r="H317" s="45">
        <v>400000</v>
      </c>
      <c r="I317" s="380" t="s">
        <v>1142</v>
      </c>
      <c r="J317" s="301">
        <v>44393</v>
      </c>
      <c r="K317" s="460">
        <f t="shared" si="41"/>
        <v>400000</v>
      </c>
      <c r="L317" s="460"/>
      <c r="M317" s="459"/>
      <c r="N317" s="459"/>
      <c r="O317" s="459"/>
      <c r="P317" s="459"/>
      <c r="Q317" s="28">
        <f t="shared" si="43"/>
        <v>400000</v>
      </c>
      <c r="R317" s="199"/>
      <c r="S317" s="199"/>
      <c r="T317" s="199">
        <v>60</v>
      </c>
      <c r="U317" s="24">
        <f t="shared" si="40"/>
        <v>44453</v>
      </c>
      <c r="V317"/>
      <c r="W317"/>
      <c r="X317"/>
      <c r="Y317"/>
      <c r="Z317"/>
      <c r="AA317"/>
      <c r="AB317"/>
      <c r="AC317"/>
      <c r="AD317"/>
      <c r="AE317"/>
      <c r="AF317"/>
      <c r="AG317"/>
      <c r="AH317"/>
      <c r="AI317"/>
      <c r="AJ317"/>
      <c r="AK317"/>
      <c r="AL317"/>
      <c r="AM317"/>
      <c r="AN317"/>
      <c r="AO317"/>
      <c r="AP317"/>
      <c r="AQ317"/>
    </row>
    <row r="318" spans="1:43" s="10" customFormat="1" ht="15.75" customHeight="1" x14ac:dyDescent="0.25">
      <c r="A318" s="55">
        <f t="shared" si="44"/>
        <v>98</v>
      </c>
      <c r="B318" s="56">
        <v>44323</v>
      </c>
      <c r="C318" s="58" t="s">
        <v>824</v>
      </c>
      <c r="D318" s="58"/>
      <c r="E318" s="58"/>
      <c r="F318" s="53" t="s">
        <v>2317</v>
      </c>
      <c r="G318" s="168" t="s">
        <v>826</v>
      </c>
      <c r="H318" s="45">
        <v>400000</v>
      </c>
      <c r="I318" s="380" t="s">
        <v>1142</v>
      </c>
      <c r="J318" s="301">
        <v>44393</v>
      </c>
      <c r="K318" s="460">
        <f t="shared" si="41"/>
        <v>400000</v>
      </c>
      <c r="L318" s="460"/>
      <c r="M318" s="459"/>
      <c r="N318" s="459"/>
      <c r="O318" s="459"/>
      <c r="P318" s="459"/>
      <c r="Q318" s="28">
        <f t="shared" si="43"/>
        <v>400000</v>
      </c>
      <c r="R318" s="199"/>
      <c r="S318" s="199"/>
      <c r="T318" s="199">
        <v>60</v>
      </c>
      <c r="U318" s="24">
        <f t="shared" si="40"/>
        <v>44453</v>
      </c>
      <c r="V318"/>
      <c r="W318"/>
      <c r="X318"/>
      <c r="Y318"/>
      <c r="Z318"/>
      <c r="AA318"/>
      <c r="AB318"/>
      <c r="AC318"/>
      <c r="AD318"/>
      <c r="AE318"/>
      <c r="AF318"/>
      <c r="AG318"/>
      <c r="AH318"/>
      <c r="AI318"/>
      <c r="AJ318"/>
      <c r="AK318"/>
      <c r="AL318"/>
      <c r="AM318"/>
      <c r="AN318"/>
      <c r="AO318"/>
      <c r="AP318"/>
      <c r="AQ318"/>
    </row>
    <row r="319" spans="1:43" s="10" customFormat="1" ht="15.75" customHeight="1" x14ac:dyDescent="0.25">
      <c r="A319" s="55">
        <f t="shared" si="44"/>
        <v>99</v>
      </c>
      <c r="B319" s="56">
        <v>44323</v>
      </c>
      <c r="C319" s="58" t="s">
        <v>825</v>
      </c>
      <c r="D319" s="58"/>
      <c r="E319" s="58"/>
      <c r="F319" s="53" t="s">
        <v>2317</v>
      </c>
      <c r="G319" s="168" t="s">
        <v>827</v>
      </c>
      <c r="H319" s="45">
        <v>350000</v>
      </c>
      <c r="I319" s="380" t="s">
        <v>1142</v>
      </c>
      <c r="J319" s="301">
        <v>44393</v>
      </c>
      <c r="K319" s="460">
        <f t="shared" si="41"/>
        <v>350000</v>
      </c>
      <c r="L319" s="460"/>
      <c r="M319" s="459"/>
      <c r="N319" s="459"/>
      <c r="O319" s="459"/>
      <c r="P319" s="459"/>
      <c r="Q319" s="28">
        <f t="shared" si="43"/>
        <v>350000</v>
      </c>
      <c r="R319" s="199"/>
      <c r="S319" s="199"/>
      <c r="T319" s="199">
        <v>60</v>
      </c>
      <c r="U319" s="24">
        <f t="shared" si="40"/>
        <v>44453</v>
      </c>
      <c r="V319"/>
      <c r="W319"/>
      <c r="X319"/>
      <c r="Y319"/>
      <c r="Z319"/>
      <c r="AA319"/>
      <c r="AB319"/>
      <c r="AC319"/>
      <c r="AD319"/>
      <c r="AE319"/>
      <c r="AF319"/>
      <c r="AG319"/>
      <c r="AH319"/>
      <c r="AI319"/>
      <c r="AJ319"/>
      <c r="AK319"/>
      <c r="AL319"/>
      <c r="AM319"/>
      <c r="AN319"/>
      <c r="AO319"/>
      <c r="AP319"/>
      <c r="AQ319"/>
    </row>
    <row r="320" spans="1:43" s="10" customFormat="1" ht="15.75" customHeight="1" x14ac:dyDescent="0.25">
      <c r="A320" s="55">
        <f t="shared" si="44"/>
        <v>100</v>
      </c>
      <c r="B320" s="466">
        <v>44337</v>
      </c>
      <c r="C320" s="264" t="s">
        <v>831</v>
      </c>
      <c r="D320" s="264"/>
      <c r="E320" s="264"/>
      <c r="F320" s="571" t="s">
        <v>1741</v>
      </c>
      <c r="G320" s="624" t="s">
        <v>832</v>
      </c>
      <c r="H320" s="267">
        <v>500000</v>
      </c>
      <c r="I320" s="384" t="s">
        <v>969</v>
      </c>
      <c r="J320" s="268">
        <v>44359</v>
      </c>
      <c r="K320" s="627" t="s">
        <v>2780</v>
      </c>
      <c r="L320" s="270"/>
      <c r="M320" s="270"/>
      <c r="N320" s="417"/>
      <c r="O320" s="417"/>
      <c r="P320" s="270"/>
      <c r="Q320" s="417"/>
      <c r="R320" s="263"/>
      <c r="S320" s="263"/>
      <c r="T320" s="263">
        <v>30</v>
      </c>
      <c r="U320" s="24">
        <f t="shared" ref="U320:U324" si="45">J320+T320</f>
        <v>44389</v>
      </c>
      <c r="V320"/>
      <c r="W320"/>
      <c r="X320"/>
      <c r="Y320"/>
      <c r="Z320"/>
      <c r="AA320"/>
      <c r="AB320"/>
      <c r="AC320"/>
      <c r="AD320"/>
      <c r="AE320"/>
      <c r="AF320"/>
      <c r="AG320"/>
      <c r="AH320"/>
      <c r="AI320"/>
      <c r="AJ320"/>
      <c r="AK320"/>
      <c r="AL320"/>
      <c r="AM320"/>
      <c r="AN320"/>
      <c r="AO320"/>
      <c r="AP320"/>
      <c r="AQ320"/>
    </row>
    <row r="321" spans="1:43" s="10" customFormat="1" ht="15.75" customHeight="1" x14ac:dyDescent="0.25">
      <c r="A321" s="55">
        <f t="shared" si="44"/>
        <v>101</v>
      </c>
      <c r="B321" s="56">
        <v>44340</v>
      </c>
      <c r="C321" s="58" t="s">
        <v>833</v>
      </c>
      <c r="D321" s="58"/>
      <c r="E321" s="58"/>
      <c r="F321" s="53" t="s">
        <v>2317</v>
      </c>
      <c r="G321" s="126" t="s">
        <v>834</v>
      </c>
      <c r="H321" s="45">
        <v>1200000</v>
      </c>
      <c r="I321" s="380" t="s">
        <v>1142</v>
      </c>
      <c r="J321" s="301">
        <v>44393</v>
      </c>
      <c r="K321" s="460">
        <f t="shared" ref="K321:K324" si="46">H321</f>
        <v>1200000</v>
      </c>
      <c r="L321" s="460"/>
      <c r="M321" s="459"/>
      <c r="N321" s="459"/>
      <c r="O321" s="459"/>
      <c r="P321" s="459"/>
      <c r="Q321" s="28">
        <f t="shared" ref="Q321:Q324" si="47">K321-L321-M321-O321-P321+N321</f>
        <v>1200000</v>
      </c>
      <c r="R321" s="199"/>
      <c r="S321" s="199"/>
      <c r="T321" s="199">
        <v>60</v>
      </c>
      <c r="U321" s="24">
        <f t="shared" si="45"/>
        <v>44453</v>
      </c>
      <c r="V321"/>
      <c r="W321"/>
      <c r="X321"/>
      <c r="Y321"/>
      <c r="Z321"/>
      <c r="AA321"/>
      <c r="AB321"/>
      <c r="AC321"/>
      <c r="AD321"/>
      <c r="AE321"/>
      <c r="AF321"/>
      <c r="AG321"/>
      <c r="AH321"/>
      <c r="AI321"/>
      <c r="AJ321"/>
      <c r="AK321"/>
      <c r="AL321"/>
      <c r="AM321"/>
      <c r="AN321"/>
      <c r="AO321"/>
      <c r="AP321"/>
      <c r="AQ321"/>
    </row>
    <row r="322" spans="1:43" s="10" customFormat="1" ht="15.75" customHeight="1" x14ac:dyDescent="0.25">
      <c r="A322" s="55">
        <f t="shared" si="44"/>
        <v>102</v>
      </c>
      <c r="B322" s="56">
        <v>44344</v>
      </c>
      <c r="C322" s="58" t="s">
        <v>835</v>
      </c>
      <c r="D322" s="58"/>
      <c r="E322" s="58"/>
      <c r="F322" s="112" t="s">
        <v>1133</v>
      </c>
      <c r="G322" s="126" t="s">
        <v>836</v>
      </c>
      <c r="H322" s="45">
        <v>150000</v>
      </c>
      <c r="I322" s="380" t="s">
        <v>1035</v>
      </c>
      <c r="J322" s="301">
        <v>44368</v>
      </c>
      <c r="K322" s="460">
        <f t="shared" si="46"/>
        <v>150000</v>
      </c>
      <c r="L322" s="460"/>
      <c r="M322" s="459"/>
      <c r="N322" s="459"/>
      <c r="O322" s="459"/>
      <c r="P322" s="459">
        <v>150000</v>
      </c>
      <c r="Q322" s="28">
        <f t="shared" si="47"/>
        <v>0</v>
      </c>
      <c r="R322" s="199"/>
      <c r="S322" s="197">
        <v>44389</v>
      </c>
      <c r="T322" s="199">
        <v>30</v>
      </c>
      <c r="U322" s="24">
        <f t="shared" si="45"/>
        <v>44398</v>
      </c>
      <c r="V322"/>
      <c r="W322"/>
      <c r="X322"/>
      <c r="Y322"/>
      <c r="Z322"/>
      <c r="AA322"/>
      <c r="AB322"/>
      <c r="AC322"/>
      <c r="AD322"/>
      <c r="AE322"/>
      <c r="AF322"/>
      <c r="AG322"/>
      <c r="AH322"/>
      <c r="AI322"/>
      <c r="AJ322"/>
      <c r="AK322"/>
      <c r="AL322"/>
      <c r="AM322"/>
      <c r="AN322"/>
      <c r="AO322"/>
      <c r="AP322"/>
      <c r="AQ322"/>
    </row>
    <row r="323" spans="1:43" s="10" customFormat="1" ht="15.75" customHeight="1" x14ac:dyDescent="0.25">
      <c r="A323" s="55">
        <f t="shared" si="44"/>
        <v>103</v>
      </c>
      <c r="B323" s="56">
        <v>44345</v>
      </c>
      <c r="C323" s="58"/>
      <c r="D323" s="58"/>
      <c r="E323" s="58" t="s">
        <v>929</v>
      </c>
      <c r="F323" s="123" t="s">
        <v>2694</v>
      </c>
      <c r="G323" s="126" t="s">
        <v>931</v>
      </c>
      <c r="H323" s="45">
        <v>8000000</v>
      </c>
      <c r="I323" s="380" t="s">
        <v>966</v>
      </c>
      <c r="J323" s="301">
        <v>44358</v>
      </c>
      <c r="K323" s="28">
        <f t="shared" si="46"/>
        <v>8000000</v>
      </c>
      <c r="L323" s="481">
        <v>3900000</v>
      </c>
      <c r="M323" s="459">
        <f t="shared" ref="M323:M324" si="48">K323*2.5%</f>
        <v>200000</v>
      </c>
      <c r="N323" s="28">
        <f t="shared" ref="N323:N324" si="49">K323*1%</f>
        <v>80000</v>
      </c>
      <c r="O323" s="28">
        <f t="shared" ref="O323:O324" si="50">K323*2%</f>
        <v>160000</v>
      </c>
      <c r="P323" s="481">
        <v>3820000</v>
      </c>
      <c r="Q323" s="28">
        <f t="shared" si="47"/>
        <v>0</v>
      </c>
      <c r="R323" s="199"/>
      <c r="S323" s="199"/>
      <c r="T323" s="199">
        <v>14</v>
      </c>
      <c r="U323" s="24">
        <f t="shared" si="45"/>
        <v>44372</v>
      </c>
      <c r="V323"/>
      <c r="W323"/>
      <c r="X323"/>
      <c r="Y323"/>
      <c r="Z323"/>
      <c r="AA323"/>
      <c r="AB323"/>
      <c r="AC323"/>
      <c r="AD323"/>
      <c r="AE323"/>
      <c r="AF323"/>
      <c r="AG323"/>
      <c r="AH323"/>
      <c r="AI323"/>
      <c r="AJ323"/>
      <c r="AK323"/>
      <c r="AL323"/>
      <c r="AM323"/>
      <c r="AN323"/>
      <c r="AO323"/>
      <c r="AP323"/>
      <c r="AQ323"/>
    </row>
    <row r="324" spans="1:43" s="10" customFormat="1" ht="15.75" customHeight="1" x14ac:dyDescent="0.25">
      <c r="A324" s="55">
        <f t="shared" si="44"/>
        <v>104</v>
      </c>
      <c r="B324" s="56">
        <v>44345</v>
      </c>
      <c r="C324" s="58"/>
      <c r="D324" s="58"/>
      <c r="E324" s="58" t="s">
        <v>930</v>
      </c>
      <c r="F324" s="123" t="s">
        <v>2694</v>
      </c>
      <c r="G324" s="126" t="s">
        <v>932</v>
      </c>
      <c r="H324" s="45">
        <v>17500000</v>
      </c>
      <c r="I324" s="380" t="s">
        <v>977</v>
      </c>
      <c r="J324" s="301">
        <v>44362</v>
      </c>
      <c r="K324" s="28">
        <f t="shared" si="46"/>
        <v>17500000</v>
      </c>
      <c r="L324" s="481">
        <v>8531250</v>
      </c>
      <c r="M324" s="459">
        <f t="shared" si="48"/>
        <v>437500</v>
      </c>
      <c r="N324" s="28">
        <f t="shared" si="49"/>
        <v>175000</v>
      </c>
      <c r="O324" s="28">
        <f t="shared" si="50"/>
        <v>350000</v>
      </c>
      <c r="P324" s="481">
        <v>8356250</v>
      </c>
      <c r="Q324" s="28">
        <f t="shared" si="47"/>
        <v>0</v>
      </c>
      <c r="R324" s="197"/>
      <c r="S324" s="197">
        <v>44371</v>
      </c>
      <c r="T324" s="199">
        <v>14</v>
      </c>
      <c r="U324" s="24">
        <f t="shared" si="45"/>
        <v>44376</v>
      </c>
      <c r="V324"/>
      <c r="W324"/>
      <c r="X324"/>
      <c r="Y324"/>
      <c r="Z324"/>
      <c r="AA324"/>
      <c r="AB324"/>
      <c r="AC324"/>
      <c r="AD324"/>
      <c r="AE324"/>
      <c r="AF324"/>
      <c r="AG324"/>
      <c r="AH324"/>
      <c r="AI324"/>
      <c r="AJ324"/>
      <c r="AK324"/>
      <c r="AL324"/>
      <c r="AM324"/>
      <c r="AN324"/>
      <c r="AO324"/>
      <c r="AP324"/>
      <c r="AQ324"/>
    </row>
    <row r="325" spans="1:43" s="10" customFormat="1" ht="32.25" customHeight="1" x14ac:dyDescent="0.25">
      <c r="A325" s="998" t="s">
        <v>695</v>
      </c>
      <c r="B325" s="998"/>
      <c r="C325" s="998"/>
      <c r="D325" s="998"/>
      <c r="E325" s="998"/>
      <c r="F325" s="998"/>
      <c r="G325" s="998"/>
      <c r="H325" s="998"/>
      <c r="I325" s="998"/>
      <c r="J325" s="998"/>
      <c r="K325" s="473"/>
      <c r="L325" s="473"/>
      <c r="M325" s="473"/>
      <c r="N325" s="473"/>
      <c r="O325" s="473"/>
      <c r="P325" s="473"/>
      <c r="Q325" s="51">
        <f>SUM(Q221:Q324)</f>
        <v>9049500</v>
      </c>
      <c r="R325" s="479"/>
      <c r="S325" s="479"/>
      <c r="T325" s="479"/>
      <c r="U325" s="24">
        <f t="shared" ref="U325:U382" si="51">J325+T325</f>
        <v>0</v>
      </c>
      <c r="V325"/>
      <c r="W325"/>
      <c r="X325"/>
      <c r="Y325"/>
      <c r="Z325"/>
      <c r="AA325"/>
      <c r="AB325"/>
      <c r="AC325"/>
      <c r="AD325"/>
      <c r="AE325"/>
      <c r="AF325"/>
      <c r="AG325"/>
      <c r="AH325"/>
      <c r="AI325"/>
      <c r="AJ325"/>
      <c r="AK325"/>
      <c r="AL325"/>
      <c r="AM325"/>
      <c r="AN325"/>
      <c r="AO325"/>
      <c r="AP325"/>
      <c r="AQ325"/>
    </row>
    <row r="326" spans="1:43" s="10" customFormat="1" ht="15.75" customHeight="1" x14ac:dyDescent="0.25">
      <c r="A326" s="55">
        <v>1</v>
      </c>
      <c r="B326" s="56">
        <v>44348</v>
      </c>
      <c r="C326" s="58"/>
      <c r="D326" s="58"/>
      <c r="E326" s="58" t="s">
        <v>953</v>
      </c>
      <c r="F326" s="123" t="s">
        <v>2694</v>
      </c>
      <c r="G326" s="126" t="s">
        <v>954</v>
      </c>
      <c r="H326" s="45">
        <v>2100000</v>
      </c>
      <c r="I326" s="380" t="s">
        <v>952</v>
      </c>
      <c r="J326" s="301">
        <v>44354</v>
      </c>
      <c r="K326" s="28">
        <f t="shared" ref="K326:K389" si="52">H326</f>
        <v>2100000</v>
      </c>
      <c r="L326" s="481">
        <v>1023750</v>
      </c>
      <c r="M326" s="459">
        <f t="shared" ref="M326:M327" si="53">K326*2.5%</f>
        <v>52500</v>
      </c>
      <c r="N326" s="28">
        <f t="shared" ref="N326:N356" si="54">K326*1%</f>
        <v>21000</v>
      </c>
      <c r="O326" s="28">
        <f t="shared" ref="O326:O355" si="55">K326*2%</f>
        <v>42000</v>
      </c>
      <c r="P326" s="26">
        <v>1002750</v>
      </c>
      <c r="Q326" s="28">
        <f t="shared" ref="Q326:Q389" si="56">K326-L326-M326-O326-P326+N326</f>
        <v>0</v>
      </c>
      <c r="R326" s="197"/>
      <c r="S326" s="197">
        <v>44369</v>
      </c>
      <c r="T326" s="199">
        <v>14</v>
      </c>
      <c r="U326" s="24">
        <f t="shared" si="51"/>
        <v>44368</v>
      </c>
      <c r="V326"/>
      <c r="W326"/>
      <c r="X326"/>
      <c r="Y326"/>
      <c r="Z326"/>
      <c r="AA326"/>
      <c r="AB326"/>
      <c r="AC326"/>
      <c r="AD326"/>
      <c r="AE326"/>
      <c r="AF326"/>
      <c r="AG326"/>
      <c r="AH326"/>
      <c r="AI326"/>
      <c r="AJ326"/>
      <c r="AK326"/>
      <c r="AL326"/>
      <c r="AM326"/>
      <c r="AN326"/>
      <c r="AO326"/>
      <c r="AP326"/>
      <c r="AQ326"/>
    </row>
    <row r="327" spans="1:43" s="10" customFormat="1" ht="15.75" customHeight="1" x14ac:dyDescent="0.25">
      <c r="A327" s="55">
        <f>A326+1</f>
        <v>2</v>
      </c>
      <c r="B327" s="56">
        <v>44348</v>
      </c>
      <c r="C327" s="58"/>
      <c r="D327" s="58"/>
      <c r="E327" s="58" t="s">
        <v>956</v>
      </c>
      <c r="F327" s="123" t="s">
        <v>2694</v>
      </c>
      <c r="G327" s="126" t="s">
        <v>957</v>
      </c>
      <c r="H327" s="45">
        <v>3510000</v>
      </c>
      <c r="I327" s="380" t="s">
        <v>955</v>
      </c>
      <c r="J327" s="301">
        <v>44354</v>
      </c>
      <c r="K327" s="28">
        <f t="shared" si="52"/>
        <v>3510000</v>
      </c>
      <c r="L327" s="460"/>
      <c r="M327" s="459">
        <f t="shared" si="53"/>
        <v>87750</v>
      </c>
      <c r="N327" s="28">
        <f t="shared" si="54"/>
        <v>35100</v>
      </c>
      <c r="O327" s="28">
        <f t="shared" si="55"/>
        <v>70200</v>
      </c>
      <c r="P327" s="26">
        <v>3387150</v>
      </c>
      <c r="Q327" s="28">
        <f t="shared" si="56"/>
        <v>0</v>
      </c>
      <c r="R327" s="197"/>
      <c r="S327" s="197">
        <v>44368</v>
      </c>
      <c r="T327" s="199">
        <v>14</v>
      </c>
      <c r="U327" s="24">
        <f t="shared" si="51"/>
        <v>44368</v>
      </c>
      <c r="V327"/>
      <c r="W327"/>
      <c r="X327"/>
      <c r="Y327"/>
      <c r="Z327"/>
      <c r="AA327"/>
      <c r="AB327"/>
      <c r="AC327"/>
      <c r="AD327"/>
      <c r="AE327"/>
      <c r="AF327"/>
      <c r="AG327"/>
      <c r="AH327"/>
      <c r="AI327"/>
      <c r="AJ327"/>
      <c r="AK327"/>
      <c r="AL327"/>
      <c r="AM327"/>
      <c r="AN327"/>
      <c r="AO327"/>
      <c r="AP327"/>
      <c r="AQ327"/>
    </row>
    <row r="328" spans="1:43" s="10" customFormat="1" ht="15.75" customHeight="1" x14ac:dyDescent="0.25">
      <c r="A328" s="55">
        <f t="shared" ref="A328:A391" si="57">A327+1</f>
        <v>3</v>
      </c>
      <c r="B328" s="56">
        <v>44349</v>
      </c>
      <c r="C328" s="58" t="s">
        <v>1674</v>
      </c>
      <c r="D328" s="58"/>
      <c r="E328" s="58"/>
      <c r="F328" s="123" t="s">
        <v>279</v>
      </c>
      <c r="G328" s="126" t="s">
        <v>32</v>
      </c>
      <c r="H328" s="45">
        <v>1485149</v>
      </c>
      <c r="I328" s="380" t="s">
        <v>958</v>
      </c>
      <c r="J328" s="301">
        <v>44356</v>
      </c>
      <c r="K328" s="28">
        <f t="shared" si="52"/>
        <v>1485149</v>
      </c>
      <c r="L328" s="460"/>
      <c r="M328" s="459"/>
      <c r="N328" s="28">
        <f t="shared" si="54"/>
        <v>14851.49</v>
      </c>
      <c r="O328" s="28">
        <f t="shared" si="55"/>
        <v>29702.98</v>
      </c>
      <c r="P328" s="459">
        <v>1470297.51</v>
      </c>
      <c r="Q328" s="28">
        <f t="shared" si="56"/>
        <v>0</v>
      </c>
      <c r="R328" s="197"/>
      <c r="S328" s="197">
        <v>44403</v>
      </c>
      <c r="T328" s="2">
        <v>30</v>
      </c>
      <c r="U328" s="24">
        <f t="shared" si="51"/>
        <v>44386</v>
      </c>
      <c r="V328"/>
      <c r="W328"/>
      <c r="X328"/>
      <c r="Y328"/>
      <c r="Z328"/>
      <c r="AA328"/>
      <c r="AB328"/>
      <c r="AC328"/>
      <c r="AD328"/>
      <c r="AE328"/>
      <c r="AF328"/>
      <c r="AG328"/>
      <c r="AH328"/>
      <c r="AI328"/>
      <c r="AJ328"/>
      <c r="AK328"/>
      <c r="AL328"/>
      <c r="AM328"/>
      <c r="AN328"/>
      <c r="AO328"/>
      <c r="AP328"/>
      <c r="AQ328"/>
    </row>
    <row r="329" spans="1:43" s="10" customFormat="1" ht="15.75" customHeight="1" x14ac:dyDescent="0.25">
      <c r="A329" s="55">
        <f t="shared" si="57"/>
        <v>4</v>
      </c>
      <c r="B329" s="56">
        <v>44349</v>
      </c>
      <c r="C329" s="58" t="s">
        <v>1675</v>
      </c>
      <c r="D329" s="58"/>
      <c r="E329" s="58"/>
      <c r="F329" s="123" t="s">
        <v>279</v>
      </c>
      <c r="G329" s="33" t="s">
        <v>417</v>
      </c>
      <c r="H329" s="45">
        <v>1980198</v>
      </c>
      <c r="I329" s="380" t="s">
        <v>960</v>
      </c>
      <c r="J329" s="301">
        <v>44356</v>
      </c>
      <c r="K329" s="28">
        <f t="shared" si="52"/>
        <v>1980198</v>
      </c>
      <c r="L329" s="460"/>
      <c r="M329" s="459"/>
      <c r="N329" s="28">
        <f t="shared" si="54"/>
        <v>19801.98</v>
      </c>
      <c r="O329" s="28">
        <f t="shared" si="55"/>
        <v>39603.96</v>
      </c>
      <c r="P329" s="459">
        <v>1960396.02</v>
      </c>
      <c r="Q329" s="28">
        <f t="shared" si="56"/>
        <v>0</v>
      </c>
      <c r="R329" s="197"/>
      <c r="S329" s="197">
        <v>44403</v>
      </c>
      <c r="T329" s="2">
        <v>30</v>
      </c>
      <c r="U329" s="24">
        <f t="shared" si="51"/>
        <v>44386</v>
      </c>
      <c r="V329"/>
      <c r="W329"/>
      <c r="X329"/>
      <c r="Y329"/>
      <c r="Z329"/>
      <c r="AA329"/>
      <c r="AB329"/>
      <c r="AC329"/>
      <c r="AD329"/>
      <c r="AE329"/>
      <c r="AF329"/>
      <c r="AG329"/>
      <c r="AH329"/>
      <c r="AI329"/>
      <c r="AJ329"/>
      <c r="AK329"/>
      <c r="AL329"/>
      <c r="AM329"/>
      <c r="AN329"/>
      <c r="AO329"/>
      <c r="AP329"/>
      <c r="AQ329"/>
    </row>
    <row r="330" spans="1:43" s="10" customFormat="1" ht="15.75" customHeight="1" x14ac:dyDescent="0.25">
      <c r="A330" s="55">
        <f t="shared" si="57"/>
        <v>5</v>
      </c>
      <c r="B330" s="56">
        <v>44351</v>
      </c>
      <c r="C330" s="58" t="s">
        <v>1676</v>
      </c>
      <c r="D330" s="58"/>
      <c r="E330" s="58"/>
      <c r="F330" s="123" t="s">
        <v>279</v>
      </c>
      <c r="G330" s="33" t="s">
        <v>962</v>
      </c>
      <c r="H330" s="45">
        <v>1782178</v>
      </c>
      <c r="I330" s="380" t="s">
        <v>961</v>
      </c>
      <c r="J330" s="301">
        <v>44356</v>
      </c>
      <c r="K330" s="28">
        <f t="shared" si="52"/>
        <v>1782178</v>
      </c>
      <c r="L330" s="460"/>
      <c r="M330" s="459"/>
      <c r="N330" s="28">
        <f t="shared" si="54"/>
        <v>17821.78</v>
      </c>
      <c r="O330" s="28">
        <f t="shared" si="55"/>
        <v>35643.56</v>
      </c>
      <c r="P330" s="459">
        <v>1764356.22</v>
      </c>
      <c r="Q330" s="28">
        <f t="shared" si="56"/>
        <v>-2.9103830456733704E-11</v>
      </c>
      <c r="R330" s="197"/>
      <c r="S330" s="197">
        <v>44403</v>
      </c>
      <c r="T330" s="2">
        <v>30</v>
      </c>
      <c r="U330" s="24">
        <f t="shared" si="51"/>
        <v>44386</v>
      </c>
      <c r="V330"/>
      <c r="W330"/>
      <c r="X330"/>
      <c r="Y330"/>
      <c r="Z330"/>
      <c r="AA330"/>
      <c r="AB330"/>
      <c r="AC330"/>
      <c r="AD330"/>
      <c r="AE330"/>
      <c r="AF330"/>
      <c r="AG330"/>
      <c r="AH330"/>
      <c r="AI330"/>
      <c r="AJ330"/>
      <c r="AK330"/>
      <c r="AL330"/>
      <c r="AM330"/>
      <c r="AN330"/>
      <c r="AO330"/>
      <c r="AP330"/>
      <c r="AQ330"/>
    </row>
    <row r="331" spans="1:43" s="10" customFormat="1" ht="15.75" customHeight="1" x14ac:dyDescent="0.25">
      <c r="A331" s="55">
        <f t="shared" si="57"/>
        <v>6</v>
      </c>
      <c r="B331" s="56">
        <v>44358</v>
      </c>
      <c r="C331" s="58" t="s">
        <v>965</v>
      </c>
      <c r="D331" s="58"/>
      <c r="E331" s="58"/>
      <c r="F331" s="123" t="s">
        <v>964</v>
      </c>
      <c r="G331" s="33" t="s">
        <v>161</v>
      </c>
      <c r="H331" s="45">
        <v>1400000</v>
      </c>
      <c r="I331" s="380" t="s">
        <v>963</v>
      </c>
      <c r="J331" s="301">
        <v>44358</v>
      </c>
      <c r="K331" s="28">
        <f t="shared" si="52"/>
        <v>1400000</v>
      </c>
      <c r="L331" s="460"/>
      <c r="M331" s="459"/>
      <c r="N331" s="28">
        <f t="shared" si="54"/>
        <v>14000</v>
      </c>
      <c r="O331" s="28">
        <f t="shared" si="55"/>
        <v>28000</v>
      </c>
      <c r="P331" s="459">
        <v>1386000</v>
      </c>
      <c r="Q331" s="28">
        <f t="shared" si="56"/>
        <v>0</v>
      </c>
      <c r="R331" s="197"/>
      <c r="S331" s="197">
        <v>44371</v>
      </c>
      <c r="T331" s="199">
        <v>14</v>
      </c>
      <c r="U331" s="24">
        <f t="shared" si="51"/>
        <v>44372</v>
      </c>
      <c r="V331"/>
      <c r="W331"/>
      <c r="X331"/>
      <c r="Y331"/>
      <c r="Z331"/>
      <c r="AA331"/>
      <c r="AB331"/>
      <c r="AC331"/>
      <c r="AD331"/>
      <c r="AE331"/>
      <c r="AF331"/>
      <c r="AG331"/>
      <c r="AH331"/>
      <c r="AI331"/>
      <c r="AJ331"/>
      <c r="AK331"/>
      <c r="AL331"/>
      <c r="AM331"/>
      <c r="AN331"/>
      <c r="AO331"/>
      <c r="AP331"/>
      <c r="AQ331"/>
    </row>
    <row r="332" spans="1:43" s="10" customFormat="1" ht="15.75" customHeight="1" x14ac:dyDescent="0.25">
      <c r="A332" s="55">
        <f t="shared" si="57"/>
        <v>7</v>
      </c>
      <c r="B332" s="56">
        <v>44349</v>
      </c>
      <c r="C332" s="58" t="s">
        <v>968</v>
      </c>
      <c r="D332" s="58"/>
      <c r="E332" s="58"/>
      <c r="F332" s="123" t="s">
        <v>424</v>
      </c>
      <c r="G332" s="279" t="s">
        <v>425</v>
      </c>
      <c r="H332" s="460">
        <v>2000000</v>
      </c>
      <c r="I332" s="380" t="s">
        <v>967</v>
      </c>
      <c r="J332" s="515">
        <v>44358</v>
      </c>
      <c r="K332" s="28">
        <f t="shared" si="52"/>
        <v>2000000</v>
      </c>
      <c r="L332" s="460"/>
      <c r="M332" s="459"/>
      <c r="N332" s="28">
        <f t="shared" si="54"/>
        <v>20000</v>
      </c>
      <c r="O332" s="28">
        <f t="shared" si="55"/>
        <v>40000</v>
      </c>
      <c r="P332" s="459">
        <v>1980000</v>
      </c>
      <c r="Q332" s="28">
        <f t="shared" si="56"/>
        <v>0</v>
      </c>
      <c r="R332" s="197">
        <v>44371</v>
      </c>
      <c r="S332" s="197"/>
      <c r="T332" s="199">
        <v>14</v>
      </c>
      <c r="U332" s="24">
        <f t="shared" si="51"/>
        <v>44372</v>
      </c>
      <c r="V332"/>
      <c r="W332"/>
      <c r="X332"/>
      <c r="Y332"/>
      <c r="Z332"/>
      <c r="AA332"/>
      <c r="AB332"/>
      <c r="AC332"/>
      <c r="AD332"/>
      <c r="AE332"/>
      <c r="AF332"/>
      <c r="AG332"/>
      <c r="AH332"/>
      <c r="AI332"/>
      <c r="AJ332"/>
      <c r="AK332"/>
      <c r="AL332"/>
      <c r="AM332"/>
      <c r="AN332"/>
      <c r="AO332"/>
      <c r="AP332"/>
      <c r="AQ332"/>
    </row>
    <row r="333" spans="1:43" s="10" customFormat="1" ht="15.75" customHeight="1" x14ac:dyDescent="0.25">
      <c r="A333" s="55">
        <f t="shared" si="57"/>
        <v>8</v>
      </c>
      <c r="B333" s="56">
        <v>44349</v>
      </c>
      <c r="C333" s="58" t="s">
        <v>1677</v>
      </c>
      <c r="D333" s="58"/>
      <c r="E333" s="58"/>
      <c r="F333" s="69" t="s">
        <v>279</v>
      </c>
      <c r="G333" s="33" t="s">
        <v>772</v>
      </c>
      <c r="H333" s="460">
        <v>3762376</v>
      </c>
      <c r="I333" s="380" t="s">
        <v>971</v>
      </c>
      <c r="J333" s="515">
        <v>44362</v>
      </c>
      <c r="K333" s="28">
        <f t="shared" si="52"/>
        <v>3762376</v>
      </c>
      <c r="L333" s="460"/>
      <c r="M333" s="459"/>
      <c r="N333" s="28">
        <f t="shared" si="54"/>
        <v>37623.760000000002</v>
      </c>
      <c r="O333" s="28">
        <f t="shared" si="55"/>
        <v>75247.520000000004</v>
      </c>
      <c r="P333" s="459">
        <v>3724752.2399999998</v>
      </c>
      <c r="Q333" s="28">
        <f t="shared" si="56"/>
        <v>2.255546860396862E-10</v>
      </c>
      <c r="R333" s="197"/>
      <c r="S333" s="197">
        <v>44403</v>
      </c>
      <c r="T333" s="2">
        <v>30</v>
      </c>
      <c r="U333" s="24">
        <f t="shared" si="51"/>
        <v>44392</v>
      </c>
      <c r="V333"/>
      <c r="W333"/>
      <c r="X333"/>
      <c r="Y333"/>
      <c r="Z333"/>
      <c r="AA333"/>
      <c r="AB333"/>
      <c r="AC333"/>
      <c r="AD333"/>
      <c r="AE333"/>
      <c r="AF333"/>
      <c r="AG333"/>
      <c r="AH333"/>
      <c r="AI333"/>
      <c r="AJ333"/>
      <c r="AK333"/>
      <c r="AL333"/>
      <c r="AM333"/>
      <c r="AN333"/>
      <c r="AO333"/>
      <c r="AP333"/>
      <c r="AQ333"/>
    </row>
    <row r="334" spans="1:43" s="10" customFormat="1" ht="15.75" customHeight="1" x14ac:dyDescent="0.25">
      <c r="A334" s="55">
        <f t="shared" si="57"/>
        <v>9</v>
      </c>
      <c r="B334" s="56">
        <v>44349</v>
      </c>
      <c r="C334" s="58" t="s">
        <v>1678</v>
      </c>
      <c r="D334" s="58"/>
      <c r="E334" s="58"/>
      <c r="F334" s="69" t="s">
        <v>279</v>
      </c>
      <c r="G334" s="33" t="s">
        <v>811</v>
      </c>
      <c r="H334" s="460">
        <v>4059406</v>
      </c>
      <c r="I334" s="380" t="s">
        <v>972</v>
      </c>
      <c r="J334" s="515">
        <v>44362</v>
      </c>
      <c r="K334" s="28">
        <f t="shared" si="52"/>
        <v>4059406</v>
      </c>
      <c r="L334" s="460"/>
      <c r="M334" s="459"/>
      <c r="N334" s="28">
        <f t="shared" si="54"/>
        <v>40594.06</v>
      </c>
      <c r="O334" s="28">
        <f t="shared" si="55"/>
        <v>81188.12</v>
      </c>
      <c r="P334" s="459">
        <v>4018811.94</v>
      </c>
      <c r="Q334" s="28">
        <f t="shared" si="56"/>
        <v>-5.8207660913467407E-11</v>
      </c>
      <c r="R334" s="197"/>
      <c r="S334" s="197">
        <v>44403</v>
      </c>
      <c r="T334" s="2">
        <v>30</v>
      </c>
      <c r="U334" s="24">
        <f t="shared" si="51"/>
        <v>44392</v>
      </c>
      <c r="V334"/>
      <c r="W334"/>
      <c r="X334"/>
      <c r="Y334"/>
      <c r="Z334"/>
      <c r="AA334"/>
      <c r="AB334"/>
      <c r="AC334"/>
      <c r="AD334"/>
      <c r="AE334"/>
      <c r="AF334"/>
      <c r="AG334"/>
      <c r="AH334"/>
      <c r="AI334"/>
      <c r="AJ334"/>
      <c r="AK334"/>
      <c r="AL334"/>
      <c r="AM334"/>
      <c r="AN334"/>
      <c r="AO334"/>
      <c r="AP334"/>
      <c r="AQ334"/>
    </row>
    <row r="335" spans="1:43" s="10" customFormat="1" ht="15.75" customHeight="1" x14ac:dyDescent="0.25">
      <c r="A335" s="55">
        <f t="shared" si="57"/>
        <v>10</v>
      </c>
      <c r="B335" s="56">
        <v>44348</v>
      </c>
      <c r="C335" s="58"/>
      <c r="D335" s="58"/>
      <c r="E335" s="58" t="s">
        <v>1066</v>
      </c>
      <c r="F335" s="123" t="s">
        <v>2694</v>
      </c>
      <c r="G335" s="33" t="s">
        <v>973</v>
      </c>
      <c r="H335" s="460">
        <v>6500000</v>
      </c>
      <c r="I335" s="380" t="s">
        <v>974</v>
      </c>
      <c r="J335" s="515">
        <v>44362</v>
      </c>
      <c r="K335" s="28">
        <f t="shared" si="52"/>
        <v>6500000</v>
      </c>
      <c r="L335" s="481">
        <f>3250000-81250</f>
        <v>3168750</v>
      </c>
      <c r="M335" s="459">
        <v>81250</v>
      </c>
      <c r="N335" s="28">
        <f t="shared" si="54"/>
        <v>65000</v>
      </c>
      <c r="O335" s="28">
        <f t="shared" si="55"/>
        <v>130000</v>
      </c>
      <c r="P335" s="459">
        <v>3185000</v>
      </c>
      <c r="Q335" s="28">
        <f t="shared" si="56"/>
        <v>0</v>
      </c>
      <c r="R335" s="482">
        <v>44380</v>
      </c>
      <c r="S335" s="197">
        <v>44396</v>
      </c>
      <c r="T335" s="199">
        <v>14</v>
      </c>
      <c r="U335" s="24">
        <f t="shared" si="51"/>
        <v>44376</v>
      </c>
      <c r="V335"/>
      <c r="W335"/>
      <c r="X335"/>
      <c r="Y335"/>
      <c r="Z335"/>
      <c r="AA335"/>
      <c r="AB335"/>
      <c r="AC335"/>
      <c r="AD335"/>
      <c r="AE335"/>
      <c r="AF335"/>
      <c r="AG335"/>
      <c r="AH335"/>
      <c r="AI335"/>
      <c r="AJ335"/>
      <c r="AK335"/>
      <c r="AL335"/>
      <c r="AM335"/>
      <c r="AN335"/>
      <c r="AO335"/>
      <c r="AP335"/>
      <c r="AQ335"/>
    </row>
    <row r="336" spans="1:43" s="10" customFormat="1" ht="15.75" customHeight="1" x14ac:dyDescent="0.25">
      <c r="A336" s="55">
        <f t="shared" si="57"/>
        <v>11</v>
      </c>
      <c r="B336" s="56">
        <v>44348</v>
      </c>
      <c r="C336" s="58"/>
      <c r="D336" s="58"/>
      <c r="E336" s="58" t="s">
        <v>1065</v>
      </c>
      <c r="F336" s="123" t="s">
        <v>2694</v>
      </c>
      <c r="G336" s="33" t="s">
        <v>975</v>
      </c>
      <c r="H336" s="423">
        <v>17500000</v>
      </c>
      <c r="I336" s="380" t="s">
        <v>976</v>
      </c>
      <c r="J336" s="515">
        <v>44362</v>
      </c>
      <c r="K336" s="28">
        <f t="shared" si="52"/>
        <v>17500000</v>
      </c>
      <c r="L336" s="481">
        <v>8531250</v>
      </c>
      <c r="M336" s="459">
        <f t="shared" ref="M336" si="58">K336*2.5%</f>
        <v>437500</v>
      </c>
      <c r="N336" s="28">
        <f t="shared" si="54"/>
        <v>175000</v>
      </c>
      <c r="O336" s="28">
        <f t="shared" si="55"/>
        <v>350000</v>
      </c>
      <c r="P336" s="26">
        <v>8356250</v>
      </c>
      <c r="Q336" s="28">
        <f t="shared" si="56"/>
        <v>0</v>
      </c>
      <c r="R336" s="197"/>
      <c r="S336" s="197">
        <v>44371</v>
      </c>
      <c r="T336" s="199">
        <v>14</v>
      </c>
      <c r="U336" s="24">
        <f t="shared" si="51"/>
        <v>44376</v>
      </c>
      <c r="V336"/>
      <c r="W336"/>
      <c r="X336"/>
      <c r="Y336"/>
      <c r="Z336"/>
      <c r="AA336"/>
      <c r="AB336"/>
      <c r="AC336"/>
      <c r="AD336"/>
      <c r="AE336"/>
      <c r="AF336"/>
      <c r="AG336"/>
      <c r="AH336"/>
      <c r="AI336"/>
      <c r="AJ336"/>
      <c r="AK336"/>
      <c r="AL336"/>
      <c r="AM336"/>
      <c r="AN336"/>
      <c r="AO336"/>
      <c r="AP336"/>
      <c r="AQ336"/>
    </row>
    <row r="337" spans="1:43" s="10" customFormat="1" ht="15.75" customHeight="1" x14ac:dyDescent="0.25">
      <c r="A337" s="55">
        <f t="shared" si="57"/>
        <v>12</v>
      </c>
      <c r="B337" s="56">
        <v>44358</v>
      </c>
      <c r="C337" s="58"/>
      <c r="D337" s="58"/>
      <c r="E337" s="58" t="s">
        <v>1067</v>
      </c>
      <c r="F337" s="123" t="s">
        <v>2694</v>
      </c>
      <c r="G337" s="33" t="s">
        <v>462</v>
      </c>
      <c r="H337" s="460">
        <v>1350000</v>
      </c>
      <c r="I337" s="380" t="s">
        <v>978</v>
      </c>
      <c r="J337" s="79">
        <v>44363</v>
      </c>
      <c r="K337" s="28">
        <f t="shared" si="52"/>
        <v>1350000</v>
      </c>
      <c r="L337" s="481">
        <v>633750</v>
      </c>
      <c r="M337" s="459">
        <f>33750+35575</f>
        <v>69325</v>
      </c>
      <c r="N337" s="28">
        <f t="shared" si="54"/>
        <v>13500</v>
      </c>
      <c r="O337" s="28">
        <f t="shared" si="55"/>
        <v>27000</v>
      </c>
      <c r="P337" s="26">
        <v>633425</v>
      </c>
      <c r="Q337" s="28">
        <f t="shared" si="56"/>
        <v>0</v>
      </c>
      <c r="R337" s="197"/>
      <c r="S337" s="197">
        <v>44372</v>
      </c>
      <c r="T337" s="199">
        <v>14</v>
      </c>
      <c r="U337" s="24">
        <f t="shared" si="51"/>
        <v>44377</v>
      </c>
      <c r="V337"/>
      <c r="W337"/>
      <c r="X337"/>
      <c r="Y337"/>
      <c r="Z337"/>
      <c r="AA337"/>
      <c r="AB337"/>
      <c r="AC337"/>
      <c r="AD337"/>
      <c r="AE337"/>
      <c r="AF337"/>
      <c r="AG337"/>
      <c r="AH337"/>
      <c r="AI337"/>
      <c r="AJ337"/>
      <c r="AK337"/>
      <c r="AL337"/>
      <c r="AM337"/>
      <c r="AN337"/>
      <c r="AO337"/>
      <c r="AP337"/>
      <c r="AQ337"/>
    </row>
    <row r="338" spans="1:43" s="10" customFormat="1" ht="15.75" customHeight="1" x14ac:dyDescent="0.25">
      <c r="A338" s="55">
        <f t="shared" si="57"/>
        <v>13</v>
      </c>
      <c r="B338" s="56">
        <v>44358</v>
      </c>
      <c r="C338" s="58" t="s">
        <v>1679</v>
      </c>
      <c r="D338" s="58"/>
      <c r="E338" s="58"/>
      <c r="F338" s="69" t="s">
        <v>279</v>
      </c>
      <c r="G338" s="126" t="s">
        <v>981</v>
      </c>
      <c r="H338" s="45">
        <v>1782178</v>
      </c>
      <c r="I338" s="380" t="s">
        <v>979</v>
      </c>
      <c r="J338" s="301">
        <v>44364</v>
      </c>
      <c r="K338" s="28">
        <f t="shared" si="52"/>
        <v>1782178</v>
      </c>
      <c r="L338" s="460"/>
      <c r="M338" s="459"/>
      <c r="N338" s="28">
        <f t="shared" si="54"/>
        <v>17821.78</v>
      </c>
      <c r="O338" s="28">
        <f t="shared" si="55"/>
        <v>35643.56</v>
      </c>
      <c r="P338" s="459">
        <v>1764356.22</v>
      </c>
      <c r="Q338" s="28">
        <f t="shared" si="56"/>
        <v>-2.9103830456733704E-11</v>
      </c>
      <c r="R338" s="197"/>
      <c r="S338" s="197">
        <v>44403</v>
      </c>
      <c r="T338" s="2">
        <v>30</v>
      </c>
      <c r="U338" s="24">
        <f t="shared" si="51"/>
        <v>44394</v>
      </c>
      <c r="V338"/>
      <c r="W338"/>
      <c r="X338"/>
      <c r="Y338"/>
      <c r="Z338"/>
      <c r="AA338"/>
      <c r="AB338"/>
      <c r="AC338"/>
      <c r="AD338"/>
      <c r="AE338"/>
      <c r="AF338"/>
      <c r="AG338"/>
      <c r="AH338"/>
      <c r="AI338"/>
      <c r="AJ338"/>
      <c r="AK338"/>
      <c r="AL338"/>
      <c r="AM338"/>
      <c r="AN338"/>
      <c r="AO338"/>
      <c r="AP338"/>
      <c r="AQ338"/>
    </row>
    <row r="339" spans="1:43" s="10" customFormat="1" ht="15.75" customHeight="1" x14ac:dyDescent="0.25">
      <c r="A339" s="55">
        <f t="shared" si="57"/>
        <v>14</v>
      </c>
      <c r="B339" s="56">
        <v>44356</v>
      </c>
      <c r="C339" s="58" t="s">
        <v>1680</v>
      </c>
      <c r="D339" s="58"/>
      <c r="E339" s="58"/>
      <c r="F339" s="69" t="s">
        <v>279</v>
      </c>
      <c r="G339" s="126" t="s">
        <v>983</v>
      </c>
      <c r="H339" s="45">
        <v>3267326.7</v>
      </c>
      <c r="I339" s="380" t="s">
        <v>982</v>
      </c>
      <c r="J339" s="301">
        <v>44364</v>
      </c>
      <c r="K339" s="28">
        <f t="shared" si="52"/>
        <v>3267326.7</v>
      </c>
      <c r="L339" s="460"/>
      <c r="M339" s="459"/>
      <c r="N339" s="28">
        <f t="shared" si="54"/>
        <v>32673.267000000003</v>
      </c>
      <c r="O339" s="28">
        <f t="shared" si="55"/>
        <v>65346.534000000007</v>
      </c>
      <c r="P339" s="459">
        <v>3234653.4330000002</v>
      </c>
      <c r="Q339" s="28">
        <f t="shared" si="56"/>
        <v>0</v>
      </c>
      <c r="R339" s="197"/>
      <c r="S339" s="197">
        <v>44403</v>
      </c>
      <c r="T339" s="2">
        <v>30</v>
      </c>
      <c r="U339" s="24">
        <f t="shared" si="51"/>
        <v>44394</v>
      </c>
      <c r="V339"/>
      <c r="W339"/>
      <c r="X339"/>
      <c r="Y339"/>
      <c r="Z339"/>
      <c r="AA339"/>
      <c r="AB339"/>
      <c r="AC339"/>
      <c r="AD339"/>
      <c r="AE339"/>
      <c r="AF339"/>
      <c r="AG339"/>
      <c r="AH339"/>
      <c r="AI339"/>
      <c r="AJ339"/>
      <c r="AK339"/>
      <c r="AL339"/>
      <c r="AM339"/>
      <c r="AN339"/>
      <c r="AO339"/>
      <c r="AP339"/>
      <c r="AQ339"/>
    </row>
    <row r="340" spans="1:43" s="10" customFormat="1" ht="15.75" customHeight="1" x14ac:dyDescent="0.25">
      <c r="A340" s="55">
        <f t="shared" si="57"/>
        <v>15</v>
      </c>
      <c r="B340" s="56">
        <v>44322</v>
      </c>
      <c r="C340" s="58"/>
      <c r="D340" s="58"/>
      <c r="E340" s="58"/>
      <c r="F340" s="69" t="s">
        <v>279</v>
      </c>
      <c r="G340" s="126" t="s">
        <v>988</v>
      </c>
      <c r="H340" s="45">
        <v>15009900.9</v>
      </c>
      <c r="I340" s="380" t="s">
        <v>987</v>
      </c>
      <c r="J340" s="301">
        <v>44364</v>
      </c>
      <c r="K340" s="28">
        <f t="shared" si="52"/>
        <v>15009900.9</v>
      </c>
      <c r="L340" s="460"/>
      <c r="M340" s="459"/>
      <c r="N340" s="28">
        <f t="shared" si="54"/>
        <v>150099.00900000002</v>
      </c>
      <c r="O340" s="28">
        <f t="shared" si="55"/>
        <v>300198.01800000004</v>
      </c>
      <c r="P340" s="459">
        <v>14859801.891000001</v>
      </c>
      <c r="Q340" s="28">
        <f t="shared" si="56"/>
        <v>4.0745362639427185E-10</v>
      </c>
      <c r="R340" s="197"/>
      <c r="S340" s="197">
        <v>44403</v>
      </c>
      <c r="T340" s="2">
        <v>30</v>
      </c>
      <c r="U340" s="24">
        <f t="shared" si="51"/>
        <v>44394</v>
      </c>
      <c r="V340"/>
      <c r="W340"/>
      <c r="X340"/>
      <c r="Y340"/>
      <c r="Z340"/>
      <c r="AA340"/>
      <c r="AB340"/>
      <c r="AC340"/>
      <c r="AD340"/>
      <c r="AE340"/>
      <c r="AF340"/>
      <c r="AG340"/>
      <c r="AH340"/>
      <c r="AI340"/>
      <c r="AJ340"/>
      <c r="AK340"/>
      <c r="AL340"/>
      <c r="AM340"/>
      <c r="AN340"/>
      <c r="AO340"/>
      <c r="AP340"/>
      <c r="AQ340"/>
    </row>
    <row r="341" spans="1:43" s="10" customFormat="1" ht="15.75" customHeight="1" x14ac:dyDescent="0.25">
      <c r="A341" s="55">
        <f t="shared" si="57"/>
        <v>16</v>
      </c>
      <c r="B341" s="56">
        <v>44363</v>
      </c>
      <c r="C341" s="58" t="s">
        <v>1681</v>
      </c>
      <c r="D341" s="58"/>
      <c r="E341" s="58"/>
      <c r="F341" s="69" t="s">
        <v>279</v>
      </c>
      <c r="G341" s="126" t="s">
        <v>417</v>
      </c>
      <c r="H341" s="45">
        <v>2178217.7999999998</v>
      </c>
      <c r="I341" s="380" t="s">
        <v>1003</v>
      </c>
      <c r="J341" s="301">
        <v>44365</v>
      </c>
      <c r="K341" s="28">
        <f t="shared" si="52"/>
        <v>2178217.7999999998</v>
      </c>
      <c r="L341" s="460"/>
      <c r="M341" s="459"/>
      <c r="N341" s="28">
        <f t="shared" si="54"/>
        <v>21782.178</v>
      </c>
      <c r="O341" s="28">
        <f t="shared" si="55"/>
        <v>43564.356</v>
      </c>
      <c r="P341" s="459">
        <v>2156435.6219999995</v>
      </c>
      <c r="Q341" s="28">
        <f t="shared" si="56"/>
        <v>1.6007106751203537E-10</v>
      </c>
      <c r="R341" s="199"/>
      <c r="S341" s="197">
        <v>44446</v>
      </c>
      <c r="T341" s="2">
        <v>30</v>
      </c>
      <c r="U341" s="24">
        <f t="shared" si="51"/>
        <v>44395</v>
      </c>
      <c r="V341"/>
      <c r="W341"/>
      <c r="X341"/>
      <c r="Y341"/>
      <c r="Z341"/>
      <c r="AA341"/>
      <c r="AB341"/>
      <c r="AC341"/>
      <c r="AD341"/>
      <c r="AE341"/>
      <c r="AF341"/>
      <c r="AG341"/>
      <c r="AH341"/>
      <c r="AI341"/>
      <c r="AJ341"/>
      <c r="AK341"/>
      <c r="AL341"/>
      <c r="AM341"/>
      <c r="AN341"/>
      <c r="AO341"/>
      <c r="AP341"/>
      <c r="AQ341"/>
    </row>
    <row r="342" spans="1:43" s="10" customFormat="1" ht="15.75" customHeight="1" x14ac:dyDescent="0.25">
      <c r="A342" s="55">
        <f t="shared" si="57"/>
        <v>17</v>
      </c>
      <c r="B342" s="56">
        <v>44363</v>
      </c>
      <c r="C342" s="58" t="s">
        <v>1682</v>
      </c>
      <c r="D342" s="58"/>
      <c r="E342" s="58"/>
      <c r="F342" s="69" t="s">
        <v>279</v>
      </c>
      <c r="G342" s="126" t="s">
        <v>421</v>
      </c>
      <c r="H342" s="45">
        <v>1485148.5</v>
      </c>
      <c r="I342" s="380" t="s">
        <v>986</v>
      </c>
      <c r="J342" s="301">
        <v>44365</v>
      </c>
      <c r="K342" s="28">
        <f t="shared" si="52"/>
        <v>1485148.5</v>
      </c>
      <c r="L342" s="460"/>
      <c r="M342" s="459"/>
      <c r="N342" s="28">
        <f t="shared" si="54"/>
        <v>14851.485000000001</v>
      </c>
      <c r="O342" s="28">
        <f t="shared" si="55"/>
        <v>29702.97</v>
      </c>
      <c r="P342" s="459">
        <v>1470297.0150000001</v>
      </c>
      <c r="Q342" s="28">
        <f t="shared" si="56"/>
        <v>-1.0186340659856796E-10</v>
      </c>
      <c r="R342" s="199"/>
      <c r="S342" s="197">
        <v>44446</v>
      </c>
      <c r="T342" s="2">
        <v>30</v>
      </c>
      <c r="U342" s="24">
        <f t="shared" si="51"/>
        <v>44395</v>
      </c>
      <c r="V342"/>
      <c r="W342"/>
      <c r="X342"/>
      <c r="Y342"/>
      <c r="Z342"/>
      <c r="AA342"/>
      <c r="AB342"/>
      <c r="AC342"/>
      <c r="AD342"/>
      <c r="AE342"/>
      <c r="AF342"/>
      <c r="AG342"/>
      <c r="AH342"/>
      <c r="AI342"/>
      <c r="AJ342"/>
      <c r="AK342"/>
      <c r="AL342"/>
      <c r="AM342"/>
      <c r="AN342"/>
      <c r="AO342"/>
      <c r="AP342"/>
      <c r="AQ342"/>
    </row>
    <row r="343" spans="1:43" s="10" customFormat="1" ht="15.75" customHeight="1" x14ac:dyDescent="0.25">
      <c r="A343" s="55">
        <f t="shared" si="57"/>
        <v>18</v>
      </c>
      <c r="B343" s="56">
        <v>44361</v>
      </c>
      <c r="C343" s="58"/>
      <c r="D343" s="58"/>
      <c r="E343" s="58" t="s">
        <v>1064</v>
      </c>
      <c r="F343" s="123" t="s">
        <v>2694</v>
      </c>
      <c r="G343" s="126" t="s">
        <v>500</v>
      </c>
      <c r="H343" s="45">
        <v>7500000</v>
      </c>
      <c r="I343" s="380" t="s">
        <v>985</v>
      </c>
      <c r="J343" s="301">
        <v>44368</v>
      </c>
      <c r="K343" s="28">
        <f t="shared" si="52"/>
        <v>7500000</v>
      </c>
      <c r="L343" s="481">
        <v>3656250</v>
      </c>
      <c r="M343" s="459">
        <f t="shared" ref="M343" si="59">K343*2.5%</f>
        <v>187500</v>
      </c>
      <c r="N343" s="28">
        <f t="shared" si="54"/>
        <v>75000</v>
      </c>
      <c r="O343" s="28">
        <f t="shared" si="55"/>
        <v>150000</v>
      </c>
      <c r="P343" s="26">
        <v>3581250</v>
      </c>
      <c r="Q343" s="28">
        <f t="shared" si="56"/>
        <v>0</v>
      </c>
      <c r="R343" s="197"/>
      <c r="S343" s="197">
        <v>44377</v>
      </c>
      <c r="T343" s="199">
        <v>14</v>
      </c>
      <c r="U343" s="24">
        <f t="shared" si="51"/>
        <v>44382</v>
      </c>
      <c r="V343"/>
      <c r="W343"/>
      <c r="X343"/>
      <c r="Y343"/>
      <c r="Z343"/>
      <c r="AA343"/>
      <c r="AB343"/>
      <c r="AC343"/>
      <c r="AD343"/>
      <c r="AE343"/>
      <c r="AF343"/>
      <c r="AG343"/>
      <c r="AH343"/>
      <c r="AI343"/>
      <c r="AJ343"/>
      <c r="AK343"/>
      <c r="AL343"/>
      <c r="AM343"/>
      <c r="AN343"/>
      <c r="AO343"/>
      <c r="AP343"/>
      <c r="AQ343"/>
    </row>
    <row r="344" spans="1:43" s="10" customFormat="1" ht="15.75" customHeight="1" x14ac:dyDescent="0.25">
      <c r="A344" s="55">
        <f t="shared" si="57"/>
        <v>19</v>
      </c>
      <c r="B344" s="56">
        <v>44363</v>
      </c>
      <c r="C344" s="58"/>
      <c r="D344" s="58"/>
      <c r="E344" s="58" t="s">
        <v>1057</v>
      </c>
      <c r="F344" s="123" t="s">
        <v>2694</v>
      </c>
      <c r="G344" s="126" t="s">
        <v>990</v>
      </c>
      <c r="H344" s="45">
        <v>1200000</v>
      </c>
      <c r="I344" s="380" t="s">
        <v>989</v>
      </c>
      <c r="J344" s="301">
        <v>44368</v>
      </c>
      <c r="K344" s="28">
        <f t="shared" si="52"/>
        <v>1200000</v>
      </c>
      <c r="L344" s="481">
        <v>585000</v>
      </c>
      <c r="M344" s="459">
        <f>600000*4.5%</f>
        <v>27000</v>
      </c>
      <c r="N344" s="28">
        <f t="shared" si="54"/>
        <v>12000</v>
      </c>
      <c r="O344" s="28">
        <f t="shared" si="55"/>
        <v>24000</v>
      </c>
      <c r="P344" s="459">
        <v>576000</v>
      </c>
      <c r="Q344" s="28">
        <f t="shared" si="56"/>
        <v>0</v>
      </c>
      <c r="R344" s="197">
        <v>44364</v>
      </c>
      <c r="S344" s="197">
        <v>44421</v>
      </c>
      <c r="T344" s="199">
        <v>14</v>
      </c>
      <c r="U344" s="24">
        <f t="shared" si="51"/>
        <v>44382</v>
      </c>
      <c r="V344"/>
      <c r="W344"/>
      <c r="X344"/>
      <c r="Y344"/>
      <c r="Z344"/>
      <c r="AA344"/>
      <c r="AB344"/>
      <c r="AC344"/>
      <c r="AD344"/>
      <c r="AE344"/>
      <c r="AF344"/>
      <c r="AG344"/>
      <c r="AH344"/>
      <c r="AI344"/>
      <c r="AJ344"/>
      <c r="AK344"/>
      <c r="AL344"/>
      <c r="AM344"/>
      <c r="AN344"/>
      <c r="AO344"/>
      <c r="AP344"/>
      <c r="AQ344"/>
    </row>
    <row r="345" spans="1:43" s="10" customFormat="1" ht="15.75" customHeight="1" x14ac:dyDescent="0.25">
      <c r="A345" s="55">
        <f t="shared" si="57"/>
        <v>20</v>
      </c>
      <c r="B345" s="56">
        <v>44361</v>
      </c>
      <c r="C345" s="58"/>
      <c r="D345" s="58"/>
      <c r="E345" s="58" t="s">
        <v>1058</v>
      </c>
      <c r="F345" s="123" t="s">
        <v>2694</v>
      </c>
      <c r="G345" s="126" t="s">
        <v>477</v>
      </c>
      <c r="H345" s="45">
        <v>3400000</v>
      </c>
      <c r="I345" s="380" t="s">
        <v>991</v>
      </c>
      <c r="J345" s="301">
        <v>44368</v>
      </c>
      <c r="K345" s="28">
        <f t="shared" si="52"/>
        <v>3400000</v>
      </c>
      <c r="L345" s="481">
        <v>1657500</v>
      </c>
      <c r="M345" s="459">
        <v>85850</v>
      </c>
      <c r="N345" s="28">
        <f t="shared" si="54"/>
        <v>34000</v>
      </c>
      <c r="O345" s="28">
        <f t="shared" si="55"/>
        <v>68000</v>
      </c>
      <c r="P345" s="26">
        <v>1622650</v>
      </c>
      <c r="Q345" s="28">
        <f t="shared" si="56"/>
        <v>0</v>
      </c>
      <c r="R345" s="197"/>
      <c r="S345" s="197">
        <v>44377</v>
      </c>
      <c r="T345" s="199">
        <v>14</v>
      </c>
      <c r="U345" s="24">
        <f t="shared" si="51"/>
        <v>44382</v>
      </c>
      <c r="V345"/>
      <c r="W345"/>
      <c r="X345"/>
      <c r="Y345"/>
      <c r="Z345"/>
      <c r="AA345"/>
      <c r="AB345"/>
      <c r="AC345"/>
      <c r="AD345"/>
      <c r="AE345"/>
      <c r="AF345"/>
      <c r="AG345"/>
      <c r="AH345"/>
      <c r="AI345"/>
      <c r="AJ345"/>
      <c r="AK345"/>
      <c r="AL345"/>
      <c r="AM345"/>
      <c r="AN345"/>
      <c r="AO345"/>
      <c r="AP345"/>
      <c r="AQ345"/>
    </row>
    <row r="346" spans="1:43" s="10" customFormat="1" ht="15.75" customHeight="1" x14ac:dyDescent="0.25">
      <c r="A346" s="55">
        <f t="shared" si="57"/>
        <v>21</v>
      </c>
      <c r="B346" s="56">
        <v>44366</v>
      </c>
      <c r="C346" s="58"/>
      <c r="D346" s="58"/>
      <c r="E346" s="58" t="s">
        <v>1059</v>
      </c>
      <c r="F346" s="123" t="s">
        <v>2694</v>
      </c>
      <c r="G346" s="126" t="s">
        <v>730</v>
      </c>
      <c r="H346" s="45">
        <v>2200000</v>
      </c>
      <c r="I346" s="380" t="s">
        <v>1004</v>
      </c>
      <c r="J346" s="301">
        <v>44369</v>
      </c>
      <c r="K346" s="28">
        <f t="shared" si="52"/>
        <v>2200000</v>
      </c>
      <c r="L346" s="481">
        <v>1072500</v>
      </c>
      <c r="M346" s="459">
        <f t="shared" ref="M346:M350" si="60">K346*2.5%</f>
        <v>55000</v>
      </c>
      <c r="N346" s="28">
        <f t="shared" si="54"/>
        <v>22000</v>
      </c>
      <c r="O346" s="28">
        <f t="shared" si="55"/>
        <v>44000</v>
      </c>
      <c r="P346" s="26">
        <v>1050500</v>
      </c>
      <c r="Q346" s="28">
        <f t="shared" si="56"/>
        <v>0</v>
      </c>
      <c r="R346" s="197"/>
      <c r="S346" s="197">
        <v>44377</v>
      </c>
      <c r="T346" s="199">
        <v>14</v>
      </c>
      <c r="U346" s="24">
        <f t="shared" si="51"/>
        <v>44383</v>
      </c>
      <c r="V346"/>
      <c r="W346"/>
      <c r="X346"/>
      <c r="Y346"/>
      <c r="Z346"/>
      <c r="AA346"/>
      <c r="AB346"/>
      <c r="AC346"/>
      <c r="AD346"/>
      <c r="AE346"/>
      <c r="AF346"/>
      <c r="AG346"/>
      <c r="AH346"/>
      <c r="AI346"/>
      <c r="AJ346"/>
      <c r="AK346"/>
      <c r="AL346"/>
      <c r="AM346"/>
      <c r="AN346"/>
      <c r="AO346"/>
      <c r="AP346"/>
      <c r="AQ346"/>
    </row>
    <row r="347" spans="1:43" s="10" customFormat="1" ht="15.75" customHeight="1" x14ac:dyDescent="0.25">
      <c r="A347" s="55">
        <f t="shared" si="57"/>
        <v>22</v>
      </c>
      <c r="B347" s="56">
        <v>44365</v>
      </c>
      <c r="C347" s="58"/>
      <c r="D347" s="58"/>
      <c r="E347" s="58" t="s">
        <v>1063</v>
      </c>
      <c r="F347" s="123" t="s">
        <v>2694</v>
      </c>
      <c r="G347" s="126" t="s">
        <v>992</v>
      </c>
      <c r="H347" s="45">
        <v>2200000</v>
      </c>
      <c r="I347" s="380" t="s">
        <v>1005</v>
      </c>
      <c r="J347" s="301">
        <v>44369</v>
      </c>
      <c r="K347" s="28">
        <f t="shared" si="52"/>
        <v>2200000</v>
      </c>
      <c r="L347" s="481">
        <v>1072500</v>
      </c>
      <c r="M347" s="459">
        <v>55549.999999999993</v>
      </c>
      <c r="N347" s="28">
        <f t="shared" si="54"/>
        <v>22000</v>
      </c>
      <c r="O347" s="28">
        <f t="shared" si="55"/>
        <v>44000</v>
      </c>
      <c r="P347" s="26">
        <v>1049950</v>
      </c>
      <c r="Q347" s="28">
        <f t="shared" si="56"/>
        <v>0</v>
      </c>
      <c r="R347" s="197"/>
      <c r="S347" s="197">
        <v>44377</v>
      </c>
      <c r="T347" s="199">
        <v>14</v>
      </c>
      <c r="U347" s="24">
        <f t="shared" si="51"/>
        <v>44383</v>
      </c>
      <c r="V347"/>
      <c r="W347"/>
      <c r="X347"/>
      <c r="Y347"/>
      <c r="Z347"/>
      <c r="AA347"/>
      <c r="AB347"/>
      <c r="AC347"/>
      <c r="AD347"/>
      <c r="AE347"/>
      <c r="AF347"/>
      <c r="AG347"/>
      <c r="AH347"/>
      <c r="AI347"/>
      <c r="AJ347"/>
      <c r="AK347"/>
      <c r="AL347"/>
      <c r="AM347"/>
      <c r="AN347"/>
      <c r="AO347"/>
      <c r="AP347"/>
      <c r="AQ347"/>
    </row>
    <row r="348" spans="1:43" s="10" customFormat="1" ht="15.75" customHeight="1" x14ac:dyDescent="0.25">
      <c r="A348" s="55">
        <f t="shared" si="57"/>
        <v>23</v>
      </c>
      <c r="B348" s="56">
        <v>44357</v>
      </c>
      <c r="C348" s="58"/>
      <c r="D348" s="58"/>
      <c r="E348" s="58" t="s">
        <v>1062</v>
      </c>
      <c r="F348" s="123" t="s">
        <v>2694</v>
      </c>
      <c r="G348" s="126" t="s">
        <v>462</v>
      </c>
      <c r="H348" s="45">
        <v>850000</v>
      </c>
      <c r="I348" s="380" t="s">
        <v>1006</v>
      </c>
      <c r="J348" s="301">
        <v>44370</v>
      </c>
      <c r="K348" s="28">
        <f t="shared" si="52"/>
        <v>850000</v>
      </c>
      <c r="L348" s="460"/>
      <c r="M348" s="459">
        <v>0</v>
      </c>
      <c r="N348" s="28">
        <f t="shared" si="54"/>
        <v>8500</v>
      </c>
      <c r="O348" s="28">
        <f t="shared" si="55"/>
        <v>17000</v>
      </c>
      <c r="P348" s="459">
        <v>841500</v>
      </c>
      <c r="Q348" s="28">
        <f t="shared" si="56"/>
        <v>0</v>
      </c>
      <c r="R348" s="743"/>
      <c r="S348" s="474">
        <v>44395</v>
      </c>
      <c r="T348" s="199">
        <v>14</v>
      </c>
      <c r="U348" s="24">
        <f t="shared" si="51"/>
        <v>44384</v>
      </c>
      <c r="V348"/>
      <c r="W348"/>
      <c r="X348"/>
      <c r="Y348"/>
      <c r="Z348"/>
      <c r="AA348"/>
      <c r="AB348"/>
      <c r="AC348"/>
      <c r="AD348"/>
      <c r="AE348"/>
      <c r="AF348"/>
      <c r="AG348"/>
      <c r="AH348"/>
      <c r="AI348"/>
      <c r="AJ348"/>
      <c r="AK348"/>
      <c r="AL348"/>
      <c r="AM348"/>
      <c r="AN348"/>
      <c r="AO348"/>
      <c r="AP348"/>
      <c r="AQ348"/>
    </row>
    <row r="349" spans="1:43" s="10" customFormat="1" ht="15.75" customHeight="1" x14ac:dyDescent="0.25">
      <c r="A349" s="55">
        <f t="shared" si="57"/>
        <v>24</v>
      </c>
      <c r="B349" s="56">
        <v>44358</v>
      </c>
      <c r="C349" s="58"/>
      <c r="D349" s="58"/>
      <c r="E349" s="58" t="s">
        <v>1060</v>
      </c>
      <c r="F349" s="123" t="s">
        <v>2694</v>
      </c>
      <c r="G349" s="126" t="s">
        <v>582</v>
      </c>
      <c r="H349" s="45">
        <v>5200000</v>
      </c>
      <c r="I349" s="380" t="s">
        <v>1007</v>
      </c>
      <c r="J349" s="301">
        <v>44370</v>
      </c>
      <c r="K349" s="28">
        <f t="shared" si="52"/>
        <v>5200000</v>
      </c>
      <c r="L349" s="481">
        <v>2535000</v>
      </c>
      <c r="M349" s="459">
        <f t="shared" si="60"/>
        <v>130000</v>
      </c>
      <c r="N349" s="28">
        <f t="shared" si="54"/>
        <v>52000</v>
      </c>
      <c r="O349" s="28">
        <f t="shared" si="55"/>
        <v>104000</v>
      </c>
      <c r="P349" s="459">
        <v>2483000</v>
      </c>
      <c r="Q349" s="28">
        <f t="shared" si="56"/>
        <v>0</v>
      </c>
      <c r="R349" s="474">
        <v>44361</v>
      </c>
      <c r="S349" s="474">
        <v>44378</v>
      </c>
      <c r="T349" s="199">
        <v>14</v>
      </c>
      <c r="U349" s="24">
        <f t="shared" si="51"/>
        <v>44384</v>
      </c>
      <c r="V349"/>
      <c r="W349"/>
      <c r="X349"/>
      <c r="Y349"/>
      <c r="Z349"/>
      <c r="AA349"/>
      <c r="AB349"/>
      <c r="AC349"/>
      <c r="AD349"/>
      <c r="AE349"/>
      <c r="AF349"/>
      <c r="AG349"/>
      <c r="AH349"/>
      <c r="AI349"/>
      <c r="AJ349"/>
      <c r="AK349"/>
      <c r="AL349"/>
      <c r="AM349"/>
      <c r="AN349"/>
      <c r="AO349"/>
      <c r="AP349"/>
      <c r="AQ349"/>
    </row>
    <row r="350" spans="1:43" s="10" customFormat="1" ht="15.75" customHeight="1" x14ac:dyDescent="0.25">
      <c r="A350" s="55">
        <f t="shared" si="57"/>
        <v>25</v>
      </c>
      <c r="B350" s="56">
        <v>44361</v>
      </c>
      <c r="C350" s="58"/>
      <c r="D350" s="58"/>
      <c r="E350" s="58" t="s">
        <v>1061</v>
      </c>
      <c r="F350" s="123" t="s">
        <v>2694</v>
      </c>
      <c r="G350" s="126" t="s">
        <v>730</v>
      </c>
      <c r="H350" s="45">
        <v>3800000</v>
      </c>
      <c r="I350" s="380" t="s">
        <v>1008</v>
      </c>
      <c r="J350" s="301">
        <v>44370</v>
      </c>
      <c r="K350" s="28">
        <f t="shared" si="52"/>
        <v>3800000</v>
      </c>
      <c r="L350" s="481">
        <v>1852500</v>
      </c>
      <c r="M350" s="459">
        <f t="shared" si="60"/>
        <v>95000</v>
      </c>
      <c r="N350" s="28">
        <f t="shared" si="54"/>
        <v>38000</v>
      </c>
      <c r="O350" s="28">
        <f t="shared" si="55"/>
        <v>76000</v>
      </c>
      <c r="P350" s="459">
        <v>1814500</v>
      </c>
      <c r="Q350" s="28">
        <f t="shared" si="56"/>
        <v>0</v>
      </c>
      <c r="R350" s="474">
        <v>44361</v>
      </c>
      <c r="S350" s="474">
        <v>44383</v>
      </c>
      <c r="T350" s="199">
        <v>14</v>
      </c>
      <c r="U350" s="24">
        <f t="shared" si="51"/>
        <v>44384</v>
      </c>
      <c r="V350"/>
      <c r="W350"/>
      <c r="X350"/>
      <c r="Y350"/>
      <c r="Z350"/>
      <c r="AA350"/>
      <c r="AB350"/>
      <c r="AC350"/>
      <c r="AD350"/>
      <c r="AE350"/>
      <c r="AF350"/>
      <c r="AG350"/>
      <c r="AH350"/>
      <c r="AI350"/>
      <c r="AJ350"/>
      <c r="AK350"/>
      <c r="AL350"/>
      <c r="AM350"/>
      <c r="AN350"/>
      <c r="AO350"/>
      <c r="AP350"/>
      <c r="AQ350"/>
    </row>
    <row r="351" spans="1:43" s="10" customFormat="1" ht="15.75" customHeight="1" x14ac:dyDescent="0.25">
      <c r="A351" s="55">
        <f t="shared" si="57"/>
        <v>26</v>
      </c>
      <c r="B351" s="56">
        <v>44363</v>
      </c>
      <c r="C351" s="58" t="s">
        <v>1683</v>
      </c>
      <c r="D351" s="58"/>
      <c r="E351" s="58"/>
      <c r="F351" s="69" t="s">
        <v>279</v>
      </c>
      <c r="G351" s="126" t="s">
        <v>994</v>
      </c>
      <c r="H351" s="45">
        <v>3267327</v>
      </c>
      <c r="I351" s="380" t="s">
        <v>1009</v>
      </c>
      <c r="J351" s="301">
        <v>44370</v>
      </c>
      <c r="K351" s="28">
        <f t="shared" si="52"/>
        <v>3267327</v>
      </c>
      <c r="L351" s="460"/>
      <c r="M351" s="459"/>
      <c r="N351" s="28">
        <f t="shared" si="54"/>
        <v>32673.27</v>
      </c>
      <c r="O351" s="28">
        <f t="shared" si="55"/>
        <v>65346.54</v>
      </c>
      <c r="P351" s="459">
        <v>3234653.73</v>
      </c>
      <c r="Q351" s="28">
        <f t="shared" si="56"/>
        <v>0</v>
      </c>
      <c r="R351" s="199"/>
      <c r="S351" s="197">
        <v>44446</v>
      </c>
      <c r="T351" s="2">
        <v>30</v>
      </c>
      <c r="U351" s="24">
        <f t="shared" si="51"/>
        <v>44400</v>
      </c>
      <c r="V351"/>
      <c r="W351"/>
      <c r="X351"/>
      <c r="Y351"/>
      <c r="Z351"/>
      <c r="AA351"/>
      <c r="AB351"/>
      <c r="AC351"/>
      <c r="AD351"/>
      <c r="AE351"/>
      <c r="AF351"/>
      <c r="AG351"/>
      <c r="AH351"/>
      <c r="AI351"/>
      <c r="AJ351"/>
      <c r="AK351"/>
      <c r="AL351"/>
      <c r="AM351"/>
      <c r="AN351"/>
      <c r="AO351"/>
      <c r="AP351"/>
      <c r="AQ351"/>
    </row>
    <row r="352" spans="1:43" s="10" customFormat="1" ht="15.75" customHeight="1" x14ac:dyDescent="0.25">
      <c r="A352" s="55">
        <f t="shared" si="57"/>
        <v>27</v>
      </c>
      <c r="B352" s="56">
        <v>44363</v>
      </c>
      <c r="C352" s="58" t="s">
        <v>1684</v>
      </c>
      <c r="D352" s="58"/>
      <c r="E352" s="58"/>
      <c r="F352" s="69" t="s">
        <v>279</v>
      </c>
      <c r="G352" s="126" t="s">
        <v>772</v>
      </c>
      <c r="H352" s="45">
        <v>3019801.9</v>
      </c>
      <c r="I352" s="380" t="s">
        <v>1010</v>
      </c>
      <c r="J352" s="301">
        <v>44370</v>
      </c>
      <c r="K352" s="28">
        <f t="shared" si="52"/>
        <v>3019801.9</v>
      </c>
      <c r="L352" s="460"/>
      <c r="M352" s="459"/>
      <c r="N352" s="28">
        <f t="shared" si="54"/>
        <v>30198.019</v>
      </c>
      <c r="O352" s="28">
        <f t="shared" si="55"/>
        <v>60396.038</v>
      </c>
      <c r="P352" s="459">
        <v>2989603.8809999996</v>
      </c>
      <c r="Q352" s="28">
        <f t="shared" si="56"/>
        <v>1.4551915228366852E-10</v>
      </c>
      <c r="R352" s="199"/>
      <c r="S352" s="197">
        <v>44446</v>
      </c>
      <c r="T352" s="2">
        <v>30</v>
      </c>
      <c r="U352" s="24">
        <f t="shared" si="51"/>
        <v>44400</v>
      </c>
      <c r="V352"/>
      <c r="W352"/>
      <c r="X352"/>
      <c r="Y352"/>
      <c r="Z352"/>
      <c r="AA352"/>
      <c r="AB352"/>
      <c r="AC352"/>
      <c r="AD352"/>
      <c r="AE352"/>
      <c r="AF352"/>
      <c r="AG352"/>
      <c r="AH352"/>
      <c r="AI352"/>
      <c r="AJ352"/>
      <c r="AK352"/>
      <c r="AL352"/>
      <c r="AM352"/>
      <c r="AN352"/>
      <c r="AO352"/>
      <c r="AP352"/>
      <c r="AQ352"/>
    </row>
    <row r="353" spans="1:43" s="10" customFormat="1" ht="15.75" customHeight="1" x14ac:dyDescent="0.25">
      <c r="A353" s="55">
        <f t="shared" si="57"/>
        <v>28</v>
      </c>
      <c r="B353" s="56">
        <v>44337</v>
      </c>
      <c r="C353" s="58" t="s">
        <v>1086</v>
      </c>
      <c r="D353" s="58"/>
      <c r="E353" s="58"/>
      <c r="F353" s="123" t="s">
        <v>1744</v>
      </c>
      <c r="G353" s="126" t="s">
        <v>477</v>
      </c>
      <c r="H353" s="45">
        <v>505000</v>
      </c>
      <c r="I353" s="380" t="s">
        <v>1085</v>
      </c>
      <c r="J353" s="301">
        <v>44371</v>
      </c>
      <c r="K353" s="28">
        <f t="shared" si="52"/>
        <v>505000</v>
      </c>
      <c r="L353" s="460"/>
      <c r="M353" s="459">
        <v>3925</v>
      </c>
      <c r="N353" s="28">
        <f t="shared" si="54"/>
        <v>5050</v>
      </c>
      <c r="O353" s="28">
        <f t="shared" si="55"/>
        <v>10100</v>
      </c>
      <c r="P353" s="459">
        <v>496025</v>
      </c>
      <c r="Q353" s="28">
        <f t="shared" si="56"/>
        <v>0</v>
      </c>
      <c r="R353" s="199"/>
      <c r="S353" s="197">
        <v>44470</v>
      </c>
      <c r="T353" s="199">
        <v>30</v>
      </c>
      <c r="U353" s="24">
        <f t="shared" si="51"/>
        <v>44401</v>
      </c>
      <c r="V353"/>
      <c r="W353"/>
      <c r="X353"/>
      <c r="Y353"/>
      <c r="Z353"/>
      <c r="AA353"/>
      <c r="AB353"/>
      <c r="AC353"/>
      <c r="AD353"/>
      <c r="AE353"/>
      <c r="AF353"/>
      <c r="AG353"/>
      <c r="AH353"/>
      <c r="AI353"/>
      <c r="AJ353"/>
      <c r="AK353"/>
      <c r="AL353"/>
      <c r="AM353"/>
      <c r="AN353"/>
      <c r="AO353"/>
      <c r="AP353"/>
      <c r="AQ353"/>
    </row>
    <row r="354" spans="1:43" s="10" customFormat="1" ht="15.75" customHeight="1" x14ac:dyDescent="0.25">
      <c r="A354" s="55">
        <f t="shared" si="57"/>
        <v>29</v>
      </c>
      <c r="B354" s="56">
        <v>44369</v>
      </c>
      <c r="C354" s="58" t="s">
        <v>1685</v>
      </c>
      <c r="D354" s="58"/>
      <c r="E354" s="58" t="s">
        <v>1088</v>
      </c>
      <c r="F354" s="123" t="s">
        <v>2694</v>
      </c>
      <c r="G354" s="126" t="s">
        <v>582</v>
      </c>
      <c r="H354" s="45">
        <v>3200000</v>
      </c>
      <c r="I354" s="380" t="s">
        <v>1087</v>
      </c>
      <c r="J354" s="301">
        <v>44376</v>
      </c>
      <c r="K354" s="28">
        <f t="shared" si="52"/>
        <v>3200000</v>
      </c>
      <c r="L354" s="481">
        <v>1560000</v>
      </c>
      <c r="M354" s="459">
        <v>80800</v>
      </c>
      <c r="N354" s="28">
        <f t="shared" si="54"/>
        <v>32000</v>
      </c>
      <c r="O354" s="28">
        <f t="shared" si="55"/>
        <v>64000</v>
      </c>
      <c r="P354" s="869">
        <v>1527200</v>
      </c>
      <c r="Q354" s="28">
        <f t="shared" si="56"/>
        <v>0</v>
      </c>
      <c r="R354" s="474">
        <v>44400</v>
      </c>
      <c r="S354" s="474">
        <v>44383</v>
      </c>
      <c r="T354" s="199">
        <v>14</v>
      </c>
      <c r="U354" s="24">
        <f t="shared" si="51"/>
        <v>44390</v>
      </c>
      <c r="V354"/>
      <c r="W354"/>
      <c r="X354"/>
      <c r="Y354"/>
      <c r="Z354"/>
      <c r="AA354"/>
      <c r="AB354"/>
      <c r="AC354"/>
      <c r="AD354"/>
      <c r="AE354"/>
      <c r="AF354"/>
      <c r="AG354"/>
      <c r="AH354"/>
      <c r="AI354"/>
      <c r="AJ354"/>
      <c r="AK354"/>
      <c r="AL354"/>
      <c r="AM354"/>
      <c r="AN354"/>
      <c r="AO354"/>
      <c r="AP354"/>
      <c r="AQ354"/>
    </row>
    <row r="355" spans="1:43" s="10" customFormat="1" ht="15.75" customHeight="1" x14ac:dyDescent="0.25">
      <c r="A355" s="55">
        <f t="shared" si="57"/>
        <v>30</v>
      </c>
      <c r="B355" s="56">
        <v>44370</v>
      </c>
      <c r="C355" s="58"/>
      <c r="D355" s="58"/>
      <c r="E355" s="58" t="s">
        <v>1102</v>
      </c>
      <c r="F355" s="123" t="s">
        <v>2694</v>
      </c>
      <c r="G355" s="126" t="s">
        <v>417</v>
      </c>
      <c r="H355" s="45">
        <v>1302000</v>
      </c>
      <c r="I355" s="380" t="s">
        <v>1101</v>
      </c>
      <c r="J355" s="301">
        <v>44376</v>
      </c>
      <c r="K355" s="28">
        <f t="shared" si="52"/>
        <v>1302000</v>
      </c>
      <c r="L355" s="460"/>
      <c r="M355" s="459">
        <f t="shared" ref="M355" si="61">K355*2.5%</f>
        <v>32550</v>
      </c>
      <c r="N355" s="28">
        <f t="shared" si="54"/>
        <v>13020</v>
      </c>
      <c r="O355" s="28">
        <f t="shared" si="55"/>
        <v>26040</v>
      </c>
      <c r="P355" s="459">
        <v>1256430</v>
      </c>
      <c r="Q355" s="28">
        <f t="shared" si="56"/>
        <v>0</v>
      </c>
      <c r="R355" s="743"/>
      <c r="S355" s="474">
        <v>44383</v>
      </c>
      <c r="T355" s="199">
        <v>14</v>
      </c>
      <c r="U355" s="24">
        <f t="shared" si="51"/>
        <v>44390</v>
      </c>
      <c r="V355"/>
      <c r="W355"/>
      <c r="X355"/>
      <c r="Y355"/>
      <c r="Z355"/>
      <c r="AA355"/>
      <c r="AB355"/>
      <c r="AC355"/>
      <c r="AD355"/>
      <c r="AE355"/>
      <c r="AF355"/>
      <c r="AG355"/>
      <c r="AH355"/>
      <c r="AI355"/>
      <c r="AJ355"/>
      <c r="AK355"/>
      <c r="AL355"/>
      <c r="AM355"/>
      <c r="AN355"/>
      <c r="AO355"/>
      <c r="AP355"/>
      <c r="AQ355"/>
    </row>
    <row r="356" spans="1:43" s="10" customFormat="1" ht="15.75" customHeight="1" x14ac:dyDescent="0.25">
      <c r="A356" s="55">
        <f t="shared" si="57"/>
        <v>31</v>
      </c>
      <c r="B356" s="56">
        <v>44372</v>
      </c>
      <c r="C356" s="58" t="s">
        <v>1686</v>
      </c>
      <c r="D356" s="58"/>
      <c r="E356" s="58"/>
      <c r="F356" s="112" t="s">
        <v>1104</v>
      </c>
      <c r="G356" s="126" t="s">
        <v>161</v>
      </c>
      <c r="H356" s="45">
        <v>4400000</v>
      </c>
      <c r="I356" s="380" t="s">
        <v>1103</v>
      </c>
      <c r="J356" s="301">
        <v>44377</v>
      </c>
      <c r="K356" s="28">
        <f t="shared" si="52"/>
        <v>4400000</v>
      </c>
      <c r="L356" s="460"/>
      <c r="M356" s="459"/>
      <c r="N356" s="28">
        <f t="shared" si="54"/>
        <v>44000</v>
      </c>
      <c r="O356" s="28"/>
      <c r="P356" s="459">
        <v>4444000</v>
      </c>
      <c r="Q356" s="28">
        <f t="shared" si="56"/>
        <v>0</v>
      </c>
      <c r="R356" s="199"/>
      <c r="S356" s="197">
        <v>44389</v>
      </c>
      <c r="T356" s="199">
        <v>14</v>
      </c>
      <c r="U356" s="24">
        <f t="shared" si="51"/>
        <v>44391</v>
      </c>
      <c r="V356"/>
      <c r="W356"/>
      <c r="X356"/>
      <c r="Y356"/>
      <c r="Z356"/>
      <c r="AA356"/>
      <c r="AB356"/>
      <c r="AC356"/>
      <c r="AD356"/>
      <c r="AE356"/>
      <c r="AF356"/>
      <c r="AG356"/>
      <c r="AH356"/>
      <c r="AI356"/>
      <c r="AJ356"/>
      <c r="AK356"/>
      <c r="AL356"/>
      <c r="AM356"/>
      <c r="AN356"/>
      <c r="AO356"/>
      <c r="AP356"/>
      <c r="AQ356"/>
    </row>
    <row r="357" spans="1:43" s="10" customFormat="1" ht="15.75" customHeight="1" x14ac:dyDescent="0.25">
      <c r="A357" s="55">
        <f t="shared" si="57"/>
        <v>32</v>
      </c>
      <c r="B357" s="79">
        <v>44345</v>
      </c>
      <c r="C357" s="330"/>
      <c r="D357" s="330"/>
      <c r="E357" s="330" t="s">
        <v>929</v>
      </c>
      <c r="F357" s="123" t="s">
        <v>2694</v>
      </c>
      <c r="G357" s="126" t="s">
        <v>996</v>
      </c>
      <c r="H357" s="45">
        <v>821000</v>
      </c>
      <c r="I357" s="377" t="s">
        <v>995</v>
      </c>
      <c r="J357" s="301">
        <v>44358</v>
      </c>
      <c r="K357" s="460">
        <f t="shared" si="52"/>
        <v>821000</v>
      </c>
      <c r="L357" s="460">
        <v>490000</v>
      </c>
      <c r="M357" s="460">
        <v>10000</v>
      </c>
      <c r="N357" s="460"/>
      <c r="O357" s="460"/>
      <c r="P357" s="460">
        <v>321000</v>
      </c>
      <c r="Q357" s="28">
        <f t="shared" si="56"/>
        <v>0</v>
      </c>
      <c r="R357" s="474">
        <v>44413</v>
      </c>
      <c r="S357" s="474">
        <v>44413</v>
      </c>
      <c r="T357" s="199">
        <v>14</v>
      </c>
      <c r="U357" s="24">
        <f t="shared" si="51"/>
        <v>44372</v>
      </c>
      <c r="V357"/>
      <c r="W357"/>
      <c r="X357"/>
      <c r="Y357"/>
      <c r="Z357"/>
      <c r="AA357"/>
      <c r="AB357"/>
      <c r="AC357"/>
      <c r="AD357"/>
      <c r="AE357"/>
      <c r="AF357"/>
      <c r="AG357"/>
      <c r="AH357"/>
      <c r="AI357"/>
      <c r="AJ357"/>
      <c r="AK357"/>
      <c r="AL357"/>
      <c r="AM357"/>
      <c r="AN357"/>
      <c r="AO357"/>
      <c r="AP357"/>
      <c r="AQ357"/>
    </row>
    <row r="358" spans="1:43" s="10" customFormat="1" ht="15.75" customHeight="1" x14ac:dyDescent="0.25">
      <c r="A358" s="55">
        <f t="shared" si="57"/>
        <v>33</v>
      </c>
      <c r="B358" s="56">
        <v>44358</v>
      </c>
      <c r="C358" s="58" t="s">
        <v>997</v>
      </c>
      <c r="D358" s="58"/>
      <c r="E358" s="58"/>
      <c r="F358" s="112" t="s">
        <v>998</v>
      </c>
      <c r="G358" s="126" t="s">
        <v>163</v>
      </c>
      <c r="H358" s="45">
        <v>7000000</v>
      </c>
      <c r="I358" s="380" t="s">
        <v>1011</v>
      </c>
      <c r="J358" s="301">
        <v>44358</v>
      </c>
      <c r="K358" s="460">
        <f t="shared" si="52"/>
        <v>7000000</v>
      </c>
      <c r="L358" s="460"/>
      <c r="M358" s="459"/>
      <c r="N358" s="459"/>
      <c r="O358" s="459"/>
      <c r="P358" s="459">
        <v>7000000</v>
      </c>
      <c r="Q358" s="28">
        <f t="shared" si="56"/>
        <v>0</v>
      </c>
      <c r="R358" s="197"/>
      <c r="S358" s="197">
        <v>44358</v>
      </c>
      <c r="T358" s="199">
        <v>14</v>
      </c>
      <c r="U358" s="24">
        <f t="shared" si="51"/>
        <v>44372</v>
      </c>
      <c r="V358"/>
      <c r="W358"/>
      <c r="X358"/>
      <c r="Y358"/>
      <c r="Z358"/>
      <c r="AA358"/>
      <c r="AB358"/>
      <c r="AC358"/>
      <c r="AD358"/>
      <c r="AE358"/>
      <c r="AF358"/>
      <c r="AG358"/>
      <c r="AH358"/>
      <c r="AI358"/>
      <c r="AJ358"/>
      <c r="AK358"/>
      <c r="AL358"/>
      <c r="AM358"/>
      <c r="AN358"/>
      <c r="AO358"/>
      <c r="AP358"/>
      <c r="AQ358"/>
    </row>
    <row r="359" spans="1:43" s="10" customFormat="1" ht="15.75" customHeight="1" x14ac:dyDescent="0.25">
      <c r="A359" s="55">
        <f t="shared" si="57"/>
        <v>34</v>
      </c>
      <c r="B359" s="56">
        <v>44358</v>
      </c>
      <c r="C359" s="58"/>
      <c r="D359" s="58"/>
      <c r="E359" s="58"/>
      <c r="F359" s="112" t="s">
        <v>999</v>
      </c>
      <c r="G359" s="126" t="s">
        <v>161</v>
      </c>
      <c r="H359" s="45">
        <v>1300000</v>
      </c>
      <c r="I359" s="380" t="s">
        <v>1012</v>
      </c>
      <c r="J359" s="301">
        <v>44358</v>
      </c>
      <c r="K359" s="460">
        <f t="shared" si="52"/>
        <v>1300000</v>
      </c>
      <c r="L359" s="460"/>
      <c r="M359" s="459"/>
      <c r="N359" s="459"/>
      <c r="O359" s="459"/>
      <c r="P359" s="459">
        <v>1300000</v>
      </c>
      <c r="Q359" s="28">
        <f t="shared" si="56"/>
        <v>0</v>
      </c>
      <c r="R359" s="197">
        <v>44363</v>
      </c>
      <c r="S359" s="197"/>
      <c r="T359" s="199">
        <v>14</v>
      </c>
      <c r="U359" s="24">
        <f t="shared" si="51"/>
        <v>44372</v>
      </c>
      <c r="V359"/>
      <c r="W359"/>
      <c r="X359"/>
      <c r="Y359"/>
      <c r="Z359"/>
      <c r="AA359"/>
      <c r="AB359"/>
      <c r="AC359"/>
      <c r="AD359"/>
      <c r="AE359"/>
      <c r="AF359"/>
      <c r="AG359"/>
      <c r="AH359"/>
      <c r="AI359"/>
      <c r="AJ359"/>
      <c r="AK359"/>
      <c r="AL359"/>
      <c r="AM359"/>
      <c r="AN359"/>
      <c r="AO359"/>
      <c r="AP359"/>
      <c r="AQ359"/>
    </row>
    <row r="360" spans="1:43" s="10" customFormat="1" ht="15.75" customHeight="1" x14ac:dyDescent="0.25">
      <c r="A360" s="55">
        <f t="shared" si="57"/>
        <v>35</v>
      </c>
      <c r="B360" s="56">
        <v>44355</v>
      </c>
      <c r="C360" s="58" t="s">
        <v>1000</v>
      </c>
      <c r="D360" s="58"/>
      <c r="E360" s="58"/>
      <c r="F360" s="112" t="s">
        <v>53</v>
      </c>
      <c r="G360" s="126" t="s">
        <v>161</v>
      </c>
      <c r="H360" s="45">
        <v>1100000</v>
      </c>
      <c r="I360" s="380" t="s">
        <v>1013</v>
      </c>
      <c r="J360" s="301">
        <v>44359</v>
      </c>
      <c r="K360" s="460">
        <f t="shared" si="52"/>
        <v>1100000</v>
      </c>
      <c r="L360" s="460"/>
      <c r="M360" s="459"/>
      <c r="N360" s="459"/>
      <c r="O360" s="459"/>
      <c r="P360" s="459">
        <v>1100000</v>
      </c>
      <c r="Q360" s="28">
        <f t="shared" si="56"/>
        <v>0</v>
      </c>
      <c r="R360" s="197"/>
      <c r="S360" s="197">
        <v>44400</v>
      </c>
      <c r="T360" s="2">
        <v>14</v>
      </c>
      <c r="U360" s="24">
        <f t="shared" si="51"/>
        <v>44373</v>
      </c>
      <c r="V360"/>
      <c r="W360"/>
      <c r="X360"/>
      <c r="Y360"/>
      <c r="Z360"/>
      <c r="AA360"/>
      <c r="AB360"/>
      <c r="AC360"/>
      <c r="AD360"/>
      <c r="AE360"/>
      <c r="AF360"/>
      <c r="AG360"/>
      <c r="AH360"/>
      <c r="AI360"/>
      <c r="AJ360"/>
      <c r="AK360"/>
      <c r="AL360"/>
      <c r="AM360"/>
      <c r="AN360"/>
      <c r="AO360"/>
      <c r="AP360"/>
      <c r="AQ360"/>
    </row>
    <row r="361" spans="1:43" s="10" customFormat="1" ht="15.75" customHeight="1" x14ac:dyDescent="0.25">
      <c r="A361" s="55">
        <f t="shared" si="57"/>
        <v>36</v>
      </c>
      <c r="B361" s="56">
        <v>44349</v>
      </c>
      <c r="C361" s="58" t="s">
        <v>1001</v>
      </c>
      <c r="D361" s="58"/>
      <c r="E361" s="58"/>
      <c r="F361" s="123" t="s">
        <v>933</v>
      </c>
      <c r="G361" s="126" t="s">
        <v>171</v>
      </c>
      <c r="H361" s="45">
        <v>5500000</v>
      </c>
      <c r="I361" s="380" t="s">
        <v>1014</v>
      </c>
      <c r="J361" s="301">
        <v>44359</v>
      </c>
      <c r="K361" s="460">
        <f t="shared" si="52"/>
        <v>5500000</v>
      </c>
      <c r="L361" s="460"/>
      <c r="M361" s="459"/>
      <c r="N361" s="459"/>
      <c r="O361" s="459"/>
      <c r="P361" s="459">
        <v>5500000</v>
      </c>
      <c r="Q361" s="28">
        <f t="shared" si="56"/>
        <v>0</v>
      </c>
      <c r="R361" s="197">
        <v>44386</v>
      </c>
      <c r="S361" s="197"/>
      <c r="T361" s="2">
        <v>14</v>
      </c>
      <c r="U361" s="24">
        <f t="shared" si="51"/>
        <v>44373</v>
      </c>
      <c r="V361"/>
      <c r="W361"/>
      <c r="X361"/>
      <c r="Y361"/>
      <c r="Z361"/>
      <c r="AA361"/>
      <c r="AB361"/>
      <c r="AC361"/>
      <c r="AD361"/>
      <c r="AE361"/>
      <c r="AF361"/>
      <c r="AG361"/>
      <c r="AH361"/>
      <c r="AI361"/>
      <c r="AJ361"/>
      <c r="AK361"/>
      <c r="AL361"/>
      <c r="AM361"/>
      <c r="AN361"/>
      <c r="AO361"/>
      <c r="AP361"/>
      <c r="AQ361"/>
    </row>
    <row r="362" spans="1:43" s="10" customFormat="1" ht="15.75" customHeight="1" x14ac:dyDescent="0.25">
      <c r="A362" s="55">
        <f t="shared" si="57"/>
        <v>37</v>
      </c>
      <c r="B362" s="56">
        <v>44350</v>
      </c>
      <c r="C362" s="58"/>
      <c r="D362" s="58"/>
      <c r="E362" s="58"/>
      <c r="F362" s="112" t="s">
        <v>1002</v>
      </c>
      <c r="G362" s="126" t="s">
        <v>653</v>
      </c>
      <c r="H362" s="45">
        <v>700000</v>
      </c>
      <c r="I362" s="380" t="s">
        <v>1015</v>
      </c>
      <c r="J362" s="301">
        <v>44359</v>
      </c>
      <c r="K362" s="460">
        <f t="shared" si="52"/>
        <v>700000</v>
      </c>
      <c r="L362" s="460"/>
      <c r="M362" s="459"/>
      <c r="N362" s="459"/>
      <c r="O362" s="459"/>
      <c r="P362" s="459">
        <v>700000</v>
      </c>
      <c r="Q362" s="28">
        <f t="shared" si="56"/>
        <v>0</v>
      </c>
      <c r="R362" s="199"/>
      <c r="S362" s="197">
        <v>44545</v>
      </c>
      <c r="T362" s="199">
        <v>14</v>
      </c>
      <c r="U362" s="24">
        <f t="shared" si="51"/>
        <v>44373</v>
      </c>
      <c r="V362"/>
      <c r="W362"/>
      <c r="X362"/>
      <c r="Y362"/>
      <c r="Z362"/>
      <c r="AA362"/>
      <c r="AB362"/>
      <c r="AC362"/>
      <c r="AD362"/>
      <c r="AE362"/>
      <c r="AF362"/>
      <c r="AG362"/>
      <c r="AH362"/>
      <c r="AI362"/>
      <c r="AJ362"/>
      <c r="AK362"/>
      <c r="AL362"/>
      <c r="AM362"/>
      <c r="AN362"/>
      <c r="AO362"/>
      <c r="AP362"/>
      <c r="AQ362"/>
    </row>
    <row r="363" spans="1:43" s="10" customFormat="1" ht="15.75" customHeight="1" x14ac:dyDescent="0.25">
      <c r="A363" s="55">
        <f t="shared" si="57"/>
        <v>38</v>
      </c>
      <c r="B363" s="56">
        <v>44359</v>
      </c>
      <c r="C363" s="58" t="s">
        <v>1017</v>
      </c>
      <c r="D363" s="58"/>
      <c r="E363" s="58"/>
      <c r="F363" s="123" t="s">
        <v>1474</v>
      </c>
      <c r="G363" s="126" t="s">
        <v>467</v>
      </c>
      <c r="H363" s="45">
        <v>1250000</v>
      </c>
      <c r="I363" s="380" t="s">
        <v>1016</v>
      </c>
      <c r="J363" s="301">
        <v>44361</v>
      </c>
      <c r="K363" s="460">
        <f t="shared" si="52"/>
        <v>1250000</v>
      </c>
      <c r="L363" s="460"/>
      <c r="M363" s="459"/>
      <c r="N363" s="459"/>
      <c r="O363" s="459"/>
      <c r="P363" s="459">
        <v>1250000</v>
      </c>
      <c r="Q363" s="28">
        <f t="shared" si="56"/>
        <v>0</v>
      </c>
      <c r="R363" s="197"/>
      <c r="S363" s="197">
        <v>44368</v>
      </c>
      <c r="T363" s="199">
        <v>14</v>
      </c>
      <c r="U363" s="24">
        <f t="shared" si="51"/>
        <v>44375</v>
      </c>
      <c r="V363"/>
      <c r="W363"/>
      <c r="X363"/>
      <c r="Y363"/>
      <c r="Z363"/>
      <c r="AA363"/>
      <c r="AB363"/>
      <c r="AC363"/>
      <c r="AD363"/>
      <c r="AE363"/>
      <c r="AF363"/>
      <c r="AG363"/>
      <c r="AH363"/>
      <c r="AI363"/>
      <c r="AJ363"/>
      <c r="AK363"/>
      <c r="AL363"/>
      <c r="AM363"/>
      <c r="AN363"/>
      <c r="AO363"/>
      <c r="AP363"/>
      <c r="AQ363"/>
    </row>
    <row r="364" spans="1:43" s="10" customFormat="1" ht="15.75" customHeight="1" x14ac:dyDescent="0.25">
      <c r="A364" s="55">
        <f t="shared" si="57"/>
        <v>39</v>
      </c>
      <c r="B364" s="56">
        <v>44356</v>
      </c>
      <c r="C364" s="58" t="s">
        <v>1022</v>
      </c>
      <c r="D364" s="58"/>
      <c r="E364" s="58"/>
      <c r="F364" s="123" t="s">
        <v>1023</v>
      </c>
      <c r="G364" s="126" t="s">
        <v>1024</v>
      </c>
      <c r="H364" s="45">
        <v>2600000</v>
      </c>
      <c r="I364" s="380" t="s">
        <v>1018</v>
      </c>
      <c r="J364" s="301">
        <v>44361</v>
      </c>
      <c r="K364" s="460">
        <f t="shared" si="52"/>
        <v>2600000</v>
      </c>
      <c r="L364" s="460">
        <v>1000000</v>
      </c>
      <c r="M364" s="459"/>
      <c r="N364" s="459"/>
      <c r="O364" s="459"/>
      <c r="P364" s="459">
        <v>1600000</v>
      </c>
      <c r="Q364" s="28">
        <f t="shared" si="56"/>
        <v>0</v>
      </c>
      <c r="R364" s="197"/>
      <c r="S364" s="197">
        <v>44362</v>
      </c>
      <c r="T364" s="199">
        <v>14</v>
      </c>
      <c r="U364" s="24">
        <f t="shared" si="51"/>
        <v>44375</v>
      </c>
      <c r="V364"/>
      <c r="W364"/>
      <c r="X364"/>
      <c r="Y364"/>
      <c r="Z364"/>
      <c r="AA364"/>
      <c r="AB364"/>
      <c r="AC364"/>
      <c r="AD364"/>
      <c r="AE364"/>
      <c r="AF364"/>
      <c r="AG364"/>
      <c r="AH364"/>
      <c r="AI364"/>
      <c r="AJ364"/>
      <c r="AK364"/>
      <c r="AL364"/>
      <c r="AM364"/>
      <c r="AN364"/>
      <c r="AO364"/>
      <c r="AP364"/>
      <c r="AQ364"/>
    </row>
    <row r="365" spans="1:43" s="10" customFormat="1" ht="15.75" customHeight="1" x14ac:dyDescent="0.25">
      <c r="A365" s="55">
        <f t="shared" si="57"/>
        <v>40</v>
      </c>
      <c r="B365" s="56">
        <v>44362</v>
      </c>
      <c r="C365" s="58"/>
      <c r="D365" s="58"/>
      <c r="E365" s="58"/>
      <c r="F365" s="123" t="s">
        <v>1025</v>
      </c>
      <c r="G365" s="126" t="s">
        <v>582</v>
      </c>
      <c r="H365" s="45">
        <v>3500000</v>
      </c>
      <c r="I365" s="380" t="s">
        <v>1019</v>
      </c>
      <c r="J365" s="301">
        <v>44362</v>
      </c>
      <c r="K365" s="460">
        <f t="shared" si="52"/>
        <v>3500000</v>
      </c>
      <c r="L365" s="460"/>
      <c r="M365" s="459"/>
      <c r="N365" s="459"/>
      <c r="O365" s="459"/>
      <c r="P365" s="459">
        <v>3500000</v>
      </c>
      <c r="Q365" s="28">
        <f t="shared" si="56"/>
        <v>0</v>
      </c>
      <c r="R365" s="197"/>
      <c r="S365" s="197">
        <v>44372</v>
      </c>
      <c r="T365" s="199">
        <v>14</v>
      </c>
      <c r="U365" s="24">
        <f t="shared" si="51"/>
        <v>44376</v>
      </c>
      <c r="V365"/>
      <c r="W365"/>
      <c r="X365"/>
      <c r="Y365"/>
      <c r="Z365"/>
      <c r="AA365"/>
      <c r="AB365"/>
      <c r="AC365"/>
      <c r="AD365"/>
      <c r="AE365"/>
      <c r="AF365"/>
      <c r="AG365"/>
      <c r="AH365"/>
      <c r="AI365"/>
      <c r="AJ365"/>
      <c r="AK365"/>
      <c r="AL365"/>
      <c r="AM365"/>
      <c r="AN365"/>
      <c r="AO365"/>
      <c r="AP365"/>
      <c r="AQ365"/>
    </row>
    <row r="366" spans="1:43" s="10" customFormat="1" ht="15.75" customHeight="1" x14ac:dyDescent="0.25">
      <c r="A366" s="55">
        <f t="shared" si="57"/>
        <v>41</v>
      </c>
      <c r="B366" s="56">
        <v>44362</v>
      </c>
      <c r="C366" s="58"/>
      <c r="D366" s="58"/>
      <c r="E366" s="58"/>
      <c r="F366" s="123" t="s">
        <v>999</v>
      </c>
      <c r="G366" s="126" t="s">
        <v>161</v>
      </c>
      <c r="H366" s="45">
        <v>1300000</v>
      </c>
      <c r="I366" s="380" t="s">
        <v>1020</v>
      </c>
      <c r="J366" s="301">
        <v>44362</v>
      </c>
      <c r="K366" s="460">
        <f t="shared" si="52"/>
        <v>1300000</v>
      </c>
      <c r="L366" s="460"/>
      <c r="M366" s="459"/>
      <c r="N366" s="459"/>
      <c r="O366" s="459"/>
      <c r="P366" s="459">
        <v>1300000</v>
      </c>
      <c r="Q366" s="28">
        <f t="shared" si="56"/>
        <v>0</v>
      </c>
      <c r="R366" s="197">
        <v>44363</v>
      </c>
      <c r="S366" s="197"/>
      <c r="T366" s="199">
        <v>14</v>
      </c>
      <c r="U366" s="24">
        <f t="shared" si="51"/>
        <v>44376</v>
      </c>
      <c r="V366"/>
      <c r="W366"/>
      <c r="X366"/>
      <c r="Y366"/>
      <c r="Z366"/>
      <c r="AA366"/>
      <c r="AB366"/>
      <c r="AC366"/>
      <c r="AD366"/>
      <c r="AE366"/>
      <c r="AF366"/>
      <c r="AG366"/>
      <c r="AH366"/>
      <c r="AI366"/>
      <c r="AJ366"/>
      <c r="AK366"/>
      <c r="AL366"/>
      <c r="AM366"/>
      <c r="AN366"/>
      <c r="AO366"/>
      <c r="AP366"/>
      <c r="AQ366"/>
    </row>
    <row r="367" spans="1:43" s="10" customFormat="1" ht="15.75" customHeight="1" x14ac:dyDescent="0.25">
      <c r="A367" s="55">
        <f t="shared" si="57"/>
        <v>42</v>
      </c>
      <c r="B367" s="79">
        <v>44358</v>
      </c>
      <c r="C367" s="330"/>
      <c r="D367" s="330"/>
      <c r="E367" s="330" t="s">
        <v>1067</v>
      </c>
      <c r="F367" s="123" t="s">
        <v>2694</v>
      </c>
      <c r="G367" s="126" t="s">
        <v>462</v>
      </c>
      <c r="H367" s="45">
        <v>350000</v>
      </c>
      <c r="I367" s="377" t="s">
        <v>1021</v>
      </c>
      <c r="J367" s="301">
        <v>44363</v>
      </c>
      <c r="K367" s="460">
        <f t="shared" si="52"/>
        <v>350000</v>
      </c>
      <c r="L367" s="460"/>
      <c r="M367" s="460"/>
      <c r="N367" s="460"/>
      <c r="O367" s="460"/>
      <c r="P367" s="460"/>
      <c r="Q367" s="28">
        <f t="shared" si="56"/>
        <v>350000</v>
      </c>
      <c r="R367" s="743"/>
      <c r="S367" s="743"/>
      <c r="T367" s="199">
        <v>14</v>
      </c>
      <c r="U367" s="24">
        <f t="shared" si="51"/>
        <v>44377</v>
      </c>
      <c r="V367"/>
      <c r="W367"/>
      <c r="X367"/>
      <c r="Y367"/>
      <c r="Z367"/>
      <c r="AA367"/>
      <c r="AB367"/>
      <c r="AC367"/>
      <c r="AD367"/>
      <c r="AE367"/>
      <c r="AF367"/>
      <c r="AG367"/>
      <c r="AH367"/>
      <c r="AI367"/>
      <c r="AJ367"/>
      <c r="AK367"/>
      <c r="AL367"/>
      <c r="AM367"/>
      <c r="AN367"/>
      <c r="AO367"/>
      <c r="AP367"/>
      <c r="AQ367"/>
    </row>
    <row r="368" spans="1:43" s="10" customFormat="1" ht="13.5" customHeight="1" x14ac:dyDescent="0.25">
      <c r="A368" s="55">
        <f t="shared" si="57"/>
        <v>43</v>
      </c>
      <c r="B368" s="56">
        <v>44359</v>
      </c>
      <c r="C368" s="58"/>
      <c r="D368" s="58"/>
      <c r="E368" s="58"/>
      <c r="F368" s="123" t="s">
        <v>461</v>
      </c>
      <c r="G368" s="126" t="s">
        <v>1054</v>
      </c>
      <c r="H368" s="45">
        <v>4100000</v>
      </c>
      <c r="I368" s="380" t="s">
        <v>1026</v>
      </c>
      <c r="J368" s="301">
        <v>44365</v>
      </c>
      <c r="K368" s="460">
        <f t="shared" si="52"/>
        <v>4100000</v>
      </c>
      <c r="L368" s="460"/>
      <c r="M368" s="459"/>
      <c r="N368" s="459"/>
      <c r="O368" s="459"/>
      <c r="P368" s="459">
        <v>4100000</v>
      </c>
      <c r="Q368" s="28">
        <f t="shared" si="56"/>
        <v>0</v>
      </c>
      <c r="R368" s="197"/>
      <c r="S368" s="197">
        <v>44383</v>
      </c>
      <c r="T368" s="2">
        <v>14</v>
      </c>
      <c r="U368" s="24">
        <f t="shared" si="51"/>
        <v>44379</v>
      </c>
      <c r="V368"/>
      <c r="W368"/>
      <c r="X368"/>
      <c r="Y368"/>
      <c r="Z368"/>
      <c r="AA368"/>
      <c r="AB368"/>
      <c r="AC368"/>
      <c r="AD368"/>
      <c r="AE368"/>
      <c r="AF368"/>
      <c r="AG368"/>
      <c r="AH368"/>
      <c r="AI368"/>
      <c r="AJ368"/>
      <c r="AK368"/>
      <c r="AL368"/>
      <c r="AM368"/>
      <c r="AN368"/>
      <c r="AO368"/>
      <c r="AP368"/>
      <c r="AQ368"/>
    </row>
    <row r="369" spans="1:43" s="10" customFormat="1" ht="15.75" customHeight="1" x14ac:dyDescent="0.25">
      <c r="A369" s="55">
        <f t="shared" si="57"/>
        <v>44</v>
      </c>
      <c r="B369" s="56">
        <v>44354</v>
      </c>
      <c r="C369" s="58" t="s">
        <v>1028</v>
      </c>
      <c r="D369" s="58"/>
      <c r="E369" s="58"/>
      <c r="F369" s="123" t="s">
        <v>1112</v>
      </c>
      <c r="G369" s="126" t="s">
        <v>1030</v>
      </c>
      <c r="H369" s="45">
        <v>6500000</v>
      </c>
      <c r="I369" s="380" t="s">
        <v>1027</v>
      </c>
      <c r="J369" s="301">
        <v>44365</v>
      </c>
      <c r="K369" s="460">
        <f t="shared" si="52"/>
        <v>6500000</v>
      </c>
      <c r="L369" s="460">
        <v>3000000</v>
      </c>
      <c r="M369" s="459">
        <v>500000</v>
      </c>
      <c r="N369" s="459"/>
      <c r="O369" s="459"/>
      <c r="P369" s="459">
        <v>3000000</v>
      </c>
      <c r="Q369" s="28">
        <f t="shared" si="56"/>
        <v>0</v>
      </c>
      <c r="R369" s="197">
        <v>44375</v>
      </c>
      <c r="S369" s="197"/>
      <c r="T369" s="199">
        <v>14</v>
      </c>
      <c r="U369" s="24">
        <f t="shared" si="51"/>
        <v>44379</v>
      </c>
      <c r="V369"/>
      <c r="W369"/>
      <c r="X369"/>
      <c r="Y369"/>
      <c r="Z369"/>
      <c r="AA369"/>
      <c r="AB369"/>
      <c r="AC369"/>
      <c r="AD369"/>
      <c r="AE369"/>
      <c r="AF369"/>
      <c r="AG369"/>
      <c r="AH369"/>
      <c r="AI369"/>
      <c r="AJ369"/>
      <c r="AK369"/>
      <c r="AL369"/>
      <c r="AM369"/>
      <c r="AN369"/>
      <c r="AO369"/>
      <c r="AP369"/>
      <c r="AQ369"/>
    </row>
    <row r="370" spans="1:43" s="10" customFormat="1" ht="15.75" customHeight="1" x14ac:dyDescent="0.25">
      <c r="A370" s="55">
        <f t="shared" si="57"/>
        <v>45</v>
      </c>
      <c r="B370" s="56">
        <v>44355</v>
      </c>
      <c r="C370" s="58"/>
      <c r="D370" s="58"/>
      <c r="E370" s="58"/>
      <c r="F370" s="123" t="s">
        <v>1975</v>
      </c>
      <c r="G370" s="126" t="s">
        <v>1055</v>
      </c>
      <c r="H370" s="296">
        <f>22000000+22000000+22000000+9000000+19000000</f>
        <v>94000000</v>
      </c>
      <c r="I370" s="380" t="s">
        <v>1031</v>
      </c>
      <c r="J370" s="301">
        <v>44365</v>
      </c>
      <c r="K370" s="460">
        <f t="shared" si="52"/>
        <v>94000000</v>
      </c>
      <c r="L370" s="460">
        <f>14000000+15000000+15000000+11000000+10000000+15000000</f>
        <v>80000000</v>
      </c>
      <c r="M370" s="459"/>
      <c r="N370" s="459"/>
      <c r="O370" s="459"/>
      <c r="P370" s="459">
        <v>14000000</v>
      </c>
      <c r="Q370" s="28">
        <f t="shared" si="56"/>
        <v>0</v>
      </c>
      <c r="R370" s="858" t="s">
        <v>2332</v>
      </c>
      <c r="S370" s="855"/>
      <c r="T370" s="199">
        <v>14</v>
      </c>
      <c r="U370" s="24">
        <f t="shared" si="51"/>
        <v>44379</v>
      </c>
      <c r="V370"/>
      <c r="W370"/>
      <c r="X370"/>
      <c r="Y370"/>
      <c r="Z370"/>
      <c r="AA370"/>
      <c r="AB370"/>
      <c r="AC370"/>
      <c r="AD370"/>
      <c r="AE370"/>
      <c r="AF370"/>
      <c r="AG370"/>
      <c r="AH370"/>
      <c r="AI370"/>
      <c r="AJ370"/>
      <c r="AK370"/>
      <c r="AL370"/>
      <c r="AM370"/>
      <c r="AN370"/>
      <c r="AO370"/>
      <c r="AP370"/>
      <c r="AQ370"/>
    </row>
    <row r="371" spans="1:43" s="10" customFormat="1" ht="15.75" customHeight="1" x14ac:dyDescent="0.25">
      <c r="A371" s="55">
        <f t="shared" si="57"/>
        <v>46</v>
      </c>
      <c r="B371" s="56">
        <v>44355</v>
      </c>
      <c r="C371" s="58" t="s">
        <v>1034</v>
      </c>
      <c r="D371" s="58"/>
      <c r="E371" s="58"/>
      <c r="F371" s="112" t="s">
        <v>1133</v>
      </c>
      <c r="G371" s="126" t="s">
        <v>1033</v>
      </c>
      <c r="H371" s="45">
        <v>10400000</v>
      </c>
      <c r="I371" s="380" t="s">
        <v>1032</v>
      </c>
      <c r="J371" s="301">
        <v>44365</v>
      </c>
      <c r="K371" s="460">
        <f t="shared" si="52"/>
        <v>10400000</v>
      </c>
      <c r="L371" s="460"/>
      <c r="M371" s="459"/>
      <c r="N371" s="459"/>
      <c r="O371" s="459">
        <f>H371*2%</f>
        <v>208000</v>
      </c>
      <c r="P371" s="459">
        <v>10192000</v>
      </c>
      <c r="Q371" s="28">
        <f t="shared" si="56"/>
        <v>0</v>
      </c>
      <c r="R371" s="199"/>
      <c r="S371" s="197">
        <v>44389</v>
      </c>
      <c r="T371" s="199">
        <v>30</v>
      </c>
      <c r="U371" s="24">
        <f t="shared" si="51"/>
        <v>44395</v>
      </c>
      <c r="V371"/>
      <c r="W371"/>
      <c r="X371"/>
      <c r="Y371"/>
      <c r="Z371"/>
      <c r="AA371"/>
      <c r="AB371"/>
      <c r="AC371"/>
      <c r="AD371"/>
      <c r="AE371"/>
      <c r="AF371"/>
      <c r="AG371"/>
      <c r="AH371"/>
      <c r="AI371"/>
      <c r="AJ371"/>
      <c r="AK371"/>
      <c r="AL371"/>
      <c r="AM371"/>
      <c r="AN371"/>
      <c r="AO371"/>
      <c r="AP371"/>
      <c r="AQ371"/>
    </row>
    <row r="372" spans="1:43" s="10" customFormat="1" ht="15.75" customHeight="1" x14ac:dyDescent="0.25">
      <c r="A372" s="55">
        <f t="shared" si="57"/>
        <v>47</v>
      </c>
      <c r="B372" s="56">
        <v>44368</v>
      </c>
      <c r="C372" s="58" t="s">
        <v>1896</v>
      </c>
      <c r="D372" s="58"/>
      <c r="E372" s="58"/>
      <c r="F372" s="123" t="s">
        <v>1038</v>
      </c>
      <c r="G372" s="126" t="s">
        <v>1037</v>
      </c>
      <c r="H372" s="45">
        <v>1500000</v>
      </c>
      <c r="I372" s="380" t="s">
        <v>1036</v>
      </c>
      <c r="J372" s="301">
        <v>44368</v>
      </c>
      <c r="K372" s="460">
        <f t="shared" si="52"/>
        <v>1500000</v>
      </c>
      <c r="L372" s="460"/>
      <c r="M372" s="459"/>
      <c r="N372" s="459"/>
      <c r="O372" s="459"/>
      <c r="P372" s="459">
        <v>1500000</v>
      </c>
      <c r="Q372" s="28">
        <f t="shared" si="56"/>
        <v>0</v>
      </c>
      <c r="R372" s="197"/>
      <c r="S372" s="197">
        <v>44370</v>
      </c>
      <c r="T372" s="199">
        <v>14</v>
      </c>
      <c r="U372" s="24">
        <f t="shared" si="51"/>
        <v>44382</v>
      </c>
      <c r="V372"/>
      <c r="W372"/>
      <c r="X372"/>
      <c r="Y372"/>
      <c r="Z372"/>
      <c r="AA372"/>
      <c r="AB372"/>
      <c r="AC372"/>
      <c r="AD372"/>
      <c r="AE372"/>
      <c r="AF372"/>
      <c r="AG372"/>
      <c r="AH372"/>
      <c r="AI372"/>
      <c r="AJ372"/>
      <c r="AK372"/>
      <c r="AL372"/>
      <c r="AM372"/>
      <c r="AN372"/>
      <c r="AO372"/>
      <c r="AP372"/>
      <c r="AQ372"/>
    </row>
    <row r="373" spans="1:43" s="10" customFormat="1" ht="15.75" customHeight="1" x14ac:dyDescent="0.25">
      <c r="A373" s="55">
        <f t="shared" si="57"/>
        <v>48</v>
      </c>
      <c r="B373" s="56">
        <v>44363</v>
      </c>
      <c r="C373" s="58" t="s">
        <v>1039</v>
      </c>
      <c r="D373" s="58"/>
      <c r="E373" s="58"/>
      <c r="F373" s="31" t="s">
        <v>242</v>
      </c>
      <c r="G373" s="126" t="s">
        <v>1040</v>
      </c>
      <c r="H373" s="45">
        <v>2500000</v>
      </c>
      <c r="I373" s="380" t="s">
        <v>1041</v>
      </c>
      <c r="J373" s="301">
        <v>44368</v>
      </c>
      <c r="K373" s="460">
        <f t="shared" si="52"/>
        <v>2500000</v>
      </c>
      <c r="L373" s="460">
        <v>1500000</v>
      </c>
      <c r="M373" s="459"/>
      <c r="N373" s="459"/>
      <c r="O373" s="459"/>
      <c r="P373" s="459">
        <v>1000000</v>
      </c>
      <c r="Q373" s="28">
        <f t="shared" si="56"/>
        <v>0</v>
      </c>
      <c r="R373" s="197"/>
      <c r="S373" s="197">
        <v>44391</v>
      </c>
      <c r="T373" s="199">
        <v>14</v>
      </c>
      <c r="U373" s="24">
        <f t="shared" si="51"/>
        <v>44382</v>
      </c>
      <c r="V373"/>
      <c r="W373"/>
      <c r="X373"/>
      <c r="Y373"/>
      <c r="Z373"/>
      <c r="AA373"/>
      <c r="AB373"/>
      <c r="AC373"/>
      <c r="AD373"/>
      <c r="AE373"/>
      <c r="AF373"/>
      <c r="AG373"/>
      <c r="AH373"/>
      <c r="AI373"/>
      <c r="AJ373"/>
      <c r="AK373"/>
      <c r="AL373"/>
      <c r="AM373"/>
      <c r="AN373"/>
      <c r="AO373"/>
      <c r="AP373"/>
      <c r="AQ373"/>
    </row>
    <row r="374" spans="1:43" s="10" customFormat="1" ht="15.75" customHeight="1" x14ac:dyDescent="0.25">
      <c r="A374" s="55">
        <f t="shared" si="57"/>
        <v>49</v>
      </c>
      <c r="B374" s="56">
        <v>44356</v>
      </c>
      <c r="C374" s="58" t="s">
        <v>1044</v>
      </c>
      <c r="D374" s="58"/>
      <c r="E374" s="58"/>
      <c r="F374" s="123" t="s">
        <v>1043</v>
      </c>
      <c r="G374" s="126" t="s">
        <v>1042</v>
      </c>
      <c r="H374" s="45">
        <v>1200000</v>
      </c>
      <c r="I374" s="380" t="s">
        <v>1045</v>
      </c>
      <c r="J374" s="301">
        <v>44370</v>
      </c>
      <c r="K374" s="460">
        <f t="shared" si="52"/>
        <v>1200000</v>
      </c>
      <c r="L374" s="460"/>
      <c r="M374" s="459"/>
      <c r="N374" s="459"/>
      <c r="O374" s="459"/>
      <c r="P374" s="459">
        <v>1200000</v>
      </c>
      <c r="Q374" s="28">
        <f t="shared" si="56"/>
        <v>0</v>
      </c>
      <c r="R374" s="197"/>
      <c r="S374" s="197">
        <v>44370</v>
      </c>
      <c r="T374" s="199">
        <v>14</v>
      </c>
      <c r="U374" s="24">
        <f t="shared" si="51"/>
        <v>44384</v>
      </c>
      <c r="V374"/>
      <c r="W374"/>
      <c r="X374"/>
      <c r="Y374"/>
      <c r="Z374"/>
      <c r="AA374"/>
      <c r="AB374"/>
      <c r="AC374"/>
      <c r="AD374"/>
      <c r="AE374"/>
      <c r="AF374"/>
      <c r="AG374"/>
      <c r="AH374"/>
      <c r="AI374"/>
      <c r="AJ374"/>
      <c r="AK374"/>
      <c r="AL374"/>
      <c r="AM374"/>
      <c r="AN374"/>
      <c r="AO374"/>
      <c r="AP374"/>
      <c r="AQ374"/>
    </row>
    <row r="375" spans="1:43" s="10" customFormat="1" ht="15.75" customHeight="1" x14ac:dyDescent="0.25">
      <c r="A375" s="55">
        <f t="shared" si="57"/>
        <v>50</v>
      </c>
      <c r="B375" s="79">
        <v>44357</v>
      </c>
      <c r="C375" s="330"/>
      <c r="D375" s="330"/>
      <c r="E375" s="330" t="s">
        <v>1062</v>
      </c>
      <c r="F375" s="123" t="s">
        <v>2694</v>
      </c>
      <c r="G375" s="126" t="s">
        <v>462</v>
      </c>
      <c r="H375" s="45">
        <v>310400</v>
      </c>
      <c r="I375" s="377" t="s">
        <v>1046</v>
      </c>
      <c r="J375" s="301">
        <v>44370</v>
      </c>
      <c r="K375" s="460">
        <f t="shared" si="52"/>
        <v>310400</v>
      </c>
      <c r="L375" s="460"/>
      <c r="M375" s="460"/>
      <c r="N375" s="460"/>
      <c r="O375" s="460"/>
      <c r="P375" s="460">
        <f>100000+210400</f>
        <v>310400</v>
      </c>
      <c r="Q375" s="28">
        <f t="shared" si="56"/>
        <v>0</v>
      </c>
      <c r="R375" s="474">
        <v>44516</v>
      </c>
      <c r="S375" s="474">
        <v>44516</v>
      </c>
      <c r="T375" s="199">
        <v>14</v>
      </c>
      <c r="U375" s="24">
        <f t="shared" si="51"/>
        <v>44384</v>
      </c>
      <c r="V375"/>
      <c r="W375"/>
      <c r="X375"/>
      <c r="Y375"/>
      <c r="Z375"/>
      <c r="AA375"/>
      <c r="AB375"/>
      <c r="AC375"/>
      <c r="AD375"/>
      <c r="AE375"/>
      <c r="AF375"/>
      <c r="AG375"/>
      <c r="AH375"/>
      <c r="AI375"/>
      <c r="AJ375"/>
      <c r="AK375"/>
      <c r="AL375"/>
      <c r="AM375"/>
      <c r="AN375"/>
      <c r="AO375"/>
      <c r="AP375"/>
      <c r="AQ375"/>
    </row>
    <row r="376" spans="1:43" s="10" customFormat="1" ht="15.75" customHeight="1" x14ac:dyDescent="0.25">
      <c r="A376" s="55">
        <f t="shared" si="57"/>
        <v>51</v>
      </c>
      <c r="B376" s="79">
        <v>44358</v>
      </c>
      <c r="C376" s="330"/>
      <c r="D376" s="330"/>
      <c r="E376" s="330" t="s">
        <v>1060</v>
      </c>
      <c r="F376" s="123" t="s">
        <v>2694</v>
      </c>
      <c r="G376" s="126" t="s">
        <v>582</v>
      </c>
      <c r="H376" s="45">
        <v>70000</v>
      </c>
      <c r="I376" s="377" t="s">
        <v>1047</v>
      </c>
      <c r="J376" s="301">
        <v>44370</v>
      </c>
      <c r="K376" s="460">
        <f t="shared" si="52"/>
        <v>70000</v>
      </c>
      <c r="L376" s="460"/>
      <c r="M376" s="460"/>
      <c r="N376" s="460"/>
      <c r="O376" s="460"/>
      <c r="P376" s="460">
        <v>70000</v>
      </c>
      <c r="Q376" s="28">
        <f t="shared" si="56"/>
        <v>0</v>
      </c>
      <c r="R376" s="743"/>
      <c r="S376" s="474">
        <v>44516</v>
      </c>
      <c r="T376" s="199">
        <v>14</v>
      </c>
      <c r="U376" s="24">
        <f t="shared" si="51"/>
        <v>44384</v>
      </c>
      <c r="V376"/>
      <c r="W376"/>
      <c r="X376"/>
      <c r="Y376"/>
      <c r="Z376"/>
      <c r="AA376"/>
      <c r="AB376"/>
      <c r="AC376"/>
      <c r="AD376"/>
      <c r="AE376"/>
      <c r="AF376"/>
      <c r="AG376"/>
      <c r="AH376"/>
      <c r="AI376"/>
      <c r="AJ376"/>
      <c r="AK376"/>
      <c r="AL376"/>
      <c r="AM376"/>
      <c r="AN376"/>
      <c r="AO376"/>
      <c r="AP376"/>
      <c r="AQ376"/>
    </row>
    <row r="377" spans="1:43" s="10" customFormat="1" ht="15.75" customHeight="1" x14ac:dyDescent="0.25">
      <c r="A377" s="55">
        <f t="shared" si="57"/>
        <v>52</v>
      </c>
      <c r="B377" s="79">
        <v>44361</v>
      </c>
      <c r="C377" s="330"/>
      <c r="D377" s="330"/>
      <c r="E377" s="330" t="s">
        <v>1061</v>
      </c>
      <c r="F377" s="123" t="s">
        <v>2694</v>
      </c>
      <c r="G377" s="126" t="s">
        <v>730</v>
      </c>
      <c r="H377" s="45">
        <v>150000</v>
      </c>
      <c r="I377" s="377" t="s">
        <v>1048</v>
      </c>
      <c r="J377" s="301">
        <v>44370</v>
      </c>
      <c r="K377" s="460">
        <f t="shared" si="52"/>
        <v>150000</v>
      </c>
      <c r="L377" s="460"/>
      <c r="M377" s="460"/>
      <c r="N377" s="460"/>
      <c r="O377" s="460"/>
      <c r="P377" s="460"/>
      <c r="Q377" s="28">
        <f t="shared" si="56"/>
        <v>150000</v>
      </c>
      <c r="R377" s="743"/>
      <c r="S377" s="743"/>
      <c r="T377" s="199">
        <v>14</v>
      </c>
      <c r="U377" s="24">
        <f t="shared" si="51"/>
        <v>44384</v>
      </c>
      <c r="V377"/>
      <c r="W377"/>
      <c r="X377"/>
      <c r="Y377"/>
      <c r="Z377"/>
      <c r="AA377"/>
      <c r="AB377"/>
      <c r="AC377"/>
      <c r="AD377"/>
      <c r="AE377"/>
      <c r="AF377"/>
      <c r="AG377"/>
      <c r="AH377"/>
      <c r="AI377"/>
      <c r="AJ377"/>
      <c r="AK377"/>
      <c r="AL377"/>
      <c r="AM377"/>
      <c r="AN377"/>
      <c r="AO377"/>
      <c r="AP377"/>
      <c r="AQ377"/>
    </row>
    <row r="378" spans="1:43" s="10" customFormat="1" ht="15.75" customHeight="1" x14ac:dyDescent="0.25">
      <c r="A378" s="55">
        <f t="shared" si="57"/>
        <v>53</v>
      </c>
      <c r="B378" s="56">
        <v>44357</v>
      </c>
      <c r="C378" s="58" t="s">
        <v>1050</v>
      </c>
      <c r="D378" s="58"/>
      <c r="E378" s="58"/>
      <c r="F378" s="112" t="s">
        <v>933</v>
      </c>
      <c r="G378" s="126" t="s">
        <v>171</v>
      </c>
      <c r="H378" s="45">
        <v>5500000</v>
      </c>
      <c r="I378" s="380" t="s">
        <v>1049</v>
      </c>
      <c r="J378" s="301">
        <v>44370</v>
      </c>
      <c r="K378" s="460">
        <f t="shared" si="52"/>
        <v>5500000</v>
      </c>
      <c r="L378" s="460"/>
      <c r="M378" s="459"/>
      <c r="N378" s="459"/>
      <c r="O378" s="459"/>
      <c r="P378" s="459">
        <v>5500000</v>
      </c>
      <c r="Q378" s="28">
        <f t="shared" si="56"/>
        <v>0</v>
      </c>
      <c r="R378" s="197">
        <v>44386</v>
      </c>
      <c r="S378" s="197"/>
      <c r="T378" s="2">
        <v>14</v>
      </c>
      <c r="U378" s="24">
        <f t="shared" si="51"/>
        <v>44384</v>
      </c>
      <c r="V378"/>
      <c r="W378"/>
      <c r="X378"/>
      <c r="Y378"/>
      <c r="Z378"/>
      <c r="AA378"/>
      <c r="AB378"/>
      <c r="AC378"/>
      <c r="AD378"/>
      <c r="AE378"/>
      <c r="AF378"/>
      <c r="AG378"/>
      <c r="AH378"/>
      <c r="AI378"/>
      <c r="AJ378"/>
      <c r="AK378"/>
      <c r="AL378"/>
      <c r="AM378"/>
      <c r="AN378"/>
      <c r="AO378"/>
      <c r="AP378"/>
      <c r="AQ378"/>
    </row>
    <row r="379" spans="1:43" s="10" customFormat="1" ht="15.75" customHeight="1" x14ac:dyDescent="0.25">
      <c r="A379" s="55">
        <f t="shared" si="57"/>
        <v>54</v>
      </c>
      <c r="B379" s="56">
        <v>44370</v>
      </c>
      <c r="C379" s="58" t="s">
        <v>1053</v>
      </c>
      <c r="D379" s="58"/>
      <c r="E379" s="58"/>
      <c r="F379" s="112" t="s">
        <v>1052</v>
      </c>
      <c r="G379" s="126" t="s">
        <v>647</v>
      </c>
      <c r="H379" s="45">
        <v>500000</v>
      </c>
      <c r="I379" s="380" t="s">
        <v>1051</v>
      </c>
      <c r="J379" s="301">
        <v>44370</v>
      </c>
      <c r="K379" s="460">
        <f t="shared" si="52"/>
        <v>500000</v>
      </c>
      <c r="L379" s="460"/>
      <c r="M379" s="459"/>
      <c r="N379" s="459"/>
      <c r="O379" s="459"/>
      <c r="P379" s="459">
        <v>500000</v>
      </c>
      <c r="Q379" s="28">
        <f t="shared" si="56"/>
        <v>0</v>
      </c>
      <c r="R379" s="197"/>
      <c r="S379" s="197">
        <v>44370</v>
      </c>
      <c r="T379" s="199">
        <v>14</v>
      </c>
      <c r="U379" s="24">
        <f t="shared" si="51"/>
        <v>44384</v>
      </c>
      <c r="V379"/>
      <c r="W379"/>
      <c r="X379"/>
      <c r="Y379"/>
      <c r="Z379"/>
      <c r="AA379"/>
      <c r="AB379"/>
      <c r="AC379"/>
      <c r="AD379"/>
      <c r="AE379"/>
      <c r="AF379"/>
      <c r="AG379"/>
      <c r="AH379"/>
      <c r="AI379"/>
      <c r="AJ379"/>
      <c r="AK379"/>
      <c r="AL379"/>
      <c r="AM379"/>
      <c r="AN379"/>
      <c r="AO379"/>
      <c r="AP379"/>
      <c r="AQ379"/>
    </row>
    <row r="380" spans="1:43" s="10" customFormat="1" ht="15.75" customHeight="1" x14ac:dyDescent="0.25">
      <c r="A380" s="55">
        <f t="shared" si="57"/>
        <v>55</v>
      </c>
      <c r="B380" s="56">
        <v>44371</v>
      </c>
      <c r="C380" s="58"/>
      <c r="D380" s="58"/>
      <c r="E380" s="58"/>
      <c r="F380" s="112" t="s">
        <v>1070</v>
      </c>
      <c r="G380" s="126" t="s">
        <v>1073</v>
      </c>
      <c r="H380" s="45">
        <v>638500</v>
      </c>
      <c r="I380" s="380" t="s">
        <v>1071</v>
      </c>
      <c r="J380" s="301">
        <v>44371</v>
      </c>
      <c r="K380" s="460">
        <f t="shared" si="52"/>
        <v>638500</v>
      </c>
      <c r="L380" s="460"/>
      <c r="M380" s="459"/>
      <c r="N380" s="459"/>
      <c r="O380" s="459"/>
      <c r="P380" s="459">
        <v>638500</v>
      </c>
      <c r="Q380" s="28">
        <f t="shared" si="56"/>
        <v>0</v>
      </c>
      <c r="R380" s="197"/>
      <c r="S380" s="197">
        <v>44373</v>
      </c>
      <c r="T380" s="199">
        <v>14</v>
      </c>
      <c r="U380" s="24">
        <f t="shared" si="51"/>
        <v>44385</v>
      </c>
      <c r="V380"/>
      <c r="W380"/>
      <c r="X380"/>
      <c r="Y380"/>
      <c r="Z380"/>
      <c r="AA380"/>
      <c r="AB380"/>
      <c r="AC380"/>
      <c r="AD380"/>
      <c r="AE380"/>
      <c r="AF380"/>
      <c r="AG380"/>
      <c r="AH380"/>
      <c r="AI380"/>
      <c r="AJ380"/>
      <c r="AK380"/>
      <c r="AL380"/>
      <c r="AM380"/>
      <c r="AN380"/>
      <c r="AO380"/>
      <c r="AP380"/>
      <c r="AQ380"/>
    </row>
    <row r="381" spans="1:43" s="10" customFormat="1" ht="15.75" customHeight="1" x14ac:dyDescent="0.25">
      <c r="A381" s="55">
        <f t="shared" si="57"/>
        <v>56</v>
      </c>
      <c r="B381" s="56">
        <v>44351</v>
      </c>
      <c r="C381" s="58" t="s">
        <v>1074</v>
      </c>
      <c r="D381" s="58"/>
      <c r="E381" s="58"/>
      <c r="F381" s="112" t="s">
        <v>1133</v>
      </c>
      <c r="G381" s="126" t="s">
        <v>30</v>
      </c>
      <c r="H381" s="45">
        <v>520000</v>
      </c>
      <c r="I381" s="380" t="s">
        <v>1072</v>
      </c>
      <c r="J381" s="301">
        <v>44371</v>
      </c>
      <c r="K381" s="460">
        <f t="shared" si="52"/>
        <v>520000</v>
      </c>
      <c r="L381" s="460"/>
      <c r="M381" s="459"/>
      <c r="N381" s="459"/>
      <c r="O381" s="459"/>
      <c r="P381" s="459">
        <v>520000</v>
      </c>
      <c r="Q381" s="28">
        <f t="shared" si="56"/>
        <v>0</v>
      </c>
      <c r="R381" s="199"/>
      <c r="S381" s="197">
        <v>44421</v>
      </c>
      <c r="T381" s="199">
        <v>30</v>
      </c>
      <c r="U381" s="24">
        <f t="shared" si="51"/>
        <v>44401</v>
      </c>
      <c r="V381"/>
      <c r="W381"/>
      <c r="X381"/>
      <c r="Y381"/>
      <c r="Z381"/>
      <c r="AA381"/>
      <c r="AB381"/>
      <c r="AC381"/>
      <c r="AD381"/>
      <c r="AE381"/>
      <c r="AF381"/>
      <c r="AG381"/>
      <c r="AH381"/>
      <c r="AI381"/>
      <c r="AJ381"/>
      <c r="AK381"/>
      <c r="AL381"/>
      <c r="AM381"/>
      <c r="AN381"/>
      <c r="AO381"/>
      <c r="AP381"/>
      <c r="AQ381"/>
    </row>
    <row r="382" spans="1:43" s="10" customFormat="1" ht="15" customHeight="1" x14ac:dyDescent="0.25">
      <c r="A382" s="55">
        <f t="shared" si="57"/>
        <v>57</v>
      </c>
      <c r="B382" s="79">
        <f>B380+1</f>
        <v>44372</v>
      </c>
      <c r="C382" s="444"/>
      <c r="D382" s="55"/>
      <c r="E382" s="55"/>
      <c r="F382" s="112" t="s">
        <v>53</v>
      </c>
      <c r="G382" s="126" t="s">
        <v>1117</v>
      </c>
      <c r="H382" s="45">
        <v>12700000</v>
      </c>
      <c r="I382" s="380" t="s">
        <v>1075</v>
      </c>
      <c r="J382" s="301">
        <v>44371</v>
      </c>
      <c r="K382" s="460">
        <f t="shared" si="52"/>
        <v>12700000</v>
      </c>
      <c r="L382" s="460"/>
      <c r="M382" s="459"/>
      <c r="N382" s="459"/>
      <c r="O382" s="459"/>
      <c r="P382" s="459">
        <v>12700000</v>
      </c>
      <c r="Q382" s="28">
        <f t="shared" si="56"/>
        <v>0</v>
      </c>
      <c r="R382" s="197"/>
      <c r="S382" s="197">
        <v>44373</v>
      </c>
      <c r="T382" s="2">
        <v>14</v>
      </c>
      <c r="U382" s="24">
        <f t="shared" si="51"/>
        <v>44385</v>
      </c>
      <c r="V382"/>
      <c r="W382"/>
      <c r="X382"/>
      <c r="Y382"/>
      <c r="Z382"/>
      <c r="AA382"/>
      <c r="AB382"/>
      <c r="AC382"/>
      <c r="AD382"/>
      <c r="AE382"/>
      <c r="AF382"/>
      <c r="AG382"/>
      <c r="AH382"/>
      <c r="AI382"/>
      <c r="AJ382"/>
      <c r="AK382"/>
      <c r="AL382"/>
      <c r="AM382"/>
      <c r="AN382"/>
      <c r="AO382"/>
      <c r="AP382"/>
      <c r="AQ382"/>
    </row>
    <row r="383" spans="1:43" s="10" customFormat="1" ht="15" customHeight="1" x14ac:dyDescent="0.25">
      <c r="A383" s="55">
        <f t="shared" si="57"/>
        <v>58</v>
      </c>
      <c r="B383" s="79">
        <f>B381+1</f>
        <v>44352</v>
      </c>
      <c r="C383" s="444"/>
      <c r="D383" s="55"/>
      <c r="E383" s="55"/>
      <c r="F383" s="112" t="s">
        <v>53</v>
      </c>
      <c r="G383" s="126" t="s">
        <v>1349</v>
      </c>
      <c r="H383" s="45">
        <v>1326700</v>
      </c>
      <c r="I383" s="380" t="s">
        <v>1350</v>
      </c>
      <c r="J383" s="301">
        <v>44371</v>
      </c>
      <c r="K383" s="460">
        <f t="shared" si="52"/>
        <v>1326700</v>
      </c>
      <c r="L383" s="460"/>
      <c r="M383" s="459"/>
      <c r="N383" s="459"/>
      <c r="O383" s="459"/>
      <c r="P383" s="459"/>
      <c r="Q383" s="28">
        <f t="shared" si="56"/>
        <v>1326700</v>
      </c>
      <c r="R383" s="199"/>
      <c r="S383" s="199"/>
      <c r="T383" s="2">
        <v>14</v>
      </c>
      <c r="U383" s="24">
        <f t="shared" ref="U383:U430" si="62">J383+T383</f>
        <v>44385</v>
      </c>
      <c r="V383"/>
      <c r="W383"/>
      <c r="X383"/>
      <c r="Y383"/>
      <c r="Z383"/>
      <c r="AA383"/>
      <c r="AB383"/>
      <c r="AC383"/>
      <c r="AD383"/>
      <c r="AE383"/>
      <c r="AF383"/>
      <c r="AG383"/>
      <c r="AH383"/>
      <c r="AI383"/>
      <c r="AJ383"/>
      <c r="AK383"/>
      <c r="AL383"/>
      <c r="AM383"/>
      <c r="AN383"/>
      <c r="AO383"/>
      <c r="AP383"/>
      <c r="AQ383"/>
    </row>
    <row r="384" spans="1:43" s="10" customFormat="1" ht="15.75" customHeight="1" x14ac:dyDescent="0.25">
      <c r="A384" s="55">
        <f t="shared" si="57"/>
        <v>59</v>
      </c>
      <c r="B384" s="56">
        <v>44371</v>
      </c>
      <c r="C384" s="58" t="s">
        <v>1113</v>
      </c>
      <c r="D384" s="58"/>
      <c r="E384" s="58"/>
      <c r="F384" s="363" t="s">
        <v>1114</v>
      </c>
      <c r="G384" s="126" t="s">
        <v>1115</v>
      </c>
      <c r="H384" s="45">
        <v>1380000</v>
      </c>
      <c r="I384" s="380" t="s">
        <v>1116</v>
      </c>
      <c r="J384" s="301">
        <v>44371</v>
      </c>
      <c r="K384" s="460">
        <f t="shared" si="52"/>
        <v>1380000</v>
      </c>
      <c r="L384" s="460"/>
      <c r="M384" s="459"/>
      <c r="N384" s="459"/>
      <c r="O384" s="459"/>
      <c r="P384" s="459">
        <v>1380000</v>
      </c>
      <c r="Q384" s="28">
        <f t="shared" si="56"/>
        <v>0</v>
      </c>
      <c r="R384" s="197"/>
      <c r="S384" s="197">
        <v>44371</v>
      </c>
      <c r="T384" s="199">
        <v>30</v>
      </c>
      <c r="U384" s="24">
        <f t="shared" si="62"/>
        <v>44401</v>
      </c>
      <c r="V384"/>
      <c r="W384"/>
      <c r="X384"/>
      <c r="Y384"/>
      <c r="Z384"/>
      <c r="AA384"/>
      <c r="AB384"/>
      <c r="AC384"/>
      <c r="AD384"/>
      <c r="AE384"/>
      <c r="AF384"/>
      <c r="AG384"/>
      <c r="AH384"/>
      <c r="AI384"/>
      <c r="AJ384"/>
      <c r="AK384"/>
      <c r="AL384"/>
      <c r="AM384"/>
      <c r="AN384"/>
      <c r="AO384"/>
      <c r="AP384"/>
      <c r="AQ384"/>
    </row>
    <row r="385" spans="1:43" s="10" customFormat="1" ht="15.75" customHeight="1" x14ac:dyDescent="0.25">
      <c r="A385" s="55">
        <f t="shared" si="57"/>
        <v>60</v>
      </c>
      <c r="B385" s="56">
        <v>44359</v>
      </c>
      <c r="C385" s="58"/>
      <c r="D385" s="136"/>
      <c r="E385" s="136"/>
      <c r="F385" s="112" t="s">
        <v>1077</v>
      </c>
      <c r="G385" s="126" t="s">
        <v>1078</v>
      </c>
      <c r="H385" s="45">
        <v>3000000</v>
      </c>
      <c r="I385" s="380" t="s">
        <v>1076</v>
      </c>
      <c r="J385" s="301">
        <v>44372</v>
      </c>
      <c r="K385" s="460">
        <f t="shared" si="52"/>
        <v>3000000</v>
      </c>
      <c r="L385" s="460"/>
      <c r="M385" s="459"/>
      <c r="N385" s="459"/>
      <c r="O385" s="459"/>
      <c r="P385" s="459">
        <v>3000000</v>
      </c>
      <c r="Q385" s="28">
        <f t="shared" si="56"/>
        <v>0</v>
      </c>
      <c r="R385" s="199" t="s">
        <v>1079</v>
      </c>
      <c r="S385" s="199"/>
      <c r="T385" s="199">
        <v>14</v>
      </c>
      <c r="U385" s="24">
        <f t="shared" si="62"/>
        <v>44386</v>
      </c>
      <c r="V385"/>
      <c r="W385"/>
      <c r="X385"/>
      <c r="Y385"/>
      <c r="Z385"/>
      <c r="AA385"/>
      <c r="AB385"/>
      <c r="AC385"/>
      <c r="AD385"/>
      <c r="AE385"/>
      <c r="AF385"/>
      <c r="AG385"/>
      <c r="AH385"/>
      <c r="AI385"/>
      <c r="AJ385"/>
      <c r="AK385"/>
      <c r="AL385"/>
      <c r="AM385"/>
      <c r="AN385"/>
      <c r="AO385"/>
      <c r="AP385"/>
      <c r="AQ385"/>
    </row>
    <row r="386" spans="1:43" s="10" customFormat="1" ht="15.75" customHeight="1" x14ac:dyDescent="0.25">
      <c r="A386" s="55">
        <f t="shared" si="57"/>
        <v>61</v>
      </c>
      <c r="B386" s="56">
        <v>44364</v>
      </c>
      <c r="C386" s="58" t="s">
        <v>1082</v>
      </c>
      <c r="D386" s="58"/>
      <c r="E386" s="58"/>
      <c r="F386" s="112" t="s">
        <v>1080</v>
      </c>
      <c r="G386" s="126" t="s">
        <v>653</v>
      </c>
      <c r="H386" s="45">
        <v>6600000</v>
      </c>
      <c r="I386" s="380" t="s">
        <v>1081</v>
      </c>
      <c r="J386" s="301">
        <v>44375</v>
      </c>
      <c r="K386" s="460">
        <f t="shared" si="52"/>
        <v>6600000</v>
      </c>
      <c r="L386" s="460">
        <f>1660000+40000+2700000</f>
        <v>4400000</v>
      </c>
      <c r="M386" s="459"/>
      <c r="N386" s="459"/>
      <c r="O386" s="459"/>
      <c r="P386" s="459">
        <v>2200000</v>
      </c>
      <c r="Q386" s="28">
        <f t="shared" si="56"/>
        <v>0</v>
      </c>
      <c r="R386" s="197">
        <v>44364</v>
      </c>
      <c r="S386" s="197">
        <v>44565</v>
      </c>
      <c r="T386" s="199">
        <v>14</v>
      </c>
      <c r="U386" s="24">
        <f t="shared" si="62"/>
        <v>44389</v>
      </c>
      <c r="V386"/>
      <c r="W386"/>
      <c r="X386"/>
      <c r="Y386"/>
      <c r="Z386"/>
      <c r="AA386"/>
      <c r="AB386"/>
      <c r="AC386"/>
      <c r="AD386"/>
      <c r="AE386"/>
      <c r="AF386"/>
      <c r="AG386"/>
      <c r="AH386"/>
      <c r="AI386"/>
      <c r="AJ386"/>
      <c r="AK386"/>
      <c r="AL386"/>
      <c r="AM386"/>
      <c r="AN386"/>
      <c r="AO386"/>
      <c r="AP386"/>
      <c r="AQ386"/>
    </row>
    <row r="387" spans="1:43" s="10" customFormat="1" ht="15.75" customHeight="1" x14ac:dyDescent="0.25">
      <c r="A387" s="55">
        <f t="shared" si="57"/>
        <v>62</v>
      </c>
      <c r="B387" s="56">
        <v>44364</v>
      </c>
      <c r="C387" s="58" t="s">
        <v>1084</v>
      </c>
      <c r="D387" s="58"/>
      <c r="E387" s="58"/>
      <c r="F387" s="112" t="s">
        <v>999</v>
      </c>
      <c r="G387" s="126" t="s">
        <v>161</v>
      </c>
      <c r="H387" s="45">
        <v>5500000</v>
      </c>
      <c r="I387" s="380" t="s">
        <v>1083</v>
      </c>
      <c r="J387" s="301">
        <v>44375</v>
      </c>
      <c r="K387" s="460">
        <f t="shared" si="52"/>
        <v>5500000</v>
      </c>
      <c r="L387" s="460"/>
      <c r="M387" s="459"/>
      <c r="N387" s="459"/>
      <c r="O387" s="459"/>
      <c r="P387" s="459">
        <v>5500000</v>
      </c>
      <c r="Q387" s="28">
        <f t="shared" si="56"/>
        <v>0</v>
      </c>
      <c r="R387" s="199"/>
      <c r="S387" s="197">
        <v>44515</v>
      </c>
      <c r="T387" s="199">
        <v>14</v>
      </c>
      <c r="U387" s="24">
        <f t="shared" si="62"/>
        <v>44389</v>
      </c>
      <c r="V387"/>
      <c r="W387"/>
      <c r="X387"/>
      <c r="Y387"/>
      <c r="Z387"/>
      <c r="AA387"/>
      <c r="AB387"/>
      <c r="AC387"/>
      <c r="AD387"/>
      <c r="AE387"/>
      <c r="AF387"/>
      <c r="AG387"/>
      <c r="AH387"/>
      <c r="AI387"/>
      <c r="AJ387"/>
      <c r="AK387"/>
      <c r="AL387"/>
      <c r="AM387"/>
      <c r="AN387"/>
      <c r="AO387"/>
      <c r="AP387"/>
      <c r="AQ387"/>
    </row>
    <row r="388" spans="1:43" s="10" customFormat="1" ht="15.75" customHeight="1" x14ac:dyDescent="0.25">
      <c r="A388" s="55">
        <f t="shared" si="57"/>
        <v>63</v>
      </c>
      <c r="B388" s="56">
        <v>44370</v>
      </c>
      <c r="C388" s="58"/>
      <c r="D388" s="58"/>
      <c r="E388" s="58"/>
      <c r="F388" s="112" t="s">
        <v>53</v>
      </c>
      <c r="G388" s="126" t="s">
        <v>1090</v>
      </c>
      <c r="H388" s="45">
        <v>1300000</v>
      </c>
      <c r="I388" s="380" t="s">
        <v>1089</v>
      </c>
      <c r="J388" s="301">
        <v>44375</v>
      </c>
      <c r="K388" s="460">
        <f t="shared" si="52"/>
        <v>1300000</v>
      </c>
      <c r="L388" s="460"/>
      <c r="M388" s="459"/>
      <c r="N388" s="459"/>
      <c r="O388" s="459"/>
      <c r="P388" s="459">
        <v>1300000</v>
      </c>
      <c r="Q388" s="28">
        <f t="shared" si="56"/>
        <v>0</v>
      </c>
      <c r="R388" s="197"/>
      <c r="S388" s="197">
        <v>44386</v>
      </c>
      <c r="T388" s="2">
        <v>14</v>
      </c>
      <c r="U388" s="24">
        <f t="shared" si="62"/>
        <v>44389</v>
      </c>
      <c r="V388" t="s">
        <v>1111</v>
      </c>
      <c r="W388"/>
      <c r="X388"/>
      <c r="Y388"/>
      <c r="Z388"/>
      <c r="AA388"/>
      <c r="AB388"/>
      <c r="AC388"/>
      <c r="AD388"/>
      <c r="AE388"/>
      <c r="AF388"/>
      <c r="AG388"/>
      <c r="AH388"/>
      <c r="AI388"/>
      <c r="AJ388"/>
      <c r="AK388"/>
      <c r="AL388"/>
      <c r="AM388"/>
      <c r="AN388"/>
      <c r="AO388"/>
      <c r="AP388"/>
      <c r="AQ388"/>
    </row>
    <row r="389" spans="1:43" s="10" customFormat="1" ht="15.75" customHeight="1" x14ac:dyDescent="0.25">
      <c r="A389" s="55">
        <f t="shared" si="57"/>
        <v>64</v>
      </c>
      <c r="B389" s="56">
        <v>44376</v>
      </c>
      <c r="C389" s="58" t="s">
        <v>1093</v>
      </c>
      <c r="D389" s="58"/>
      <c r="E389" s="58"/>
      <c r="F389" s="112" t="s">
        <v>1092</v>
      </c>
      <c r="G389" s="126" t="s">
        <v>1094</v>
      </c>
      <c r="H389" s="45">
        <v>2200000</v>
      </c>
      <c r="I389" s="380" t="s">
        <v>1091</v>
      </c>
      <c r="J389" s="514">
        <v>44376</v>
      </c>
      <c r="K389" s="460">
        <f t="shared" si="52"/>
        <v>2200000</v>
      </c>
      <c r="L389" s="460"/>
      <c r="M389" s="459"/>
      <c r="N389" s="459"/>
      <c r="O389" s="459"/>
      <c r="P389" s="459">
        <v>2200000</v>
      </c>
      <c r="Q389" s="28">
        <f t="shared" si="56"/>
        <v>0</v>
      </c>
      <c r="R389" s="197">
        <v>44375</v>
      </c>
      <c r="S389" s="197">
        <v>44375</v>
      </c>
      <c r="T389" s="199">
        <v>14</v>
      </c>
      <c r="U389" s="24">
        <f t="shared" si="62"/>
        <v>44390</v>
      </c>
      <c r="V389"/>
      <c r="W389"/>
      <c r="X389"/>
      <c r="Y389"/>
      <c r="Z389"/>
      <c r="AA389"/>
      <c r="AB389"/>
      <c r="AC389"/>
      <c r="AD389"/>
      <c r="AE389"/>
      <c r="AF389"/>
      <c r="AG389"/>
      <c r="AH389"/>
      <c r="AI389"/>
      <c r="AJ389"/>
      <c r="AK389"/>
      <c r="AL389"/>
      <c r="AM389"/>
      <c r="AN389"/>
      <c r="AO389"/>
      <c r="AP389"/>
      <c r="AQ389"/>
    </row>
    <row r="390" spans="1:43" s="10" customFormat="1" ht="15.75" customHeight="1" x14ac:dyDescent="0.25">
      <c r="A390" s="55">
        <f t="shared" si="57"/>
        <v>65</v>
      </c>
      <c r="B390" s="56">
        <v>44352</v>
      </c>
      <c r="C390" s="58"/>
      <c r="D390" s="58"/>
      <c r="E390" s="58"/>
      <c r="F390" s="53" t="s">
        <v>51</v>
      </c>
      <c r="G390" s="126" t="s">
        <v>1096</v>
      </c>
      <c r="H390" s="45">
        <v>10500000</v>
      </c>
      <c r="I390" s="380" t="s">
        <v>1095</v>
      </c>
      <c r="J390" s="301">
        <v>44376</v>
      </c>
      <c r="K390" s="460">
        <f t="shared" ref="K390:K392" si="63">H390</f>
        <v>10500000</v>
      </c>
      <c r="L390" s="460">
        <v>6000000</v>
      </c>
      <c r="M390" s="459"/>
      <c r="N390" s="459"/>
      <c r="O390" s="459"/>
      <c r="P390" s="459">
        <v>4500000</v>
      </c>
      <c r="Q390" s="28">
        <f t="shared" ref="Q390:Q395" si="64">K390-L390-M390-O390-P390+N390</f>
        <v>0</v>
      </c>
      <c r="R390" s="197">
        <v>44393</v>
      </c>
      <c r="S390" s="197"/>
      <c r="T390" s="199">
        <v>14</v>
      </c>
      <c r="U390" s="24">
        <f t="shared" si="62"/>
        <v>44390</v>
      </c>
      <c r="V390"/>
      <c r="W390"/>
      <c r="X390"/>
      <c r="Y390"/>
      <c r="Z390"/>
      <c r="AA390"/>
      <c r="AB390"/>
      <c r="AC390"/>
      <c r="AD390"/>
      <c r="AE390"/>
      <c r="AF390"/>
      <c r="AG390"/>
      <c r="AH390"/>
      <c r="AI390"/>
      <c r="AJ390"/>
      <c r="AK390"/>
      <c r="AL390"/>
      <c r="AM390"/>
      <c r="AN390"/>
      <c r="AO390"/>
      <c r="AP390"/>
      <c r="AQ390"/>
    </row>
    <row r="391" spans="1:43" s="10" customFormat="1" ht="15.75" customHeight="1" x14ac:dyDescent="0.25">
      <c r="A391" s="55">
        <f t="shared" si="57"/>
        <v>66</v>
      </c>
      <c r="B391" s="56">
        <v>44376</v>
      </c>
      <c r="C391" s="58" t="s">
        <v>1100</v>
      </c>
      <c r="D391" s="58"/>
      <c r="E391" s="58"/>
      <c r="F391" s="112" t="s">
        <v>1098</v>
      </c>
      <c r="G391" s="126" t="s">
        <v>1099</v>
      </c>
      <c r="H391" s="45">
        <v>500000</v>
      </c>
      <c r="I391" s="380" t="s">
        <v>1097</v>
      </c>
      <c r="J391" s="301">
        <v>44376</v>
      </c>
      <c r="K391" s="460">
        <f t="shared" si="63"/>
        <v>500000</v>
      </c>
      <c r="L391" s="460"/>
      <c r="M391" s="459"/>
      <c r="N391" s="459"/>
      <c r="O391" s="459"/>
      <c r="P391" s="459">
        <v>500000</v>
      </c>
      <c r="Q391" s="28">
        <f t="shared" si="64"/>
        <v>0</v>
      </c>
      <c r="R391" s="197">
        <v>44376</v>
      </c>
      <c r="S391" s="197"/>
      <c r="T391" s="199">
        <v>14</v>
      </c>
      <c r="U391" s="24">
        <f t="shared" si="62"/>
        <v>44390</v>
      </c>
      <c r="V391"/>
      <c r="W391"/>
      <c r="X391"/>
      <c r="Y391"/>
      <c r="Z391"/>
      <c r="AA391"/>
      <c r="AB391"/>
      <c r="AC391"/>
      <c r="AD391"/>
      <c r="AE391"/>
      <c r="AF391"/>
      <c r="AG391"/>
      <c r="AH391"/>
      <c r="AI391"/>
      <c r="AJ391"/>
      <c r="AK391"/>
      <c r="AL391"/>
      <c r="AM391"/>
      <c r="AN391"/>
      <c r="AO391"/>
      <c r="AP391"/>
      <c r="AQ391"/>
    </row>
    <row r="392" spans="1:43" s="10" customFormat="1" ht="15.75" customHeight="1" x14ac:dyDescent="0.25">
      <c r="A392" s="55">
        <f t="shared" ref="A392:A430" si="65">A391+1</f>
        <v>67</v>
      </c>
      <c r="B392" s="56">
        <v>44375</v>
      </c>
      <c r="C392" s="58" t="s">
        <v>1106</v>
      </c>
      <c r="D392" s="58"/>
      <c r="E392" s="58"/>
      <c r="F392" s="112" t="s">
        <v>53</v>
      </c>
      <c r="G392" s="126" t="s">
        <v>417</v>
      </c>
      <c r="H392" s="45">
        <v>1700000</v>
      </c>
      <c r="I392" s="380" t="s">
        <v>1105</v>
      </c>
      <c r="J392" s="301">
        <v>44377</v>
      </c>
      <c r="K392" s="460">
        <f t="shared" si="63"/>
        <v>1700000</v>
      </c>
      <c r="L392" s="460"/>
      <c r="M392" s="459"/>
      <c r="N392" s="459"/>
      <c r="O392" s="459"/>
      <c r="P392" s="459">
        <v>1700000</v>
      </c>
      <c r="Q392" s="28">
        <f t="shared" si="64"/>
        <v>0</v>
      </c>
      <c r="R392" s="199"/>
      <c r="S392" s="301">
        <v>44557</v>
      </c>
      <c r="T392" s="2">
        <v>14</v>
      </c>
      <c r="U392" s="24">
        <f t="shared" si="62"/>
        <v>44391</v>
      </c>
      <c r="V392"/>
      <c r="W392"/>
      <c r="X392"/>
      <c r="Y392"/>
      <c r="Z392"/>
      <c r="AA392"/>
      <c r="AB392"/>
      <c r="AC392"/>
      <c r="AD392"/>
      <c r="AE392"/>
      <c r="AF392"/>
      <c r="AG392"/>
      <c r="AH392"/>
      <c r="AI392"/>
      <c r="AJ392"/>
      <c r="AK392"/>
      <c r="AL392"/>
      <c r="AM392"/>
      <c r="AN392"/>
      <c r="AO392"/>
      <c r="AP392"/>
      <c r="AQ392"/>
    </row>
    <row r="393" spans="1:43" s="10" customFormat="1" ht="15.75" customHeight="1" x14ac:dyDescent="0.25">
      <c r="A393" s="55">
        <f t="shared" si="65"/>
        <v>68</v>
      </c>
      <c r="B393" s="56">
        <v>44351</v>
      </c>
      <c r="C393" s="58" t="s">
        <v>1120</v>
      </c>
      <c r="D393" s="58"/>
      <c r="E393" s="58"/>
      <c r="F393" s="112" t="s">
        <v>1121</v>
      </c>
      <c r="G393" s="126" t="s">
        <v>1122</v>
      </c>
      <c r="H393" s="45">
        <v>600000</v>
      </c>
      <c r="I393" s="380"/>
      <c r="J393" s="301"/>
      <c r="K393" s="460">
        <f t="shared" ref="K393:K430" si="66">H393</f>
        <v>600000</v>
      </c>
      <c r="L393" s="460"/>
      <c r="M393" s="459"/>
      <c r="N393" s="459"/>
      <c r="O393" s="459"/>
      <c r="P393" s="459">
        <v>600000</v>
      </c>
      <c r="Q393" s="28">
        <f t="shared" si="64"/>
        <v>0</v>
      </c>
      <c r="R393" s="199" t="s">
        <v>1722</v>
      </c>
      <c r="S393" s="199"/>
      <c r="T393" s="199">
        <v>14</v>
      </c>
      <c r="U393" s="24">
        <f t="shared" si="62"/>
        <v>14</v>
      </c>
      <c r="V393"/>
      <c r="W393"/>
      <c r="X393"/>
      <c r="Y393"/>
      <c r="Z393"/>
      <c r="AA393"/>
      <c r="AB393"/>
      <c r="AC393"/>
      <c r="AD393"/>
      <c r="AE393"/>
      <c r="AF393"/>
      <c r="AG393"/>
      <c r="AH393"/>
      <c r="AI393"/>
      <c r="AJ393"/>
      <c r="AK393"/>
      <c r="AL393"/>
      <c r="AM393"/>
      <c r="AN393"/>
      <c r="AO393"/>
      <c r="AP393"/>
      <c r="AQ393"/>
    </row>
    <row r="394" spans="1:43" s="10" customFormat="1" ht="15.75" customHeight="1" x14ac:dyDescent="0.25">
      <c r="A394" s="55">
        <f t="shared" si="65"/>
        <v>69</v>
      </c>
      <c r="B394" s="56">
        <v>44356</v>
      </c>
      <c r="C394" s="58" t="s">
        <v>1859</v>
      </c>
      <c r="D394" s="58"/>
      <c r="E394" s="58"/>
      <c r="F394" s="112" t="s">
        <v>1123</v>
      </c>
      <c r="G394" s="126" t="s">
        <v>1124</v>
      </c>
      <c r="H394" s="45">
        <v>286500</v>
      </c>
      <c r="I394" s="380" t="s">
        <v>1858</v>
      </c>
      <c r="J394" s="301">
        <v>44446</v>
      </c>
      <c r="K394" s="460">
        <f t="shared" si="66"/>
        <v>286500</v>
      </c>
      <c r="L394" s="460"/>
      <c r="M394" s="459"/>
      <c r="N394" s="28">
        <f>K394*1%</f>
        <v>2865</v>
      </c>
      <c r="O394" s="28">
        <f>K394*2%</f>
        <v>5730</v>
      </c>
      <c r="P394" s="459">
        <v>283635</v>
      </c>
      <c r="Q394" s="28">
        <f t="shared" si="64"/>
        <v>0</v>
      </c>
      <c r="R394" s="199"/>
      <c r="S394" s="197">
        <v>44459</v>
      </c>
      <c r="T394" s="2">
        <v>30</v>
      </c>
      <c r="U394" s="24">
        <f t="shared" si="62"/>
        <v>44476</v>
      </c>
      <c r="V394"/>
      <c r="W394"/>
      <c r="X394"/>
      <c r="Y394"/>
      <c r="Z394"/>
      <c r="AA394"/>
      <c r="AB394"/>
      <c r="AC394"/>
      <c r="AD394"/>
      <c r="AE394"/>
      <c r="AF394"/>
      <c r="AG394"/>
      <c r="AH394"/>
      <c r="AI394"/>
      <c r="AJ394"/>
      <c r="AK394"/>
      <c r="AL394"/>
      <c r="AM394"/>
      <c r="AN394"/>
      <c r="AO394"/>
      <c r="AP394"/>
      <c r="AQ394"/>
    </row>
    <row r="395" spans="1:43" s="10" customFormat="1" ht="15.75" customHeight="1" x14ac:dyDescent="0.25">
      <c r="A395" s="55">
        <f t="shared" si="65"/>
        <v>70</v>
      </c>
      <c r="B395" s="56">
        <v>44357</v>
      </c>
      <c r="C395" s="58" t="s">
        <v>1126</v>
      </c>
      <c r="D395" s="58"/>
      <c r="E395" s="58"/>
      <c r="F395" s="69" t="s">
        <v>2497</v>
      </c>
      <c r="G395" s="126" t="s">
        <v>1127</v>
      </c>
      <c r="H395" s="45">
        <v>369000</v>
      </c>
      <c r="I395" s="380" t="s">
        <v>1399</v>
      </c>
      <c r="J395" s="301">
        <v>44404</v>
      </c>
      <c r="K395" s="28">
        <f t="shared" si="66"/>
        <v>369000</v>
      </c>
      <c r="L395" s="460"/>
      <c r="M395" s="459"/>
      <c r="N395" s="28">
        <f>K395*1%</f>
        <v>3690</v>
      </c>
      <c r="O395" s="28">
        <f>K395*2%</f>
        <v>7380</v>
      </c>
      <c r="P395" s="459">
        <v>365310</v>
      </c>
      <c r="Q395" s="28">
        <f t="shared" si="64"/>
        <v>0</v>
      </c>
      <c r="R395" s="199"/>
      <c r="S395" s="197">
        <v>44440</v>
      </c>
      <c r="T395" s="199">
        <v>30</v>
      </c>
      <c r="U395" s="24">
        <f t="shared" si="62"/>
        <v>44434</v>
      </c>
      <c r="V395"/>
      <c r="W395"/>
      <c r="X395"/>
      <c r="Y395"/>
      <c r="Z395"/>
      <c r="AA395"/>
      <c r="AB395"/>
      <c r="AC395"/>
      <c r="AD395"/>
      <c r="AE395"/>
      <c r="AF395"/>
      <c r="AG395"/>
      <c r="AH395"/>
      <c r="AI395"/>
      <c r="AJ395"/>
      <c r="AK395"/>
      <c r="AL395"/>
      <c r="AM395"/>
      <c r="AN395"/>
      <c r="AO395"/>
      <c r="AP395"/>
      <c r="AQ395"/>
    </row>
    <row r="396" spans="1:43" s="10" customFormat="1" ht="15.75" customHeight="1" x14ac:dyDescent="0.25">
      <c r="A396" s="55">
        <f t="shared" si="65"/>
        <v>71</v>
      </c>
      <c r="B396" s="466">
        <v>44359</v>
      </c>
      <c r="C396" s="58" t="s">
        <v>1128</v>
      </c>
      <c r="D396" s="58"/>
      <c r="E396" s="58"/>
      <c r="F396" s="367" t="s">
        <v>1129</v>
      </c>
      <c r="G396" s="266" t="s">
        <v>1130</v>
      </c>
      <c r="H396" s="267"/>
      <c r="I396" s="384" t="s">
        <v>1773</v>
      </c>
      <c r="J396" s="268"/>
      <c r="K396" s="270">
        <f t="shared" si="66"/>
        <v>0</v>
      </c>
      <c r="L396" s="270"/>
      <c r="M396" s="270"/>
      <c r="N396" s="270"/>
      <c r="O396" s="270"/>
      <c r="P396" s="270">
        <v>160875</v>
      </c>
      <c r="Q396" s="417">
        <f t="shared" ref="Q396:Q456" si="67">K396-L396-M396-O396-P396+N396</f>
        <v>-160875</v>
      </c>
      <c r="R396" s="263"/>
      <c r="S396" s="263"/>
      <c r="T396" s="263">
        <v>14</v>
      </c>
      <c r="U396" s="24">
        <f t="shared" si="62"/>
        <v>14</v>
      </c>
      <c r="V396"/>
      <c r="W396"/>
      <c r="X396"/>
      <c r="Y396"/>
      <c r="Z396"/>
      <c r="AA396"/>
      <c r="AB396"/>
      <c r="AC396"/>
      <c r="AD396"/>
      <c r="AE396"/>
      <c r="AF396"/>
      <c r="AG396"/>
      <c r="AH396"/>
      <c r="AI396"/>
      <c r="AJ396"/>
      <c r="AK396"/>
      <c r="AL396"/>
      <c r="AM396"/>
      <c r="AN396"/>
      <c r="AO396"/>
      <c r="AP396"/>
      <c r="AQ396"/>
    </row>
    <row r="397" spans="1:43" s="10" customFormat="1" ht="15.75" customHeight="1" x14ac:dyDescent="0.25">
      <c r="A397" s="55">
        <f t="shared" si="65"/>
        <v>72</v>
      </c>
      <c r="B397" s="56">
        <v>44359</v>
      </c>
      <c r="C397" s="58" t="s">
        <v>1694</v>
      </c>
      <c r="D397" s="58"/>
      <c r="E397" s="58" t="s">
        <v>1131</v>
      </c>
      <c r="F397" s="123" t="s">
        <v>2694</v>
      </c>
      <c r="G397" s="126" t="s">
        <v>837</v>
      </c>
      <c r="H397" s="45">
        <v>4700000</v>
      </c>
      <c r="I397" s="380" t="s">
        <v>1184</v>
      </c>
      <c r="J397" s="301">
        <v>44386</v>
      </c>
      <c r="K397" s="28">
        <f t="shared" si="66"/>
        <v>4700000</v>
      </c>
      <c r="L397" s="460">
        <v>2291250</v>
      </c>
      <c r="M397" s="459">
        <f>K397*2.5%</f>
        <v>117500</v>
      </c>
      <c r="N397" s="28">
        <f>K397*1%</f>
        <v>47000</v>
      </c>
      <c r="O397" s="28">
        <f>K397*2%</f>
        <v>94000</v>
      </c>
      <c r="P397" s="459">
        <v>2244250</v>
      </c>
      <c r="Q397" s="28">
        <f t="shared" si="67"/>
        <v>0</v>
      </c>
      <c r="R397" s="474">
        <v>44382</v>
      </c>
      <c r="S397" s="744">
        <v>44393</v>
      </c>
      <c r="T397" s="199">
        <v>14</v>
      </c>
      <c r="U397" s="24">
        <f t="shared" si="62"/>
        <v>44400</v>
      </c>
      <c r="V397"/>
      <c r="W397"/>
      <c r="X397"/>
      <c r="Y397"/>
      <c r="Z397"/>
      <c r="AA397"/>
      <c r="AB397"/>
      <c r="AC397"/>
      <c r="AD397"/>
      <c r="AE397"/>
      <c r="AF397"/>
      <c r="AG397"/>
      <c r="AH397"/>
      <c r="AI397"/>
      <c r="AJ397"/>
      <c r="AK397"/>
      <c r="AL397"/>
      <c r="AM397"/>
      <c r="AN397"/>
      <c r="AO397"/>
      <c r="AP397"/>
      <c r="AQ397"/>
    </row>
    <row r="398" spans="1:43" s="10" customFormat="1" ht="15.75" customHeight="1" x14ac:dyDescent="0.25">
      <c r="A398" s="55">
        <f t="shared" si="65"/>
        <v>73</v>
      </c>
      <c r="B398" s="56">
        <v>44363</v>
      </c>
      <c r="C398" s="58"/>
      <c r="D398" s="58"/>
      <c r="E398" s="58" t="s">
        <v>1132</v>
      </c>
      <c r="F398" s="123" t="s">
        <v>2694</v>
      </c>
      <c r="G398" s="126" t="s">
        <v>826</v>
      </c>
      <c r="H398" s="45">
        <v>9500000</v>
      </c>
      <c r="I398" s="380" t="s">
        <v>1503</v>
      </c>
      <c r="J398" s="301">
        <v>44408</v>
      </c>
      <c r="K398" s="460">
        <f t="shared" si="66"/>
        <v>9500000</v>
      </c>
      <c r="L398" s="460">
        <v>4631250</v>
      </c>
      <c r="M398" s="459">
        <f>4750000*2.5%</f>
        <v>118750</v>
      </c>
      <c r="N398" s="459">
        <f>H398*1%</f>
        <v>95000</v>
      </c>
      <c r="O398" s="459">
        <f>H398*2%</f>
        <v>190000</v>
      </c>
      <c r="P398" s="459">
        <v>4655000</v>
      </c>
      <c r="Q398" s="28">
        <f t="shared" si="67"/>
        <v>0</v>
      </c>
      <c r="R398" s="474">
        <v>44358</v>
      </c>
      <c r="S398" s="474">
        <v>44421</v>
      </c>
      <c r="T398" s="199">
        <v>14</v>
      </c>
      <c r="U398" s="24">
        <f t="shared" si="62"/>
        <v>44422</v>
      </c>
      <c r="V398"/>
      <c r="W398"/>
      <c r="X398"/>
      <c r="Y398"/>
      <c r="Z398"/>
      <c r="AA398"/>
      <c r="AB398"/>
      <c r="AC398"/>
      <c r="AD398"/>
      <c r="AE398"/>
      <c r="AF398"/>
      <c r="AG398"/>
      <c r="AH398"/>
      <c r="AI398"/>
      <c r="AJ398"/>
      <c r="AK398"/>
      <c r="AL398"/>
      <c r="AM398"/>
      <c r="AN398"/>
      <c r="AO398"/>
      <c r="AP398"/>
      <c r="AQ398"/>
    </row>
    <row r="399" spans="1:43" s="10" customFormat="1" ht="15.75" customHeight="1" x14ac:dyDescent="0.25">
      <c r="A399" s="55">
        <f t="shared" si="65"/>
        <v>74</v>
      </c>
      <c r="B399" s="56" t="s">
        <v>1136</v>
      </c>
      <c r="C399" s="58" t="s">
        <v>1134</v>
      </c>
      <c r="D399" s="58"/>
      <c r="E399" s="58"/>
      <c r="F399" s="112" t="s">
        <v>354</v>
      </c>
      <c r="G399" s="126" t="s">
        <v>839</v>
      </c>
      <c r="H399" s="45">
        <v>150000</v>
      </c>
      <c r="I399" s="380" t="s">
        <v>2362</v>
      </c>
      <c r="J399" s="514">
        <v>44503</v>
      </c>
      <c r="K399" s="460">
        <v>150000</v>
      </c>
      <c r="L399" s="460"/>
      <c r="M399" s="459"/>
      <c r="N399" s="459"/>
      <c r="O399" s="459"/>
      <c r="P399" s="459">
        <v>150000</v>
      </c>
      <c r="Q399" s="28">
        <f t="shared" si="67"/>
        <v>0</v>
      </c>
      <c r="R399" s="199" t="s">
        <v>2364</v>
      </c>
      <c r="S399" s="199"/>
      <c r="T399" s="199">
        <v>14</v>
      </c>
      <c r="U399" s="24">
        <f t="shared" si="62"/>
        <v>44517</v>
      </c>
      <c r="V399"/>
      <c r="W399"/>
      <c r="X399"/>
      <c r="Y399"/>
      <c r="Z399"/>
      <c r="AA399"/>
      <c r="AB399"/>
      <c r="AC399"/>
      <c r="AD399"/>
      <c r="AE399"/>
      <c r="AF399"/>
      <c r="AG399"/>
      <c r="AH399"/>
      <c r="AI399"/>
      <c r="AJ399"/>
      <c r="AK399"/>
      <c r="AL399"/>
      <c r="AM399"/>
      <c r="AN399"/>
      <c r="AO399"/>
      <c r="AP399"/>
      <c r="AQ399"/>
    </row>
    <row r="400" spans="1:43" s="10" customFormat="1" ht="15.75" customHeight="1" x14ac:dyDescent="0.25">
      <c r="A400" s="55">
        <f t="shared" si="65"/>
        <v>75</v>
      </c>
      <c r="B400" s="79" t="s">
        <v>1136</v>
      </c>
      <c r="C400" s="330" t="s">
        <v>1135</v>
      </c>
      <c r="D400" s="330"/>
      <c r="E400" s="330"/>
      <c r="F400" s="33" t="s">
        <v>1195</v>
      </c>
      <c r="G400" s="126" t="s">
        <v>1137</v>
      </c>
      <c r="H400" s="45">
        <v>1512000</v>
      </c>
      <c r="I400" s="378" t="s">
        <v>1623</v>
      </c>
      <c r="J400" s="754">
        <v>44417</v>
      </c>
      <c r="K400" s="28">
        <f t="shared" ref="K400" si="68">H400</f>
        <v>1512000</v>
      </c>
      <c r="L400" s="460"/>
      <c r="M400" s="459">
        <v>106920</v>
      </c>
      <c r="N400" s="28">
        <f>K400*1%</f>
        <v>15120</v>
      </c>
      <c r="O400" s="28">
        <f>K400*2%</f>
        <v>30240</v>
      </c>
      <c r="P400" s="459">
        <v>1389960</v>
      </c>
      <c r="Q400" s="28">
        <f t="shared" si="67"/>
        <v>0</v>
      </c>
      <c r="R400" s="199"/>
      <c r="S400" s="483">
        <v>44435</v>
      </c>
      <c r="T400" s="199">
        <v>14</v>
      </c>
      <c r="U400" s="24">
        <f t="shared" si="62"/>
        <v>44431</v>
      </c>
      <c r="V400" t="s">
        <v>1668</v>
      </c>
      <c r="W400" s="130">
        <v>44417</v>
      </c>
      <c r="X400"/>
      <c r="Y400"/>
      <c r="Z400"/>
      <c r="AA400"/>
      <c r="AB400"/>
      <c r="AC400"/>
      <c r="AD400"/>
      <c r="AE400"/>
      <c r="AF400"/>
      <c r="AG400"/>
      <c r="AH400"/>
      <c r="AI400"/>
      <c r="AJ400"/>
      <c r="AK400"/>
      <c r="AL400"/>
      <c r="AM400"/>
      <c r="AN400"/>
      <c r="AO400"/>
      <c r="AP400"/>
      <c r="AQ400"/>
    </row>
    <row r="401" spans="1:43" s="10" customFormat="1" ht="15.75" customHeight="1" x14ac:dyDescent="0.25">
      <c r="A401" s="55">
        <f t="shared" si="65"/>
        <v>76</v>
      </c>
      <c r="B401" s="56">
        <v>44376</v>
      </c>
      <c r="C401" s="58" t="s">
        <v>1693</v>
      </c>
      <c r="D401" s="58"/>
      <c r="E401" s="58" t="s">
        <v>1138</v>
      </c>
      <c r="F401" s="123" t="s">
        <v>2694</v>
      </c>
      <c r="G401" s="126" t="s">
        <v>839</v>
      </c>
      <c r="H401" s="45">
        <v>900000</v>
      </c>
      <c r="I401" s="380" t="s">
        <v>1188</v>
      </c>
      <c r="J401" s="301">
        <v>44386</v>
      </c>
      <c r="K401" s="28">
        <f t="shared" si="66"/>
        <v>900000</v>
      </c>
      <c r="L401" s="460">
        <v>438750</v>
      </c>
      <c r="M401" s="459"/>
      <c r="N401" s="28">
        <f>K401*1%</f>
        <v>9000</v>
      </c>
      <c r="O401" s="28">
        <f>K401*2%</f>
        <v>18000</v>
      </c>
      <c r="P401" s="459">
        <v>461250</v>
      </c>
      <c r="Q401" s="28">
        <f t="shared" si="67"/>
        <v>-9000</v>
      </c>
      <c r="R401" s="474">
        <v>44382</v>
      </c>
      <c r="S401" s="744">
        <v>44396</v>
      </c>
      <c r="T401" s="199">
        <v>14</v>
      </c>
      <c r="U401" s="24">
        <f t="shared" si="62"/>
        <v>44400</v>
      </c>
      <c r="V401"/>
      <c r="W401"/>
      <c r="X401"/>
      <c r="Y401"/>
      <c r="Z401"/>
      <c r="AA401"/>
      <c r="AB401"/>
      <c r="AC401"/>
      <c r="AD401"/>
      <c r="AE401"/>
      <c r="AF401"/>
      <c r="AG401"/>
      <c r="AH401"/>
      <c r="AI401"/>
      <c r="AJ401"/>
      <c r="AK401"/>
      <c r="AL401"/>
      <c r="AM401"/>
      <c r="AN401"/>
      <c r="AO401"/>
      <c r="AP401"/>
      <c r="AQ401"/>
    </row>
    <row r="402" spans="1:43" s="10" customFormat="1" ht="15.75" customHeight="1" x14ac:dyDescent="0.25">
      <c r="A402" s="55">
        <f t="shared" si="65"/>
        <v>77</v>
      </c>
      <c r="B402" s="56">
        <v>44349</v>
      </c>
      <c r="C402" s="58"/>
      <c r="D402" s="58"/>
      <c r="E402" s="58"/>
      <c r="F402" s="123" t="s">
        <v>933</v>
      </c>
      <c r="G402" s="126"/>
      <c r="H402" s="45">
        <v>4822000</v>
      </c>
      <c r="I402" s="380" t="s">
        <v>1302</v>
      </c>
      <c r="J402" s="301">
        <v>44390</v>
      </c>
      <c r="K402" s="460">
        <f t="shared" si="66"/>
        <v>4822000</v>
      </c>
      <c r="L402" s="460"/>
      <c r="M402" s="459"/>
      <c r="N402" s="459"/>
      <c r="O402" s="459"/>
      <c r="P402" s="459">
        <f>'rekap tm'!E119+'rekap tm'!F119</f>
        <v>4822000</v>
      </c>
      <c r="Q402" s="28">
        <f t="shared" si="67"/>
        <v>0</v>
      </c>
      <c r="R402" s="197"/>
      <c r="S402" s="197">
        <v>44393</v>
      </c>
      <c r="T402" s="2">
        <v>14</v>
      </c>
      <c r="U402" s="24">
        <f t="shared" si="62"/>
        <v>44404</v>
      </c>
      <c r="V402"/>
      <c r="W402"/>
      <c r="X402"/>
      <c r="Y402"/>
      <c r="Z402"/>
      <c r="AA402"/>
      <c r="AB402"/>
      <c r="AC402"/>
      <c r="AD402"/>
      <c r="AE402"/>
      <c r="AF402"/>
      <c r="AG402"/>
      <c r="AH402"/>
      <c r="AI402"/>
      <c r="AJ402"/>
      <c r="AK402"/>
      <c r="AL402"/>
      <c r="AM402"/>
      <c r="AN402"/>
      <c r="AO402"/>
      <c r="AP402"/>
      <c r="AQ402"/>
    </row>
    <row r="403" spans="1:43" s="10" customFormat="1" ht="15.75" customHeight="1" x14ac:dyDescent="0.25">
      <c r="A403" s="55">
        <f t="shared" si="65"/>
        <v>78</v>
      </c>
      <c r="B403" s="56">
        <v>44368</v>
      </c>
      <c r="C403" s="58"/>
      <c r="D403" s="58"/>
      <c r="E403" s="58"/>
      <c r="F403" s="123" t="s">
        <v>933</v>
      </c>
      <c r="G403" s="126" t="s">
        <v>1438</v>
      </c>
      <c r="H403" s="460">
        <v>30000000</v>
      </c>
      <c r="I403" s="380" t="s">
        <v>1457</v>
      </c>
      <c r="J403" s="301">
        <v>44406</v>
      </c>
      <c r="K403" s="460">
        <f t="shared" si="66"/>
        <v>30000000</v>
      </c>
      <c r="L403" s="460"/>
      <c r="M403" s="459"/>
      <c r="N403" s="459"/>
      <c r="O403" s="459"/>
      <c r="P403" s="459">
        <f>'rekap tm'!E122+'rekap tm'!F122</f>
        <v>30000000</v>
      </c>
      <c r="Q403" s="28">
        <f t="shared" si="67"/>
        <v>0</v>
      </c>
      <c r="R403" s="197"/>
      <c r="S403" s="197">
        <v>44393</v>
      </c>
      <c r="T403" s="2">
        <v>14</v>
      </c>
      <c r="U403" s="24">
        <f t="shared" si="62"/>
        <v>44420</v>
      </c>
      <c r="V403"/>
      <c r="W403"/>
      <c r="X403"/>
      <c r="Y403"/>
      <c r="Z403"/>
      <c r="AA403"/>
      <c r="AB403"/>
      <c r="AC403"/>
      <c r="AD403"/>
      <c r="AE403"/>
      <c r="AF403"/>
      <c r="AG403"/>
      <c r="AH403"/>
      <c r="AI403"/>
      <c r="AJ403"/>
      <c r="AK403"/>
      <c r="AL403"/>
      <c r="AM403"/>
      <c r="AN403"/>
      <c r="AO403"/>
      <c r="AP403"/>
      <c r="AQ403"/>
    </row>
    <row r="404" spans="1:43" s="10" customFormat="1" ht="15.75" customHeight="1" x14ac:dyDescent="0.25">
      <c r="A404" s="55">
        <f t="shared" si="65"/>
        <v>79</v>
      </c>
      <c r="B404" s="56">
        <v>44375</v>
      </c>
      <c r="C404" s="58"/>
      <c r="D404" s="58"/>
      <c r="E404" s="58"/>
      <c r="F404" s="123" t="s">
        <v>933</v>
      </c>
      <c r="G404" s="126" t="s">
        <v>1439</v>
      </c>
      <c r="H404" s="45">
        <v>26334000</v>
      </c>
      <c r="I404" s="380" t="s">
        <v>1458</v>
      </c>
      <c r="J404" s="301">
        <v>44406</v>
      </c>
      <c r="K404" s="460">
        <f t="shared" si="66"/>
        <v>26334000</v>
      </c>
      <c r="L404" s="460"/>
      <c r="M404" s="459"/>
      <c r="N404" s="459"/>
      <c r="O404" s="459"/>
      <c r="P404" s="459">
        <f>'rekap tm'!E125+'rekap tm'!F125</f>
        <v>26334000</v>
      </c>
      <c r="Q404" s="28">
        <f t="shared" si="67"/>
        <v>0</v>
      </c>
      <c r="R404" s="197"/>
      <c r="S404" s="197">
        <v>44400</v>
      </c>
      <c r="T404" s="2">
        <v>14</v>
      </c>
      <c r="U404" s="24">
        <f t="shared" si="62"/>
        <v>44420</v>
      </c>
      <c r="V404"/>
      <c r="W404"/>
      <c r="X404"/>
      <c r="Y404"/>
      <c r="Z404"/>
      <c r="AA404"/>
      <c r="AB404"/>
      <c r="AC404"/>
      <c r="AD404"/>
      <c r="AE404"/>
      <c r="AF404"/>
      <c r="AG404"/>
      <c r="AH404"/>
      <c r="AI404"/>
      <c r="AJ404"/>
      <c r="AK404"/>
      <c r="AL404"/>
      <c r="AM404"/>
      <c r="AN404"/>
      <c r="AO404"/>
      <c r="AP404"/>
      <c r="AQ404"/>
    </row>
    <row r="405" spans="1:43" s="10" customFormat="1" ht="15.75" customHeight="1" x14ac:dyDescent="0.25">
      <c r="A405" s="55">
        <f t="shared" si="65"/>
        <v>80</v>
      </c>
      <c r="B405" s="56">
        <v>44377</v>
      </c>
      <c r="C405" s="58"/>
      <c r="D405" s="58"/>
      <c r="E405" s="58"/>
      <c r="F405" s="123" t="s">
        <v>933</v>
      </c>
      <c r="G405" s="126" t="s">
        <v>1440</v>
      </c>
      <c r="H405" s="45">
        <v>28144000</v>
      </c>
      <c r="I405" s="380" t="s">
        <v>1459</v>
      </c>
      <c r="J405" s="301">
        <v>44406</v>
      </c>
      <c r="K405" s="460">
        <f t="shared" si="66"/>
        <v>28144000</v>
      </c>
      <c r="L405" s="460"/>
      <c r="M405" s="459"/>
      <c r="N405" s="459"/>
      <c r="O405" s="459"/>
      <c r="P405" s="459">
        <f>'rekap tm'!E128+'rekap tm'!F128</f>
        <v>28144000</v>
      </c>
      <c r="Q405" s="28">
        <f t="shared" si="67"/>
        <v>0</v>
      </c>
      <c r="R405" s="197"/>
      <c r="S405" s="197">
        <v>44410</v>
      </c>
      <c r="T405" s="2">
        <v>14</v>
      </c>
      <c r="U405" s="24">
        <f t="shared" si="62"/>
        <v>44420</v>
      </c>
      <c r="V405"/>
      <c r="W405"/>
      <c r="X405"/>
      <c r="Y405"/>
      <c r="Z405"/>
      <c r="AA405"/>
      <c r="AB405"/>
      <c r="AC405"/>
      <c r="AD405"/>
      <c r="AE405"/>
      <c r="AF405"/>
      <c r="AG405"/>
      <c r="AH405"/>
      <c r="AI405"/>
      <c r="AJ405"/>
      <c r="AK405"/>
      <c r="AL405"/>
      <c r="AM405"/>
      <c r="AN405"/>
      <c r="AO405"/>
      <c r="AP405"/>
      <c r="AQ405"/>
    </row>
    <row r="406" spans="1:43" s="10" customFormat="1" ht="15.75" customHeight="1" x14ac:dyDescent="0.25">
      <c r="A406" s="55">
        <f t="shared" si="65"/>
        <v>81</v>
      </c>
      <c r="B406" s="56">
        <v>44377</v>
      </c>
      <c r="C406" s="58"/>
      <c r="D406" s="58"/>
      <c r="E406" s="58"/>
      <c r="F406" s="123" t="s">
        <v>933</v>
      </c>
      <c r="G406" s="126" t="s">
        <v>1441</v>
      </c>
      <c r="H406" s="45">
        <v>76997000</v>
      </c>
      <c r="I406" s="380" t="s">
        <v>1460</v>
      </c>
      <c r="J406" s="301">
        <v>44406</v>
      </c>
      <c r="K406" s="460">
        <f t="shared" si="66"/>
        <v>76997000</v>
      </c>
      <c r="L406" s="459"/>
      <c r="M406" s="459"/>
      <c r="N406" s="459"/>
      <c r="O406" s="459"/>
      <c r="P406" s="459">
        <f>'rekap tm'!E131+'rekap tm'!F131+'rekap tm'!G131+'rekap tm'!H131+'rekap tm'!I131</f>
        <v>76997000</v>
      </c>
      <c r="Q406" s="28">
        <f t="shared" si="67"/>
        <v>0</v>
      </c>
      <c r="R406" s="197">
        <v>44411</v>
      </c>
      <c r="S406" s="197">
        <v>44421</v>
      </c>
      <c r="T406" s="2">
        <v>14</v>
      </c>
      <c r="U406" s="24">
        <f t="shared" si="62"/>
        <v>44420</v>
      </c>
      <c r="V406"/>
      <c r="W406"/>
      <c r="X406"/>
      <c r="Y406"/>
      <c r="Z406"/>
      <c r="AA406"/>
      <c r="AB406"/>
      <c r="AC406"/>
      <c r="AD406"/>
      <c r="AE406"/>
      <c r="AF406"/>
      <c r="AG406"/>
      <c r="AH406"/>
      <c r="AI406"/>
      <c r="AJ406"/>
      <c r="AK406"/>
      <c r="AL406"/>
      <c r="AM406"/>
      <c r="AN406"/>
      <c r="AO406"/>
      <c r="AP406"/>
      <c r="AQ406"/>
    </row>
    <row r="407" spans="1:43" s="10" customFormat="1" ht="15.75" customHeight="1" x14ac:dyDescent="0.25">
      <c r="A407" s="55">
        <f t="shared" si="65"/>
        <v>82</v>
      </c>
      <c r="B407" s="56" t="s">
        <v>1465</v>
      </c>
      <c r="C407" s="58"/>
      <c r="D407" s="58"/>
      <c r="E407" s="58"/>
      <c r="F407" s="123" t="s">
        <v>933</v>
      </c>
      <c r="G407" s="126" t="s">
        <v>1442</v>
      </c>
      <c r="H407" s="45">
        <v>107203000</v>
      </c>
      <c r="I407" s="380" t="s">
        <v>1461</v>
      </c>
      <c r="J407" s="301">
        <v>44406</v>
      </c>
      <c r="K407" s="460">
        <f t="shared" si="66"/>
        <v>107203000</v>
      </c>
      <c r="L407" s="460"/>
      <c r="M407" s="459"/>
      <c r="N407" s="459"/>
      <c r="O407" s="459"/>
      <c r="P407" s="459">
        <f>'rekap tm'!E134+'rekap tm'!F134</f>
        <v>107203000</v>
      </c>
      <c r="Q407" s="28">
        <f t="shared" si="67"/>
        <v>0</v>
      </c>
      <c r="R407" s="199"/>
      <c r="S407" s="197">
        <v>44424</v>
      </c>
      <c r="T407" s="2">
        <v>14</v>
      </c>
      <c r="U407" s="24">
        <f t="shared" si="62"/>
        <v>44420</v>
      </c>
      <c r="V407"/>
      <c r="W407"/>
      <c r="X407"/>
      <c r="Y407"/>
      <c r="Z407"/>
      <c r="AA407"/>
      <c r="AB407"/>
      <c r="AC407"/>
      <c r="AD407"/>
      <c r="AE407"/>
      <c r="AF407"/>
      <c r="AG407"/>
      <c r="AH407"/>
      <c r="AI407"/>
      <c r="AJ407"/>
      <c r="AK407"/>
      <c r="AL407"/>
      <c r="AM407"/>
      <c r="AN407"/>
      <c r="AO407"/>
      <c r="AP407"/>
      <c r="AQ407"/>
    </row>
    <row r="408" spans="1:43" s="10" customFormat="1" ht="15.75" customHeight="1" x14ac:dyDescent="0.25">
      <c r="A408" s="55">
        <f t="shared" si="65"/>
        <v>83</v>
      </c>
      <c r="B408" s="56">
        <v>44350</v>
      </c>
      <c r="C408" s="58" t="s">
        <v>1147</v>
      </c>
      <c r="D408" s="58"/>
      <c r="E408" s="58"/>
      <c r="F408" s="123" t="s">
        <v>1741</v>
      </c>
      <c r="G408" s="126" t="s">
        <v>503</v>
      </c>
      <c r="H408" s="45">
        <v>1300000</v>
      </c>
      <c r="I408" s="380" t="s">
        <v>1146</v>
      </c>
      <c r="J408" s="301">
        <v>44378</v>
      </c>
      <c r="K408" s="28">
        <f t="shared" si="66"/>
        <v>1300000</v>
      </c>
      <c r="L408" s="460"/>
      <c r="M408" s="459"/>
      <c r="N408" s="28">
        <f t="shared" ref="N408:N430" si="69">K408*1%</f>
        <v>13000</v>
      </c>
      <c r="O408" s="28">
        <f t="shared" ref="O408:O430" si="70">K408*2%</f>
        <v>26000</v>
      </c>
      <c r="P408" s="459">
        <v>1287000</v>
      </c>
      <c r="Q408" s="28">
        <f t="shared" si="67"/>
        <v>0</v>
      </c>
      <c r="R408" s="199"/>
      <c r="S408" s="197">
        <v>44473</v>
      </c>
      <c r="T408" s="199">
        <v>30</v>
      </c>
      <c r="U408" s="24">
        <f t="shared" si="62"/>
        <v>44408</v>
      </c>
      <c r="V408"/>
      <c r="W408"/>
      <c r="X408"/>
      <c r="Y408"/>
      <c r="Z408"/>
      <c r="AA408"/>
      <c r="AB408"/>
      <c r="AC408"/>
      <c r="AD408"/>
      <c r="AE408"/>
      <c r="AF408"/>
      <c r="AG408"/>
      <c r="AH408"/>
      <c r="AI408"/>
      <c r="AJ408"/>
      <c r="AK408"/>
      <c r="AL408"/>
      <c r="AM408"/>
      <c r="AN408"/>
      <c r="AO408"/>
      <c r="AP408"/>
      <c r="AQ408"/>
    </row>
    <row r="409" spans="1:43" s="10" customFormat="1" ht="15.75" customHeight="1" x14ac:dyDescent="0.25">
      <c r="A409" s="55">
        <f t="shared" si="65"/>
        <v>84</v>
      </c>
      <c r="B409" s="56">
        <v>44359</v>
      </c>
      <c r="C409" s="58" t="s">
        <v>1148</v>
      </c>
      <c r="D409" s="58"/>
      <c r="E409" s="58"/>
      <c r="F409" s="123" t="s">
        <v>1741</v>
      </c>
      <c r="G409" s="126" t="s">
        <v>503</v>
      </c>
      <c r="H409" s="45">
        <v>1300000</v>
      </c>
      <c r="I409" s="380" t="s">
        <v>1149</v>
      </c>
      <c r="J409" s="301">
        <v>44378</v>
      </c>
      <c r="K409" s="28">
        <f t="shared" si="66"/>
        <v>1300000</v>
      </c>
      <c r="L409" s="460"/>
      <c r="M409" s="459">
        <v>2000</v>
      </c>
      <c r="N409" s="28">
        <f t="shared" si="69"/>
        <v>13000</v>
      </c>
      <c r="O409" s="28">
        <f t="shared" si="70"/>
        <v>26000</v>
      </c>
      <c r="P409" s="459">
        <v>1285000</v>
      </c>
      <c r="Q409" s="28">
        <f t="shared" si="67"/>
        <v>0</v>
      </c>
      <c r="R409" s="199"/>
      <c r="S409" s="197">
        <v>44473</v>
      </c>
      <c r="T409" s="199">
        <v>30</v>
      </c>
      <c r="U409" s="24">
        <f t="shared" si="62"/>
        <v>44408</v>
      </c>
      <c r="V409"/>
      <c r="W409"/>
      <c r="X409"/>
      <c r="Y409"/>
      <c r="Z409"/>
      <c r="AA409"/>
      <c r="AB409"/>
      <c r="AC409"/>
      <c r="AD409"/>
      <c r="AE409"/>
      <c r="AF409"/>
      <c r="AG409"/>
      <c r="AH409"/>
      <c r="AI409"/>
      <c r="AJ409"/>
      <c r="AK409"/>
      <c r="AL409"/>
      <c r="AM409"/>
      <c r="AN409"/>
      <c r="AO409"/>
      <c r="AP409"/>
      <c r="AQ409"/>
    </row>
    <row r="410" spans="1:43" s="10" customFormat="1" ht="15.75" customHeight="1" x14ac:dyDescent="0.25">
      <c r="A410" s="55">
        <f t="shared" si="65"/>
        <v>85</v>
      </c>
      <c r="B410" s="56">
        <v>44359</v>
      </c>
      <c r="C410" s="58" t="s">
        <v>1151</v>
      </c>
      <c r="D410" s="58"/>
      <c r="E410" s="58"/>
      <c r="F410" s="123" t="s">
        <v>1744</v>
      </c>
      <c r="G410" s="126" t="s">
        <v>774</v>
      </c>
      <c r="H410" s="45">
        <v>1800000</v>
      </c>
      <c r="I410" s="380" t="s">
        <v>1150</v>
      </c>
      <c r="J410" s="301">
        <v>44379</v>
      </c>
      <c r="K410" s="28">
        <f t="shared" si="66"/>
        <v>1800000</v>
      </c>
      <c r="L410" s="460"/>
      <c r="M410" s="459">
        <v>3925</v>
      </c>
      <c r="N410" s="28">
        <f t="shared" si="69"/>
        <v>18000</v>
      </c>
      <c r="O410" s="28">
        <f t="shared" si="70"/>
        <v>36000</v>
      </c>
      <c r="P410" s="459">
        <v>1778075</v>
      </c>
      <c r="Q410" s="28">
        <f t="shared" si="67"/>
        <v>0</v>
      </c>
      <c r="R410" s="199"/>
      <c r="S410" s="197">
        <v>44470</v>
      </c>
      <c r="T410" s="199">
        <v>30</v>
      </c>
      <c r="U410" s="24">
        <f t="shared" si="62"/>
        <v>44409</v>
      </c>
      <c r="V410"/>
      <c r="W410"/>
      <c r="X410"/>
      <c r="Y410"/>
      <c r="Z410"/>
      <c r="AA410"/>
      <c r="AB410"/>
      <c r="AC410"/>
      <c r="AD410"/>
      <c r="AE410"/>
      <c r="AF410"/>
      <c r="AG410"/>
      <c r="AH410"/>
      <c r="AI410"/>
      <c r="AJ410"/>
      <c r="AK410"/>
      <c r="AL410"/>
      <c r="AM410"/>
      <c r="AN410"/>
      <c r="AO410"/>
      <c r="AP410"/>
      <c r="AQ410"/>
    </row>
    <row r="411" spans="1:43" s="10" customFormat="1" ht="15.75" customHeight="1" x14ac:dyDescent="0.25">
      <c r="A411" s="55">
        <f t="shared" si="65"/>
        <v>86</v>
      </c>
      <c r="B411" s="56">
        <v>44377</v>
      </c>
      <c r="C411" s="58" t="s">
        <v>1153</v>
      </c>
      <c r="D411" s="58"/>
      <c r="E411" s="58"/>
      <c r="F411" s="123" t="s">
        <v>590</v>
      </c>
      <c r="G411" s="126" t="s">
        <v>1152</v>
      </c>
      <c r="H411" s="45">
        <v>2046000</v>
      </c>
      <c r="I411" s="380" t="s">
        <v>1154</v>
      </c>
      <c r="J411" s="301">
        <v>44379</v>
      </c>
      <c r="K411" s="28">
        <f t="shared" si="66"/>
        <v>2046000</v>
      </c>
      <c r="L411" s="460"/>
      <c r="M411" s="459"/>
      <c r="N411" s="28">
        <f t="shared" si="69"/>
        <v>20460</v>
      </c>
      <c r="O411" s="28">
        <f t="shared" si="70"/>
        <v>40920</v>
      </c>
      <c r="P411" s="459">
        <v>2025540</v>
      </c>
      <c r="Q411" s="28">
        <f t="shared" si="67"/>
        <v>0</v>
      </c>
      <c r="R411" s="197">
        <v>44386</v>
      </c>
      <c r="S411" s="199"/>
      <c r="T411" s="199">
        <v>14</v>
      </c>
      <c r="U411" s="24">
        <f t="shared" si="62"/>
        <v>44393</v>
      </c>
      <c r="V411"/>
      <c r="W411"/>
      <c r="X411"/>
      <c r="Y411"/>
      <c r="Z411"/>
      <c r="AA411"/>
      <c r="AB411"/>
      <c r="AC411"/>
      <c r="AD411"/>
      <c r="AE411"/>
      <c r="AF411"/>
      <c r="AG411"/>
      <c r="AH411"/>
      <c r="AI411"/>
      <c r="AJ411"/>
      <c r="AK411"/>
      <c r="AL411"/>
      <c r="AM411"/>
      <c r="AN411"/>
      <c r="AO411"/>
      <c r="AP411"/>
      <c r="AQ411"/>
    </row>
    <row r="412" spans="1:43" s="10" customFormat="1" ht="15.75" customHeight="1" x14ac:dyDescent="0.25">
      <c r="A412" s="55">
        <f t="shared" si="65"/>
        <v>87</v>
      </c>
      <c r="B412" s="56">
        <v>44370</v>
      </c>
      <c r="C412" s="58" t="s">
        <v>1155</v>
      </c>
      <c r="D412" s="58"/>
      <c r="E412" s="58"/>
      <c r="F412" s="123" t="s">
        <v>1157</v>
      </c>
      <c r="G412" s="126" t="s">
        <v>477</v>
      </c>
      <c r="H412" s="45">
        <v>5200000</v>
      </c>
      <c r="I412" s="380" t="s">
        <v>1156</v>
      </c>
      <c r="J412" s="301">
        <v>44383</v>
      </c>
      <c r="K412" s="28">
        <f t="shared" si="66"/>
        <v>5200000</v>
      </c>
      <c r="L412" s="460"/>
      <c r="M412" s="459"/>
      <c r="N412" s="28">
        <f t="shared" si="69"/>
        <v>52000</v>
      </c>
      <c r="O412" s="28">
        <f t="shared" si="70"/>
        <v>104000</v>
      </c>
      <c r="P412" s="459">
        <v>5148000</v>
      </c>
      <c r="Q412" s="28">
        <f t="shared" si="67"/>
        <v>0</v>
      </c>
      <c r="R412" s="199"/>
      <c r="S412" s="197">
        <v>44421</v>
      </c>
      <c r="T412" s="199">
        <v>30</v>
      </c>
      <c r="U412" s="24">
        <f t="shared" si="62"/>
        <v>44413</v>
      </c>
      <c r="V412"/>
      <c r="W412"/>
      <c r="X412"/>
      <c r="Y412"/>
      <c r="Z412"/>
      <c r="AA412"/>
      <c r="AB412"/>
      <c r="AC412"/>
      <c r="AD412"/>
      <c r="AE412"/>
      <c r="AF412"/>
      <c r="AG412"/>
      <c r="AH412"/>
      <c r="AI412"/>
      <c r="AJ412"/>
      <c r="AK412"/>
      <c r="AL412"/>
      <c r="AM412"/>
      <c r="AN412"/>
      <c r="AO412"/>
      <c r="AP412"/>
      <c r="AQ412"/>
    </row>
    <row r="413" spans="1:43" s="10" customFormat="1" ht="15.75" customHeight="1" x14ac:dyDescent="0.25">
      <c r="A413" s="55">
        <f t="shared" si="65"/>
        <v>88</v>
      </c>
      <c r="B413" s="56">
        <v>44370</v>
      </c>
      <c r="C413" s="58" t="s">
        <v>1692</v>
      </c>
      <c r="D413" s="58"/>
      <c r="E413" s="58" t="s">
        <v>1515</v>
      </c>
      <c r="F413" s="123" t="s">
        <v>2694</v>
      </c>
      <c r="G413" s="126" t="s">
        <v>975</v>
      </c>
      <c r="H413" s="45">
        <v>15000000</v>
      </c>
      <c r="I413" s="380" t="s">
        <v>1158</v>
      </c>
      <c r="J413" s="301">
        <v>44383</v>
      </c>
      <c r="K413" s="28">
        <f t="shared" si="66"/>
        <v>15000000</v>
      </c>
      <c r="L413" s="481">
        <v>7312500</v>
      </c>
      <c r="M413" s="459">
        <f>K413*2.5%</f>
        <v>375000</v>
      </c>
      <c r="N413" s="28">
        <f t="shared" si="69"/>
        <v>150000</v>
      </c>
      <c r="O413" s="28">
        <f t="shared" si="70"/>
        <v>300000</v>
      </c>
      <c r="P413" s="459">
        <v>7162500</v>
      </c>
      <c r="Q413" s="28">
        <f t="shared" si="67"/>
        <v>0</v>
      </c>
      <c r="R413" s="474">
        <v>44380</v>
      </c>
      <c r="S413" s="474">
        <v>44390</v>
      </c>
      <c r="T413" s="199">
        <v>14</v>
      </c>
      <c r="U413" s="24">
        <f t="shared" si="62"/>
        <v>44397</v>
      </c>
      <c r="V413"/>
      <c r="W413"/>
      <c r="X413"/>
      <c r="Y413"/>
      <c r="Z413"/>
      <c r="AA413"/>
      <c r="AB413"/>
      <c r="AC413"/>
      <c r="AD413"/>
      <c r="AE413"/>
      <c r="AF413"/>
      <c r="AG413"/>
      <c r="AH413"/>
      <c r="AI413"/>
      <c r="AJ413"/>
      <c r="AK413"/>
      <c r="AL413"/>
      <c r="AM413"/>
      <c r="AN413"/>
      <c r="AO413"/>
      <c r="AP413"/>
      <c r="AQ413"/>
    </row>
    <row r="414" spans="1:43" s="10" customFormat="1" ht="15.75" customHeight="1" x14ac:dyDescent="0.25">
      <c r="A414" s="55">
        <f t="shared" si="65"/>
        <v>89</v>
      </c>
      <c r="B414" s="56">
        <v>44373</v>
      </c>
      <c r="C414" s="58" t="s">
        <v>1159</v>
      </c>
      <c r="D414" s="58"/>
      <c r="E414" s="58" t="s">
        <v>1516</v>
      </c>
      <c r="F414" s="123" t="s">
        <v>2694</v>
      </c>
      <c r="G414" s="126" t="s">
        <v>462</v>
      </c>
      <c r="H414" s="45">
        <v>1000000</v>
      </c>
      <c r="I414" s="380" t="s">
        <v>1160</v>
      </c>
      <c r="J414" s="301">
        <v>44383</v>
      </c>
      <c r="K414" s="28">
        <f t="shared" si="66"/>
        <v>1000000</v>
      </c>
      <c r="L414" s="481">
        <v>487500</v>
      </c>
      <c r="M414" s="459">
        <f>K414*2.525%</f>
        <v>25249.999999999996</v>
      </c>
      <c r="N414" s="28">
        <f t="shared" si="69"/>
        <v>10000</v>
      </c>
      <c r="O414" s="28">
        <f t="shared" si="70"/>
        <v>20000</v>
      </c>
      <c r="P414" s="459">
        <v>477250</v>
      </c>
      <c r="Q414" s="28">
        <f t="shared" si="67"/>
        <v>0</v>
      </c>
      <c r="R414" s="474">
        <v>44378</v>
      </c>
      <c r="S414" s="474">
        <v>44390</v>
      </c>
      <c r="T414" s="199">
        <v>14</v>
      </c>
      <c r="U414" s="24">
        <f t="shared" si="62"/>
        <v>44397</v>
      </c>
      <c r="V414"/>
      <c r="W414"/>
      <c r="X414"/>
      <c r="Y414"/>
      <c r="Z414"/>
      <c r="AA414"/>
      <c r="AB414"/>
      <c r="AC414"/>
      <c r="AD414"/>
      <c r="AE414"/>
      <c r="AF414"/>
      <c r="AG414"/>
      <c r="AH414"/>
      <c r="AI414"/>
      <c r="AJ414"/>
      <c r="AK414"/>
      <c r="AL414"/>
      <c r="AM414"/>
      <c r="AN414"/>
      <c r="AO414"/>
      <c r="AP414"/>
      <c r="AQ414"/>
    </row>
    <row r="415" spans="1:43" s="10" customFormat="1" ht="15.75" customHeight="1" x14ac:dyDescent="0.25">
      <c r="A415" s="55">
        <f t="shared" si="65"/>
        <v>90</v>
      </c>
      <c r="B415" s="56">
        <v>44373</v>
      </c>
      <c r="C415" s="58" t="s">
        <v>1163</v>
      </c>
      <c r="D415" s="58"/>
      <c r="E415" s="58" t="s">
        <v>1517</v>
      </c>
      <c r="F415" s="123" t="s">
        <v>2694</v>
      </c>
      <c r="G415" s="126" t="s">
        <v>1162</v>
      </c>
      <c r="H415" s="45">
        <v>1600000</v>
      </c>
      <c r="I415" s="380" t="s">
        <v>1161</v>
      </c>
      <c r="J415" s="301">
        <v>44383</v>
      </c>
      <c r="K415" s="28">
        <f t="shared" si="66"/>
        <v>1600000</v>
      </c>
      <c r="L415" s="460"/>
      <c r="M415" s="459">
        <f>K415*2.525%</f>
        <v>40400</v>
      </c>
      <c r="N415" s="28">
        <f t="shared" si="69"/>
        <v>16000</v>
      </c>
      <c r="O415" s="28">
        <f t="shared" si="70"/>
        <v>32000</v>
      </c>
      <c r="P415" s="459">
        <v>1543600</v>
      </c>
      <c r="Q415" s="28">
        <f t="shared" si="67"/>
        <v>0</v>
      </c>
      <c r="R415" s="743"/>
      <c r="S415" s="474">
        <v>44390</v>
      </c>
      <c r="T415" s="199">
        <v>14</v>
      </c>
      <c r="U415" s="24">
        <f t="shared" si="62"/>
        <v>44397</v>
      </c>
      <c r="V415"/>
      <c r="W415"/>
      <c r="X415"/>
      <c r="Y415"/>
      <c r="Z415"/>
      <c r="AA415"/>
      <c r="AB415"/>
      <c r="AC415"/>
      <c r="AD415"/>
      <c r="AE415"/>
      <c r="AF415"/>
      <c r="AG415"/>
      <c r="AH415"/>
      <c r="AI415"/>
      <c r="AJ415"/>
      <c r="AK415"/>
      <c r="AL415"/>
      <c r="AM415"/>
      <c r="AN415"/>
      <c r="AO415"/>
      <c r="AP415"/>
      <c r="AQ415"/>
    </row>
    <row r="416" spans="1:43" s="10" customFormat="1" ht="15.75" customHeight="1" x14ac:dyDescent="0.25">
      <c r="A416" s="55">
        <f t="shared" si="65"/>
        <v>91</v>
      </c>
      <c r="B416" s="56">
        <v>44373</v>
      </c>
      <c r="C416" s="58" t="s">
        <v>1164</v>
      </c>
      <c r="D416" s="58"/>
      <c r="E416" s="58" t="s">
        <v>1518</v>
      </c>
      <c r="F416" s="123" t="s">
        <v>2694</v>
      </c>
      <c r="G416" s="126" t="s">
        <v>462</v>
      </c>
      <c r="H416" s="45">
        <v>730000</v>
      </c>
      <c r="I416" s="380" t="s">
        <v>1165</v>
      </c>
      <c r="J416" s="301">
        <v>44383</v>
      </c>
      <c r="K416" s="28">
        <f t="shared" si="66"/>
        <v>730000</v>
      </c>
      <c r="L416" s="460"/>
      <c r="M416" s="459">
        <f>K416*2.525%</f>
        <v>18432.5</v>
      </c>
      <c r="N416" s="28">
        <f t="shared" si="69"/>
        <v>7300</v>
      </c>
      <c r="O416" s="28">
        <f t="shared" si="70"/>
        <v>14600</v>
      </c>
      <c r="P416" s="459">
        <v>704267.5</v>
      </c>
      <c r="Q416" s="28">
        <f t="shared" si="67"/>
        <v>0</v>
      </c>
      <c r="R416" s="743"/>
      <c r="S416" s="474">
        <v>44390</v>
      </c>
      <c r="T416" s="199">
        <v>14</v>
      </c>
      <c r="U416" s="24">
        <f t="shared" si="62"/>
        <v>44397</v>
      </c>
      <c r="V416"/>
      <c r="W416"/>
      <c r="X416"/>
      <c r="Y416"/>
      <c r="Z416"/>
      <c r="AA416"/>
      <c r="AB416"/>
      <c r="AC416"/>
      <c r="AD416"/>
      <c r="AE416"/>
      <c r="AF416"/>
      <c r="AG416"/>
      <c r="AH416"/>
      <c r="AI416"/>
      <c r="AJ416"/>
      <c r="AK416"/>
      <c r="AL416"/>
      <c r="AM416"/>
      <c r="AN416"/>
      <c r="AO416"/>
      <c r="AP416"/>
      <c r="AQ416"/>
    </row>
    <row r="417" spans="1:43" s="10" customFormat="1" ht="15.75" customHeight="1" x14ac:dyDescent="0.25">
      <c r="A417" s="55">
        <f t="shared" si="65"/>
        <v>92</v>
      </c>
      <c r="B417" s="56">
        <v>44371</v>
      </c>
      <c r="C417" s="58" t="s">
        <v>1166</v>
      </c>
      <c r="D417" s="58"/>
      <c r="E417" s="58" t="s">
        <v>1519</v>
      </c>
      <c r="F417" s="123" t="s">
        <v>2694</v>
      </c>
      <c r="G417" s="126" t="s">
        <v>1168</v>
      </c>
      <c r="H417" s="45">
        <v>2350000</v>
      </c>
      <c r="I417" s="380" t="s">
        <v>1167</v>
      </c>
      <c r="J417" s="301">
        <v>44383</v>
      </c>
      <c r="K417" s="28">
        <f t="shared" si="66"/>
        <v>2350000</v>
      </c>
      <c r="L417" s="481">
        <v>1145625</v>
      </c>
      <c r="M417" s="459">
        <v>59337.499999999993</v>
      </c>
      <c r="N417" s="28">
        <f t="shared" si="69"/>
        <v>23500</v>
      </c>
      <c r="O417" s="28">
        <f t="shared" si="70"/>
        <v>47000</v>
      </c>
      <c r="P417" s="459">
        <v>1121537.5</v>
      </c>
      <c r="Q417" s="28">
        <f t="shared" si="67"/>
        <v>0</v>
      </c>
      <c r="R417" s="474">
        <v>44372</v>
      </c>
      <c r="S417" s="474">
        <v>44390</v>
      </c>
      <c r="T417" s="199">
        <v>14</v>
      </c>
      <c r="U417" s="24">
        <f t="shared" si="62"/>
        <v>44397</v>
      </c>
      <c r="V417"/>
      <c r="W417"/>
      <c r="X417"/>
      <c r="Y417"/>
      <c r="Z417"/>
      <c r="AA417"/>
      <c r="AB417"/>
      <c r="AC417"/>
      <c r="AD417"/>
      <c r="AE417"/>
      <c r="AF417"/>
      <c r="AG417"/>
      <c r="AH417"/>
      <c r="AI417"/>
      <c r="AJ417"/>
      <c r="AK417"/>
      <c r="AL417"/>
      <c r="AM417"/>
      <c r="AN417"/>
      <c r="AO417"/>
      <c r="AP417"/>
      <c r="AQ417"/>
    </row>
    <row r="418" spans="1:43" s="10" customFormat="1" ht="15.75" customHeight="1" x14ac:dyDescent="0.25">
      <c r="A418" s="55">
        <f t="shared" si="65"/>
        <v>93</v>
      </c>
      <c r="B418" s="56">
        <v>44350</v>
      </c>
      <c r="C418" s="58" t="s">
        <v>1171</v>
      </c>
      <c r="D418" s="58"/>
      <c r="E418" s="58"/>
      <c r="F418" s="69" t="s">
        <v>2497</v>
      </c>
      <c r="G418" s="126" t="s">
        <v>1172</v>
      </c>
      <c r="H418" s="45">
        <v>226500</v>
      </c>
      <c r="I418" s="380" t="s">
        <v>1170</v>
      </c>
      <c r="J418" s="301">
        <v>44384</v>
      </c>
      <c r="K418" s="28">
        <f t="shared" si="66"/>
        <v>226500</v>
      </c>
      <c r="L418" s="460"/>
      <c r="M418" s="459"/>
      <c r="N418" s="28">
        <f t="shared" si="69"/>
        <v>2265</v>
      </c>
      <c r="O418" s="28">
        <f t="shared" si="70"/>
        <v>4530</v>
      </c>
      <c r="P418" s="459">
        <v>224235</v>
      </c>
      <c r="Q418" s="28">
        <f t="shared" si="67"/>
        <v>0</v>
      </c>
      <c r="R418" s="199"/>
      <c r="S418" s="197">
        <v>44440</v>
      </c>
      <c r="T418" s="199">
        <v>30</v>
      </c>
      <c r="U418" s="24">
        <f t="shared" si="62"/>
        <v>44414</v>
      </c>
      <c r="V418"/>
      <c r="W418"/>
      <c r="X418"/>
      <c r="Y418"/>
      <c r="Z418"/>
      <c r="AA418"/>
      <c r="AB418"/>
      <c r="AC418"/>
      <c r="AD418"/>
      <c r="AE418"/>
      <c r="AF418"/>
      <c r="AG418"/>
      <c r="AH418"/>
      <c r="AI418"/>
      <c r="AJ418"/>
      <c r="AK418"/>
      <c r="AL418"/>
      <c r="AM418"/>
      <c r="AN418"/>
      <c r="AO418"/>
      <c r="AP418"/>
      <c r="AQ418"/>
    </row>
    <row r="419" spans="1:43" s="10" customFormat="1" ht="15.75" customHeight="1" x14ac:dyDescent="0.25">
      <c r="A419" s="55">
        <f t="shared" si="65"/>
        <v>94</v>
      </c>
      <c r="B419" s="56">
        <v>44351</v>
      </c>
      <c r="C419" s="58" t="s">
        <v>1691</v>
      </c>
      <c r="D419" s="58"/>
      <c r="E419" s="58"/>
      <c r="F419" s="69" t="s">
        <v>2497</v>
      </c>
      <c r="G419" s="126" t="s">
        <v>1173</v>
      </c>
      <c r="H419" s="45">
        <v>502400</v>
      </c>
      <c r="I419" s="380" t="s">
        <v>1174</v>
      </c>
      <c r="J419" s="301">
        <v>44384</v>
      </c>
      <c r="K419" s="28">
        <f t="shared" si="66"/>
        <v>502400</v>
      </c>
      <c r="L419" s="460"/>
      <c r="M419" s="459"/>
      <c r="N419" s="28">
        <f t="shared" si="69"/>
        <v>5024</v>
      </c>
      <c r="O419" s="28">
        <f t="shared" si="70"/>
        <v>10048</v>
      </c>
      <c r="P419" s="459">
        <v>497376</v>
      </c>
      <c r="Q419" s="28">
        <f t="shared" si="67"/>
        <v>0</v>
      </c>
      <c r="R419" s="199"/>
      <c r="S419" s="197">
        <v>44440</v>
      </c>
      <c r="T419" s="199">
        <v>30</v>
      </c>
      <c r="U419" s="24">
        <f t="shared" si="62"/>
        <v>44414</v>
      </c>
      <c r="V419"/>
      <c r="W419"/>
      <c r="X419"/>
      <c r="Y419"/>
      <c r="Z419"/>
      <c r="AA419"/>
      <c r="AB419"/>
      <c r="AC419"/>
      <c r="AD419"/>
      <c r="AE419"/>
      <c r="AF419"/>
      <c r="AG419"/>
      <c r="AH419"/>
      <c r="AI419"/>
      <c r="AJ419"/>
      <c r="AK419"/>
      <c r="AL419"/>
      <c r="AM419"/>
      <c r="AN419"/>
      <c r="AO419"/>
      <c r="AP419"/>
      <c r="AQ419"/>
    </row>
    <row r="420" spans="1:43" s="10" customFormat="1" ht="15.75" customHeight="1" x14ac:dyDescent="0.25">
      <c r="A420" s="55">
        <f t="shared" si="65"/>
        <v>95</v>
      </c>
      <c r="B420" s="56">
        <v>44376</v>
      </c>
      <c r="C420" s="58" t="s">
        <v>1176</v>
      </c>
      <c r="D420" s="136"/>
      <c r="E420" s="136" t="s">
        <v>1403</v>
      </c>
      <c r="F420" s="123" t="s">
        <v>2694</v>
      </c>
      <c r="G420" s="126" t="s">
        <v>462</v>
      </c>
      <c r="H420" s="45">
        <v>1100000</v>
      </c>
      <c r="I420" s="380" t="s">
        <v>1175</v>
      </c>
      <c r="J420" s="301">
        <v>44386</v>
      </c>
      <c r="K420" s="28">
        <f t="shared" si="66"/>
        <v>1100000</v>
      </c>
      <c r="L420" s="460"/>
      <c r="M420" s="459">
        <f>K420*2.525%</f>
        <v>27774.999999999996</v>
      </c>
      <c r="N420" s="28">
        <f t="shared" si="69"/>
        <v>11000</v>
      </c>
      <c r="O420" s="28">
        <f t="shared" si="70"/>
        <v>22000</v>
      </c>
      <c r="P420" s="459">
        <v>1061225</v>
      </c>
      <c r="Q420" s="28">
        <f t="shared" si="67"/>
        <v>0</v>
      </c>
      <c r="R420" s="743"/>
      <c r="S420" s="474">
        <v>44393</v>
      </c>
      <c r="T420" s="199">
        <v>14</v>
      </c>
      <c r="U420" s="24">
        <f t="shared" si="62"/>
        <v>44400</v>
      </c>
      <c r="V420"/>
      <c r="W420"/>
      <c r="X420"/>
      <c r="Y420"/>
      <c r="Z420"/>
      <c r="AA420"/>
      <c r="AB420"/>
      <c r="AC420"/>
      <c r="AD420"/>
      <c r="AE420"/>
      <c r="AF420"/>
      <c r="AG420"/>
      <c r="AH420"/>
      <c r="AI420"/>
      <c r="AJ420"/>
      <c r="AK420"/>
      <c r="AL420"/>
      <c r="AM420"/>
      <c r="AN420"/>
      <c r="AO420"/>
      <c r="AP420"/>
      <c r="AQ420"/>
    </row>
    <row r="421" spans="1:43" s="10" customFormat="1" ht="15.75" customHeight="1" x14ac:dyDescent="0.25">
      <c r="A421" s="55">
        <f t="shared" si="65"/>
        <v>96</v>
      </c>
      <c r="B421" s="56">
        <v>44376</v>
      </c>
      <c r="C421" s="58" t="s">
        <v>1177</v>
      </c>
      <c r="D421" s="58"/>
      <c r="E421" s="58" t="s">
        <v>1404</v>
      </c>
      <c r="F421" s="123" t="s">
        <v>2694</v>
      </c>
      <c r="G421" s="126" t="s">
        <v>417</v>
      </c>
      <c r="H421" s="45">
        <v>1600000</v>
      </c>
      <c r="I421" s="380" t="s">
        <v>1178</v>
      </c>
      <c r="J421" s="301">
        <v>44386</v>
      </c>
      <c r="K421" s="28">
        <f t="shared" si="66"/>
        <v>1600000</v>
      </c>
      <c r="L421" s="460"/>
      <c r="M421" s="459">
        <f>K421*2.525%</f>
        <v>40400</v>
      </c>
      <c r="N421" s="28">
        <f t="shared" si="69"/>
        <v>16000</v>
      </c>
      <c r="O421" s="28">
        <f t="shared" si="70"/>
        <v>32000</v>
      </c>
      <c r="P421" s="459">
        <v>1543600</v>
      </c>
      <c r="Q421" s="28">
        <f t="shared" si="67"/>
        <v>0</v>
      </c>
      <c r="R421" s="743"/>
      <c r="S421" s="474">
        <v>44393</v>
      </c>
      <c r="T421" s="199">
        <v>14</v>
      </c>
      <c r="U421" s="24">
        <f t="shared" si="62"/>
        <v>44400</v>
      </c>
      <c r="V421"/>
      <c r="W421"/>
      <c r="X421"/>
      <c r="Y421"/>
      <c r="Z421"/>
      <c r="AA421"/>
      <c r="AB421"/>
      <c r="AC421"/>
      <c r="AD421"/>
      <c r="AE421"/>
      <c r="AF421"/>
      <c r="AG421"/>
      <c r="AH421"/>
      <c r="AI421"/>
      <c r="AJ421"/>
      <c r="AK421"/>
      <c r="AL421"/>
      <c r="AM421"/>
      <c r="AN421"/>
      <c r="AO421"/>
      <c r="AP421"/>
      <c r="AQ421"/>
    </row>
    <row r="422" spans="1:43" s="10" customFormat="1" ht="15.75" customHeight="1" x14ac:dyDescent="0.25">
      <c r="A422" s="55">
        <f t="shared" si="65"/>
        <v>97</v>
      </c>
      <c r="B422" s="56">
        <v>44369</v>
      </c>
      <c r="C422" s="58" t="s">
        <v>1690</v>
      </c>
      <c r="D422" s="58"/>
      <c r="E422" s="58" t="s">
        <v>1139</v>
      </c>
      <c r="F422" s="123" t="s">
        <v>2694</v>
      </c>
      <c r="G422" s="126" t="s">
        <v>1183</v>
      </c>
      <c r="H422" s="45">
        <v>900000</v>
      </c>
      <c r="I422" s="380" t="s">
        <v>1182</v>
      </c>
      <c r="J422" s="301">
        <v>44386</v>
      </c>
      <c r="K422" s="28">
        <f t="shared" si="66"/>
        <v>900000</v>
      </c>
      <c r="L422" s="460"/>
      <c r="M422" s="459">
        <f>K422*2.525%</f>
        <v>22725</v>
      </c>
      <c r="N422" s="28">
        <f t="shared" si="69"/>
        <v>9000</v>
      </c>
      <c r="O422" s="28">
        <f t="shared" si="70"/>
        <v>18000</v>
      </c>
      <c r="P422" s="459">
        <v>868275</v>
      </c>
      <c r="Q422" s="28">
        <f t="shared" si="67"/>
        <v>0</v>
      </c>
      <c r="R422" s="743"/>
      <c r="S422" s="744">
        <v>44393</v>
      </c>
      <c r="T422" s="199">
        <v>14</v>
      </c>
      <c r="U422" s="24">
        <f t="shared" si="62"/>
        <v>44400</v>
      </c>
      <c r="V422"/>
      <c r="W422"/>
      <c r="X422"/>
      <c r="Y422"/>
      <c r="Z422"/>
      <c r="AA422"/>
      <c r="AB422"/>
      <c r="AC422"/>
      <c r="AD422"/>
      <c r="AE422"/>
      <c r="AF422"/>
      <c r="AG422"/>
      <c r="AH422"/>
      <c r="AI422"/>
      <c r="AJ422"/>
      <c r="AK422"/>
      <c r="AL422"/>
      <c r="AM422"/>
      <c r="AN422"/>
      <c r="AO422"/>
      <c r="AP422"/>
      <c r="AQ422"/>
    </row>
    <row r="423" spans="1:43" s="10" customFormat="1" ht="15.75" customHeight="1" x14ac:dyDescent="0.25">
      <c r="A423" s="55">
        <f t="shared" si="65"/>
        <v>98</v>
      </c>
      <c r="B423" s="56">
        <v>44376</v>
      </c>
      <c r="C423" s="58" t="s">
        <v>1185</v>
      </c>
      <c r="D423" s="58"/>
      <c r="E423" s="58" t="s">
        <v>1406</v>
      </c>
      <c r="F423" s="123" t="s">
        <v>2694</v>
      </c>
      <c r="G423" s="126" t="s">
        <v>462</v>
      </c>
      <c r="H423" s="45">
        <v>1100000</v>
      </c>
      <c r="I423" s="380" t="s">
        <v>1186</v>
      </c>
      <c r="J423" s="301">
        <v>44386</v>
      </c>
      <c r="K423" s="28">
        <f t="shared" si="66"/>
        <v>1100000</v>
      </c>
      <c r="L423" s="460"/>
      <c r="M423" s="459">
        <f>K423*2.5%</f>
        <v>27500</v>
      </c>
      <c r="N423" s="28">
        <f t="shared" si="69"/>
        <v>11000</v>
      </c>
      <c r="O423" s="28">
        <f t="shared" si="70"/>
        <v>22000</v>
      </c>
      <c r="P423" s="459">
        <v>1061500</v>
      </c>
      <c r="Q423" s="28">
        <f t="shared" si="67"/>
        <v>0</v>
      </c>
      <c r="R423" s="743"/>
      <c r="S423" s="744">
        <v>44393</v>
      </c>
      <c r="T423" s="199">
        <v>14</v>
      </c>
      <c r="U423" s="24">
        <f t="shared" si="62"/>
        <v>44400</v>
      </c>
      <c r="V423"/>
      <c r="W423"/>
      <c r="X423"/>
      <c r="Y423"/>
      <c r="Z423"/>
      <c r="AA423"/>
      <c r="AB423"/>
      <c r="AC423"/>
      <c r="AD423"/>
      <c r="AE423"/>
      <c r="AF423"/>
      <c r="AG423"/>
      <c r="AH423"/>
      <c r="AI423"/>
      <c r="AJ423"/>
      <c r="AK423"/>
      <c r="AL423"/>
      <c r="AM423"/>
      <c r="AN423"/>
      <c r="AO423"/>
      <c r="AP423"/>
      <c r="AQ423"/>
    </row>
    <row r="424" spans="1:43" s="10" customFormat="1" ht="15.75" customHeight="1" x14ac:dyDescent="0.25">
      <c r="A424" s="55">
        <f t="shared" si="65"/>
        <v>99</v>
      </c>
      <c r="B424" s="56">
        <v>44376</v>
      </c>
      <c r="C424" s="58"/>
      <c r="D424" s="58"/>
      <c r="E424" s="58" t="s">
        <v>1407</v>
      </c>
      <c r="F424" s="123" t="s">
        <v>2694</v>
      </c>
      <c r="G424" s="126" t="s">
        <v>462</v>
      </c>
      <c r="H424" s="45">
        <v>1100000</v>
      </c>
      <c r="I424" s="380" t="s">
        <v>1187</v>
      </c>
      <c r="J424" s="301">
        <v>44386</v>
      </c>
      <c r="K424" s="28">
        <f t="shared" si="66"/>
        <v>1100000</v>
      </c>
      <c r="L424" s="460"/>
      <c r="M424" s="459">
        <f>K424*2.5%</f>
        <v>27500</v>
      </c>
      <c r="N424" s="28">
        <f t="shared" si="69"/>
        <v>11000</v>
      </c>
      <c r="O424" s="28">
        <f t="shared" si="70"/>
        <v>22000</v>
      </c>
      <c r="P424" s="459">
        <v>1061500</v>
      </c>
      <c r="Q424" s="28">
        <f t="shared" si="67"/>
        <v>0</v>
      </c>
      <c r="R424" s="743"/>
      <c r="S424" s="744">
        <v>44393</v>
      </c>
      <c r="T424" s="199">
        <v>14</v>
      </c>
      <c r="U424" s="24">
        <f t="shared" si="62"/>
        <v>44400</v>
      </c>
      <c r="V424"/>
      <c r="W424"/>
      <c r="X424"/>
      <c r="Y424"/>
      <c r="Z424"/>
      <c r="AA424"/>
      <c r="AB424"/>
      <c r="AC424"/>
      <c r="AD424"/>
      <c r="AE424"/>
      <c r="AF424"/>
      <c r="AG424"/>
      <c r="AH424"/>
      <c r="AI424"/>
      <c r="AJ424"/>
      <c r="AK424"/>
      <c r="AL424"/>
      <c r="AM424"/>
      <c r="AN424"/>
      <c r="AO424"/>
      <c r="AP424"/>
      <c r="AQ424"/>
    </row>
    <row r="425" spans="1:43" s="10" customFormat="1" ht="15.75" customHeight="1" x14ac:dyDescent="0.25">
      <c r="A425" s="55">
        <f t="shared" si="65"/>
        <v>100</v>
      </c>
      <c r="B425" s="56">
        <v>44377</v>
      </c>
      <c r="C425" s="58" t="s">
        <v>1189</v>
      </c>
      <c r="D425" s="58"/>
      <c r="E425" s="58" t="s">
        <v>1408</v>
      </c>
      <c r="F425" s="123" t="s">
        <v>2694</v>
      </c>
      <c r="G425" s="126" t="s">
        <v>1190</v>
      </c>
      <c r="H425" s="45">
        <v>4000000</v>
      </c>
      <c r="I425" s="380" t="s">
        <v>1191</v>
      </c>
      <c r="J425" s="301">
        <v>44386</v>
      </c>
      <c r="K425" s="28">
        <f t="shared" si="66"/>
        <v>4000000</v>
      </c>
      <c r="L425" s="460">
        <v>1950000</v>
      </c>
      <c r="M425" s="459">
        <f>K425*2.5%</f>
        <v>100000</v>
      </c>
      <c r="N425" s="28">
        <f t="shared" si="69"/>
        <v>40000</v>
      </c>
      <c r="O425" s="28">
        <f t="shared" si="70"/>
        <v>80000</v>
      </c>
      <c r="P425" s="459">
        <v>1910000</v>
      </c>
      <c r="Q425" s="28">
        <f t="shared" si="67"/>
        <v>0</v>
      </c>
      <c r="R425" s="474">
        <v>44382</v>
      </c>
      <c r="S425" s="744">
        <v>44393</v>
      </c>
      <c r="T425" s="199">
        <v>14</v>
      </c>
      <c r="U425" s="24">
        <f t="shared" si="62"/>
        <v>44400</v>
      </c>
      <c r="V425"/>
      <c r="W425"/>
      <c r="X425"/>
      <c r="Y425"/>
      <c r="Z425"/>
      <c r="AA425"/>
      <c r="AB425"/>
      <c r="AC425"/>
      <c r="AD425"/>
      <c r="AE425"/>
      <c r="AF425"/>
      <c r="AG425"/>
      <c r="AH425"/>
      <c r="AI425"/>
      <c r="AJ425"/>
      <c r="AK425"/>
      <c r="AL425"/>
      <c r="AM425"/>
      <c r="AN425"/>
      <c r="AO425"/>
      <c r="AP425"/>
      <c r="AQ425"/>
    </row>
    <row r="426" spans="1:43" s="10" customFormat="1" ht="15.75" customHeight="1" x14ac:dyDescent="0.25">
      <c r="A426" s="55">
        <f t="shared" si="65"/>
        <v>101</v>
      </c>
      <c r="B426" s="56">
        <v>44377</v>
      </c>
      <c r="C426" s="58" t="s">
        <v>1210</v>
      </c>
      <c r="D426" s="58"/>
      <c r="E426" s="58" t="s">
        <v>1413</v>
      </c>
      <c r="F426" s="123" t="s">
        <v>2694</v>
      </c>
      <c r="G426" s="126" t="s">
        <v>161</v>
      </c>
      <c r="H426" s="45">
        <v>240000</v>
      </c>
      <c r="I426" s="380" t="s">
        <v>1211</v>
      </c>
      <c r="J426" s="301">
        <v>44394</v>
      </c>
      <c r="K426" s="28">
        <f t="shared" si="66"/>
        <v>240000</v>
      </c>
      <c r="L426" s="460"/>
      <c r="M426" s="459"/>
      <c r="N426" s="28">
        <f t="shared" si="69"/>
        <v>2400</v>
      </c>
      <c r="O426" s="28">
        <f t="shared" si="70"/>
        <v>4800</v>
      </c>
      <c r="P426" s="459"/>
      <c r="Q426" s="28">
        <f t="shared" si="67"/>
        <v>237600</v>
      </c>
      <c r="R426" s="743"/>
      <c r="S426" s="743"/>
      <c r="T426" s="199">
        <v>14</v>
      </c>
      <c r="U426" s="24">
        <f t="shared" si="62"/>
        <v>44408</v>
      </c>
      <c r="V426"/>
      <c r="W426"/>
      <c r="X426"/>
      <c r="Y426"/>
      <c r="Z426"/>
      <c r="AA426"/>
      <c r="AB426"/>
      <c r="AC426"/>
      <c r="AD426"/>
      <c r="AE426"/>
      <c r="AF426"/>
      <c r="AG426"/>
      <c r="AH426"/>
      <c r="AI426"/>
      <c r="AJ426"/>
      <c r="AK426"/>
      <c r="AL426"/>
      <c r="AM426"/>
      <c r="AN426"/>
      <c r="AO426"/>
      <c r="AP426"/>
      <c r="AQ426"/>
    </row>
    <row r="427" spans="1:43" s="10" customFormat="1" ht="15.75" customHeight="1" x14ac:dyDescent="0.25">
      <c r="A427" s="55">
        <f t="shared" si="65"/>
        <v>102</v>
      </c>
      <c r="B427" s="56">
        <v>44377</v>
      </c>
      <c r="C427" s="58" t="s">
        <v>1223</v>
      </c>
      <c r="D427" s="58"/>
      <c r="E427" s="58" t="s">
        <v>1419</v>
      </c>
      <c r="F427" s="123" t="s">
        <v>2694</v>
      </c>
      <c r="G427" s="126" t="s">
        <v>161</v>
      </c>
      <c r="H427" s="45">
        <v>240000</v>
      </c>
      <c r="I427" s="380" t="s">
        <v>1224</v>
      </c>
      <c r="J427" s="301">
        <v>44394</v>
      </c>
      <c r="K427" s="28">
        <f t="shared" si="66"/>
        <v>240000</v>
      </c>
      <c r="L427" s="460"/>
      <c r="M427" s="459"/>
      <c r="N427" s="28">
        <f t="shared" si="69"/>
        <v>2400</v>
      </c>
      <c r="O427" s="28">
        <f t="shared" si="70"/>
        <v>4800</v>
      </c>
      <c r="P427" s="459"/>
      <c r="Q427" s="28">
        <f t="shared" si="67"/>
        <v>237600</v>
      </c>
      <c r="R427" s="743"/>
      <c r="S427" s="743"/>
      <c r="T427" s="199">
        <v>14</v>
      </c>
      <c r="U427" s="24">
        <f t="shared" si="62"/>
        <v>44408</v>
      </c>
      <c r="V427"/>
      <c r="W427"/>
      <c r="X427"/>
      <c r="Y427"/>
      <c r="Z427"/>
      <c r="AA427"/>
      <c r="AB427"/>
      <c r="AC427"/>
      <c r="AD427"/>
      <c r="AE427"/>
      <c r="AF427"/>
      <c r="AG427"/>
      <c r="AH427"/>
      <c r="AI427"/>
      <c r="AJ427"/>
      <c r="AK427"/>
      <c r="AL427"/>
      <c r="AM427"/>
      <c r="AN427"/>
      <c r="AO427"/>
      <c r="AP427"/>
      <c r="AQ427"/>
    </row>
    <row r="428" spans="1:43" s="10" customFormat="1" ht="15.75" customHeight="1" x14ac:dyDescent="0.25">
      <c r="A428" s="55">
        <f t="shared" si="65"/>
        <v>103</v>
      </c>
      <c r="B428" s="56">
        <v>44377</v>
      </c>
      <c r="C428" s="58" t="s">
        <v>1227</v>
      </c>
      <c r="D428" s="58"/>
      <c r="E428" s="58" t="s">
        <v>1420</v>
      </c>
      <c r="F428" s="123" t="s">
        <v>2694</v>
      </c>
      <c r="G428" s="126" t="s">
        <v>161</v>
      </c>
      <c r="H428" s="45">
        <v>240000</v>
      </c>
      <c r="I428" s="380" t="s">
        <v>1225</v>
      </c>
      <c r="J428" s="301">
        <v>44394</v>
      </c>
      <c r="K428" s="28">
        <f t="shared" si="66"/>
        <v>240000</v>
      </c>
      <c r="L428" s="460"/>
      <c r="M428" s="459"/>
      <c r="N428" s="28">
        <f t="shared" si="69"/>
        <v>2400</v>
      </c>
      <c r="O428" s="28">
        <f t="shared" si="70"/>
        <v>4800</v>
      </c>
      <c r="P428" s="459"/>
      <c r="Q428" s="28">
        <f t="shared" si="67"/>
        <v>237600</v>
      </c>
      <c r="R428" s="743"/>
      <c r="S428" s="743"/>
      <c r="T428" s="199">
        <v>14</v>
      </c>
      <c r="U428" s="24">
        <f t="shared" si="62"/>
        <v>44408</v>
      </c>
      <c r="V428"/>
      <c r="W428"/>
      <c r="X428"/>
      <c r="Y428"/>
      <c r="Z428"/>
      <c r="AA428"/>
      <c r="AB428"/>
      <c r="AC428"/>
      <c r="AD428"/>
      <c r="AE428"/>
      <c r="AF428"/>
      <c r="AG428"/>
      <c r="AH428"/>
      <c r="AI428"/>
      <c r="AJ428"/>
      <c r="AK428"/>
      <c r="AL428"/>
      <c r="AM428"/>
      <c r="AN428"/>
      <c r="AO428"/>
      <c r="AP428"/>
      <c r="AQ428"/>
    </row>
    <row r="429" spans="1:43" s="10" customFormat="1" ht="15.75" customHeight="1" x14ac:dyDescent="0.25">
      <c r="A429" s="55">
        <f t="shared" si="65"/>
        <v>104</v>
      </c>
      <c r="B429" s="56">
        <v>44377</v>
      </c>
      <c r="C429" s="58" t="s">
        <v>1226</v>
      </c>
      <c r="D429" s="58"/>
      <c r="E429" s="58" t="s">
        <v>1421</v>
      </c>
      <c r="F429" s="123" t="s">
        <v>2694</v>
      </c>
      <c r="G429" s="126" t="s">
        <v>161</v>
      </c>
      <c r="H429" s="45">
        <v>240000</v>
      </c>
      <c r="I429" s="380" t="s">
        <v>1228</v>
      </c>
      <c r="J429" s="301">
        <v>44394</v>
      </c>
      <c r="K429" s="28">
        <f t="shared" si="66"/>
        <v>240000</v>
      </c>
      <c r="L429" s="460"/>
      <c r="M429" s="459"/>
      <c r="N429" s="28">
        <f t="shared" si="69"/>
        <v>2400</v>
      </c>
      <c r="O429" s="28">
        <f t="shared" si="70"/>
        <v>4800</v>
      </c>
      <c r="P429" s="459"/>
      <c r="Q429" s="28">
        <f t="shared" si="67"/>
        <v>237600</v>
      </c>
      <c r="R429" s="743"/>
      <c r="S429" s="743"/>
      <c r="T429" s="199">
        <v>14</v>
      </c>
      <c r="U429" s="24">
        <f t="shared" si="62"/>
        <v>44408</v>
      </c>
      <c r="V429"/>
      <c r="W429"/>
      <c r="X429"/>
      <c r="Y429"/>
      <c r="Z429"/>
      <c r="AA429"/>
      <c r="AB429"/>
      <c r="AC429"/>
      <c r="AD429"/>
      <c r="AE429"/>
      <c r="AF429"/>
      <c r="AG429"/>
      <c r="AH429"/>
      <c r="AI429"/>
      <c r="AJ429"/>
      <c r="AK429"/>
      <c r="AL429"/>
      <c r="AM429"/>
      <c r="AN429"/>
      <c r="AO429"/>
      <c r="AP429"/>
      <c r="AQ429"/>
    </row>
    <row r="430" spans="1:43" s="10" customFormat="1" ht="15.75" customHeight="1" x14ac:dyDescent="0.25">
      <c r="A430" s="55">
        <f t="shared" si="65"/>
        <v>105</v>
      </c>
      <c r="B430" s="56">
        <v>44377</v>
      </c>
      <c r="C430" s="58" t="s">
        <v>1229</v>
      </c>
      <c r="D430" s="58"/>
      <c r="E430" s="58" t="s">
        <v>1422</v>
      </c>
      <c r="F430" s="123" t="s">
        <v>2694</v>
      </c>
      <c r="G430" s="126" t="s">
        <v>161</v>
      </c>
      <c r="H430" s="45">
        <v>240000</v>
      </c>
      <c r="I430" s="380" t="s">
        <v>1230</v>
      </c>
      <c r="J430" s="301">
        <v>44394</v>
      </c>
      <c r="K430" s="28">
        <f t="shared" si="66"/>
        <v>240000</v>
      </c>
      <c r="L430" s="460"/>
      <c r="M430" s="459"/>
      <c r="N430" s="28">
        <f t="shared" si="69"/>
        <v>2400</v>
      </c>
      <c r="O430" s="28">
        <f t="shared" si="70"/>
        <v>4800</v>
      </c>
      <c r="P430" s="459"/>
      <c r="Q430" s="28">
        <f t="shared" si="67"/>
        <v>237600</v>
      </c>
      <c r="R430" s="743"/>
      <c r="S430" s="743"/>
      <c r="T430" s="199">
        <v>14</v>
      </c>
      <c r="U430" s="24">
        <f t="shared" si="62"/>
        <v>44408</v>
      </c>
      <c r="V430"/>
      <c r="W430"/>
      <c r="X430"/>
      <c r="Y430"/>
      <c r="Z430"/>
      <c r="AA430"/>
      <c r="AB430"/>
      <c r="AC430"/>
      <c r="AD430"/>
      <c r="AE430"/>
      <c r="AF430"/>
      <c r="AG430"/>
      <c r="AH430"/>
      <c r="AI430"/>
      <c r="AJ430"/>
      <c r="AK430"/>
      <c r="AL430"/>
      <c r="AM430"/>
      <c r="AN430"/>
      <c r="AO430"/>
      <c r="AP430"/>
      <c r="AQ430"/>
    </row>
    <row r="431" spans="1:43" s="10" customFormat="1" ht="32.25" customHeight="1" x14ac:dyDescent="0.25">
      <c r="A431" s="998" t="s">
        <v>1140</v>
      </c>
      <c r="B431" s="998"/>
      <c r="C431" s="998"/>
      <c r="D431" s="998"/>
      <c r="E431" s="998"/>
      <c r="F431" s="998"/>
      <c r="G431" s="998"/>
      <c r="H431" s="998"/>
      <c r="I431" s="998"/>
      <c r="J431" s="998"/>
      <c r="K431" s="473"/>
      <c r="L431" s="473"/>
      <c r="M431" s="473"/>
      <c r="N431" s="473"/>
      <c r="O431" s="473"/>
      <c r="P431" s="473"/>
      <c r="Q431" s="51">
        <f>SUM(Q326:Q430)</f>
        <v>2844825.0000000009</v>
      </c>
      <c r="R431" s="479"/>
      <c r="S431" s="479"/>
      <c r="T431" s="479"/>
      <c r="U431" s="24">
        <f t="shared" ref="U431:U442" si="71">J431+T431</f>
        <v>0</v>
      </c>
      <c r="V431"/>
      <c r="W431"/>
      <c r="X431"/>
      <c r="Y431"/>
      <c r="Z431"/>
      <c r="AA431"/>
      <c r="AB431"/>
      <c r="AC431"/>
      <c r="AD431"/>
      <c r="AE431"/>
      <c r="AF431"/>
      <c r="AG431"/>
      <c r="AH431"/>
      <c r="AI431"/>
      <c r="AJ431"/>
      <c r="AK431"/>
      <c r="AL431"/>
      <c r="AM431"/>
      <c r="AN431"/>
      <c r="AO431"/>
      <c r="AP431"/>
      <c r="AQ431"/>
    </row>
    <row r="432" spans="1:43" s="10" customFormat="1" ht="15.75" customHeight="1" x14ac:dyDescent="0.25">
      <c r="A432" s="55">
        <v>1</v>
      </c>
      <c r="B432" s="56">
        <v>44378</v>
      </c>
      <c r="C432" s="58"/>
      <c r="D432" s="58"/>
      <c r="E432" s="58" t="s">
        <v>1402</v>
      </c>
      <c r="F432" s="123" t="s">
        <v>2694</v>
      </c>
      <c r="G432" s="126" t="s">
        <v>421</v>
      </c>
      <c r="H432" s="45">
        <v>950000</v>
      </c>
      <c r="I432" s="380" t="s">
        <v>1169</v>
      </c>
      <c r="J432" s="301">
        <v>44384</v>
      </c>
      <c r="K432" s="28">
        <f t="shared" ref="K432:K435" si="72">H432</f>
        <v>950000</v>
      </c>
      <c r="L432" s="460"/>
      <c r="M432" s="459">
        <f>K432*2.5251%</f>
        <v>23988.45</v>
      </c>
      <c r="N432" s="28">
        <f t="shared" ref="N432:N494" si="73">K432*1%</f>
        <v>9500</v>
      </c>
      <c r="O432" s="28">
        <f t="shared" ref="O432:O494" si="74">K432*2%</f>
        <v>19000</v>
      </c>
      <c r="P432" s="459">
        <v>916511.55</v>
      </c>
      <c r="Q432" s="28">
        <f t="shared" si="67"/>
        <v>0</v>
      </c>
      <c r="R432" s="743"/>
      <c r="S432" s="474">
        <v>44391</v>
      </c>
      <c r="T432" s="199">
        <v>14</v>
      </c>
      <c r="U432" s="24">
        <f t="shared" si="71"/>
        <v>44398</v>
      </c>
      <c r="V432"/>
      <c r="W432"/>
      <c r="X432"/>
      <c r="Y432"/>
      <c r="Z432"/>
      <c r="AA432"/>
      <c r="AB432"/>
      <c r="AC432"/>
      <c r="AD432"/>
      <c r="AE432"/>
      <c r="AF432"/>
      <c r="AG432"/>
      <c r="AH432"/>
      <c r="AI432"/>
      <c r="AJ432"/>
      <c r="AK432"/>
      <c r="AL432"/>
      <c r="AM432"/>
      <c r="AN432"/>
      <c r="AO432"/>
      <c r="AP432"/>
      <c r="AQ432"/>
    </row>
    <row r="433" spans="1:43" s="10" customFormat="1" ht="15.75" customHeight="1" x14ac:dyDescent="0.25">
      <c r="A433" s="55">
        <f>A432+1</f>
        <v>2</v>
      </c>
      <c r="B433" s="56">
        <v>44378</v>
      </c>
      <c r="C433" s="58" t="s">
        <v>1181</v>
      </c>
      <c r="D433" s="58"/>
      <c r="E433" s="58" t="s">
        <v>1405</v>
      </c>
      <c r="F433" s="123" t="s">
        <v>2694</v>
      </c>
      <c r="G433" s="123" t="s">
        <v>1179</v>
      </c>
      <c r="H433" s="45">
        <v>950000</v>
      </c>
      <c r="I433" s="380" t="s">
        <v>1180</v>
      </c>
      <c r="J433" s="301">
        <v>44386</v>
      </c>
      <c r="K433" s="28">
        <f t="shared" si="72"/>
        <v>950000</v>
      </c>
      <c r="L433" s="460"/>
      <c r="M433" s="459">
        <f>H433*2.5251%</f>
        <v>23988.45</v>
      </c>
      <c r="N433" s="28">
        <f t="shared" si="73"/>
        <v>9500</v>
      </c>
      <c r="O433" s="28">
        <f t="shared" si="74"/>
        <v>19000</v>
      </c>
      <c r="P433" s="459">
        <v>916511.55</v>
      </c>
      <c r="Q433" s="28">
        <f t="shared" si="67"/>
        <v>0</v>
      </c>
      <c r="R433" s="743"/>
      <c r="S433" s="474">
        <v>44393</v>
      </c>
      <c r="T433" s="199">
        <v>14</v>
      </c>
      <c r="U433" s="24">
        <f t="shared" si="71"/>
        <v>44400</v>
      </c>
      <c r="V433"/>
      <c r="W433"/>
      <c r="X433"/>
      <c r="Y433"/>
      <c r="Z433"/>
      <c r="AA433"/>
      <c r="AB433"/>
      <c r="AC433"/>
      <c r="AD433"/>
      <c r="AE433"/>
      <c r="AF433"/>
      <c r="AG433"/>
      <c r="AH433"/>
      <c r="AI433"/>
      <c r="AJ433"/>
      <c r="AK433"/>
      <c r="AL433"/>
      <c r="AM433"/>
      <c r="AN433"/>
      <c r="AO433"/>
      <c r="AP433"/>
      <c r="AQ433"/>
    </row>
    <row r="434" spans="1:43" s="10" customFormat="1" ht="15.75" customHeight="1" x14ac:dyDescent="0.25">
      <c r="A434" s="55">
        <f t="shared" ref="A434:A497" si="75">A433+1</f>
        <v>3</v>
      </c>
      <c r="B434" s="56">
        <v>44380</v>
      </c>
      <c r="C434" s="58" t="s">
        <v>1192</v>
      </c>
      <c r="D434" s="58"/>
      <c r="E434" s="58" t="s">
        <v>1409</v>
      </c>
      <c r="F434" s="123" t="s">
        <v>2694</v>
      </c>
      <c r="G434" s="126" t="s">
        <v>1193</v>
      </c>
      <c r="H434" s="45">
        <v>3350000</v>
      </c>
      <c r="I434" s="380" t="s">
        <v>1194</v>
      </c>
      <c r="J434" s="301">
        <v>44387</v>
      </c>
      <c r="K434" s="28">
        <f t="shared" si="72"/>
        <v>3350000</v>
      </c>
      <c r="L434" s="460">
        <v>1633125</v>
      </c>
      <c r="M434" s="459">
        <v>84577</v>
      </c>
      <c r="N434" s="28">
        <f t="shared" si="73"/>
        <v>33500</v>
      </c>
      <c r="O434" s="28">
        <f t="shared" si="74"/>
        <v>67000</v>
      </c>
      <c r="P434" s="459">
        <v>1598798</v>
      </c>
      <c r="Q434" s="28">
        <f t="shared" si="67"/>
        <v>0</v>
      </c>
      <c r="R434" s="474">
        <v>44382</v>
      </c>
      <c r="S434" s="744">
        <v>44398</v>
      </c>
      <c r="T434" s="199">
        <v>14</v>
      </c>
      <c r="U434" s="24">
        <f t="shared" si="71"/>
        <v>44401</v>
      </c>
      <c r="V434"/>
      <c r="W434"/>
      <c r="X434"/>
      <c r="Y434"/>
      <c r="Z434"/>
      <c r="AA434"/>
      <c r="AB434"/>
      <c r="AC434"/>
      <c r="AD434"/>
      <c r="AE434"/>
      <c r="AF434"/>
      <c r="AG434"/>
      <c r="AH434"/>
      <c r="AI434"/>
      <c r="AJ434"/>
      <c r="AK434"/>
      <c r="AL434"/>
      <c r="AM434"/>
      <c r="AN434"/>
      <c r="AO434"/>
      <c r="AP434"/>
      <c r="AQ434"/>
    </row>
    <row r="435" spans="1:43" s="10" customFormat="1" ht="15.75" customHeight="1" x14ac:dyDescent="0.25">
      <c r="A435" s="55">
        <f t="shared" si="75"/>
        <v>4</v>
      </c>
      <c r="B435" s="79">
        <v>44382</v>
      </c>
      <c r="C435" s="330" t="s">
        <v>1689</v>
      </c>
      <c r="D435" s="330"/>
      <c r="E435" s="330"/>
      <c r="F435" s="33" t="s">
        <v>1195</v>
      </c>
      <c r="G435" s="126" t="s">
        <v>1197</v>
      </c>
      <c r="H435" s="45">
        <v>6447000</v>
      </c>
      <c r="I435" s="377" t="s">
        <v>1196</v>
      </c>
      <c r="J435" s="301">
        <v>44392</v>
      </c>
      <c r="K435" s="28">
        <f t="shared" si="72"/>
        <v>6447000</v>
      </c>
      <c r="L435" s="460"/>
      <c r="M435" s="459"/>
      <c r="N435" s="28">
        <f t="shared" si="73"/>
        <v>64470</v>
      </c>
      <c r="O435" s="28">
        <f t="shared" si="74"/>
        <v>128940</v>
      </c>
      <c r="P435" s="459">
        <v>6382530</v>
      </c>
      <c r="Q435" s="28">
        <f t="shared" si="67"/>
        <v>0</v>
      </c>
      <c r="R435" s="197"/>
      <c r="S435" s="197">
        <v>44403</v>
      </c>
      <c r="T435" s="199">
        <v>14</v>
      </c>
      <c r="U435" s="24">
        <f t="shared" si="71"/>
        <v>44406</v>
      </c>
      <c r="V435"/>
      <c r="W435"/>
      <c r="X435"/>
      <c r="Y435"/>
      <c r="Z435"/>
      <c r="AA435"/>
      <c r="AB435"/>
      <c r="AC435"/>
      <c r="AD435"/>
      <c r="AE435"/>
      <c r="AF435"/>
      <c r="AG435"/>
      <c r="AH435"/>
      <c r="AI435"/>
      <c r="AJ435"/>
      <c r="AK435"/>
      <c r="AL435"/>
      <c r="AM435"/>
      <c r="AN435"/>
      <c r="AO435"/>
      <c r="AP435"/>
      <c r="AQ435"/>
    </row>
    <row r="436" spans="1:43" s="10" customFormat="1" ht="15.75" customHeight="1" x14ac:dyDescent="0.25">
      <c r="A436" s="55">
        <f t="shared" si="75"/>
        <v>5</v>
      </c>
      <c r="B436" s="56">
        <v>44382</v>
      </c>
      <c r="C436" s="58" t="s">
        <v>1198</v>
      </c>
      <c r="D436" s="58"/>
      <c r="E436" s="58" t="s">
        <v>1410</v>
      </c>
      <c r="F436" s="123" t="s">
        <v>2694</v>
      </c>
      <c r="G436" s="126" t="s">
        <v>477</v>
      </c>
      <c r="H436" s="45">
        <v>3200000</v>
      </c>
      <c r="I436" s="380" t="s">
        <v>1199</v>
      </c>
      <c r="J436" s="301">
        <v>44391</v>
      </c>
      <c r="K436" s="460">
        <f t="shared" ref="K436:K555" si="76">H436</f>
        <v>3200000</v>
      </c>
      <c r="L436" s="460"/>
      <c r="M436" s="459">
        <f>K436*2.525%</f>
        <v>80800</v>
      </c>
      <c r="N436" s="28">
        <f t="shared" si="73"/>
        <v>32000</v>
      </c>
      <c r="O436" s="28">
        <f t="shared" si="74"/>
        <v>64000</v>
      </c>
      <c r="P436" s="459">
        <v>3087200</v>
      </c>
      <c r="Q436" s="28">
        <f t="shared" si="67"/>
        <v>0</v>
      </c>
      <c r="R436" s="743"/>
      <c r="S436" s="744">
        <v>44398</v>
      </c>
      <c r="T436" s="199">
        <v>14</v>
      </c>
      <c r="U436" s="24">
        <f t="shared" si="71"/>
        <v>44405</v>
      </c>
      <c r="V436"/>
      <c r="W436"/>
      <c r="X436"/>
      <c r="Y436"/>
      <c r="Z436"/>
      <c r="AA436"/>
      <c r="AB436"/>
      <c r="AC436"/>
      <c r="AD436"/>
      <c r="AE436"/>
      <c r="AF436"/>
      <c r="AG436"/>
      <c r="AH436"/>
      <c r="AI436"/>
      <c r="AJ436"/>
      <c r="AK436"/>
      <c r="AL436"/>
      <c r="AM436"/>
      <c r="AN436"/>
      <c r="AO436"/>
      <c r="AP436"/>
      <c r="AQ436"/>
    </row>
    <row r="437" spans="1:43" s="10" customFormat="1" ht="15.75" customHeight="1" x14ac:dyDescent="0.25">
      <c r="A437" s="55">
        <f t="shared" si="75"/>
        <v>6</v>
      </c>
      <c r="B437" s="56">
        <v>44382</v>
      </c>
      <c r="C437" s="58" t="s">
        <v>1202</v>
      </c>
      <c r="D437" s="58"/>
      <c r="E437" s="58" t="s">
        <v>1411</v>
      </c>
      <c r="F437" s="123" t="s">
        <v>2694</v>
      </c>
      <c r="G437" s="126" t="s">
        <v>467</v>
      </c>
      <c r="H437" s="45">
        <v>4500000</v>
      </c>
      <c r="I437" s="380" t="s">
        <v>1201</v>
      </c>
      <c r="J437" s="301">
        <v>44391</v>
      </c>
      <c r="K437" s="460">
        <f t="shared" si="76"/>
        <v>4500000</v>
      </c>
      <c r="L437" s="460">
        <v>2193750</v>
      </c>
      <c r="M437" s="459">
        <f>K437*2.5%</f>
        <v>112500</v>
      </c>
      <c r="N437" s="28">
        <f t="shared" si="73"/>
        <v>45000</v>
      </c>
      <c r="O437" s="28">
        <f t="shared" si="74"/>
        <v>90000</v>
      </c>
      <c r="P437" s="459">
        <v>2148750</v>
      </c>
      <c r="Q437" s="28">
        <f t="shared" si="67"/>
        <v>0</v>
      </c>
      <c r="R437" s="474">
        <v>44382</v>
      </c>
      <c r="S437" s="474">
        <v>44398</v>
      </c>
      <c r="T437" s="199">
        <v>14</v>
      </c>
      <c r="U437" s="24">
        <f t="shared" si="71"/>
        <v>44405</v>
      </c>
      <c r="V437"/>
      <c r="W437"/>
      <c r="X437"/>
      <c r="Y437"/>
      <c r="Z437"/>
      <c r="AA437"/>
      <c r="AB437"/>
      <c r="AC437"/>
      <c r="AD437"/>
      <c r="AE437"/>
      <c r="AF437"/>
      <c r="AG437"/>
      <c r="AH437"/>
      <c r="AI437"/>
      <c r="AJ437"/>
      <c r="AK437"/>
      <c r="AL437"/>
      <c r="AM437"/>
      <c r="AN437"/>
      <c r="AO437"/>
      <c r="AP437"/>
      <c r="AQ437"/>
    </row>
    <row r="438" spans="1:43" s="10" customFormat="1" ht="15.75" customHeight="1" x14ac:dyDescent="0.25">
      <c r="A438" s="55">
        <f t="shared" si="75"/>
        <v>7</v>
      </c>
      <c r="B438" s="56">
        <v>44382</v>
      </c>
      <c r="C438" s="58" t="s">
        <v>1205</v>
      </c>
      <c r="D438" s="58"/>
      <c r="E438" s="58" t="s">
        <v>1412</v>
      </c>
      <c r="F438" s="123" t="s">
        <v>2694</v>
      </c>
      <c r="G438" s="126" t="s">
        <v>171</v>
      </c>
      <c r="H438" s="45">
        <v>3000000</v>
      </c>
      <c r="I438" s="380" t="s">
        <v>1203</v>
      </c>
      <c r="J438" s="301">
        <v>44391</v>
      </c>
      <c r="K438" s="460">
        <f t="shared" si="76"/>
        <v>3000000</v>
      </c>
      <c r="L438" s="460">
        <v>1462500</v>
      </c>
      <c r="M438" s="459">
        <f>K438*2.5%</f>
        <v>75000</v>
      </c>
      <c r="N438" s="28">
        <f t="shared" si="73"/>
        <v>30000</v>
      </c>
      <c r="O438" s="28">
        <f t="shared" si="74"/>
        <v>60000</v>
      </c>
      <c r="P438" s="459">
        <v>1432500</v>
      </c>
      <c r="Q438" s="28">
        <f t="shared" si="67"/>
        <v>0</v>
      </c>
      <c r="R438" s="474">
        <v>44383</v>
      </c>
      <c r="S438" s="744">
        <v>44398</v>
      </c>
      <c r="T438" s="199">
        <v>14</v>
      </c>
      <c r="U438" s="24">
        <f t="shared" si="71"/>
        <v>44405</v>
      </c>
      <c r="V438"/>
      <c r="W438"/>
      <c r="X438"/>
      <c r="Y438"/>
      <c r="Z438"/>
      <c r="AA438"/>
      <c r="AB438"/>
      <c r="AC438"/>
      <c r="AD438"/>
      <c r="AE438"/>
      <c r="AF438"/>
      <c r="AG438"/>
      <c r="AH438"/>
      <c r="AI438"/>
      <c r="AJ438"/>
      <c r="AK438"/>
      <c r="AL438"/>
      <c r="AM438"/>
      <c r="AN438"/>
      <c r="AO438"/>
      <c r="AP438"/>
      <c r="AQ438"/>
    </row>
    <row r="439" spans="1:43" s="10" customFormat="1" ht="15.75" customHeight="1" x14ac:dyDescent="0.25">
      <c r="A439" s="55">
        <f t="shared" si="75"/>
        <v>8</v>
      </c>
      <c r="B439" s="56">
        <v>44384</v>
      </c>
      <c r="C439" s="58" t="s">
        <v>1688</v>
      </c>
      <c r="D439" s="58"/>
      <c r="E439" s="58"/>
      <c r="F439" s="69" t="s">
        <v>279</v>
      </c>
      <c r="G439" s="126" t="s">
        <v>1206</v>
      </c>
      <c r="H439" s="45">
        <v>3465347</v>
      </c>
      <c r="I439" s="380" t="s">
        <v>1204</v>
      </c>
      <c r="J439" s="301">
        <v>44391</v>
      </c>
      <c r="K439" s="460">
        <f t="shared" si="76"/>
        <v>3465347</v>
      </c>
      <c r="L439" s="460"/>
      <c r="M439" s="459"/>
      <c r="N439" s="28">
        <f t="shared" si="73"/>
        <v>34653.47</v>
      </c>
      <c r="O439" s="28">
        <f t="shared" si="74"/>
        <v>69306.94</v>
      </c>
      <c r="P439" s="459">
        <v>3430693.5300000003</v>
      </c>
      <c r="Q439" s="28">
        <f t="shared" si="67"/>
        <v>-2.0372681319713593E-10</v>
      </c>
      <c r="R439" s="199"/>
      <c r="S439" s="197">
        <v>44446</v>
      </c>
      <c r="T439" s="2">
        <v>30</v>
      </c>
      <c r="U439" s="24">
        <f t="shared" si="71"/>
        <v>44421</v>
      </c>
      <c r="V439"/>
      <c r="W439"/>
      <c r="X439"/>
      <c r="Y439"/>
      <c r="Z439"/>
      <c r="AA439"/>
      <c r="AB439"/>
      <c r="AC439"/>
      <c r="AD439"/>
      <c r="AE439"/>
      <c r="AF439"/>
      <c r="AG439"/>
      <c r="AH439"/>
      <c r="AI439"/>
      <c r="AJ439"/>
      <c r="AK439"/>
      <c r="AL439"/>
      <c r="AM439"/>
      <c r="AN439"/>
      <c r="AO439"/>
      <c r="AP439"/>
      <c r="AQ439"/>
    </row>
    <row r="440" spans="1:43" s="10" customFormat="1" ht="15.75" customHeight="1" x14ac:dyDescent="0.25">
      <c r="A440" s="55">
        <f t="shared" si="75"/>
        <v>9</v>
      </c>
      <c r="B440" s="56">
        <v>44391</v>
      </c>
      <c r="C440" s="58" t="s">
        <v>1207</v>
      </c>
      <c r="D440" s="58"/>
      <c r="E440" s="58"/>
      <c r="F440" s="69" t="s">
        <v>279</v>
      </c>
      <c r="G440" s="126" t="s">
        <v>417</v>
      </c>
      <c r="H440" s="45">
        <v>1683168</v>
      </c>
      <c r="I440" s="380" t="s">
        <v>1208</v>
      </c>
      <c r="J440" s="301">
        <v>44393</v>
      </c>
      <c r="K440" s="460">
        <f t="shared" si="76"/>
        <v>1683168</v>
      </c>
      <c r="L440" s="460"/>
      <c r="M440" s="459"/>
      <c r="N440" s="28">
        <f t="shared" si="73"/>
        <v>16831.68</v>
      </c>
      <c r="O440" s="28">
        <f t="shared" si="74"/>
        <v>33663.360000000001</v>
      </c>
      <c r="P440" s="459">
        <v>1666336.3199999998</v>
      </c>
      <c r="Q440" s="28">
        <f t="shared" si="67"/>
        <v>6.5483618527650833E-11</v>
      </c>
      <c r="R440" s="199"/>
      <c r="S440" s="197">
        <v>44446</v>
      </c>
      <c r="T440" s="2">
        <v>30</v>
      </c>
      <c r="U440" s="24">
        <f t="shared" si="71"/>
        <v>44423</v>
      </c>
      <c r="V440"/>
      <c r="W440"/>
      <c r="X440"/>
      <c r="Y440"/>
      <c r="Z440"/>
      <c r="AA440"/>
      <c r="AB440"/>
      <c r="AC440"/>
      <c r="AD440"/>
      <c r="AE440"/>
      <c r="AF440"/>
      <c r="AG440"/>
      <c r="AH440"/>
      <c r="AI440"/>
      <c r="AJ440"/>
      <c r="AK440"/>
      <c r="AL440"/>
      <c r="AM440"/>
      <c r="AN440"/>
      <c r="AO440"/>
      <c r="AP440"/>
      <c r="AQ440"/>
    </row>
    <row r="441" spans="1:43" s="10" customFormat="1" ht="15.75" customHeight="1" x14ac:dyDescent="0.25">
      <c r="A441" s="55">
        <f t="shared" si="75"/>
        <v>10</v>
      </c>
      <c r="B441" s="56">
        <v>44378</v>
      </c>
      <c r="C441" s="58" t="s">
        <v>1212</v>
      </c>
      <c r="D441" s="58"/>
      <c r="E441" s="58" t="s">
        <v>1414</v>
      </c>
      <c r="F441" s="123" t="s">
        <v>2694</v>
      </c>
      <c r="G441" s="126" t="s">
        <v>161</v>
      </c>
      <c r="H441" s="45">
        <v>240000</v>
      </c>
      <c r="I441" s="380" t="s">
        <v>1213</v>
      </c>
      <c r="J441" s="301">
        <v>44394</v>
      </c>
      <c r="K441" s="460">
        <f t="shared" si="76"/>
        <v>240000</v>
      </c>
      <c r="L441" s="460"/>
      <c r="M441" s="459"/>
      <c r="N441" s="28">
        <f t="shared" si="73"/>
        <v>2400</v>
      </c>
      <c r="O441" s="28">
        <f t="shared" si="74"/>
        <v>4800</v>
      </c>
      <c r="P441" s="459"/>
      <c r="Q441" s="28">
        <f t="shared" si="67"/>
        <v>237600</v>
      </c>
      <c r="R441" s="199"/>
      <c r="S441" s="199"/>
      <c r="T441" s="199">
        <v>14</v>
      </c>
      <c r="U441" s="24">
        <f t="shared" si="71"/>
        <v>44408</v>
      </c>
      <c r="V441"/>
      <c r="W441"/>
      <c r="X441"/>
      <c r="Y441"/>
      <c r="Z441"/>
      <c r="AA441"/>
      <c r="AB441"/>
      <c r="AC441"/>
      <c r="AD441"/>
      <c r="AE441"/>
      <c r="AF441"/>
      <c r="AG441"/>
      <c r="AH441"/>
      <c r="AI441"/>
      <c r="AJ441"/>
      <c r="AK441"/>
      <c r="AL441"/>
      <c r="AM441"/>
      <c r="AN441"/>
      <c r="AO441"/>
      <c r="AP441"/>
      <c r="AQ441"/>
    </row>
    <row r="442" spans="1:43" s="10" customFormat="1" ht="15.75" customHeight="1" x14ac:dyDescent="0.25">
      <c r="A442" s="55">
        <f t="shared" si="75"/>
        <v>11</v>
      </c>
      <c r="B442" s="56">
        <v>44378</v>
      </c>
      <c r="C442" s="58" t="s">
        <v>1214</v>
      </c>
      <c r="D442" s="58"/>
      <c r="E442" s="58" t="s">
        <v>1415</v>
      </c>
      <c r="F442" s="123" t="s">
        <v>2694</v>
      </c>
      <c r="G442" s="126" t="s">
        <v>161</v>
      </c>
      <c r="H442" s="45">
        <v>240000</v>
      </c>
      <c r="I442" s="380" t="s">
        <v>1215</v>
      </c>
      <c r="J442" s="301">
        <v>44394</v>
      </c>
      <c r="K442" s="460">
        <f t="shared" si="76"/>
        <v>240000</v>
      </c>
      <c r="L442" s="460"/>
      <c r="M442" s="459"/>
      <c r="N442" s="28">
        <f t="shared" si="73"/>
        <v>2400</v>
      </c>
      <c r="O442" s="28">
        <f t="shared" si="74"/>
        <v>4800</v>
      </c>
      <c r="P442" s="459"/>
      <c r="Q442" s="28">
        <f t="shared" si="67"/>
        <v>237600</v>
      </c>
      <c r="R442" s="743"/>
      <c r="S442" s="743"/>
      <c r="T442" s="199">
        <v>14</v>
      </c>
      <c r="U442" s="24">
        <f t="shared" si="71"/>
        <v>44408</v>
      </c>
      <c r="V442"/>
      <c r="W442"/>
      <c r="X442"/>
      <c r="Y442"/>
      <c r="Z442"/>
      <c r="AA442"/>
      <c r="AB442"/>
      <c r="AC442"/>
      <c r="AD442"/>
      <c r="AE442"/>
      <c r="AF442"/>
      <c r="AG442"/>
      <c r="AH442"/>
      <c r="AI442"/>
      <c r="AJ442"/>
      <c r="AK442"/>
      <c r="AL442"/>
      <c r="AM442"/>
      <c r="AN442"/>
      <c r="AO442"/>
      <c r="AP442"/>
      <c r="AQ442"/>
    </row>
    <row r="443" spans="1:43" s="10" customFormat="1" ht="15.75" customHeight="1" x14ac:dyDescent="0.25">
      <c r="A443" s="55">
        <f t="shared" si="75"/>
        <v>12</v>
      </c>
      <c r="B443" s="56">
        <v>44378</v>
      </c>
      <c r="C443" s="58" t="s">
        <v>1216</v>
      </c>
      <c r="D443" s="58"/>
      <c r="E443" s="58" t="s">
        <v>1416</v>
      </c>
      <c r="F443" s="123" t="s">
        <v>2694</v>
      </c>
      <c r="G443" s="126" t="s">
        <v>161</v>
      </c>
      <c r="H443" s="45">
        <v>240000</v>
      </c>
      <c r="I443" s="380" t="s">
        <v>1217</v>
      </c>
      <c r="J443" s="301">
        <v>44394</v>
      </c>
      <c r="K443" s="460">
        <f t="shared" si="76"/>
        <v>240000</v>
      </c>
      <c r="L443" s="460"/>
      <c r="M443" s="459"/>
      <c r="N443" s="28">
        <f t="shared" si="73"/>
        <v>2400</v>
      </c>
      <c r="O443" s="28">
        <f t="shared" si="74"/>
        <v>4800</v>
      </c>
      <c r="P443" s="459"/>
      <c r="Q443" s="28">
        <f t="shared" si="67"/>
        <v>237600</v>
      </c>
      <c r="R443" s="743"/>
      <c r="S443" s="743"/>
      <c r="T443" s="199">
        <v>14</v>
      </c>
      <c r="U443" s="24">
        <f t="shared" ref="U443:U506" si="77">J443+T443</f>
        <v>44408</v>
      </c>
      <c r="V443"/>
      <c r="W443"/>
      <c r="X443"/>
      <c r="Y443"/>
      <c r="Z443"/>
      <c r="AA443"/>
      <c r="AB443"/>
      <c r="AC443"/>
      <c r="AD443"/>
      <c r="AE443"/>
      <c r="AF443"/>
      <c r="AG443"/>
      <c r="AH443"/>
      <c r="AI443"/>
      <c r="AJ443"/>
      <c r="AK443"/>
      <c r="AL443"/>
      <c r="AM443"/>
      <c r="AN443"/>
      <c r="AO443"/>
      <c r="AP443"/>
      <c r="AQ443"/>
    </row>
    <row r="444" spans="1:43" s="10" customFormat="1" ht="15.75" customHeight="1" x14ac:dyDescent="0.25">
      <c r="A444" s="55">
        <f t="shared" si="75"/>
        <v>13</v>
      </c>
      <c r="B444" s="56">
        <v>44378</v>
      </c>
      <c r="C444" s="58" t="s">
        <v>1218</v>
      </c>
      <c r="D444" s="58"/>
      <c r="E444" s="58" t="s">
        <v>1417</v>
      </c>
      <c r="F444" s="123" t="s">
        <v>2694</v>
      </c>
      <c r="G444" s="126" t="s">
        <v>161</v>
      </c>
      <c r="H444" s="45">
        <v>240000</v>
      </c>
      <c r="I444" s="380" t="s">
        <v>1219</v>
      </c>
      <c r="J444" s="301">
        <v>44394</v>
      </c>
      <c r="K444" s="460">
        <f t="shared" si="76"/>
        <v>240000</v>
      </c>
      <c r="L444" s="460"/>
      <c r="M444" s="459"/>
      <c r="N444" s="28">
        <f t="shared" si="73"/>
        <v>2400</v>
      </c>
      <c r="O444" s="28">
        <f t="shared" si="74"/>
        <v>4800</v>
      </c>
      <c r="P444" s="459"/>
      <c r="Q444" s="28">
        <f t="shared" si="67"/>
        <v>237600</v>
      </c>
      <c r="R444" s="743"/>
      <c r="S444" s="743"/>
      <c r="T444" s="199">
        <v>14</v>
      </c>
      <c r="U444" s="24">
        <f t="shared" si="77"/>
        <v>44408</v>
      </c>
      <c r="V444"/>
      <c r="W444"/>
      <c r="X444"/>
      <c r="Y444"/>
      <c r="Z444"/>
      <c r="AA444"/>
      <c r="AB444"/>
      <c r="AC444"/>
      <c r="AD444"/>
      <c r="AE444"/>
      <c r="AF444"/>
      <c r="AG444"/>
      <c r="AH444"/>
      <c r="AI444"/>
      <c r="AJ444"/>
      <c r="AK444"/>
      <c r="AL444"/>
      <c r="AM444"/>
      <c r="AN444"/>
      <c r="AO444"/>
      <c r="AP444"/>
      <c r="AQ444"/>
    </row>
    <row r="445" spans="1:43" s="10" customFormat="1" ht="15.75" customHeight="1" x14ac:dyDescent="0.25">
      <c r="A445" s="55">
        <f t="shared" si="75"/>
        <v>14</v>
      </c>
      <c r="B445" s="56">
        <v>44392</v>
      </c>
      <c r="C445" s="58" t="s">
        <v>1220</v>
      </c>
      <c r="D445" s="58"/>
      <c r="E445" s="58" t="s">
        <v>1418</v>
      </c>
      <c r="F445" s="123" t="s">
        <v>2694</v>
      </c>
      <c r="G445" s="126" t="s">
        <v>1221</v>
      </c>
      <c r="H445" s="45">
        <v>1000000</v>
      </c>
      <c r="I445" s="380" t="s">
        <v>1222</v>
      </c>
      <c r="J445" s="301">
        <v>44394</v>
      </c>
      <c r="K445" s="460">
        <f t="shared" si="76"/>
        <v>1000000</v>
      </c>
      <c r="L445" s="460"/>
      <c r="M445" s="459"/>
      <c r="N445" s="28">
        <f t="shared" si="73"/>
        <v>10000</v>
      </c>
      <c r="O445" s="28">
        <f t="shared" si="74"/>
        <v>20000</v>
      </c>
      <c r="P445" s="459">
        <v>990000</v>
      </c>
      <c r="Q445" s="28">
        <f t="shared" si="67"/>
        <v>0</v>
      </c>
      <c r="R445" s="743"/>
      <c r="S445" s="474">
        <v>44441</v>
      </c>
      <c r="T445" s="199">
        <v>14</v>
      </c>
      <c r="U445" s="24">
        <f t="shared" si="77"/>
        <v>44408</v>
      </c>
      <c r="V445"/>
      <c r="W445"/>
      <c r="X445"/>
      <c r="Y445"/>
      <c r="Z445"/>
      <c r="AA445"/>
      <c r="AB445"/>
      <c r="AC445"/>
      <c r="AD445"/>
      <c r="AE445"/>
      <c r="AF445"/>
      <c r="AG445"/>
      <c r="AH445"/>
      <c r="AI445"/>
      <c r="AJ445"/>
      <c r="AK445"/>
      <c r="AL445"/>
      <c r="AM445"/>
      <c r="AN445"/>
      <c r="AO445"/>
      <c r="AP445"/>
      <c r="AQ445"/>
    </row>
    <row r="446" spans="1:43" s="10" customFormat="1" ht="15.75" customHeight="1" x14ac:dyDescent="0.25">
      <c r="A446" s="55">
        <f t="shared" si="75"/>
        <v>15</v>
      </c>
      <c r="B446" s="56">
        <v>44391</v>
      </c>
      <c r="C446" s="58" t="s">
        <v>1232</v>
      </c>
      <c r="D446" s="58"/>
      <c r="E446" s="58" t="s">
        <v>1423</v>
      </c>
      <c r="F446" s="123" t="s">
        <v>2694</v>
      </c>
      <c r="G446" s="126" t="s">
        <v>1231</v>
      </c>
      <c r="H446" s="45">
        <v>700000</v>
      </c>
      <c r="I446" s="380" t="s">
        <v>1233</v>
      </c>
      <c r="J446" s="301">
        <v>44394</v>
      </c>
      <c r="K446" s="460">
        <f t="shared" si="76"/>
        <v>700000</v>
      </c>
      <c r="L446" s="460">
        <v>341250</v>
      </c>
      <c r="M446" s="459">
        <f>K446*2.5%</f>
        <v>17500</v>
      </c>
      <c r="N446" s="28">
        <f t="shared" si="73"/>
        <v>7000</v>
      </c>
      <c r="O446" s="28">
        <f t="shared" si="74"/>
        <v>14000</v>
      </c>
      <c r="P446" s="459">
        <v>334250</v>
      </c>
      <c r="Q446" s="28">
        <f t="shared" si="67"/>
        <v>0</v>
      </c>
      <c r="R446" s="474">
        <v>44392</v>
      </c>
      <c r="S446" s="744">
        <v>44403</v>
      </c>
      <c r="T446" s="199">
        <v>14</v>
      </c>
      <c r="U446" s="24">
        <f t="shared" si="77"/>
        <v>44408</v>
      </c>
      <c r="V446"/>
      <c r="W446"/>
      <c r="X446"/>
      <c r="Y446"/>
      <c r="Z446"/>
      <c r="AA446"/>
      <c r="AB446"/>
      <c r="AC446"/>
      <c r="AD446"/>
      <c r="AE446"/>
      <c r="AF446"/>
      <c r="AG446"/>
      <c r="AH446"/>
      <c r="AI446"/>
      <c r="AJ446"/>
      <c r="AK446"/>
      <c r="AL446"/>
      <c r="AM446"/>
      <c r="AN446"/>
      <c r="AO446"/>
      <c r="AP446"/>
      <c r="AQ446"/>
    </row>
    <row r="447" spans="1:43" s="10" customFormat="1" ht="15.75" customHeight="1" x14ac:dyDescent="0.25">
      <c r="A447" s="55">
        <f t="shared" si="75"/>
        <v>16</v>
      </c>
      <c r="B447" s="56">
        <v>44391</v>
      </c>
      <c r="C447" s="58" t="s">
        <v>1234</v>
      </c>
      <c r="D447" s="58"/>
      <c r="E447" s="58" t="s">
        <v>1424</v>
      </c>
      <c r="F447" s="123" t="s">
        <v>2694</v>
      </c>
      <c r="G447" s="126" t="s">
        <v>1235</v>
      </c>
      <c r="H447" s="45">
        <v>700000</v>
      </c>
      <c r="I447" s="380" t="s">
        <v>1236</v>
      </c>
      <c r="J447" s="301">
        <v>44394</v>
      </c>
      <c r="K447" s="460">
        <f t="shared" si="76"/>
        <v>700000</v>
      </c>
      <c r="L447" s="460">
        <v>341250</v>
      </c>
      <c r="M447" s="459">
        <f>K447*2.5%</f>
        <v>17500</v>
      </c>
      <c r="N447" s="28">
        <f t="shared" si="73"/>
        <v>7000</v>
      </c>
      <c r="O447" s="28">
        <f t="shared" si="74"/>
        <v>14000</v>
      </c>
      <c r="P447" s="459">
        <v>334250</v>
      </c>
      <c r="Q447" s="28">
        <f t="shared" si="67"/>
        <v>0</v>
      </c>
      <c r="R447" s="474">
        <v>44392</v>
      </c>
      <c r="S447" s="744">
        <v>44403</v>
      </c>
      <c r="T447" s="199">
        <v>14</v>
      </c>
      <c r="U447" s="24">
        <f t="shared" si="77"/>
        <v>44408</v>
      </c>
      <c r="V447"/>
      <c r="W447"/>
      <c r="X447"/>
      <c r="Y447"/>
      <c r="Z447"/>
      <c r="AA447"/>
      <c r="AB447"/>
      <c r="AC447"/>
      <c r="AD447"/>
      <c r="AE447"/>
      <c r="AF447"/>
      <c r="AG447"/>
      <c r="AH447"/>
      <c r="AI447"/>
      <c r="AJ447"/>
      <c r="AK447"/>
      <c r="AL447"/>
      <c r="AM447"/>
      <c r="AN447"/>
      <c r="AO447"/>
      <c r="AP447"/>
      <c r="AQ447"/>
    </row>
    <row r="448" spans="1:43" s="10" customFormat="1" ht="15.75" customHeight="1" x14ac:dyDescent="0.25">
      <c r="A448" s="55">
        <f t="shared" si="75"/>
        <v>17</v>
      </c>
      <c r="B448" s="56">
        <v>44391</v>
      </c>
      <c r="C448" s="58" t="s">
        <v>1238</v>
      </c>
      <c r="D448" s="58"/>
      <c r="E448" s="58" t="s">
        <v>1425</v>
      </c>
      <c r="F448" s="123" t="s">
        <v>2694</v>
      </c>
      <c r="G448" s="126" t="s">
        <v>1239</v>
      </c>
      <c r="H448" s="45">
        <v>900000</v>
      </c>
      <c r="I448" s="380" t="s">
        <v>1237</v>
      </c>
      <c r="J448" s="301">
        <v>44394</v>
      </c>
      <c r="K448" s="460">
        <f t="shared" si="76"/>
        <v>900000</v>
      </c>
      <c r="L448" s="460">
        <v>438750</v>
      </c>
      <c r="M448" s="459">
        <f>K448*2.525%</f>
        <v>22725</v>
      </c>
      <c r="N448" s="28">
        <f t="shared" si="73"/>
        <v>9000</v>
      </c>
      <c r="O448" s="28">
        <f t="shared" si="74"/>
        <v>18000</v>
      </c>
      <c r="P448" s="459">
        <v>429525</v>
      </c>
      <c r="Q448" s="28">
        <f t="shared" si="67"/>
        <v>0</v>
      </c>
      <c r="R448" s="474">
        <v>44392</v>
      </c>
      <c r="S448" s="744">
        <v>44403</v>
      </c>
      <c r="T448" s="199">
        <v>14</v>
      </c>
      <c r="U448" s="24">
        <f t="shared" si="77"/>
        <v>44408</v>
      </c>
      <c r="V448"/>
      <c r="W448"/>
      <c r="X448"/>
      <c r="Y448"/>
      <c r="Z448"/>
      <c r="AA448"/>
      <c r="AB448"/>
      <c r="AC448"/>
      <c r="AD448"/>
      <c r="AE448"/>
      <c r="AF448"/>
      <c r="AG448"/>
      <c r="AH448"/>
      <c r="AI448"/>
      <c r="AJ448"/>
      <c r="AK448"/>
      <c r="AL448"/>
      <c r="AM448"/>
      <c r="AN448"/>
      <c r="AO448"/>
      <c r="AP448"/>
      <c r="AQ448"/>
    </row>
    <row r="449" spans="1:43" s="10" customFormat="1" ht="15.75" customHeight="1" x14ac:dyDescent="0.25">
      <c r="A449" s="55">
        <f t="shared" si="75"/>
        <v>18</v>
      </c>
      <c r="B449" s="56">
        <v>44391</v>
      </c>
      <c r="C449" s="58" t="s">
        <v>1240</v>
      </c>
      <c r="D449" s="58"/>
      <c r="E449" s="58" t="s">
        <v>1426</v>
      </c>
      <c r="F449" s="123" t="s">
        <v>2694</v>
      </c>
      <c r="G449" s="126" t="s">
        <v>1241</v>
      </c>
      <c r="H449" s="45">
        <v>900000</v>
      </c>
      <c r="I449" s="380" t="s">
        <v>1242</v>
      </c>
      <c r="J449" s="301">
        <v>44394</v>
      </c>
      <c r="K449" s="460">
        <f t="shared" si="76"/>
        <v>900000</v>
      </c>
      <c r="L449" s="460">
        <v>438750</v>
      </c>
      <c r="M449" s="459">
        <f>K449*2.5%</f>
        <v>22500</v>
      </c>
      <c r="N449" s="28">
        <f t="shared" si="73"/>
        <v>9000</v>
      </c>
      <c r="O449" s="28">
        <f t="shared" si="74"/>
        <v>18000</v>
      </c>
      <c r="P449" s="459">
        <v>429750</v>
      </c>
      <c r="Q449" s="28">
        <f t="shared" si="67"/>
        <v>0</v>
      </c>
      <c r="R449" s="474">
        <v>44392</v>
      </c>
      <c r="S449" s="474">
        <v>44403</v>
      </c>
      <c r="T449" s="199">
        <v>14</v>
      </c>
      <c r="U449" s="24">
        <f t="shared" si="77"/>
        <v>44408</v>
      </c>
      <c r="V449"/>
      <c r="W449"/>
      <c r="X449"/>
      <c r="Y449"/>
      <c r="Z449"/>
      <c r="AA449"/>
      <c r="AB449"/>
      <c r="AC449"/>
      <c r="AD449"/>
      <c r="AE449"/>
      <c r="AF449"/>
      <c r="AG449"/>
      <c r="AH449"/>
      <c r="AI449"/>
      <c r="AJ449"/>
      <c r="AK449"/>
      <c r="AL449"/>
      <c r="AM449"/>
      <c r="AN449"/>
      <c r="AO449"/>
      <c r="AP449"/>
      <c r="AQ449"/>
    </row>
    <row r="450" spans="1:43" s="10" customFormat="1" ht="15.75" customHeight="1" x14ac:dyDescent="0.25">
      <c r="A450" s="55">
        <f t="shared" si="75"/>
        <v>19</v>
      </c>
      <c r="B450" s="56">
        <v>44390</v>
      </c>
      <c r="C450" s="58" t="s">
        <v>1244</v>
      </c>
      <c r="D450" s="58"/>
      <c r="E450" s="58" t="s">
        <v>1427</v>
      </c>
      <c r="F450" s="123" t="s">
        <v>2694</v>
      </c>
      <c r="G450" s="126" t="s">
        <v>582</v>
      </c>
      <c r="H450" s="45">
        <v>3100000</v>
      </c>
      <c r="I450" s="380" t="s">
        <v>1243</v>
      </c>
      <c r="J450" s="301">
        <v>44394</v>
      </c>
      <c r="K450" s="460">
        <f t="shared" si="76"/>
        <v>3100000</v>
      </c>
      <c r="L450" s="460"/>
      <c r="M450" s="459"/>
      <c r="N450" s="28">
        <f t="shared" si="73"/>
        <v>31000</v>
      </c>
      <c r="O450" s="28">
        <f t="shared" si="74"/>
        <v>62000</v>
      </c>
      <c r="P450" s="459">
        <v>3069000</v>
      </c>
      <c r="Q450" s="28">
        <f t="shared" si="67"/>
        <v>0</v>
      </c>
      <c r="R450" s="743"/>
      <c r="S450" s="474">
        <v>44431</v>
      </c>
      <c r="T450" s="199">
        <v>14</v>
      </c>
      <c r="U450" s="24">
        <f t="shared" si="77"/>
        <v>44408</v>
      </c>
      <c r="V450"/>
      <c r="W450"/>
      <c r="X450"/>
      <c r="Y450"/>
      <c r="Z450"/>
      <c r="AA450"/>
      <c r="AB450"/>
      <c r="AC450"/>
      <c r="AD450"/>
      <c r="AE450"/>
      <c r="AF450"/>
      <c r="AG450"/>
      <c r="AH450"/>
      <c r="AI450"/>
      <c r="AJ450"/>
      <c r="AK450"/>
      <c r="AL450"/>
      <c r="AM450"/>
      <c r="AN450"/>
      <c r="AO450"/>
      <c r="AP450"/>
      <c r="AQ450"/>
    </row>
    <row r="451" spans="1:43" s="10" customFormat="1" ht="15.75" customHeight="1" x14ac:dyDescent="0.25">
      <c r="A451" s="55">
        <f t="shared" si="75"/>
        <v>20</v>
      </c>
      <c r="B451" s="56">
        <v>44378</v>
      </c>
      <c r="C451" s="58" t="s">
        <v>1245</v>
      </c>
      <c r="D451" s="58"/>
      <c r="E451" s="58" t="s">
        <v>1428</v>
      </c>
      <c r="F451" s="123" t="s">
        <v>2694</v>
      </c>
      <c r="G451" s="126" t="s">
        <v>161</v>
      </c>
      <c r="H451" s="45">
        <v>240000</v>
      </c>
      <c r="I451" s="380" t="s">
        <v>1246</v>
      </c>
      <c r="J451" s="301">
        <v>44394</v>
      </c>
      <c r="K451" s="460">
        <f t="shared" si="76"/>
        <v>240000</v>
      </c>
      <c r="L451" s="460"/>
      <c r="M451" s="459"/>
      <c r="N451" s="28">
        <f t="shared" si="73"/>
        <v>2400</v>
      </c>
      <c r="O451" s="28">
        <f t="shared" si="74"/>
        <v>4800</v>
      </c>
      <c r="P451" s="459"/>
      <c r="Q451" s="28">
        <f t="shared" si="67"/>
        <v>237600</v>
      </c>
      <c r="R451" s="743"/>
      <c r="S451" s="743"/>
      <c r="T451" s="199">
        <v>14</v>
      </c>
      <c r="U451" s="24">
        <f t="shared" si="77"/>
        <v>44408</v>
      </c>
      <c r="V451"/>
      <c r="W451"/>
      <c r="X451"/>
      <c r="Y451"/>
      <c r="Z451"/>
      <c r="AA451"/>
      <c r="AB451"/>
      <c r="AC451"/>
      <c r="AD451"/>
      <c r="AE451"/>
      <c r="AF451"/>
      <c r="AG451"/>
      <c r="AH451"/>
      <c r="AI451"/>
      <c r="AJ451"/>
      <c r="AK451"/>
      <c r="AL451"/>
      <c r="AM451"/>
      <c r="AN451"/>
      <c r="AO451"/>
      <c r="AP451"/>
      <c r="AQ451"/>
    </row>
    <row r="452" spans="1:43" s="10" customFormat="1" ht="15.75" customHeight="1" x14ac:dyDescent="0.25">
      <c r="A452" s="55">
        <f t="shared" si="75"/>
        <v>21</v>
      </c>
      <c r="B452" s="56">
        <v>44389</v>
      </c>
      <c r="C452" s="58"/>
      <c r="D452" s="58"/>
      <c r="E452" s="58" t="s">
        <v>1429</v>
      </c>
      <c r="F452" s="123" t="s">
        <v>2694</v>
      </c>
      <c r="G452" s="126" t="s">
        <v>1248</v>
      </c>
      <c r="H452" s="45">
        <v>1000000</v>
      </c>
      <c r="I452" s="380" t="s">
        <v>1247</v>
      </c>
      <c r="J452" s="301">
        <v>44394</v>
      </c>
      <c r="K452" s="460">
        <f t="shared" si="76"/>
        <v>1000000</v>
      </c>
      <c r="L452" s="460">
        <v>487500</v>
      </c>
      <c r="M452" s="459"/>
      <c r="N452" s="28">
        <f t="shared" si="73"/>
        <v>10000</v>
      </c>
      <c r="O452" s="28">
        <f t="shared" si="74"/>
        <v>20000</v>
      </c>
      <c r="P452" s="459"/>
      <c r="Q452" s="28">
        <f t="shared" si="67"/>
        <v>502500</v>
      </c>
      <c r="R452" s="474">
        <v>44390</v>
      </c>
      <c r="S452" s="743"/>
      <c r="T452" s="199">
        <v>14</v>
      </c>
      <c r="U452" s="24">
        <f t="shared" si="77"/>
        <v>44408</v>
      </c>
      <c r="V452"/>
      <c r="W452"/>
      <c r="X452"/>
      <c r="Y452"/>
      <c r="Z452"/>
      <c r="AA452"/>
      <c r="AB452"/>
      <c r="AC452"/>
      <c r="AD452"/>
      <c r="AE452"/>
      <c r="AF452"/>
      <c r="AG452"/>
      <c r="AH452"/>
      <c r="AI452"/>
      <c r="AJ452"/>
      <c r="AK452"/>
      <c r="AL452"/>
      <c r="AM452"/>
      <c r="AN452"/>
      <c r="AO452"/>
      <c r="AP452"/>
      <c r="AQ452"/>
    </row>
    <row r="453" spans="1:43" s="10" customFormat="1" ht="15.75" customHeight="1" x14ac:dyDescent="0.25">
      <c r="A453" s="55">
        <f t="shared" si="75"/>
        <v>22</v>
      </c>
      <c r="B453" s="56">
        <v>44389</v>
      </c>
      <c r="C453" s="58"/>
      <c r="D453" s="58"/>
      <c r="E453" s="58" t="s">
        <v>1430</v>
      </c>
      <c r="F453" s="123" t="s">
        <v>2694</v>
      </c>
      <c r="G453" s="126" t="s">
        <v>421</v>
      </c>
      <c r="H453" s="45">
        <v>1000000</v>
      </c>
      <c r="I453" s="380" t="s">
        <v>1249</v>
      </c>
      <c r="J453" s="301">
        <v>44394</v>
      </c>
      <c r="K453" s="460">
        <f t="shared" si="76"/>
        <v>1000000</v>
      </c>
      <c r="L453" s="460">
        <v>536250</v>
      </c>
      <c r="M453" s="459"/>
      <c r="N453" s="28">
        <f t="shared" si="73"/>
        <v>10000</v>
      </c>
      <c r="O453" s="28">
        <f t="shared" si="74"/>
        <v>20000</v>
      </c>
      <c r="P453" s="459"/>
      <c r="Q453" s="28">
        <f t="shared" si="67"/>
        <v>453750</v>
      </c>
      <c r="R453" s="474">
        <v>44390</v>
      </c>
      <c r="S453" s="743"/>
      <c r="T453" s="199">
        <v>14</v>
      </c>
      <c r="U453" s="24">
        <f t="shared" si="77"/>
        <v>44408</v>
      </c>
      <c r="V453"/>
      <c r="W453"/>
      <c r="X453"/>
      <c r="Y453"/>
      <c r="Z453"/>
      <c r="AA453"/>
      <c r="AB453"/>
      <c r="AC453"/>
      <c r="AD453"/>
      <c r="AE453"/>
      <c r="AF453"/>
      <c r="AG453"/>
      <c r="AH453"/>
      <c r="AI453"/>
      <c r="AJ453"/>
      <c r="AK453"/>
      <c r="AL453"/>
      <c r="AM453"/>
      <c r="AN453"/>
      <c r="AO453"/>
      <c r="AP453"/>
      <c r="AQ453"/>
    </row>
    <row r="454" spans="1:43" s="10" customFormat="1" ht="15.75" customHeight="1" x14ac:dyDescent="0.25">
      <c r="A454" s="55">
        <f t="shared" si="75"/>
        <v>23</v>
      </c>
      <c r="B454" s="56">
        <v>44398</v>
      </c>
      <c r="C454" s="58"/>
      <c r="D454" s="58"/>
      <c r="E454" s="58" t="s">
        <v>1431</v>
      </c>
      <c r="F454" s="123" t="s">
        <v>2694</v>
      </c>
      <c r="G454" s="126" t="s">
        <v>190</v>
      </c>
      <c r="H454" s="45">
        <v>700000</v>
      </c>
      <c r="I454" s="380" t="s">
        <v>1250</v>
      </c>
      <c r="J454" s="301">
        <v>44401</v>
      </c>
      <c r="K454" s="460">
        <f t="shared" si="76"/>
        <v>700000</v>
      </c>
      <c r="L454" s="460"/>
      <c r="M454" s="459">
        <f>K454*2.525%</f>
        <v>17675</v>
      </c>
      <c r="N454" s="28">
        <f t="shared" si="73"/>
        <v>7000</v>
      </c>
      <c r="O454" s="28">
        <f t="shared" si="74"/>
        <v>14000</v>
      </c>
      <c r="P454" s="459">
        <v>675325</v>
      </c>
      <c r="Q454" s="28">
        <f t="shared" si="67"/>
        <v>0</v>
      </c>
      <c r="R454" s="743"/>
      <c r="S454" s="744">
        <v>44408</v>
      </c>
      <c r="T454" s="199">
        <v>14</v>
      </c>
      <c r="U454" s="24">
        <f t="shared" si="77"/>
        <v>44415</v>
      </c>
      <c r="V454"/>
      <c r="W454"/>
      <c r="X454"/>
      <c r="Y454"/>
      <c r="Z454"/>
      <c r="AA454"/>
      <c r="AB454"/>
      <c r="AC454"/>
      <c r="AD454"/>
      <c r="AE454"/>
      <c r="AF454"/>
      <c r="AG454"/>
      <c r="AH454"/>
      <c r="AI454"/>
      <c r="AJ454"/>
      <c r="AK454"/>
      <c r="AL454"/>
      <c r="AM454"/>
      <c r="AN454"/>
      <c r="AO454"/>
      <c r="AP454"/>
      <c r="AQ454"/>
    </row>
    <row r="455" spans="1:43" s="10" customFormat="1" ht="15.75" customHeight="1" x14ac:dyDescent="0.25">
      <c r="A455" s="55">
        <f t="shared" si="75"/>
        <v>24</v>
      </c>
      <c r="B455" s="56">
        <v>44398</v>
      </c>
      <c r="C455" s="58"/>
      <c r="D455" s="58"/>
      <c r="E455" s="58" t="s">
        <v>1432</v>
      </c>
      <c r="F455" s="123" t="s">
        <v>2694</v>
      </c>
      <c r="G455" s="126" t="s">
        <v>1252</v>
      </c>
      <c r="H455" s="45">
        <v>900000</v>
      </c>
      <c r="I455" s="380" t="s">
        <v>1251</v>
      </c>
      <c r="J455" s="301">
        <v>44401</v>
      </c>
      <c r="K455" s="460">
        <f t="shared" si="76"/>
        <v>900000</v>
      </c>
      <c r="L455" s="460"/>
      <c r="M455" s="459">
        <f>K455*2.525%</f>
        <v>22725</v>
      </c>
      <c r="N455" s="28">
        <f t="shared" si="73"/>
        <v>9000</v>
      </c>
      <c r="O455" s="28">
        <f t="shared" si="74"/>
        <v>18000</v>
      </c>
      <c r="P455" s="459">
        <v>868275</v>
      </c>
      <c r="Q455" s="28">
        <f t="shared" si="67"/>
        <v>0</v>
      </c>
      <c r="R455" s="743"/>
      <c r="S455" s="474">
        <v>44408</v>
      </c>
      <c r="T455" s="199">
        <v>14</v>
      </c>
      <c r="U455" s="24">
        <f t="shared" si="77"/>
        <v>44415</v>
      </c>
      <c r="V455"/>
      <c r="W455"/>
      <c r="X455"/>
      <c r="Y455"/>
      <c r="Z455"/>
      <c r="AA455"/>
      <c r="AB455"/>
      <c r="AC455"/>
      <c r="AD455"/>
      <c r="AE455"/>
      <c r="AF455"/>
      <c r="AG455"/>
      <c r="AH455"/>
      <c r="AI455"/>
      <c r="AJ455"/>
      <c r="AK455"/>
      <c r="AL455"/>
      <c r="AM455"/>
      <c r="AN455"/>
      <c r="AO455"/>
      <c r="AP455"/>
      <c r="AQ455"/>
    </row>
    <row r="456" spans="1:43" s="10" customFormat="1" ht="15.75" customHeight="1" x14ac:dyDescent="0.25">
      <c r="A456" s="55">
        <f t="shared" si="75"/>
        <v>25</v>
      </c>
      <c r="B456" s="56">
        <v>44398</v>
      </c>
      <c r="C456" s="58"/>
      <c r="D456" s="58"/>
      <c r="E456" s="58" t="s">
        <v>1433</v>
      </c>
      <c r="F456" s="123" t="s">
        <v>2694</v>
      </c>
      <c r="G456" s="126" t="s">
        <v>1253</v>
      </c>
      <c r="H456" s="45">
        <v>1000000</v>
      </c>
      <c r="I456" s="380" t="s">
        <v>1254</v>
      </c>
      <c r="J456" s="301">
        <v>44401</v>
      </c>
      <c r="K456" s="460">
        <f t="shared" si="76"/>
        <v>1000000</v>
      </c>
      <c r="L456" s="460"/>
      <c r="M456" s="459">
        <f>K456*2.5%</f>
        <v>25000</v>
      </c>
      <c r="N456" s="28">
        <f t="shared" si="73"/>
        <v>10000</v>
      </c>
      <c r="O456" s="28">
        <f t="shared" si="74"/>
        <v>20000</v>
      </c>
      <c r="P456" s="459">
        <v>965000</v>
      </c>
      <c r="Q456" s="28">
        <f t="shared" si="67"/>
        <v>0</v>
      </c>
      <c r="R456" s="743"/>
      <c r="S456" s="474">
        <v>44408</v>
      </c>
      <c r="T456" s="199">
        <v>14</v>
      </c>
      <c r="U456" s="24">
        <f t="shared" si="77"/>
        <v>44415</v>
      </c>
      <c r="V456"/>
      <c r="W456"/>
      <c r="X456"/>
      <c r="Y456"/>
      <c r="Z456"/>
      <c r="AA456"/>
      <c r="AB456"/>
      <c r="AC456"/>
      <c r="AD456"/>
      <c r="AE456"/>
      <c r="AF456"/>
      <c r="AG456"/>
      <c r="AH456"/>
      <c r="AI456"/>
      <c r="AJ456"/>
      <c r="AK456"/>
      <c r="AL456"/>
      <c r="AM456"/>
      <c r="AN456"/>
      <c r="AO456"/>
      <c r="AP456"/>
      <c r="AQ456"/>
    </row>
    <row r="457" spans="1:43" s="10" customFormat="1" ht="15.75" customHeight="1" x14ac:dyDescent="0.25">
      <c r="A457" s="55">
        <f t="shared" si="75"/>
        <v>26</v>
      </c>
      <c r="B457" s="56">
        <v>44398</v>
      </c>
      <c r="C457" s="58"/>
      <c r="D457" s="58"/>
      <c r="E457" s="58" t="s">
        <v>1434</v>
      </c>
      <c r="F457" s="123" t="s">
        <v>2694</v>
      </c>
      <c r="G457" s="126" t="s">
        <v>1256</v>
      </c>
      <c r="H457" s="45">
        <v>900000</v>
      </c>
      <c r="I457" s="380" t="s">
        <v>1255</v>
      </c>
      <c r="J457" s="301">
        <v>44401</v>
      </c>
      <c r="K457" s="460">
        <f t="shared" si="76"/>
        <v>900000</v>
      </c>
      <c r="L457" s="460"/>
      <c r="M457" s="459">
        <f>K457*2.5%</f>
        <v>22500</v>
      </c>
      <c r="N457" s="28">
        <f t="shared" si="73"/>
        <v>9000</v>
      </c>
      <c r="O457" s="28">
        <f t="shared" si="74"/>
        <v>18000</v>
      </c>
      <c r="P457" s="459">
        <v>868500</v>
      </c>
      <c r="Q457" s="28">
        <f t="shared" ref="Q457:Q519" si="78">K457-L457-M457-O457-P457+N457</f>
        <v>0</v>
      </c>
      <c r="R457" s="743"/>
      <c r="S457" s="474">
        <v>44408</v>
      </c>
      <c r="T457" s="199">
        <v>14</v>
      </c>
      <c r="U457" s="24">
        <f t="shared" si="77"/>
        <v>44415</v>
      </c>
      <c r="V457"/>
      <c r="W457"/>
      <c r="X457"/>
      <c r="Y457"/>
      <c r="Z457"/>
      <c r="AA457"/>
      <c r="AB457"/>
      <c r="AC457"/>
      <c r="AD457"/>
      <c r="AE457"/>
      <c r="AF457"/>
      <c r="AG457"/>
      <c r="AH457"/>
      <c r="AI457"/>
      <c r="AJ457"/>
      <c r="AK457"/>
      <c r="AL457"/>
      <c r="AM457"/>
      <c r="AN457"/>
      <c r="AO457"/>
      <c r="AP457"/>
      <c r="AQ457"/>
    </row>
    <row r="458" spans="1:43" s="10" customFormat="1" ht="15.75" customHeight="1" x14ac:dyDescent="0.25">
      <c r="A458" s="55">
        <f t="shared" si="75"/>
        <v>27</v>
      </c>
      <c r="B458" s="56">
        <v>44396</v>
      </c>
      <c r="C458" s="58"/>
      <c r="D458" s="58"/>
      <c r="E458" s="58" t="s">
        <v>1435</v>
      </c>
      <c r="F458" s="123" t="s">
        <v>2694</v>
      </c>
      <c r="G458" s="126" t="s">
        <v>1257</v>
      </c>
      <c r="H458" s="45">
        <v>650000</v>
      </c>
      <c r="I458" s="380" t="s">
        <v>1258</v>
      </c>
      <c r="J458" s="301">
        <v>44401</v>
      </c>
      <c r="K458" s="460">
        <f t="shared" si="76"/>
        <v>650000</v>
      </c>
      <c r="L458" s="460"/>
      <c r="M458" s="459"/>
      <c r="N458" s="28">
        <f t="shared" si="73"/>
        <v>6500</v>
      </c>
      <c r="O458" s="28">
        <f t="shared" si="74"/>
        <v>13000</v>
      </c>
      <c r="P458" s="459">
        <v>643500</v>
      </c>
      <c r="Q458" s="28">
        <f t="shared" si="78"/>
        <v>0</v>
      </c>
      <c r="R458" s="743"/>
      <c r="S458" s="474">
        <v>44412</v>
      </c>
      <c r="T458" s="199">
        <v>14</v>
      </c>
      <c r="U458" s="24">
        <f t="shared" si="77"/>
        <v>44415</v>
      </c>
      <c r="V458"/>
      <c r="W458"/>
      <c r="X458"/>
      <c r="Y458"/>
      <c r="Z458"/>
      <c r="AA458"/>
      <c r="AB458"/>
      <c r="AC458"/>
      <c r="AD458"/>
      <c r="AE458"/>
      <c r="AF458"/>
      <c r="AG458"/>
      <c r="AH458"/>
      <c r="AI458"/>
      <c r="AJ458"/>
      <c r="AK458"/>
      <c r="AL458"/>
      <c r="AM458"/>
      <c r="AN458"/>
      <c r="AO458"/>
      <c r="AP458"/>
      <c r="AQ458"/>
    </row>
    <row r="459" spans="1:43" s="10" customFormat="1" ht="15.75" customHeight="1" x14ac:dyDescent="0.25">
      <c r="A459" s="55">
        <f t="shared" si="75"/>
        <v>28</v>
      </c>
      <c r="B459" s="56">
        <v>44394</v>
      </c>
      <c r="C459" s="58"/>
      <c r="D459" s="58"/>
      <c r="E459" s="58" t="s">
        <v>1436</v>
      </c>
      <c r="F459" s="123" t="s">
        <v>2694</v>
      </c>
      <c r="G459" s="126" t="s">
        <v>1369</v>
      </c>
      <c r="H459" s="63">
        <f>SUM(H458:H458)</f>
        <v>650000</v>
      </c>
      <c r="I459" s="380" t="s">
        <v>1368</v>
      </c>
      <c r="J459" s="301">
        <v>44401</v>
      </c>
      <c r="K459" s="460">
        <f t="shared" si="76"/>
        <v>650000</v>
      </c>
      <c r="L459" s="460"/>
      <c r="M459" s="459"/>
      <c r="N459" s="28">
        <f t="shared" si="73"/>
        <v>6500</v>
      </c>
      <c r="O459" s="28">
        <f t="shared" si="74"/>
        <v>13000</v>
      </c>
      <c r="P459" s="459">
        <v>643500</v>
      </c>
      <c r="Q459" s="28">
        <f t="shared" si="78"/>
        <v>0</v>
      </c>
      <c r="R459" s="743"/>
      <c r="S459" s="474">
        <v>44441</v>
      </c>
      <c r="T459" s="199">
        <v>14</v>
      </c>
      <c r="U459" s="24">
        <f t="shared" si="77"/>
        <v>44415</v>
      </c>
      <c r="V459"/>
      <c r="W459"/>
      <c r="X459"/>
      <c r="Y459"/>
      <c r="Z459"/>
      <c r="AA459"/>
      <c r="AB459"/>
      <c r="AC459"/>
      <c r="AD459"/>
      <c r="AE459"/>
      <c r="AF459"/>
      <c r="AG459"/>
      <c r="AH459"/>
      <c r="AI459"/>
      <c r="AJ459"/>
      <c r="AK459"/>
      <c r="AL459"/>
      <c r="AM459"/>
      <c r="AN459"/>
      <c r="AO459"/>
      <c r="AP459"/>
      <c r="AQ459"/>
    </row>
    <row r="460" spans="1:43" s="10" customFormat="1" ht="15.75" customHeight="1" x14ac:dyDescent="0.25">
      <c r="A460" s="55">
        <f t="shared" si="75"/>
        <v>29</v>
      </c>
      <c r="B460" s="56">
        <v>44394</v>
      </c>
      <c r="C460" s="58"/>
      <c r="D460" s="58"/>
      <c r="E460" s="58" t="s">
        <v>1371</v>
      </c>
      <c r="F460" s="123" t="s">
        <v>2694</v>
      </c>
      <c r="G460" s="126" t="s">
        <v>190</v>
      </c>
      <c r="H460" s="45">
        <v>900000</v>
      </c>
      <c r="I460" s="380" t="s">
        <v>1370</v>
      </c>
      <c r="J460" s="301">
        <v>44401</v>
      </c>
      <c r="K460" s="460">
        <f t="shared" si="76"/>
        <v>900000</v>
      </c>
      <c r="L460" s="460"/>
      <c r="M460" s="459"/>
      <c r="N460" s="28">
        <f t="shared" si="73"/>
        <v>9000</v>
      </c>
      <c r="O460" s="28">
        <f t="shared" si="74"/>
        <v>18000</v>
      </c>
      <c r="P460" s="459">
        <v>891000</v>
      </c>
      <c r="Q460" s="28">
        <f t="shared" si="78"/>
        <v>0</v>
      </c>
      <c r="R460" s="743"/>
      <c r="S460" s="474">
        <v>44412</v>
      </c>
      <c r="T460" s="199">
        <v>14</v>
      </c>
      <c r="U460" s="24">
        <f t="shared" si="77"/>
        <v>44415</v>
      </c>
      <c r="V460"/>
      <c r="W460"/>
      <c r="X460"/>
      <c r="Y460"/>
      <c r="Z460"/>
      <c r="AA460"/>
      <c r="AB460"/>
      <c r="AC460"/>
      <c r="AD460"/>
      <c r="AE460"/>
      <c r="AF460"/>
      <c r="AG460"/>
      <c r="AH460"/>
      <c r="AI460"/>
      <c r="AJ460"/>
      <c r="AK460"/>
      <c r="AL460"/>
      <c r="AM460"/>
      <c r="AN460"/>
      <c r="AO460"/>
      <c r="AP460"/>
      <c r="AQ460"/>
    </row>
    <row r="461" spans="1:43" s="10" customFormat="1" ht="15.75" customHeight="1" x14ac:dyDescent="0.25">
      <c r="A461" s="55">
        <f t="shared" si="75"/>
        <v>30</v>
      </c>
      <c r="B461" s="56">
        <v>44394</v>
      </c>
      <c r="C461" s="58"/>
      <c r="D461" s="58"/>
      <c r="E461" s="58" t="s">
        <v>1373</v>
      </c>
      <c r="F461" s="123" t="s">
        <v>2694</v>
      </c>
      <c r="G461" s="126" t="s">
        <v>1252</v>
      </c>
      <c r="H461" s="45">
        <v>900000</v>
      </c>
      <c r="I461" s="380" t="s">
        <v>1372</v>
      </c>
      <c r="J461" s="301">
        <v>44401</v>
      </c>
      <c r="K461" s="460">
        <f t="shared" si="76"/>
        <v>900000</v>
      </c>
      <c r="L461" s="460"/>
      <c r="M461" s="459"/>
      <c r="N461" s="28">
        <f t="shared" si="73"/>
        <v>9000</v>
      </c>
      <c r="O461" s="28">
        <f t="shared" si="74"/>
        <v>18000</v>
      </c>
      <c r="P461" s="459">
        <v>891000</v>
      </c>
      <c r="Q461" s="28">
        <f t="shared" si="78"/>
        <v>0</v>
      </c>
      <c r="R461" s="743"/>
      <c r="S461" s="474">
        <v>44412</v>
      </c>
      <c r="T461" s="199">
        <v>14</v>
      </c>
      <c r="U461" s="24">
        <f t="shared" si="77"/>
        <v>44415</v>
      </c>
      <c r="V461"/>
      <c r="W461"/>
      <c r="X461"/>
      <c r="Y461"/>
      <c r="Z461"/>
      <c r="AA461"/>
      <c r="AB461"/>
      <c r="AC461"/>
      <c r="AD461"/>
      <c r="AE461"/>
      <c r="AF461"/>
      <c r="AG461"/>
      <c r="AH461"/>
      <c r="AI461"/>
      <c r="AJ461"/>
      <c r="AK461"/>
      <c r="AL461"/>
      <c r="AM461"/>
      <c r="AN461"/>
      <c r="AO461"/>
      <c r="AP461"/>
      <c r="AQ461"/>
    </row>
    <row r="462" spans="1:43" s="10" customFormat="1" ht="15.75" customHeight="1" x14ac:dyDescent="0.25">
      <c r="A462" s="55">
        <f t="shared" si="75"/>
        <v>31</v>
      </c>
      <c r="B462" s="56">
        <v>44393</v>
      </c>
      <c r="C462" s="58"/>
      <c r="D462" s="58"/>
      <c r="E462" s="58" t="s">
        <v>1375</v>
      </c>
      <c r="F462" s="123" t="s">
        <v>2694</v>
      </c>
      <c r="G462" s="126" t="s">
        <v>1270</v>
      </c>
      <c r="H462" s="45">
        <v>750000</v>
      </c>
      <c r="I462" s="380" t="s">
        <v>1374</v>
      </c>
      <c r="J462" s="301">
        <v>44401</v>
      </c>
      <c r="K462" s="460">
        <f t="shared" si="76"/>
        <v>750000</v>
      </c>
      <c r="L462" s="460"/>
      <c r="M462" s="459">
        <f>K462*2.5251%</f>
        <v>18938.250000000004</v>
      </c>
      <c r="N462" s="28">
        <f t="shared" si="73"/>
        <v>7500</v>
      </c>
      <c r="O462" s="28">
        <f t="shared" si="74"/>
        <v>15000</v>
      </c>
      <c r="P462" s="459">
        <v>723561.75</v>
      </c>
      <c r="Q462" s="28">
        <f t="shared" si="78"/>
        <v>0</v>
      </c>
      <c r="R462" s="743"/>
      <c r="S462" s="474">
        <v>44408</v>
      </c>
      <c r="T462" s="199">
        <v>14</v>
      </c>
      <c r="U462" s="24">
        <f t="shared" si="77"/>
        <v>44415</v>
      </c>
      <c r="V462"/>
      <c r="W462"/>
      <c r="X462"/>
      <c r="Y462"/>
      <c r="Z462"/>
      <c r="AA462"/>
      <c r="AB462"/>
      <c r="AC462"/>
      <c r="AD462"/>
      <c r="AE462"/>
      <c r="AF462"/>
      <c r="AG462"/>
      <c r="AH462"/>
      <c r="AI462"/>
      <c r="AJ462"/>
      <c r="AK462"/>
      <c r="AL462"/>
      <c r="AM462"/>
      <c r="AN462"/>
      <c r="AO462"/>
      <c r="AP462"/>
      <c r="AQ462"/>
    </row>
    <row r="463" spans="1:43" s="10" customFormat="1" ht="15.75" customHeight="1" x14ac:dyDescent="0.25">
      <c r="A463" s="55">
        <f t="shared" si="75"/>
        <v>32</v>
      </c>
      <c r="B463" s="56">
        <v>44393</v>
      </c>
      <c r="C463" s="58"/>
      <c r="D463" s="58"/>
      <c r="E463" s="58" t="s">
        <v>1377</v>
      </c>
      <c r="F463" s="123" t="s">
        <v>2694</v>
      </c>
      <c r="G463" s="126" t="s">
        <v>1270</v>
      </c>
      <c r="H463" s="45">
        <v>750000</v>
      </c>
      <c r="I463" s="380" t="s">
        <v>1376</v>
      </c>
      <c r="J463" s="301">
        <v>44401</v>
      </c>
      <c r="K463" s="460">
        <f t="shared" si="76"/>
        <v>750000</v>
      </c>
      <c r="L463" s="460"/>
      <c r="M463" s="459"/>
      <c r="N463" s="28">
        <f t="shared" si="73"/>
        <v>7500</v>
      </c>
      <c r="O463" s="28">
        <f t="shared" si="74"/>
        <v>15000</v>
      </c>
      <c r="P463" s="459">
        <v>742500</v>
      </c>
      <c r="Q463" s="28">
        <f t="shared" si="78"/>
        <v>0</v>
      </c>
      <c r="R463" s="743"/>
      <c r="S463" s="474">
        <v>44424</v>
      </c>
      <c r="T463" s="199">
        <v>14</v>
      </c>
      <c r="U463" s="24">
        <f t="shared" si="77"/>
        <v>44415</v>
      </c>
      <c r="V463"/>
      <c r="W463"/>
      <c r="X463"/>
      <c r="Y463"/>
      <c r="Z463"/>
      <c r="AA463"/>
      <c r="AB463"/>
      <c r="AC463"/>
      <c r="AD463"/>
      <c r="AE463"/>
      <c r="AF463"/>
      <c r="AG463"/>
      <c r="AH463"/>
      <c r="AI463"/>
      <c r="AJ463"/>
      <c r="AK463"/>
      <c r="AL463"/>
      <c r="AM463"/>
      <c r="AN463"/>
      <c r="AO463"/>
      <c r="AP463"/>
      <c r="AQ463"/>
    </row>
    <row r="464" spans="1:43" s="10" customFormat="1" ht="15.75" customHeight="1" x14ac:dyDescent="0.25">
      <c r="A464" s="55">
        <f t="shared" si="75"/>
        <v>33</v>
      </c>
      <c r="B464" s="56">
        <v>44393</v>
      </c>
      <c r="C464" s="58"/>
      <c r="D464" s="58"/>
      <c r="E464" s="58" t="s">
        <v>1379</v>
      </c>
      <c r="F464" s="123" t="s">
        <v>2694</v>
      </c>
      <c r="G464" s="126" t="s">
        <v>462</v>
      </c>
      <c r="H464" s="45">
        <f>SUM(H463:H463)</f>
        <v>750000</v>
      </c>
      <c r="I464" s="380" t="s">
        <v>1378</v>
      </c>
      <c r="J464" s="301">
        <v>44401</v>
      </c>
      <c r="K464" s="460">
        <v>950000</v>
      </c>
      <c r="L464" s="460"/>
      <c r="M464" s="459"/>
      <c r="N464" s="28">
        <f t="shared" si="73"/>
        <v>9500</v>
      </c>
      <c r="O464" s="28">
        <f t="shared" si="74"/>
        <v>19000</v>
      </c>
      <c r="P464" s="459">
        <v>940500</v>
      </c>
      <c r="Q464" s="28">
        <f t="shared" si="78"/>
        <v>0</v>
      </c>
      <c r="R464" s="743"/>
      <c r="S464" s="474">
        <v>44408</v>
      </c>
      <c r="T464" s="199">
        <v>14</v>
      </c>
      <c r="U464" s="24">
        <f t="shared" si="77"/>
        <v>44415</v>
      </c>
      <c r="V464"/>
      <c r="W464"/>
      <c r="X464"/>
      <c r="Y464"/>
      <c r="Z464"/>
      <c r="AA464"/>
      <c r="AB464"/>
      <c r="AC464"/>
      <c r="AD464"/>
      <c r="AE464"/>
      <c r="AF464"/>
      <c r="AG464"/>
      <c r="AH464"/>
      <c r="AI464"/>
      <c r="AJ464"/>
      <c r="AK464"/>
      <c r="AL464"/>
      <c r="AM464"/>
      <c r="AN464"/>
      <c r="AO464"/>
      <c r="AP464"/>
      <c r="AQ464"/>
    </row>
    <row r="465" spans="1:43" s="10" customFormat="1" ht="15.75" customHeight="1" x14ac:dyDescent="0.25">
      <c r="A465" s="55">
        <f t="shared" si="75"/>
        <v>34</v>
      </c>
      <c r="B465" s="56">
        <v>44393</v>
      </c>
      <c r="C465" s="58"/>
      <c r="D465" s="58"/>
      <c r="E465" s="58" t="s">
        <v>1381</v>
      </c>
      <c r="F465" s="123" t="s">
        <v>2694</v>
      </c>
      <c r="G465" s="126" t="s">
        <v>190</v>
      </c>
      <c r="H465" s="45">
        <v>600000</v>
      </c>
      <c r="I465" s="380" t="s">
        <v>1380</v>
      </c>
      <c r="J465" s="301">
        <v>44401</v>
      </c>
      <c r="K465" s="460">
        <f t="shared" si="76"/>
        <v>600000</v>
      </c>
      <c r="L465" s="460"/>
      <c r="M465" s="459"/>
      <c r="N465" s="28">
        <f t="shared" si="73"/>
        <v>6000</v>
      </c>
      <c r="O465" s="28">
        <f t="shared" si="74"/>
        <v>12000</v>
      </c>
      <c r="P465" s="459">
        <v>594000</v>
      </c>
      <c r="Q465" s="28">
        <f t="shared" si="78"/>
        <v>0</v>
      </c>
      <c r="R465" s="743"/>
      <c r="S465" s="474">
        <v>44408</v>
      </c>
      <c r="T465" s="199">
        <v>14</v>
      </c>
      <c r="U465" s="24">
        <f t="shared" si="77"/>
        <v>44415</v>
      </c>
      <c r="V465"/>
      <c r="W465"/>
      <c r="X465"/>
      <c r="Y465"/>
      <c r="Z465"/>
      <c r="AA465"/>
      <c r="AB465"/>
      <c r="AC465"/>
      <c r="AD465"/>
      <c r="AE465"/>
      <c r="AF465"/>
      <c r="AG465"/>
      <c r="AH465"/>
      <c r="AI465"/>
      <c r="AJ465"/>
      <c r="AK465"/>
      <c r="AL465"/>
      <c r="AM465"/>
      <c r="AN465"/>
      <c r="AO465"/>
      <c r="AP465"/>
      <c r="AQ465"/>
    </row>
    <row r="466" spans="1:43" s="10" customFormat="1" ht="15.75" customHeight="1" x14ac:dyDescent="0.25">
      <c r="A466" s="55">
        <f t="shared" si="75"/>
        <v>35</v>
      </c>
      <c r="B466" s="56">
        <v>44399</v>
      </c>
      <c r="C466" s="58"/>
      <c r="D466" s="58"/>
      <c r="E466" s="58" t="s">
        <v>1383</v>
      </c>
      <c r="F466" s="123" t="s">
        <v>2694</v>
      </c>
      <c r="G466" s="126" t="s">
        <v>462</v>
      </c>
      <c r="H466" s="45">
        <v>1200000</v>
      </c>
      <c r="I466" s="380" t="s">
        <v>1382</v>
      </c>
      <c r="J466" s="301">
        <v>44401</v>
      </c>
      <c r="K466" s="460">
        <f t="shared" si="76"/>
        <v>1200000</v>
      </c>
      <c r="L466" s="460"/>
      <c r="M466" s="459"/>
      <c r="N466" s="28">
        <f t="shared" si="73"/>
        <v>12000</v>
      </c>
      <c r="O466" s="28">
        <f t="shared" si="74"/>
        <v>24000</v>
      </c>
      <c r="P466" s="459">
        <v>1188000</v>
      </c>
      <c r="Q466" s="28">
        <f t="shared" si="78"/>
        <v>0</v>
      </c>
      <c r="R466" s="743"/>
      <c r="S466" s="474">
        <v>44410</v>
      </c>
      <c r="T466" s="199">
        <v>14</v>
      </c>
      <c r="U466" s="24">
        <f t="shared" si="77"/>
        <v>44415</v>
      </c>
      <c r="V466"/>
      <c r="W466"/>
      <c r="X466"/>
      <c r="Y466"/>
      <c r="Z466"/>
      <c r="AA466"/>
      <c r="AB466"/>
      <c r="AC466"/>
      <c r="AD466"/>
      <c r="AE466"/>
      <c r="AF466"/>
      <c r="AG466"/>
      <c r="AH466"/>
      <c r="AI466"/>
      <c r="AJ466"/>
      <c r="AK466"/>
      <c r="AL466"/>
      <c r="AM466"/>
      <c r="AN466"/>
      <c r="AO466"/>
      <c r="AP466"/>
      <c r="AQ466"/>
    </row>
    <row r="467" spans="1:43" s="10" customFormat="1" ht="15.75" customHeight="1" x14ac:dyDescent="0.25">
      <c r="A467" s="55">
        <f t="shared" si="75"/>
        <v>36</v>
      </c>
      <c r="B467" s="56">
        <v>44399</v>
      </c>
      <c r="C467" s="58"/>
      <c r="D467" s="58"/>
      <c r="E467" s="58" t="s">
        <v>1386</v>
      </c>
      <c r="F467" s="123" t="s">
        <v>2694</v>
      </c>
      <c r="G467" s="126" t="s">
        <v>1256</v>
      </c>
      <c r="H467" s="45">
        <v>900000</v>
      </c>
      <c r="I467" s="380" t="s">
        <v>1385</v>
      </c>
      <c r="J467" s="301">
        <v>44401</v>
      </c>
      <c r="K467" s="460">
        <f t="shared" si="76"/>
        <v>900000</v>
      </c>
      <c r="L467" s="460"/>
      <c r="M467" s="459"/>
      <c r="N467" s="28">
        <f t="shared" si="73"/>
        <v>9000</v>
      </c>
      <c r="O467" s="28">
        <f t="shared" si="74"/>
        <v>18000</v>
      </c>
      <c r="P467" s="459">
        <v>891000</v>
      </c>
      <c r="Q467" s="28">
        <f t="shared" si="78"/>
        <v>0</v>
      </c>
      <c r="R467" s="743"/>
      <c r="S467" s="474">
        <v>44408</v>
      </c>
      <c r="T467" s="199">
        <v>14</v>
      </c>
      <c r="U467" s="24">
        <f t="shared" si="77"/>
        <v>44415</v>
      </c>
      <c r="V467"/>
      <c r="W467"/>
      <c r="X467"/>
      <c r="Y467"/>
      <c r="Z467"/>
      <c r="AA467"/>
      <c r="AB467"/>
      <c r="AC467"/>
      <c r="AD467"/>
      <c r="AE467"/>
      <c r="AF467"/>
      <c r="AG467"/>
      <c r="AH467"/>
      <c r="AI467"/>
      <c r="AJ467"/>
      <c r="AK467"/>
      <c r="AL467"/>
      <c r="AM467"/>
      <c r="AN467"/>
      <c r="AO467"/>
      <c r="AP467"/>
      <c r="AQ467"/>
    </row>
    <row r="468" spans="1:43" s="10" customFormat="1" ht="15.75" customHeight="1" x14ac:dyDescent="0.25">
      <c r="A468" s="55">
        <f t="shared" si="75"/>
        <v>37</v>
      </c>
      <c r="B468" s="56">
        <v>44396</v>
      </c>
      <c r="C468" s="58"/>
      <c r="D468" s="58"/>
      <c r="E468" s="58" t="s">
        <v>1387</v>
      </c>
      <c r="F468" s="123" t="s">
        <v>2694</v>
      </c>
      <c r="G468" s="126" t="s">
        <v>1388</v>
      </c>
      <c r="H468" s="45">
        <v>1000000</v>
      </c>
      <c r="I468" s="380" t="s">
        <v>1391</v>
      </c>
      <c r="J468" s="301">
        <v>44401</v>
      </c>
      <c r="K468" s="460">
        <f t="shared" si="76"/>
        <v>1000000</v>
      </c>
      <c r="L468" s="460">
        <v>500000</v>
      </c>
      <c r="M468" s="459">
        <f>500000*0.025%</f>
        <v>125</v>
      </c>
      <c r="N468" s="28">
        <f t="shared" si="73"/>
        <v>10000</v>
      </c>
      <c r="O468" s="28">
        <f t="shared" si="74"/>
        <v>20000</v>
      </c>
      <c r="P468" s="459">
        <v>489875</v>
      </c>
      <c r="Q468" s="28">
        <f t="shared" si="78"/>
        <v>0</v>
      </c>
      <c r="R468" s="474">
        <v>44424</v>
      </c>
      <c r="S468" s="474">
        <v>44424</v>
      </c>
      <c r="T468" s="199">
        <v>14</v>
      </c>
      <c r="U468" s="24">
        <f t="shared" si="77"/>
        <v>44415</v>
      </c>
      <c r="V468"/>
      <c r="W468"/>
      <c r="X468"/>
      <c r="Y468"/>
      <c r="Z468"/>
      <c r="AA468"/>
      <c r="AB468"/>
      <c r="AC468"/>
      <c r="AD468"/>
      <c r="AE468"/>
      <c r="AF468"/>
      <c r="AG468"/>
      <c r="AH468"/>
      <c r="AI468"/>
      <c r="AJ468"/>
      <c r="AK468"/>
      <c r="AL468"/>
      <c r="AM468"/>
      <c r="AN468"/>
      <c r="AO468"/>
      <c r="AP468"/>
      <c r="AQ468"/>
    </row>
    <row r="469" spans="1:43" s="10" customFormat="1" ht="15.75" customHeight="1" x14ac:dyDescent="0.25">
      <c r="A469" s="55">
        <f t="shared" si="75"/>
        <v>38</v>
      </c>
      <c r="B469" s="56">
        <v>44396</v>
      </c>
      <c r="C469" s="58"/>
      <c r="D469" s="58"/>
      <c r="E469" s="58" t="s">
        <v>1389</v>
      </c>
      <c r="F469" s="123" t="s">
        <v>2694</v>
      </c>
      <c r="G469" s="126" t="s">
        <v>1270</v>
      </c>
      <c r="H469" s="45">
        <v>650000</v>
      </c>
      <c r="I469" s="380" t="s">
        <v>1392</v>
      </c>
      <c r="J469" s="301">
        <v>44401</v>
      </c>
      <c r="K469" s="460">
        <f t="shared" si="76"/>
        <v>650000</v>
      </c>
      <c r="L469" s="460"/>
      <c r="M469" s="459"/>
      <c r="N469" s="28">
        <f t="shared" si="73"/>
        <v>6500</v>
      </c>
      <c r="O469" s="28">
        <f t="shared" si="74"/>
        <v>13000</v>
      </c>
      <c r="P469" s="459">
        <v>643500</v>
      </c>
      <c r="Q469" s="28">
        <f t="shared" si="78"/>
        <v>0</v>
      </c>
      <c r="R469" s="743"/>
      <c r="S469" s="474">
        <v>44408</v>
      </c>
      <c r="T469" s="199">
        <v>14</v>
      </c>
      <c r="U469" s="24">
        <f t="shared" si="77"/>
        <v>44415</v>
      </c>
      <c r="V469"/>
      <c r="W469"/>
      <c r="X469"/>
      <c r="Y469"/>
      <c r="Z469"/>
      <c r="AA469"/>
      <c r="AB469"/>
      <c r="AC469"/>
      <c r="AD469"/>
      <c r="AE469"/>
      <c r="AF469"/>
      <c r="AG469"/>
      <c r="AH469"/>
      <c r="AI469"/>
      <c r="AJ469"/>
      <c r="AK469"/>
      <c r="AL469"/>
      <c r="AM469"/>
      <c r="AN469"/>
      <c r="AO469"/>
      <c r="AP469"/>
      <c r="AQ469"/>
    </row>
    <row r="470" spans="1:43" s="10" customFormat="1" ht="15.75" customHeight="1" x14ac:dyDescent="0.25">
      <c r="A470" s="55">
        <f t="shared" si="75"/>
        <v>39</v>
      </c>
      <c r="B470" s="56">
        <v>44392</v>
      </c>
      <c r="C470" s="58"/>
      <c r="D470" s="58"/>
      <c r="E470" s="58" t="s">
        <v>1390</v>
      </c>
      <c r="F470" s="123" t="s">
        <v>2694</v>
      </c>
      <c r="G470" s="126" t="s">
        <v>653</v>
      </c>
      <c r="H470" s="45">
        <v>2500000</v>
      </c>
      <c r="I470" s="380" t="s">
        <v>1393</v>
      </c>
      <c r="J470" s="301">
        <v>44401</v>
      </c>
      <c r="K470" s="460">
        <f t="shared" si="76"/>
        <v>2500000</v>
      </c>
      <c r="L470" s="460">
        <v>1218750</v>
      </c>
      <c r="M470" s="459"/>
      <c r="N470" s="28">
        <f t="shared" si="73"/>
        <v>25000</v>
      </c>
      <c r="O470" s="28">
        <f t="shared" si="74"/>
        <v>50000</v>
      </c>
      <c r="P470" s="459">
        <v>1256250</v>
      </c>
      <c r="Q470" s="28">
        <f t="shared" si="78"/>
        <v>0</v>
      </c>
      <c r="R470" s="744">
        <v>44393</v>
      </c>
      <c r="S470" s="474">
        <v>44408</v>
      </c>
      <c r="T470" s="199">
        <v>14</v>
      </c>
      <c r="U470" s="24">
        <f t="shared" si="77"/>
        <v>44415</v>
      </c>
      <c r="V470"/>
      <c r="W470"/>
      <c r="X470"/>
      <c r="Y470"/>
      <c r="Z470"/>
      <c r="AA470"/>
      <c r="AB470"/>
      <c r="AC470"/>
      <c r="AD470"/>
      <c r="AE470"/>
      <c r="AF470"/>
      <c r="AG470"/>
      <c r="AH470"/>
      <c r="AI470"/>
      <c r="AJ470"/>
      <c r="AK470"/>
      <c r="AL470"/>
      <c r="AM470"/>
      <c r="AN470"/>
      <c r="AO470"/>
      <c r="AP470"/>
      <c r="AQ470"/>
    </row>
    <row r="471" spans="1:43" s="10" customFormat="1" ht="15.75" customHeight="1" x14ac:dyDescent="0.25">
      <c r="A471" s="55">
        <f t="shared" si="75"/>
        <v>40</v>
      </c>
      <c r="B471" s="79">
        <v>44384</v>
      </c>
      <c r="C471" s="330" t="s">
        <v>1687</v>
      </c>
      <c r="D471" s="330"/>
      <c r="E471" s="330"/>
      <c r="F471" s="33" t="s">
        <v>1394</v>
      </c>
      <c r="G471" s="126" t="s">
        <v>988</v>
      </c>
      <c r="H471" s="45">
        <v>21775600</v>
      </c>
      <c r="I471" s="377" t="s">
        <v>1395</v>
      </c>
      <c r="J471" s="301">
        <v>44403</v>
      </c>
      <c r="K471" s="460">
        <f t="shared" si="76"/>
        <v>21775600</v>
      </c>
      <c r="L471" s="460"/>
      <c r="M471" s="459">
        <v>213444</v>
      </c>
      <c r="N471" s="28">
        <f>K471*1%</f>
        <v>217756</v>
      </c>
      <c r="O471" s="28">
        <f>K471*2%</f>
        <v>435512</v>
      </c>
      <c r="P471" s="459">
        <v>21344400</v>
      </c>
      <c r="Q471" s="28">
        <f t="shared" si="78"/>
        <v>0</v>
      </c>
      <c r="R471" s="199"/>
      <c r="S471" s="197">
        <v>44414</v>
      </c>
      <c r="T471" s="199">
        <v>14</v>
      </c>
      <c r="U471" s="24">
        <f t="shared" si="77"/>
        <v>44417</v>
      </c>
      <c r="V471"/>
      <c r="W471"/>
      <c r="X471"/>
      <c r="Y471"/>
      <c r="Z471"/>
      <c r="AA471"/>
      <c r="AB471"/>
      <c r="AC471"/>
      <c r="AD471"/>
      <c r="AE471"/>
      <c r="AF471"/>
      <c r="AG471"/>
      <c r="AH471"/>
      <c r="AI471"/>
      <c r="AJ471"/>
      <c r="AK471"/>
      <c r="AL471"/>
      <c r="AM471"/>
      <c r="AN471"/>
      <c r="AO471"/>
      <c r="AP471"/>
      <c r="AQ471"/>
    </row>
    <row r="472" spans="1:43" s="10" customFormat="1" ht="15.75" customHeight="1" x14ac:dyDescent="0.25">
      <c r="A472" s="55">
        <f t="shared" si="75"/>
        <v>41</v>
      </c>
      <c r="B472" s="56">
        <v>44396</v>
      </c>
      <c r="C472" s="58" t="s">
        <v>1396</v>
      </c>
      <c r="D472" s="58"/>
      <c r="E472" s="58"/>
      <c r="F472" s="123" t="s">
        <v>1397</v>
      </c>
      <c r="G472" s="126" t="s">
        <v>477</v>
      </c>
      <c r="H472" s="45">
        <v>6000000</v>
      </c>
      <c r="I472" s="380" t="s">
        <v>1398</v>
      </c>
      <c r="J472" s="301">
        <v>44403</v>
      </c>
      <c r="K472" s="460">
        <f t="shared" si="76"/>
        <v>6000000</v>
      </c>
      <c r="L472" s="460"/>
      <c r="M472" s="459"/>
      <c r="N472" s="28">
        <f t="shared" si="73"/>
        <v>60000</v>
      </c>
      <c r="O472" s="28">
        <f t="shared" si="74"/>
        <v>120000</v>
      </c>
      <c r="P472" s="459">
        <v>5940000</v>
      </c>
      <c r="Q472" s="28">
        <f t="shared" si="78"/>
        <v>0</v>
      </c>
      <c r="R472" s="199"/>
      <c r="S472" s="225">
        <v>44417</v>
      </c>
      <c r="T472" s="199">
        <v>14</v>
      </c>
      <c r="U472" s="24">
        <f t="shared" si="77"/>
        <v>44417</v>
      </c>
      <c r="V472" t="s">
        <v>1772</v>
      </c>
      <c r="W472"/>
      <c r="X472"/>
      <c r="Y472"/>
      <c r="Z472"/>
      <c r="AA472"/>
      <c r="AB472"/>
      <c r="AC472"/>
      <c r="AD472"/>
      <c r="AE472"/>
      <c r="AF472"/>
      <c r="AG472"/>
      <c r="AH472"/>
      <c r="AI472"/>
      <c r="AJ472"/>
      <c r="AK472"/>
      <c r="AL472"/>
      <c r="AM472"/>
      <c r="AN472"/>
      <c r="AO472"/>
      <c r="AP472"/>
      <c r="AQ472"/>
    </row>
    <row r="473" spans="1:43" s="10" customFormat="1" ht="15.75" customHeight="1" x14ac:dyDescent="0.25">
      <c r="A473" s="55">
        <f t="shared" si="75"/>
        <v>42</v>
      </c>
      <c r="B473" s="56">
        <v>44393</v>
      </c>
      <c r="C473" s="58" t="s">
        <v>1400</v>
      </c>
      <c r="D473" s="58"/>
      <c r="E473" s="58"/>
      <c r="F473" s="69" t="s">
        <v>279</v>
      </c>
      <c r="G473" s="126" t="s">
        <v>582</v>
      </c>
      <c r="H473" s="45">
        <v>5148515</v>
      </c>
      <c r="I473" s="380" t="s">
        <v>1401</v>
      </c>
      <c r="J473" s="301">
        <v>44404</v>
      </c>
      <c r="K473" s="460">
        <f t="shared" si="76"/>
        <v>5148515</v>
      </c>
      <c r="L473" s="460"/>
      <c r="M473" s="459"/>
      <c r="N473" s="28">
        <f t="shared" si="73"/>
        <v>51485.15</v>
      </c>
      <c r="O473" s="28">
        <f t="shared" si="74"/>
        <v>102970.3</v>
      </c>
      <c r="P473" s="459">
        <v>5097029.8500000006</v>
      </c>
      <c r="Q473" s="28">
        <f t="shared" si="78"/>
        <v>-3.7107383832335472E-10</v>
      </c>
      <c r="R473" s="199"/>
      <c r="S473" s="197">
        <v>44531</v>
      </c>
      <c r="T473" s="199">
        <v>30</v>
      </c>
      <c r="U473" s="24">
        <f t="shared" si="77"/>
        <v>44434</v>
      </c>
      <c r="V473"/>
      <c r="W473"/>
      <c r="X473"/>
      <c r="Y473"/>
      <c r="Z473"/>
      <c r="AA473"/>
      <c r="AB473"/>
      <c r="AC473"/>
      <c r="AD473"/>
      <c r="AE473"/>
      <c r="AF473"/>
      <c r="AG473"/>
      <c r="AH473"/>
      <c r="AI473"/>
      <c r="AJ473"/>
      <c r="AK473"/>
      <c r="AL473"/>
      <c r="AM473"/>
      <c r="AN473"/>
      <c r="AO473"/>
      <c r="AP473"/>
      <c r="AQ473"/>
    </row>
    <row r="474" spans="1:43" s="10" customFormat="1" ht="15.75" customHeight="1" x14ac:dyDescent="0.25">
      <c r="A474" s="55">
        <f t="shared" si="75"/>
        <v>43</v>
      </c>
      <c r="B474" s="470">
        <v>44351</v>
      </c>
      <c r="C474" s="448" t="s">
        <v>1505</v>
      </c>
      <c r="D474" s="332"/>
      <c r="E474" s="58" t="s">
        <v>1125</v>
      </c>
      <c r="F474" s="123" t="s">
        <v>2694</v>
      </c>
      <c r="G474" s="333" t="s">
        <v>1496</v>
      </c>
      <c r="H474" s="45">
        <v>1200000</v>
      </c>
      <c r="I474" s="379" t="s">
        <v>1504</v>
      </c>
      <c r="J474" s="516">
        <v>44408</v>
      </c>
      <c r="K474" s="460">
        <f t="shared" si="76"/>
        <v>1200000</v>
      </c>
      <c r="L474" s="460">
        <v>585000</v>
      </c>
      <c r="M474" s="459">
        <f>K474*1.25%</f>
        <v>15000</v>
      </c>
      <c r="N474" s="28">
        <f>K474*1%</f>
        <v>12000</v>
      </c>
      <c r="O474" s="28">
        <f>K474*2%</f>
        <v>24000</v>
      </c>
      <c r="P474" s="459">
        <v>588000</v>
      </c>
      <c r="Q474" s="28">
        <f t="shared" si="78"/>
        <v>0</v>
      </c>
      <c r="R474" s="474">
        <v>44358</v>
      </c>
      <c r="S474" s="474">
        <v>44441</v>
      </c>
      <c r="T474" s="199">
        <v>14</v>
      </c>
      <c r="U474" s="24">
        <f t="shared" si="77"/>
        <v>44422</v>
      </c>
      <c r="V474"/>
      <c r="W474"/>
      <c r="X474"/>
      <c r="Y474"/>
      <c r="Z474"/>
      <c r="AA474"/>
      <c r="AB474"/>
      <c r="AC474"/>
      <c r="AD474"/>
      <c r="AE474"/>
      <c r="AF474"/>
      <c r="AG474"/>
      <c r="AH474"/>
      <c r="AI474"/>
      <c r="AJ474"/>
      <c r="AK474"/>
      <c r="AL474"/>
      <c r="AM474"/>
      <c r="AN474"/>
      <c r="AO474"/>
      <c r="AP474"/>
      <c r="AQ474"/>
    </row>
    <row r="475" spans="1:43" s="10" customFormat="1" ht="15.75" customHeight="1" x14ac:dyDescent="0.25">
      <c r="A475" s="55">
        <f t="shared" si="75"/>
        <v>44</v>
      </c>
      <c r="B475" s="470">
        <v>44399</v>
      </c>
      <c r="C475" s="448" t="s">
        <v>1499</v>
      </c>
      <c r="D475" s="332"/>
      <c r="E475" s="58" t="s">
        <v>1498</v>
      </c>
      <c r="F475" s="123" t="s">
        <v>2694</v>
      </c>
      <c r="G475" s="333" t="s">
        <v>462</v>
      </c>
      <c r="H475" s="45">
        <v>1200000</v>
      </c>
      <c r="I475" s="380" t="s">
        <v>1506</v>
      </c>
      <c r="J475" s="516">
        <v>44408</v>
      </c>
      <c r="K475" s="460">
        <f t="shared" si="76"/>
        <v>1200000</v>
      </c>
      <c r="L475" s="460"/>
      <c r="M475" s="459">
        <f>H475*2.525%</f>
        <v>30299.999999999996</v>
      </c>
      <c r="N475" s="28">
        <f t="shared" si="73"/>
        <v>12000</v>
      </c>
      <c r="O475" s="28">
        <f t="shared" si="74"/>
        <v>24000</v>
      </c>
      <c r="P475" s="459">
        <v>1157700</v>
      </c>
      <c r="Q475" s="28">
        <f t="shared" si="78"/>
        <v>0</v>
      </c>
      <c r="R475" s="743"/>
      <c r="S475" s="474">
        <v>44412</v>
      </c>
      <c r="T475" s="199">
        <v>14</v>
      </c>
      <c r="U475" s="24">
        <f t="shared" si="77"/>
        <v>44422</v>
      </c>
      <c r="V475"/>
      <c r="W475"/>
      <c r="X475"/>
      <c r="Y475"/>
      <c r="Z475"/>
      <c r="AA475"/>
      <c r="AB475"/>
      <c r="AC475"/>
      <c r="AD475"/>
      <c r="AE475"/>
      <c r="AF475"/>
      <c r="AG475"/>
      <c r="AH475"/>
      <c r="AI475"/>
      <c r="AJ475"/>
      <c r="AK475"/>
      <c r="AL475"/>
      <c r="AM475"/>
      <c r="AN475"/>
      <c r="AO475"/>
      <c r="AP475"/>
      <c r="AQ475"/>
    </row>
    <row r="476" spans="1:43" s="10" customFormat="1" ht="15.75" customHeight="1" x14ac:dyDescent="0.25">
      <c r="A476" s="55">
        <f t="shared" si="75"/>
        <v>45</v>
      </c>
      <c r="B476" s="56">
        <v>44399</v>
      </c>
      <c r="C476" s="58" t="s">
        <v>1509</v>
      </c>
      <c r="D476" s="58"/>
      <c r="E476" s="58" t="s">
        <v>1508</v>
      </c>
      <c r="F476" s="123" t="s">
        <v>2694</v>
      </c>
      <c r="G476" s="126" t="s">
        <v>1256</v>
      </c>
      <c r="H476" s="45">
        <v>900000</v>
      </c>
      <c r="I476" s="380" t="s">
        <v>1507</v>
      </c>
      <c r="J476" s="301">
        <v>44378</v>
      </c>
      <c r="K476" s="460">
        <f t="shared" si="76"/>
        <v>900000</v>
      </c>
      <c r="L476" s="460"/>
      <c r="M476" s="459">
        <v>22725</v>
      </c>
      <c r="N476" s="28">
        <f t="shared" si="73"/>
        <v>9000</v>
      </c>
      <c r="O476" s="28">
        <f t="shared" si="74"/>
        <v>18000</v>
      </c>
      <c r="P476" s="459">
        <v>868275</v>
      </c>
      <c r="Q476" s="28">
        <f t="shared" si="78"/>
        <v>0</v>
      </c>
      <c r="R476" s="743"/>
      <c r="S476" s="474">
        <v>44412</v>
      </c>
      <c r="T476" s="199">
        <v>14</v>
      </c>
      <c r="U476" s="24">
        <f t="shared" si="77"/>
        <v>44392</v>
      </c>
      <c r="V476"/>
      <c r="W476"/>
      <c r="X476"/>
      <c r="Y476"/>
      <c r="Z476"/>
      <c r="AA476"/>
      <c r="AB476"/>
      <c r="AC476"/>
      <c r="AD476"/>
      <c r="AE476"/>
      <c r="AF476"/>
      <c r="AG476"/>
      <c r="AH476"/>
      <c r="AI476"/>
      <c r="AJ476"/>
      <c r="AK476"/>
      <c r="AL476"/>
      <c r="AM476"/>
      <c r="AN476"/>
      <c r="AO476"/>
      <c r="AP476"/>
      <c r="AQ476"/>
    </row>
    <row r="477" spans="1:43" s="10" customFormat="1" ht="15.75" customHeight="1" x14ac:dyDescent="0.25">
      <c r="A477" s="55">
        <f t="shared" si="75"/>
        <v>46</v>
      </c>
      <c r="B477" s="470">
        <v>44403</v>
      </c>
      <c r="C477" s="58"/>
      <c r="D477" s="58"/>
      <c r="E477" s="58" t="s">
        <v>1501</v>
      </c>
      <c r="F477" s="123" t="s">
        <v>2694</v>
      </c>
      <c r="G477" s="126" t="s">
        <v>1502</v>
      </c>
      <c r="H477" s="45">
        <v>1100000</v>
      </c>
      <c r="I477" s="380" t="s">
        <v>1510</v>
      </c>
      <c r="J477" s="301">
        <v>44408</v>
      </c>
      <c r="K477" s="460">
        <f t="shared" si="76"/>
        <v>1100000</v>
      </c>
      <c r="L477" s="460"/>
      <c r="M477" s="459"/>
      <c r="N477" s="28">
        <f t="shared" si="73"/>
        <v>11000</v>
      </c>
      <c r="O477" s="28">
        <f t="shared" si="74"/>
        <v>22000</v>
      </c>
      <c r="P477" s="459">
        <v>1089000</v>
      </c>
      <c r="Q477" s="28">
        <f t="shared" si="78"/>
        <v>0</v>
      </c>
      <c r="R477" s="743"/>
      <c r="S477" s="474">
        <v>44417</v>
      </c>
      <c r="T477" s="199">
        <v>14</v>
      </c>
      <c r="U477" s="24">
        <f t="shared" si="77"/>
        <v>44422</v>
      </c>
      <c r="V477"/>
      <c r="W477"/>
      <c r="X477"/>
      <c r="Y477"/>
      <c r="Z477"/>
      <c r="AA477"/>
      <c r="AB477"/>
      <c r="AC477"/>
      <c r="AD477"/>
      <c r="AE477"/>
      <c r="AF477"/>
      <c r="AG477"/>
      <c r="AH477"/>
      <c r="AI477"/>
      <c r="AJ477"/>
      <c r="AK477"/>
      <c r="AL477"/>
      <c r="AM477"/>
      <c r="AN477"/>
      <c r="AO477"/>
      <c r="AP477"/>
      <c r="AQ477"/>
    </row>
    <row r="478" spans="1:43" s="10" customFormat="1" ht="15.75" customHeight="1" x14ac:dyDescent="0.25">
      <c r="A478" s="55">
        <f t="shared" si="75"/>
        <v>47</v>
      </c>
      <c r="B478" s="470">
        <v>44400</v>
      </c>
      <c r="C478" s="448" t="s">
        <v>1514</v>
      </c>
      <c r="D478" s="332"/>
      <c r="E478" s="58" t="s">
        <v>1513</v>
      </c>
      <c r="F478" s="123" t="s">
        <v>2694</v>
      </c>
      <c r="G478" s="333" t="s">
        <v>1512</v>
      </c>
      <c r="H478" s="45">
        <v>1600000</v>
      </c>
      <c r="I478" s="379" t="s">
        <v>1511</v>
      </c>
      <c r="J478" s="301">
        <v>44408</v>
      </c>
      <c r="K478" s="460">
        <f t="shared" si="76"/>
        <v>1600000</v>
      </c>
      <c r="L478" s="460">
        <f>800000-20000</f>
        <v>780000</v>
      </c>
      <c r="M478" s="459">
        <f>800000*2.525%</f>
        <v>20200</v>
      </c>
      <c r="N478" s="28">
        <f t="shared" si="73"/>
        <v>16000</v>
      </c>
      <c r="O478" s="28">
        <f t="shared" si="74"/>
        <v>32000</v>
      </c>
      <c r="P478" s="459">
        <v>783800</v>
      </c>
      <c r="Q478" s="28">
        <f t="shared" si="78"/>
        <v>0</v>
      </c>
      <c r="R478" s="474">
        <v>44400</v>
      </c>
      <c r="S478" s="474">
        <v>44412</v>
      </c>
      <c r="T478" s="199">
        <v>14</v>
      </c>
      <c r="U478" s="24">
        <f t="shared" si="77"/>
        <v>44422</v>
      </c>
      <c r="V478"/>
      <c r="W478"/>
      <c r="X478"/>
      <c r="Y478"/>
      <c r="Z478"/>
      <c r="AA478"/>
      <c r="AB478"/>
      <c r="AC478"/>
      <c r="AD478"/>
      <c r="AE478"/>
      <c r="AF478"/>
      <c r="AG478"/>
      <c r="AH478"/>
      <c r="AI478"/>
      <c r="AJ478"/>
      <c r="AK478"/>
      <c r="AL478"/>
      <c r="AM478"/>
      <c r="AN478"/>
      <c r="AO478"/>
      <c r="AP478"/>
      <c r="AQ478"/>
    </row>
    <row r="479" spans="1:43" s="10" customFormat="1" ht="15.75" customHeight="1" x14ac:dyDescent="0.25">
      <c r="A479" s="55">
        <f t="shared" si="75"/>
        <v>48</v>
      </c>
      <c r="B479" s="470">
        <v>44403</v>
      </c>
      <c r="C479" s="448"/>
      <c r="D479" s="332"/>
      <c r="E479" s="58" t="s">
        <v>1545</v>
      </c>
      <c r="F479" s="123" t="s">
        <v>2694</v>
      </c>
      <c r="G479" s="333" t="s">
        <v>467</v>
      </c>
      <c r="H479" s="45">
        <v>5000000</v>
      </c>
      <c r="I479" s="379" t="s">
        <v>1544</v>
      </c>
      <c r="J479" s="301">
        <v>44410</v>
      </c>
      <c r="K479" s="460">
        <f t="shared" si="76"/>
        <v>5000000</v>
      </c>
      <c r="L479" s="460">
        <v>2437500</v>
      </c>
      <c r="M479" s="459">
        <f>2500000*5.025%</f>
        <v>125625.00000000001</v>
      </c>
      <c r="N479" s="28">
        <f t="shared" si="73"/>
        <v>50000</v>
      </c>
      <c r="O479" s="28">
        <f t="shared" si="74"/>
        <v>100000</v>
      </c>
      <c r="P479" s="459">
        <v>2386875</v>
      </c>
      <c r="Q479" s="28">
        <f t="shared" si="78"/>
        <v>0</v>
      </c>
      <c r="R479" s="474">
        <v>44403</v>
      </c>
      <c r="S479" s="474">
        <v>44417</v>
      </c>
      <c r="T479" s="199">
        <v>14</v>
      </c>
      <c r="U479" s="24">
        <f t="shared" si="77"/>
        <v>44424</v>
      </c>
      <c r="V479"/>
      <c r="W479"/>
      <c r="X479"/>
      <c r="Y479"/>
      <c r="Z479"/>
      <c r="AA479"/>
      <c r="AB479"/>
      <c r="AC479"/>
      <c r="AD479"/>
      <c r="AE479"/>
      <c r="AF479"/>
      <c r="AG479"/>
      <c r="AH479"/>
      <c r="AI479"/>
      <c r="AJ479"/>
      <c r="AK479"/>
      <c r="AL479"/>
      <c r="AM479"/>
      <c r="AN479"/>
      <c r="AO479"/>
      <c r="AP479"/>
      <c r="AQ479"/>
    </row>
    <row r="480" spans="1:43" s="10" customFormat="1" ht="15.75" customHeight="1" x14ac:dyDescent="0.25">
      <c r="A480" s="55">
        <f t="shared" si="75"/>
        <v>49</v>
      </c>
      <c r="B480" s="470">
        <v>44403</v>
      </c>
      <c r="C480" s="448"/>
      <c r="D480" s="332"/>
      <c r="E480" s="58" t="s">
        <v>1547</v>
      </c>
      <c r="F480" s="123" t="s">
        <v>2694</v>
      </c>
      <c r="G480" s="333" t="s">
        <v>1548</v>
      </c>
      <c r="H480" s="45">
        <v>650000</v>
      </c>
      <c r="I480" s="379" t="s">
        <v>1546</v>
      </c>
      <c r="J480" s="516">
        <v>44410</v>
      </c>
      <c r="K480" s="460">
        <f t="shared" si="76"/>
        <v>650000</v>
      </c>
      <c r="L480" s="460"/>
      <c r="M480" s="459">
        <v>16250</v>
      </c>
      <c r="N480" s="28">
        <f t="shared" si="73"/>
        <v>6500</v>
      </c>
      <c r="O480" s="28">
        <f t="shared" si="74"/>
        <v>13000</v>
      </c>
      <c r="P480" s="459">
        <v>627250</v>
      </c>
      <c r="Q480" s="28">
        <f t="shared" si="78"/>
        <v>0</v>
      </c>
      <c r="R480" s="474"/>
      <c r="S480" s="474">
        <v>44417</v>
      </c>
      <c r="T480" s="199">
        <v>14</v>
      </c>
      <c r="U480" s="24">
        <f t="shared" si="77"/>
        <v>44424</v>
      </c>
      <c r="V480"/>
      <c r="W480"/>
      <c r="X480"/>
      <c r="Y480"/>
      <c r="Z480"/>
      <c r="AA480"/>
      <c r="AB480"/>
      <c r="AC480"/>
      <c r="AD480"/>
      <c r="AE480"/>
      <c r="AF480"/>
      <c r="AG480"/>
      <c r="AH480"/>
      <c r="AI480"/>
      <c r="AJ480"/>
      <c r="AK480"/>
      <c r="AL480"/>
      <c r="AM480"/>
      <c r="AN480"/>
      <c r="AO480"/>
      <c r="AP480"/>
      <c r="AQ480"/>
    </row>
    <row r="481" spans="1:43" s="10" customFormat="1" ht="15.75" customHeight="1" x14ac:dyDescent="0.25">
      <c r="A481" s="55">
        <f t="shared" si="75"/>
        <v>50</v>
      </c>
      <c r="B481" s="470">
        <v>44401</v>
      </c>
      <c r="C481" s="448"/>
      <c r="D481" s="332"/>
      <c r="E481" s="58" t="s">
        <v>1549</v>
      </c>
      <c r="F481" s="123" t="s">
        <v>2694</v>
      </c>
      <c r="G481" s="333" t="s">
        <v>171</v>
      </c>
      <c r="H481" s="45">
        <v>3000000</v>
      </c>
      <c r="I481" s="379" t="s">
        <v>1550</v>
      </c>
      <c r="J481" s="516">
        <v>44410</v>
      </c>
      <c r="K481" s="460">
        <f t="shared" si="76"/>
        <v>3000000</v>
      </c>
      <c r="L481" s="460">
        <v>1462500</v>
      </c>
      <c r="M481" s="459">
        <f>1500000*5.025%</f>
        <v>75375</v>
      </c>
      <c r="N481" s="28">
        <f t="shared" si="73"/>
        <v>30000</v>
      </c>
      <c r="O481" s="28">
        <f t="shared" si="74"/>
        <v>60000</v>
      </c>
      <c r="P481" s="459">
        <v>1432125</v>
      </c>
      <c r="Q481" s="28">
        <f t="shared" si="78"/>
        <v>0</v>
      </c>
      <c r="R481" s="474">
        <v>44403</v>
      </c>
      <c r="S481" s="474">
        <v>44417</v>
      </c>
      <c r="T481" s="199">
        <v>14</v>
      </c>
      <c r="U481" s="24">
        <f t="shared" si="77"/>
        <v>44424</v>
      </c>
      <c r="V481"/>
      <c r="W481"/>
      <c r="X481"/>
      <c r="Y481"/>
      <c r="Z481"/>
      <c r="AA481"/>
      <c r="AB481"/>
      <c r="AC481"/>
      <c r="AD481"/>
      <c r="AE481"/>
      <c r="AF481"/>
      <c r="AG481"/>
      <c r="AH481"/>
      <c r="AI481"/>
      <c r="AJ481"/>
      <c r="AK481"/>
      <c r="AL481"/>
      <c r="AM481"/>
      <c r="AN481"/>
      <c r="AO481"/>
      <c r="AP481"/>
      <c r="AQ481"/>
    </row>
    <row r="482" spans="1:43" s="10" customFormat="1" ht="15.75" customHeight="1" x14ac:dyDescent="0.25">
      <c r="A482" s="55">
        <f t="shared" si="75"/>
        <v>51</v>
      </c>
      <c r="B482" s="470">
        <v>44400</v>
      </c>
      <c r="C482" s="448" t="s">
        <v>1552</v>
      </c>
      <c r="D482" s="332"/>
      <c r="E482" s="58" t="s">
        <v>1553</v>
      </c>
      <c r="F482" s="123" t="s">
        <v>2694</v>
      </c>
      <c r="G482" s="333" t="s">
        <v>1369</v>
      </c>
      <c r="H482" s="45">
        <v>4000000</v>
      </c>
      <c r="I482" s="379" t="s">
        <v>1551</v>
      </c>
      <c r="J482" s="516">
        <v>44410</v>
      </c>
      <c r="K482" s="460">
        <f t="shared" si="76"/>
        <v>4000000</v>
      </c>
      <c r="L482" s="460">
        <v>1950000</v>
      </c>
      <c r="M482" s="459">
        <f>2000000*5.025%</f>
        <v>100500</v>
      </c>
      <c r="N482" s="28">
        <f>K482*1%</f>
        <v>40000</v>
      </c>
      <c r="O482" s="28">
        <f>K482*2%</f>
        <v>80000</v>
      </c>
      <c r="P482" s="459">
        <v>1909500</v>
      </c>
      <c r="Q482" s="28">
        <f t="shared" si="78"/>
        <v>0</v>
      </c>
      <c r="R482" s="474">
        <v>44401</v>
      </c>
      <c r="S482" s="474">
        <v>44417</v>
      </c>
      <c r="T482" s="199">
        <v>14</v>
      </c>
      <c r="U482" s="24">
        <f t="shared" si="77"/>
        <v>44424</v>
      </c>
      <c r="V482"/>
      <c r="W482"/>
      <c r="X482"/>
      <c r="Y482"/>
      <c r="Z482"/>
      <c r="AA482"/>
      <c r="AB482"/>
      <c r="AC482"/>
      <c r="AD482"/>
      <c r="AE482"/>
      <c r="AF482"/>
      <c r="AG482"/>
      <c r="AH482"/>
      <c r="AI482"/>
      <c r="AJ482"/>
      <c r="AK482"/>
      <c r="AL482"/>
      <c r="AM482"/>
      <c r="AN482"/>
      <c r="AO482"/>
      <c r="AP482"/>
      <c r="AQ482"/>
    </row>
    <row r="483" spans="1:43" s="10" customFormat="1" ht="15.75" customHeight="1" x14ac:dyDescent="0.25">
      <c r="A483" s="55">
        <f t="shared" si="75"/>
        <v>52</v>
      </c>
      <c r="B483" s="470">
        <v>44406</v>
      </c>
      <c r="C483" s="448" t="s">
        <v>1555</v>
      </c>
      <c r="D483" s="332"/>
      <c r="E483" s="58" t="s">
        <v>1556</v>
      </c>
      <c r="F483" s="123" t="s">
        <v>2694</v>
      </c>
      <c r="G483" s="333" t="s">
        <v>1253</v>
      </c>
      <c r="H483" s="45">
        <v>950000</v>
      </c>
      <c r="I483" s="379" t="s">
        <v>1554</v>
      </c>
      <c r="J483" s="516">
        <v>44410</v>
      </c>
      <c r="K483" s="460">
        <f t="shared" si="76"/>
        <v>950000</v>
      </c>
      <c r="L483" s="460"/>
      <c r="M483" s="459"/>
      <c r="N483" s="28">
        <f t="shared" si="73"/>
        <v>9500</v>
      </c>
      <c r="O483" s="28">
        <f t="shared" si="74"/>
        <v>19000</v>
      </c>
      <c r="P483" s="459">
        <v>940500</v>
      </c>
      <c r="Q483" s="28">
        <f t="shared" si="78"/>
        <v>0</v>
      </c>
      <c r="R483" s="474"/>
      <c r="S483" s="474">
        <v>44442</v>
      </c>
      <c r="T483" s="199">
        <v>14</v>
      </c>
      <c r="U483" s="24">
        <f t="shared" si="77"/>
        <v>44424</v>
      </c>
      <c r="V483"/>
      <c r="W483"/>
      <c r="X483"/>
      <c r="Y483"/>
      <c r="Z483"/>
      <c r="AA483"/>
      <c r="AB483"/>
      <c r="AC483"/>
      <c r="AD483"/>
      <c r="AE483"/>
      <c r="AF483"/>
      <c r="AG483"/>
      <c r="AH483"/>
      <c r="AI483"/>
      <c r="AJ483"/>
      <c r="AK483"/>
      <c r="AL483"/>
      <c r="AM483"/>
      <c r="AN483"/>
      <c r="AO483"/>
      <c r="AP483"/>
      <c r="AQ483"/>
    </row>
    <row r="484" spans="1:43" s="10" customFormat="1" ht="15.75" customHeight="1" x14ac:dyDescent="0.25">
      <c r="A484" s="55">
        <f t="shared" si="75"/>
        <v>53</v>
      </c>
      <c r="B484" s="633">
        <v>44394</v>
      </c>
      <c r="C484" s="755" t="s">
        <v>1558</v>
      </c>
      <c r="D484" s="756"/>
      <c r="E484" s="330"/>
      <c r="F484" s="33" t="s">
        <v>1195</v>
      </c>
      <c r="G484" s="757" t="s">
        <v>1559</v>
      </c>
      <c r="H484" s="45">
        <v>6328000</v>
      </c>
      <c r="I484" s="378" t="s">
        <v>1557</v>
      </c>
      <c r="J484" s="301">
        <v>44411</v>
      </c>
      <c r="K484" s="460">
        <f t="shared" si="76"/>
        <v>6328000</v>
      </c>
      <c r="L484" s="460"/>
      <c r="M484" s="459"/>
      <c r="N484" s="28">
        <f t="shared" si="73"/>
        <v>63280</v>
      </c>
      <c r="O484" s="28">
        <f t="shared" si="74"/>
        <v>126560</v>
      </c>
      <c r="P484" s="459">
        <v>6264720</v>
      </c>
      <c r="Q484" s="28">
        <f t="shared" si="78"/>
        <v>0</v>
      </c>
      <c r="R484" s="482"/>
      <c r="S484" s="197">
        <v>44421</v>
      </c>
      <c r="T484" s="199">
        <v>14</v>
      </c>
      <c r="U484" s="24">
        <f t="shared" si="77"/>
        <v>44425</v>
      </c>
      <c r="V484"/>
      <c r="W484"/>
      <c r="X484"/>
      <c r="Y484"/>
      <c r="Z484"/>
      <c r="AA484"/>
      <c r="AB484"/>
      <c r="AC484"/>
      <c r="AD484"/>
      <c r="AE484"/>
      <c r="AF484"/>
      <c r="AG484"/>
      <c r="AH484"/>
      <c r="AI484"/>
      <c r="AJ484"/>
      <c r="AK484"/>
      <c r="AL484"/>
      <c r="AM484"/>
      <c r="AN484"/>
      <c r="AO484"/>
      <c r="AP484"/>
      <c r="AQ484"/>
    </row>
    <row r="485" spans="1:43" s="10" customFormat="1" ht="15.75" customHeight="1" x14ac:dyDescent="0.25">
      <c r="A485" s="55">
        <f t="shared" si="75"/>
        <v>54</v>
      </c>
      <c r="B485" s="633">
        <v>44390</v>
      </c>
      <c r="C485" s="755" t="s">
        <v>1561</v>
      </c>
      <c r="D485" s="756"/>
      <c r="E485" s="330"/>
      <c r="F485" s="33" t="s">
        <v>1195</v>
      </c>
      <c r="G485" s="757" t="s">
        <v>1562</v>
      </c>
      <c r="H485" s="45">
        <v>40950000</v>
      </c>
      <c r="I485" s="378" t="s">
        <v>1560</v>
      </c>
      <c r="J485" s="301">
        <v>44413</v>
      </c>
      <c r="K485" s="460">
        <f t="shared" si="76"/>
        <v>40950000</v>
      </c>
      <c r="L485" s="460"/>
      <c r="M485" s="459">
        <v>4054050</v>
      </c>
      <c r="N485" s="28">
        <f t="shared" si="73"/>
        <v>409500</v>
      </c>
      <c r="O485" s="28">
        <f>K485*2%</f>
        <v>819000</v>
      </c>
      <c r="P485" s="459">
        <v>36486450</v>
      </c>
      <c r="Q485" s="28">
        <f t="shared" si="78"/>
        <v>0</v>
      </c>
      <c r="R485" s="482"/>
      <c r="S485" s="197">
        <v>44426</v>
      </c>
      <c r="T485" s="199">
        <v>14</v>
      </c>
      <c r="U485" s="24">
        <f t="shared" si="77"/>
        <v>44427</v>
      </c>
      <c r="V485"/>
      <c r="W485"/>
      <c r="X485"/>
      <c r="Y485"/>
      <c r="Z485"/>
      <c r="AA485"/>
      <c r="AB485"/>
      <c r="AC485"/>
      <c r="AD485"/>
      <c r="AE485"/>
      <c r="AF485"/>
      <c r="AG485"/>
      <c r="AH485"/>
      <c r="AI485"/>
      <c r="AJ485"/>
      <c r="AK485"/>
      <c r="AL485"/>
      <c r="AM485"/>
      <c r="AN485"/>
      <c r="AO485"/>
      <c r="AP485"/>
      <c r="AQ485"/>
    </row>
    <row r="486" spans="1:43" s="10" customFormat="1" ht="15.75" customHeight="1" x14ac:dyDescent="0.25">
      <c r="A486" s="55">
        <f t="shared" si="75"/>
        <v>55</v>
      </c>
      <c r="B486" s="470">
        <v>44408</v>
      </c>
      <c r="C486" s="448" t="s">
        <v>1564</v>
      </c>
      <c r="D486" s="332"/>
      <c r="E486" s="58" t="s">
        <v>1563</v>
      </c>
      <c r="F486" s="123" t="s">
        <v>2694</v>
      </c>
      <c r="G486" s="333" t="s">
        <v>1190</v>
      </c>
      <c r="H486" s="45">
        <v>5000000</v>
      </c>
      <c r="I486" s="379" t="s">
        <v>1565</v>
      </c>
      <c r="J486" s="301">
        <v>44414</v>
      </c>
      <c r="K486" s="460">
        <f t="shared" si="76"/>
        <v>5000000</v>
      </c>
      <c r="L486" s="460">
        <f>2500000-62500</f>
        <v>2437500</v>
      </c>
      <c r="M486" s="459">
        <f>K486*1.25%</f>
        <v>62500</v>
      </c>
      <c r="N486" s="28">
        <f t="shared" si="73"/>
        <v>50000</v>
      </c>
      <c r="O486" s="28">
        <f t="shared" si="74"/>
        <v>100000</v>
      </c>
      <c r="P486" s="459">
        <v>2450000</v>
      </c>
      <c r="Q486" s="28">
        <f t="shared" si="78"/>
        <v>0</v>
      </c>
      <c r="R486" s="474">
        <v>44410</v>
      </c>
      <c r="S486" s="474">
        <v>44462</v>
      </c>
      <c r="T486" s="199">
        <v>14</v>
      </c>
      <c r="U486" s="24">
        <f t="shared" si="77"/>
        <v>44428</v>
      </c>
      <c r="V486"/>
      <c r="W486"/>
      <c r="X486"/>
      <c r="Y486"/>
      <c r="Z486"/>
      <c r="AA486"/>
      <c r="AB486"/>
      <c r="AC486"/>
      <c r="AD486"/>
      <c r="AE486"/>
      <c r="AF486"/>
      <c r="AG486"/>
      <c r="AH486"/>
      <c r="AI486"/>
      <c r="AJ486"/>
      <c r="AK486"/>
      <c r="AL486"/>
      <c r="AM486"/>
      <c r="AN486"/>
      <c r="AO486"/>
      <c r="AP486"/>
      <c r="AQ486"/>
    </row>
    <row r="487" spans="1:43" s="10" customFormat="1" ht="15.75" customHeight="1" x14ac:dyDescent="0.25">
      <c r="A487" s="55">
        <f t="shared" si="75"/>
        <v>56</v>
      </c>
      <c r="B487" s="470">
        <v>44407</v>
      </c>
      <c r="C487" s="448" t="s">
        <v>1569</v>
      </c>
      <c r="D487" s="332"/>
      <c r="E487" s="58" t="s">
        <v>1570</v>
      </c>
      <c r="F487" s="123" t="s">
        <v>2694</v>
      </c>
      <c r="G487" s="333" t="s">
        <v>582</v>
      </c>
      <c r="H487" s="45">
        <v>3300000</v>
      </c>
      <c r="I487" s="379" t="s">
        <v>1568</v>
      </c>
      <c r="J487" s="301">
        <v>44414</v>
      </c>
      <c r="K487" s="460">
        <f t="shared" si="76"/>
        <v>3300000</v>
      </c>
      <c r="L487" s="460">
        <v>1608750</v>
      </c>
      <c r="M487" s="459">
        <f>K487*1.25%</f>
        <v>41250</v>
      </c>
      <c r="N487" s="28">
        <f>K487*1%</f>
        <v>33000</v>
      </c>
      <c r="O487" s="28">
        <f t="shared" si="74"/>
        <v>66000</v>
      </c>
      <c r="P487" s="459">
        <v>1617000</v>
      </c>
      <c r="Q487" s="28">
        <f t="shared" si="78"/>
        <v>0</v>
      </c>
      <c r="R487" s="474">
        <v>44408</v>
      </c>
      <c r="S487" s="474">
        <v>44462</v>
      </c>
      <c r="T487" s="199">
        <v>14</v>
      </c>
      <c r="U487" s="24">
        <f t="shared" si="77"/>
        <v>44428</v>
      </c>
      <c r="V487"/>
      <c r="W487"/>
      <c r="X487"/>
      <c r="Y487"/>
      <c r="Z487"/>
      <c r="AA487"/>
      <c r="AB487"/>
      <c r="AC487"/>
      <c r="AD487"/>
      <c r="AE487"/>
      <c r="AF487"/>
      <c r="AG487"/>
      <c r="AH487"/>
      <c r="AI487"/>
      <c r="AJ487"/>
      <c r="AK487"/>
      <c r="AL487"/>
      <c r="AM487"/>
      <c r="AN487"/>
      <c r="AO487"/>
      <c r="AP487"/>
      <c r="AQ487"/>
    </row>
    <row r="488" spans="1:43" s="10" customFormat="1" ht="15.75" customHeight="1" x14ac:dyDescent="0.25">
      <c r="A488" s="55">
        <f t="shared" si="75"/>
        <v>57</v>
      </c>
      <c r="B488" s="470">
        <v>44408</v>
      </c>
      <c r="C488" s="448" t="s">
        <v>1572</v>
      </c>
      <c r="D488" s="332"/>
      <c r="E488" s="58" t="s">
        <v>1573</v>
      </c>
      <c r="F488" s="123" t="s">
        <v>2694</v>
      </c>
      <c r="G488" s="333" t="s">
        <v>161</v>
      </c>
      <c r="H488" s="45">
        <v>850000</v>
      </c>
      <c r="I488" s="379" t="s">
        <v>1571</v>
      </c>
      <c r="J488" s="301">
        <v>44414</v>
      </c>
      <c r="K488" s="460">
        <f t="shared" si="76"/>
        <v>850000</v>
      </c>
      <c r="L488" s="460">
        <v>414375</v>
      </c>
      <c r="M488" s="459">
        <f>K488*1.25%</f>
        <v>10625</v>
      </c>
      <c r="N488" s="28">
        <f t="shared" si="73"/>
        <v>8500</v>
      </c>
      <c r="O488" s="28">
        <f t="shared" si="74"/>
        <v>17000</v>
      </c>
      <c r="P488" s="459">
        <v>416500</v>
      </c>
      <c r="Q488" s="28">
        <f t="shared" si="78"/>
        <v>0</v>
      </c>
      <c r="R488" s="474">
        <v>44410</v>
      </c>
      <c r="S488" s="474">
        <v>44462</v>
      </c>
      <c r="T488" s="199">
        <v>14</v>
      </c>
      <c r="U488" s="24">
        <f t="shared" si="77"/>
        <v>44428</v>
      </c>
      <c r="V488"/>
      <c r="W488"/>
      <c r="X488"/>
      <c r="Y488"/>
      <c r="Z488"/>
      <c r="AA488"/>
      <c r="AB488"/>
      <c r="AC488"/>
      <c r="AD488"/>
      <c r="AE488"/>
      <c r="AF488"/>
      <c r="AG488"/>
      <c r="AH488"/>
      <c r="AI488"/>
      <c r="AJ488"/>
      <c r="AK488"/>
      <c r="AL488"/>
      <c r="AM488"/>
      <c r="AN488"/>
      <c r="AO488"/>
      <c r="AP488"/>
      <c r="AQ488"/>
    </row>
    <row r="489" spans="1:43" s="10" customFormat="1" ht="15.75" customHeight="1" x14ac:dyDescent="0.25">
      <c r="A489" s="55">
        <f t="shared" si="75"/>
        <v>58</v>
      </c>
      <c r="B489" s="470">
        <v>44401</v>
      </c>
      <c r="C489" s="448" t="s">
        <v>1575</v>
      </c>
      <c r="D489" s="332"/>
      <c r="E489" s="58" t="s">
        <v>1576</v>
      </c>
      <c r="F489" s="123" t="s">
        <v>2694</v>
      </c>
      <c r="G489" s="333" t="s">
        <v>190</v>
      </c>
      <c r="H489" s="45">
        <v>950000</v>
      </c>
      <c r="I489" s="379" t="s">
        <v>1574</v>
      </c>
      <c r="J489" s="301">
        <v>44414</v>
      </c>
      <c r="K489" s="460">
        <f t="shared" si="76"/>
        <v>950000</v>
      </c>
      <c r="L489" s="460"/>
      <c r="M489" s="459"/>
      <c r="N489" s="28">
        <f t="shared" si="73"/>
        <v>9500</v>
      </c>
      <c r="O489" s="28">
        <f t="shared" si="74"/>
        <v>19000</v>
      </c>
      <c r="P489" s="459">
        <v>940500</v>
      </c>
      <c r="Q489" s="28">
        <f t="shared" si="78"/>
        <v>0</v>
      </c>
      <c r="R489" s="474"/>
      <c r="S489" s="474">
        <v>44442</v>
      </c>
      <c r="T489" s="199">
        <v>14</v>
      </c>
      <c r="U489" s="24">
        <f t="shared" si="77"/>
        <v>44428</v>
      </c>
      <c r="V489"/>
      <c r="W489"/>
      <c r="X489"/>
      <c r="Y489"/>
      <c r="Z489"/>
      <c r="AA489"/>
      <c r="AB489"/>
      <c r="AC489"/>
      <c r="AD489"/>
      <c r="AE489"/>
      <c r="AF489"/>
      <c r="AG489"/>
      <c r="AH489"/>
      <c r="AI489"/>
      <c r="AJ489"/>
      <c r="AK489"/>
      <c r="AL489"/>
      <c r="AM489"/>
      <c r="AN489"/>
      <c r="AO489"/>
      <c r="AP489"/>
      <c r="AQ489"/>
    </row>
    <row r="490" spans="1:43" s="10" customFormat="1" ht="15.75" customHeight="1" x14ac:dyDescent="0.25">
      <c r="A490" s="55">
        <f t="shared" si="75"/>
        <v>59</v>
      </c>
      <c r="B490" s="470">
        <v>44405</v>
      </c>
      <c r="C490" s="448" t="s">
        <v>1578</v>
      </c>
      <c r="D490" s="332"/>
      <c r="E490" s="58" t="s">
        <v>1579</v>
      </c>
      <c r="F490" s="123" t="s">
        <v>2694</v>
      </c>
      <c r="G490" s="333" t="s">
        <v>582</v>
      </c>
      <c r="H490" s="45">
        <v>3400000</v>
      </c>
      <c r="I490" s="379" t="s">
        <v>1577</v>
      </c>
      <c r="J490" s="301">
        <v>44414</v>
      </c>
      <c r="K490" s="460">
        <f t="shared" si="76"/>
        <v>3400000</v>
      </c>
      <c r="L490" s="460">
        <v>1657500</v>
      </c>
      <c r="M490" s="459">
        <f>K490*1.25%</f>
        <v>42500</v>
      </c>
      <c r="N490" s="28">
        <f t="shared" si="73"/>
        <v>34000</v>
      </c>
      <c r="O490" s="28">
        <f t="shared" si="74"/>
        <v>68000</v>
      </c>
      <c r="P490" s="459">
        <v>1666000</v>
      </c>
      <c r="Q490" s="28">
        <f t="shared" si="78"/>
        <v>0</v>
      </c>
      <c r="R490" s="474">
        <v>44406</v>
      </c>
      <c r="S490" s="474">
        <v>44442</v>
      </c>
      <c r="T490" s="199">
        <v>14</v>
      </c>
      <c r="U490" s="24">
        <f t="shared" si="77"/>
        <v>44428</v>
      </c>
      <c r="V490"/>
      <c r="W490"/>
      <c r="X490"/>
      <c r="Y490"/>
      <c r="Z490"/>
      <c r="AA490"/>
      <c r="AB490"/>
      <c r="AC490"/>
      <c r="AD490"/>
      <c r="AE490"/>
      <c r="AF490"/>
      <c r="AG490"/>
      <c r="AH490"/>
      <c r="AI490"/>
      <c r="AJ490"/>
      <c r="AK490"/>
      <c r="AL490"/>
      <c r="AM490"/>
      <c r="AN490"/>
      <c r="AO490"/>
      <c r="AP490"/>
      <c r="AQ490"/>
    </row>
    <row r="491" spans="1:43" s="10" customFormat="1" ht="15.75" customHeight="1" x14ac:dyDescent="0.25">
      <c r="A491" s="55">
        <f t="shared" si="75"/>
        <v>60</v>
      </c>
      <c r="B491" s="470">
        <v>44406</v>
      </c>
      <c r="C491" s="448" t="s">
        <v>1580</v>
      </c>
      <c r="D491" s="332"/>
      <c r="E491" s="58" t="s">
        <v>1581</v>
      </c>
      <c r="F491" s="123" t="s">
        <v>2694</v>
      </c>
      <c r="G491" s="333" t="s">
        <v>1502</v>
      </c>
      <c r="H491" s="45">
        <v>1100000</v>
      </c>
      <c r="I491" s="379" t="s">
        <v>1582</v>
      </c>
      <c r="J491" s="301">
        <v>44414</v>
      </c>
      <c r="K491" s="460">
        <f t="shared" si="76"/>
        <v>1100000</v>
      </c>
      <c r="L491" s="460"/>
      <c r="M491" s="459"/>
      <c r="N491" s="28">
        <f t="shared" si="73"/>
        <v>11000</v>
      </c>
      <c r="O491" s="28">
        <f t="shared" si="74"/>
        <v>22000</v>
      </c>
      <c r="P491" s="459">
        <v>1089000</v>
      </c>
      <c r="Q491" s="28">
        <f t="shared" si="78"/>
        <v>0</v>
      </c>
      <c r="R491" s="474"/>
      <c r="S491" s="474">
        <v>44442</v>
      </c>
      <c r="T491" s="199">
        <v>14</v>
      </c>
      <c r="U491" s="24">
        <f t="shared" si="77"/>
        <v>44428</v>
      </c>
      <c r="V491"/>
      <c r="W491"/>
      <c r="X491"/>
      <c r="Y491"/>
      <c r="Z491"/>
      <c r="AA491"/>
      <c r="AB491"/>
      <c r="AC491"/>
      <c r="AD491"/>
      <c r="AE491"/>
      <c r="AF491"/>
      <c r="AG491"/>
      <c r="AH491"/>
      <c r="AI491"/>
      <c r="AJ491"/>
      <c r="AK491"/>
      <c r="AL491"/>
      <c r="AM491"/>
      <c r="AN491"/>
      <c r="AO491"/>
      <c r="AP491"/>
      <c r="AQ491"/>
    </row>
    <row r="492" spans="1:43" s="10" customFormat="1" ht="15.75" customHeight="1" x14ac:dyDescent="0.25">
      <c r="A492" s="55">
        <f t="shared" si="75"/>
        <v>61</v>
      </c>
      <c r="B492" s="470">
        <v>44406</v>
      </c>
      <c r="C492" s="448" t="s">
        <v>1583</v>
      </c>
      <c r="D492" s="332"/>
      <c r="E492" s="58" t="s">
        <v>1584</v>
      </c>
      <c r="F492" s="123" t="s">
        <v>2694</v>
      </c>
      <c r="G492" s="333" t="s">
        <v>1502</v>
      </c>
      <c r="H492" s="45">
        <v>1100000</v>
      </c>
      <c r="I492" s="379" t="s">
        <v>1585</v>
      </c>
      <c r="J492" s="301">
        <v>44414</v>
      </c>
      <c r="K492" s="460">
        <f t="shared" si="76"/>
        <v>1100000</v>
      </c>
      <c r="L492" s="460"/>
      <c r="M492" s="459"/>
      <c r="N492" s="28">
        <f t="shared" si="73"/>
        <v>11000</v>
      </c>
      <c r="O492" s="28">
        <f t="shared" si="74"/>
        <v>22000</v>
      </c>
      <c r="P492" s="459">
        <v>1089000</v>
      </c>
      <c r="Q492" s="28">
        <f t="shared" si="78"/>
        <v>0</v>
      </c>
      <c r="R492" s="474"/>
      <c r="S492" s="474">
        <v>44442</v>
      </c>
      <c r="T492" s="199">
        <v>14</v>
      </c>
      <c r="U492" s="24">
        <f t="shared" si="77"/>
        <v>44428</v>
      </c>
      <c r="V492"/>
      <c r="W492"/>
      <c r="X492"/>
      <c r="Y492"/>
      <c r="Z492"/>
      <c r="AA492"/>
      <c r="AB492"/>
      <c r="AC492"/>
      <c r="AD492"/>
      <c r="AE492"/>
      <c r="AF492"/>
      <c r="AG492"/>
      <c r="AH492"/>
      <c r="AI492"/>
      <c r="AJ492"/>
      <c r="AK492"/>
      <c r="AL492"/>
      <c r="AM492"/>
      <c r="AN492"/>
      <c r="AO492"/>
      <c r="AP492"/>
      <c r="AQ492"/>
    </row>
    <row r="493" spans="1:43" s="10" customFormat="1" ht="15.75" customHeight="1" x14ac:dyDescent="0.25">
      <c r="A493" s="55">
        <f t="shared" si="75"/>
        <v>62</v>
      </c>
      <c r="B493" s="470">
        <v>44406</v>
      </c>
      <c r="C493" s="448" t="s">
        <v>1588</v>
      </c>
      <c r="D493" s="332"/>
      <c r="E493" s="58" t="s">
        <v>1587</v>
      </c>
      <c r="F493" s="123" t="s">
        <v>2694</v>
      </c>
      <c r="G493" s="333" t="s">
        <v>1256</v>
      </c>
      <c r="H493" s="45">
        <v>950000</v>
      </c>
      <c r="I493" s="379" t="s">
        <v>1586</v>
      </c>
      <c r="J493" s="301">
        <v>44414</v>
      </c>
      <c r="K493" s="460">
        <f t="shared" si="76"/>
        <v>950000</v>
      </c>
      <c r="L493" s="460"/>
      <c r="M493" s="459"/>
      <c r="N493" s="28">
        <f t="shared" si="73"/>
        <v>9500</v>
      </c>
      <c r="O493" s="28">
        <f t="shared" si="74"/>
        <v>19000</v>
      </c>
      <c r="P493" s="459">
        <v>940500</v>
      </c>
      <c r="Q493" s="28">
        <f t="shared" si="78"/>
        <v>0</v>
      </c>
      <c r="R493" s="474"/>
      <c r="S493" s="474">
        <v>44442</v>
      </c>
      <c r="T493" s="199">
        <v>14</v>
      </c>
      <c r="U493" s="24">
        <f t="shared" si="77"/>
        <v>44428</v>
      </c>
      <c r="V493"/>
      <c r="W493"/>
      <c r="X493"/>
      <c r="Y493"/>
      <c r="Z493"/>
      <c r="AA493"/>
      <c r="AB493"/>
      <c r="AC493"/>
      <c r="AD493"/>
      <c r="AE493"/>
      <c r="AF493"/>
      <c r="AG493"/>
      <c r="AH493"/>
      <c r="AI493"/>
      <c r="AJ493"/>
      <c r="AK493"/>
      <c r="AL493"/>
      <c r="AM493"/>
      <c r="AN493"/>
      <c r="AO493"/>
      <c r="AP493"/>
      <c r="AQ493"/>
    </row>
    <row r="494" spans="1:43" s="10" customFormat="1" ht="15.75" customHeight="1" x14ac:dyDescent="0.25">
      <c r="A494" s="55">
        <f t="shared" si="75"/>
        <v>63</v>
      </c>
      <c r="B494" s="470">
        <v>44406</v>
      </c>
      <c r="C494" s="448" t="s">
        <v>1589</v>
      </c>
      <c r="D494" s="332"/>
      <c r="E494" s="58" t="s">
        <v>1590</v>
      </c>
      <c r="F494" s="123" t="s">
        <v>2694</v>
      </c>
      <c r="G494" s="333" t="s">
        <v>1256</v>
      </c>
      <c r="H494" s="45">
        <v>950000</v>
      </c>
      <c r="I494" s="379" t="s">
        <v>1591</v>
      </c>
      <c r="J494" s="301">
        <v>44414</v>
      </c>
      <c r="K494" s="460">
        <f t="shared" si="76"/>
        <v>950000</v>
      </c>
      <c r="L494" s="460"/>
      <c r="M494" s="459"/>
      <c r="N494" s="28">
        <f t="shared" si="73"/>
        <v>9500</v>
      </c>
      <c r="O494" s="28">
        <f t="shared" si="74"/>
        <v>19000</v>
      </c>
      <c r="P494" s="459">
        <v>940500</v>
      </c>
      <c r="Q494" s="28">
        <f t="shared" si="78"/>
        <v>0</v>
      </c>
      <c r="R494" s="474"/>
      <c r="S494" s="474">
        <v>44442</v>
      </c>
      <c r="T494" s="199">
        <v>14</v>
      </c>
      <c r="U494" s="24">
        <f t="shared" si="77"/>
        <v>44428</v>
      </c>
      <c r="V494"/>
      <c r="W494"/>
      <c r="X494"/>
      <c r="Y494"/>
      <c r="Z494"/>
      <c r="AA494"/>
      <c r="AB494"/>
      <c r="AC494"/>
      <c r="AD494"/>
      <c r="AE494"/>
      <c r="AF494"/>
      <c r="AG494"/>
      <c r="AH494"/>
      <c r="AI494"/>
      <c r="AJ494"/>
      <c r="AK494"/>
      <c r="AL494"/>
      <c r="AM494"/>
      <c r="AN494"/>
      <c r="AO494"/>
      <c r="AP494"/>
      <c r="AQ494"/>
    </row>
    <row r="495" spans="1:43" s="10" customFormat="1" ht="15.75" customHeight="1" x14ac:dyDescent="0.25">
      <c r="A495" s="55">
        <f t="shared" si="75"/>
        <v>64</v>
      </c>
      <c r="B495" s="470">
        <v>44406</v>
      </c>
      <c r="C495" s="448" t="s">
        <v>1555</v>
      </c>
      <c r="D495" s="332"/>
      <c r="E495" s="58" t="s">
        <v>1556</v>
      </c>
      <c r="F495" s="123" t="s">
        <v>2694</v>
      </c>
      <c r="G495" s="333" t="s">
        <v>1253</v>
      </c>
      <c r="H495" s="45">
        <v>950000</v>
      </c>
      <c r="I495" s="379" t="s">
        <v>1592</v>
      </c>
      <c r="J495" s="301">
        <v>44414</v>
      </c>
      <c r="K495" s="460">
        <f t="shared" si="76"/>
        <v>950000</v>
      </c>
      <c r="L495" s="460"/>
      <c r="M495" s="459"/>
      <c r="N495" s="28">
        <f t="shared" ref="N495:N506" si="79">K495*1%</f>
        <v>9500</v>
      </c>
      <c r="O495" s="28">
        <f t="shared" ref="O495:O506" si="80">K495*2%</f>
        <v>19000</v>
      </c>
      <c r="P495" s="459">
        <v>940500</v>
      </c>
      <c r="Q495" s="28">
        <f t="shared" si="78"/>
        <v>0</v>
      </c>
      <c r="R495" s="474"/>
      <c r="S495" s="474">
        <v>44442</v>
      </c>
      <c r="T495" s="199">
        <v>14</v>
      </c>
      <c r="U495" s="24">
        <f t="shared" si="77"/>
        <v>44428</v>
      </c>
      <c r="V495"/>
      <c r="W495"/>
      <c r="X495"/>
      <c r="Y495"/>
      <c r="Z495"/>
      <c r="AA495"/>
      <c r="AB495"/>
      <c r="AC495"/>
      <c r="AD495"/>
      <c r="AE495"/>
      <c r="AF495"/>
      <c r="AG495"/>
      <c r="AH495"/>
      <c r="AI495"/>
      <c r="AJ495"/>
      <c r="AK495"/>
      <c r="AL495"/>
      <c r="AM495"/>
      <c r="AN495"/>
      <c r="AO495"/>
      <c r="AP495"/>
      <c r="AQ495"/>
    </row>
    <row r="496" spans="1:43" s="10" customFormat="1" ht="15.75" customHeight="1" x14ac:dyDescent="0.25">
      <c r="A496" s="55">
        <f t="shared" si="75"/>
        <v>65</v>
      </c>
      <c r="B496" s="470">
        <v>44406</v>
      </c>
      <c r="C496" s="448" t="s">
        <v>1593</v>
      </c>
      <c r="D496" s="332"/>
      <c r="E496" s="58" t="s">
        <v>1594</v>
      </c>
      <c r="F496" s="123" t="s">
        <v>2694</v>
      </c>
      <c r="G496" s="333" t="s">
        <v>1253</v>
      </c>
      <c r="H496" s="45">
        <v>950000</v>
      </c>
      <c r="I496" s="379" t="s">
        <v>1595</v>
      </c>
      <c r="J496" s="301">
        <v>44414</v>
      </c>
      <c r="K496" s="460">
        <f t="shared" si="76"/>
        <v>950000</v>
      </c>
      <c r="L496" s="460"/>
      <c r="M496" s="459"/>
      <c r="N496" s="28">
        <f t="shared" si="79"/>
        <v>9500</v>
      </c>
      <c r="O496" s="28">
        <f t="shared" si="80"/>
        <v>19000</v>
      </c>
      <c r="P496" s="459">
        <v>940500</v>
      </c>
      <c r="Q496" s="28">
        <f t="shared" si="78"/>
        <v>0</v>
      </c>
      <c r="R496" s="474"/>
      <c r="S496" s="474">
        <v>44442</v>
      </c>
      <c r="T496" s="199">
        <v>14</v>
      </c>
      <c r="U496" s="24">
        <f t="shared" si="77"/>
        <v>44428</v>
      </c>
      <c r="V496"/>
      <c r="W496"/>
      <c r="X496"/>
      <c r="Y496"/>
      <c r="Z496"/>
      <c r="AA496"/>
      <c r="AB496"/>
      <c r="AC496"/>
      <c r="AD496"/>
      <c r="AE496"/>
      <c r="AF496"/>
      <c r="AG496"/>
      <c r="AH496"/>
      <c r="AI496"/>
      <c r="AJ496"/>
      <c r="AK496"/>
      <c r="AL496"/>
      <c r="AM496"/>
      <c r="AN496"/>
      <c r="AO496"/>
      <c r="AP496"/>
      <c r="AQ496"/>
    </row>
    <row r="497" spans="1:43" s="10" customFormat="1" ht="15.75" customHeight="1" x14ac:dyDescent="0.25">
      <c r="A497" s="55">
        <f t="shared" si="75"/>
        <v>66</v>
      </c>
      <c r="B497" s="470">
        <v>44404</v>
      </c>
      <c r="C497" s="448" t="s">
        <v>1596</v>
      </c>
      <c r="D497" s="332"/>
      <c r="E497" s="58" t="s">
        <v>1597</v>
      </c>
      <c r="F497" s="123" t="s">
        <v>2694</v>
      </c>
      <c r="G497" s="333" t="s">
        <v>1598</v>
      </c>
      <c r="H497" s="45">
        <v>800000</v>
      </c>
      <c r="I497" s="379" t="s">
        <v>1599</v>
      </c>
      <c r="J497" s="301">
        <v>44414</v>
      </c>
      <c r="K497" s="460">
        <f t="shared" si="76"/>
        <v>800000</v>
      </c>
      <c r="L497" s="460"/>
      <c r="M497" s="459"/>
      <c r="N497" s="28">
        <f t="shared" si="79"/>
        <v>8000</v>
      </c>
      <c r="O497" s="28">
        <f t="shared" si="80"/>
        <v>16000</v>
      </c>
      <c r="P497" s="459">
        <v>792000</v>
      </c>
      <c r="Q497" s="28">
        <f t="shared" si="78"/>
        <v>0</v>
      </c>
      <c r="R497" s="474"/>
      <c r="S497" s="474">
        <v>44442</v>
      </c>
      <c r="T497" s="199">
        <v>14</v>
      </c>
      <c r="U497" s="24">
        <f t="shared" si="77"/>
        <v>44428</v>
      </c>
      <c r="V497"/>
      <c r="W497"/>
      <c r="X497"/>
      <c r="Y497"/>
      <c r="Z497"/>
      <c r="AA497"/>
      <c r="AB497"/>
      <c r="AC497"/>
      <c r="AD497"/>
      <c r="AE497"/>
      <c r="AF497"/>
      <c r="AG497"/>
      <c r="AH497"/>
      <c r="AI497"/>
      <c r="AJ497"/>
      <c r="AK497"/>
      <c r="AL497"/>
      <c r="AM497"/>
      <c r="AN497"/>
      <c r="AO497"/>
      <c r="AP497"/>
      <c r="AQ497"/>
    </row>
    <row r="498" spans="1:43" s="10" customFormat="1" ht="15.75" customHeight="1" x14ac:dyDescent="0.25">
      <c r="A498" s="55">
        <f t="shared" ref="A498:A561" si="81">A497+1</f>
        <v>67</v>
      </c>
      <c r="B498" s="470">
        <v>44404</v>
      </c>
      <c r="C498" s="448" t="s">
        <v>1600</v>
      </c>
      <c r="D498" s="332"/>
      <c r="E498" s="58" t="s">
        <v>1601</v>
      </c>
      <c r="F498" s="123" t="s">
        <v>2694</v>
      </c>
      <c r="G498" s="333" t="s">
        <v>1598</v>
      </c>
      <c r="H498" s="45">
        <v>800000</v>
      </c>
      <c r="I498" s="379" t="s">
        <v>1602</v>
      </c>
      <c r="J498" s="301">
        <v>44414</v>
      </c>
      <c r="K498" s="460">
        <f t="shared" si="76"/>
        <v>800000</v>
      </c>
      <c r="L498" s="460"/>
      <c r="M498" s="459"/>
      <c r="N498" s="28">
        <f t="shared" si="79"/>
        <v>8000</v>
      </c>
      <c r="O498" s="28">
        <f t="shared" si="80"/>
        <v>16000</v>
      </c>
      <c r="P498" s="459">
        <v>792000</v>
      </c>
      <c r="Q498" s="28">
        <f t="shared" si="78"/>
        <v>0</v>
      </c>
      <c r="R498" s="474"/>
      <c r="S498" s="474">
        <v>44442</v>
      </c>
      <c r="T498" s="199">
        <v>14</v>
      </c>
      <c r="U498" s="24">
        <f t="shared" si="77"/>
        <v>44428</v>
      </c>
      <c r="V498"/>
      <c r="W498"/>
      <c r="X498"/>
      <c r="Y498"/>
      <c r="Z498"/>
      <c r="AA498"/>
      <c r="AB498"/>
      <c r="AC498"/>
      <c r="AD498"/>
      <c r="AE498"/>
      <c r="AF498"/>
      <c r="AG498"/>
      <c r="AH498"/>
      <c r="AI498"/>
      <c r="AJ498"/>
      <c r="AK498"/>
      <c r="AL498"/>
      <c r="AM498"/>
      <c r="AN498"/>
      <c r="AO498"/>
      <c r="AP498"/>
      <c r="AQ498"/>
    </row>
    <row r="499" spans="1:43" s="10" customFormat="1" ht="15.75" customHeight="1" x14ac:dyDescent="0.25">
      <c r="A499" s="55">
        <f t="shared" si="81"/>
        <v>68</v>
      </c>
      <c r="B499" s="470">
        <v>44408</v>
      </c>
      <c r="C499" s="448" t="s">
        <v>1603</v>
      </c>
      <c r="D499" s="332"/>
      <c r="E499" s="58" t="s">
        <v>1604</v>
      </c>
      <c r="F499" s="123" t="s">
        <v>2694</v>
      </c>
      <c r="G499" s="333" t="s">
        <v>1190</v>
      </c>
      <c r="H499" s="45">
        <v>5000000</v>
      </c>
      <c r="I499" s="379" t="s">
        <v>1605</v>
      </c>
      <c r="J499" s="301">
        <v>44414</v>
      </c>
      <c r="K499" s="460">
        <f t="shared" si="76"/>
        <v>5000000</v>
      </c>
      <c r="L499" s="460">
        <f>2500000-62500</f>
        <v>2437500</v>
      </c>
      <c r="M499" s="459">
        <f>K499*1.25%</f>
        <v>62500</v>
      </c>
      <c r="N499" s="28">
        <f t="shared" si="79"/>
        <v>50000</v>
      </c>
      <c r="O499" s="28">
        <f t="shared" si="80"/>
        <v>100000</v>
      </c>
      <c r="P499" s="459">
        <v>2450000</v>
      </c>
      <c r="Q499" s="28">
        <f t="shared" si="78"/>
        <v>0</v>
      </c>
      <c r="R499" s="474">
        <v>44410</v>
      </c>
      <c r="S499" s="474">
        <v>44462</v>
      </c>
      <c r="T499" s="199">
        <v>14</v>
      </c>
      <c r="U499" s="24">
        <f t="shared" si="77"/>
        <v>44428</v>
      </c>
      <c r="V499"/>
      <c r="W499"/>
      <c r="X499"/>
      <c r="Y499"/>
      <c r="Z499"/>
      <c r="AA499"/>
      <c r="AB499"/>
      <c r="AC499"/>
      <c r="AD499"/>
      <c r="AE499"/>
      <c r="AF499"/>
      <c r="AG499"/>
      <c r="AH499"/>
      <c r="AI499"/>
      <c r="AJ499"/>
      <c r="AK499"/>
      <c r="AL499"/>
      <c r="AM499"/>
      <c r="AN499"/>
      <c r="AO499"/>
      <c r="AP499"/>
      <c r="AQ499"/>
    </row>
    <row r="500" spans="1:43" s="10" customFormat="1" ht="15.75" customHeight="1" x14ac:dyDescent="0.25">
      <c r="A500" s="55">
        <f t="shared" si="81"/>
        <v>69</v>
      </c>
      <c r="B500" s="470">
        <v>44404</v>
      </c>
      <c r="C500" s="448" t="s">
        <v>1606</v>
      </c>
      <c r="D500" s="332"/>
      <c r="E500" s="58" t="s">
        <v>1607</v>
      </c>
      <c r="F500" s="123" t="s">
        <v>2694</v>
      </c>
      <c r="G500" s="333" t="s">
        <v>1598</v>
      </c>
      <c r="H500" s="45">
        <v>800000</v>
      </c>
      <c r="I500" s="379" t="s">
        <v>1608</v>
      </c>
      <c r="J500" s="301">
        <v>44414</v>
      </c>
      <c r="K500" s="460">
        <f t="shared" si="76"/>
        <v>800000</v>
      </c>
      <c r="L500" s="460"/>
      <c r="M500" s="459"/>
      <c r="N500" s="28">
        <f t="shared" si="79"/>
        <v>8000</v>
      </c>
      <c r="O500" s="28">
        <f t="shared" si="80"/>
        <v>16000</v>
      </c>
      <c r="P500" s="459">
        <v>792000</v>
      </c>
      <c r="Q500" s="28">
        <f t="shared" si="78"/>
        <v>0</v>
      </c>
      <c r="R500" s="474"/>
      <c r="S500" s="474">
        <v>44442</v>
      </c>
      <c r="T500" s="199">
        <v>14</v>
      </c>
      <c r="U500" s="24">
        <f t="shared" si="77"/>
        <v>44428</v>
      </c>
      <c r="V500"/>
      <c r="W500"/>
      <c r="X500"/>
      <c r="Y500"/>
      <c r="Z500"/>
      <c r="AA500"/>
      <c r="AB500"/>
      <c r="AC500"/>
      <c r="AD500"/>
      <c r="AE500"/>
      <c r="AF500"/>
      <c r="AG500"/>
      <c r="AH500"/>
      <c r="AI500"/>
      <c r="AJ500"/>
      <c r="AK500"/>
      <c r="AL500"/>
      <c r="AM500"/>
      <c r="AN500"/>
      <c r="AO500"/>
      <c r="AP500"/>
      <c r="AQ500"/>
    </row>
    <row r="501" spans="1:43" s="10" customFormat="1" ht="15.75" customHeight="1" x14ac:dyDescent="0.25">
      <c r="A501" s="55">
        <f t="shared" si="81"/>
        <v>70</v>
      </c>
      <c r="B501" s="470">
        <v>44406</v>
      </c>
      <c r="C501" s="448" t="s">
        <v>1609</v>
      </c>
      <c r="D501" s="332"/>
      <c r="E501" s="58" t="s">
        <v>1610</v>
      </c>
      <c r="F501" s="123" t="s">
        <v>2694</v>
      </c>
      <c r="G501" s="333" t="s">
        <v>1502</v>
      </c>
      <c r="H501" s="45">
        <v>1100000</v>
      </c>
      <c r="I501" s="379" t="s">
        <v>1611</v>
      </c>
      <c r="J501" s="301">
        <v>44414</v>
      </c>
      <c r="K501" s="460">
        <f t="shared" si="76"/>
        <v>1100000</v>
      </c>
      <c r="L501" s="460"/>
      <c r="M501" s="459"/>
      <c r="N501" s="28">
        <f t="shared" si="79"/>
        <v>11000</v>
      </c>
      <c r="O501" s="28">
        <f t="shared" si="80"/>
        <v>22000</v>
      </c>
      <c r="P501" s="459">
        <v>1089000</v>
      </c>
      <c r="Q501" s="28">
        <f t="shared" si="78"/>
        <v>0</v>
      </c>
      <c r="R501" s="474"/>
      <c r="S501" s="474">
        <v>44442</v>
      </c>
      <c r="T501" s="199">
        <v>14</v>
      </c>
      <c r="U501" s="24">
        <f t="shared" si="77"/>
        <v>44428</v>
      </c>
      <c r="V501"/>
      <c r="W501"/>
      <c r="X501"/>
      <c r="Y501"/>
      <c r="Z501"/>
      <c r="AA501"/>
      <c r="AB501"/>
      <c r="AC501"/>
      <c r="AD501"/>
      <c r="AE501"/>
      <c r="AF501"/>
      <c r="AG501"/>
      <c r="AH501"/>
      <c r="AI501"/>
      <c r="AJ501"/>
      <c r="AK501"/>
      <c r="AL501"/>
      <c r="AM501"/>
      <c r="AN501"/>
      <c r="AO501"/>
      <c r="AP501"/>
      <c r="AQ501"/>
    </row>
    <row r="502" spans="1:43" s="10" customFormat="1" ht="15.75" customHeight="1" x14ac:dyDescent="0.25">
      <c r="A502" s="55">
        <f t="shared" si="81"/>
        <v>71</v>
      </c>
      <c r="B502" s="470">
        <v>44407</v>
      </c>
      <c r="C502" s="448" t="s">
        <v>1612</v>
      </c>
      <c r="D502" s="332"/>
      <c r="E502" s="58" t="s">
        <v>1613</v>
      </c>
      <c r="F502" s="123" t="s">
        <v>2694</v>
      </c>
      <c r="G502" s="333" t="s">
        <v>467</v>
      </c>
      <c r="H502" s="45">
        <v>7000000</v>
      </c>
      <c r="I502" s="379" t="s">
        <v>1614</v>
      </c>
      <c r="J502" s="516">
        <v>44414</v>
      </c>
      <c r="K502" s="460">
        <f t="shared" si="76"/>
        <v>7000000</v>
      </c>
      <c r="L502" s="460">
        <v>3412500</v>
      </c>
      <c r="M502" s="459">
        <f>K502*1.25%</f>
        <v>87500</v>
      </c>
      <c r="N502" s="28">
        <f t="shared" si="79"/>
        <v>70000</v>
      </c>
      <c r="O502" s="28">
        <f t="shared" si="80"/>
        <v>140000</v>
      </c>
      <c r="P502" s="459">
        <v>3430000</v>
      </c>
      <c r="Q502" s="28">
        <f t="shared" si="78"/>
        <v>0</v>
      </c>
      <c r="R502" s="474">
        <v>44408</v>
      </c>
      <c r="S502" s="474">
        <v>44462</v>
      </c>
      <c r="T502" s="199">
        <v>14</v>
      </c>
      <c r="U502" s="24">
        <f t="shared" si="77"/>
        <v>44428</v>
      </c>
      <c r="V502"/>
      <c r="W502"/>
      <c r="X502"/>
      <c r="Y502"/>
      <c r="Z502"/>
      <c r="AA502"/>
      <c r="AB502"/>
      <c r="AC502"/>
      <c r="AD502"/>
      <c r="AE502"/>
      <c r="AF502"/>
      <c r="AG502"/>
      <c r="AH502"/>
      <c r="AI502"/>
      <c r="AJ502"/>
      <c r="AK502"/>
      <c r="AL502"/>
      <c r="AM502"/>
      <c r="AN502"/>
      <c r="AO502"/>
      <c r="AP502"/>
      <c r="AQ502"/>
    </row>
    <row r="503" spans="1:43" s="10" customFormat="1" ht="15.75" customHeight="1" x14ac:dyDescent="0.25">
      <c r="A503" s="55">
        <f t="shared" si="81"/>
        <v>72</v>
      </c>
      <c r="B503" s="470">
        <v>44408</v>
      </c>
      <c r="C503" s="448" t="s">
        <v>1616</v>
      </c>
      <c r="D503" s="332"/>
      <c r="E503" s="58" t="s">
        <v>1617</v>
      </c>
      <c r="F503" s="123" t="s">
        <v>2694</v>
      </c>
      <c r="G503" s="333" t="s">
        <v>417</v>
      </c>
      <c r="H503" s="45">
        <v>1700000</v>
      </c>
      <c r="I503" s="379" t="s">
        <v>1615</v>
      </c>
      <c r="J503" s="516">
        <v>44414</v>
      </c>
      <c r="K503" s="460">
        <f t="shared" si="76"/>
        <v>1700000</v>
      </c>
      <c r="L503" s="460">
        <v>828750</v>
      </c>
      <c r="M503" s="459">
        <f>K503*1.25%</f>
        <v>21250</v>
      </c>
      <c r="N503" s="28">
        <f t="shared" si="79"/>
        <v>17000</v>
      </c>
      <c r="O503" s="28">
        <f t="shared" si="80"/>
        <v>34000</v>
      </c>
      <c r="P503" s="459">
        <v>833000</v>
      </c>
      <c r="Q503" s="28">
        <f t="shared" si="78"/>
        <v>0</v>
      </c>
      <c r="R503" s="474">
        <v>44410</v>
      </c>
      <c r="S503" s="474">
        <v>44462</v>
      </c>
      <c r="T503" s="199">
        <v>14</v>
      </c>
      <c r="U503" s="24">
        <f t="shared" si="77"/>
        <v>44428</v>
      </c>
      <c r="V503"/>
      <c r="W503"/>
      <c r="X503"/>
      <c r="Y503"/>
      <c r="Z503"/>
      <c r="AA503"/>
      <c r="AB503"/>
      <c r="AC503"/>
      <c r="AD503"/>
      <c r="AE503"/>
      <c r="AF503"/>
      <c r="AG503"/>
      <c r="AH503"/>
      <c r="AI503"/>
      <c r="AJ503"/>
      <c r="AK503"/>
      <c r="AL503"/>
      <c r="AM503"/>
      <c r="AN503"/>
      <c r="AO503"/>
      <c r="AP503"/>
      <c r="AQ503"/>
    </row>
    <row r="504" spans="1:43" s="10" customFormat="1" ht="15.75" customHeight="1" x14ac:dyDescent="0.25">
      <c r="A504" s="55">
        <f t="shared" si="81"/>
        <v>73</v>
      </c>
      <c r="B504" s="470">
        <v>44403</v>
      </c>
      <c r="C504" s="448" t="s">
        <v>1625</v>
      </c>
      <c r="D504" s="332"/>
      <c r="E504" s="58"/>
      <c r="F504" s="123" t="s">
        <v>1157</v>
      </c>
      <c r="G504" s="333" t="s">
        <v>582</v>
      </c>
      <c r="H504" s="45">
        <v>5290000</v>
      </c>
      <c r="I504" s="379" t="s">
        <v>1624</v>
      </c>
      <c r="J504" s="301">
        <v>44417</v>
      </c>
      <c r="K504" s="460">
        <f t="shared" si="76"/>
        <v>5290000</v>
      </c>
      <c r="L504" s="460"/>
      <c r="M504" s="459">
        <v>49262</v>
      </c>
      <c r="N504" s="28">
        <f t="shared" si="79"/>
        <v>52900</v>
      </c>
      <c r="O504" s="28">
        <f t="shared" si="80"/>
        <v>105800</v>
      </c>
      <c r="P504" s="459">
        <v>5187837.5999999996</v>
      </c>
      <c r="Q504" s="28">
        <f t="shared" si="78"/>
        <v>0.40000000037252903</v>
      </c>
      <c r="R504" s="482"/>
      <c r="S504" s="197">
        <v>44459</v>
      </c>
      <c r="T504" s="199">
        <v>30</v>
      </c>
      <c r="U504" s="24">
        <f t="shared" si="77"/>
        <v>44447</v>
      </c>
      <c r="V504" t="s">
        <v>1667</v>
      </c>
      <c r="W504" s="130">
        <v>44417</v>
      </c>
      <c r="X504"/>
      <c r="Y504"/>
      <c r="Z504"/>
      <c r="AA504"/>
      <c r="AB504"/>
      <c r="AC504"/>
      <c r="AD504"/>
      <c r="AE504"/>
      <c r="AF504"/>
      <c r="AG504"/>
      <c r="AH504"/>
      <c r="AI504"/>
      <c r="AJ504"/>
      <c r="AK504"/>
      <c r="AL504"/>
      <c r="AM504"/>
      <c r="AN504"/>
      <c r="AO504"/>
      <c r="AP504"/>
      <c r="AQ504"/>
    </row>
    <row r="505" spans="1:43" s="10" customFormat="1" ht="15.75" customHeight="1" x14ac:dyDescent="0.25">
      <c r="A505" s="55">
        <f t="shared" si="81"/>
        <v>74</v>
      </c>
      <c r="B505" s="79">
        <v>44397</v>
      </c>
      <c r="C505" s="330" t="s">
        <v>1621</v>
      </c>
      <c r="D505" s="330"/>
      <c r="E505" s="330"/>
      <c r="F505" s="33" t="s">
        <v>1195</v>
      </c>
      <c r="G505" s="126" t="s">
        <v>1559</v>
      </c>
      <c r="H505" s="45">
        <v>30492000</v>
      </c>
      <c r="I505" s="377" t="s">
        <v>1622</v>
      </c>
      <c r="J505" s="301">
        <v>44417</v>
      </c>
      <c r="K505" s="460">
        <f t="shared" si="76"/>
        <v>30492000</v>
      </c>
      <c r="L505" s="460"/>
      <c r="M505" s="459"/>
      <c r="N505" s="28">
        <f t="shared" si="79"/>
        <v>304920</v>
      </c>
      <c r="O505" s="28">
        <f t="shared" si="80"/>
        <v>609840</v>
      </c>
      <c r="P505" s="459">
        <v>30187080</v>
      </c>
      <c r="Q505" s="28">
        <f t="shared" si="78"/>
        <v>0</v>
      </c>
      <c r="R505" s="482"/>
      <c r="S505" s="482">
        <v>44431</v>
      </c>
      <c r="T505" s="199">
        <v>14</v>
      </c>
      <c r="U505" s="24">
        <f t="shared" si="77"/>
        <v>44431</v>
      </c>
      <c r="V505" t="s">
        <v>1668</v>
      </c>
      <c r="W505" s="130">
        <v>44417</v>
      </c>
      <c r="X505"/>
      <c r="Y505"/>
      <c r="Z505"/>
      <c r="AA505"/>
      <c r="AB505"/>
      <c r="AC505"/>
      <c r="AD505"/>
      <c r="AE505"/>
      <c r="AF505"/>
      <c r="AG505"/>
      <c r="AH505"/>
      <c r="AI505"/>
      <c r="AJ505"/>
      <c r="AK505"/>
      <c r="AL505"/>
      <c r="AM505"/>
      <c r="AN505"/>
      <c r="AO505"/>
      <c r="AP505"/>
      <c r="AQ505"/>
    </row>
    <row r="506" spans="1:43" s="10" customFormat="1" ht="15.75" customHeight="1" x14ac:dyDescent="0.25">
      <c r="A506" s="55">
        <f t="shared" si="81"/>
        <v>75</v>
      </c>
      <c r="B506" s="470">
        <v>44407</v>
      </c>
      <c r="C506" s="448" t="s">
        <v>1630</v>
      </c>
      <c r="D506" s="332"/>
      <c r="E506" s="58" t="s">
        <v>1631</v>
      </c>
      <c r="F506" s="123" t="s">
        <v>2694</v>
      </c>
      <c r="G506" s="333" t="s">
        <v>1632</v>
      </c>
      <c r="H506" s="45">
        <v>11500000</v>
      </c>
      <c r="I506" s="379" t="s">
        <v>1629</v>
      </c>
      <c r="J506" s="301">
        <v>44417</v>
      </c>
      <c r="K506" s="460">
        <f t="shared" si="76"/>
        <v>11500000</v>
      </c>
      <c r="L506" s="460">
        <v>5606250</v>
      </c>
      <c r="M506" s="459">
        <f>5750000*2.5%</f>
        <v>143750</v>
      </c>
      <c r="N506" s="28">
        <f t="shared" si="79"/>
        <v>115000</v>
      </c>
      <c r="O506" s="28">
        <f t="shared" si="80"/>
        <v>230000</v>
      </c>
      <c r="P506" s="459">
        <v>5635000</v>
      </c>
      <c r="Q506" s="28">
        <f t="shared" si="78"/>
        <v>0</v>
      </c>
      <c r="R506" s="474">
        <v>44408</v>
      </c>
      <c r="S506" s="474">
        <v>44435</v>
      </c>
      <c r="T506" s="199">
        <v>14</v>
      </c>
      <c r="U506" s="24">
        <f t="shared" si="77"/>
        <v>44431</v>
      </c>
      <c r="V506"/>
      <c r="W506"/>
      <c r="X506"/>
      <c r="Y506"/>
      <c r="Z506"/>
      <c r="AA506"/>
      <c r="AB506"/>
      <c r="AC506"/>
      <c r="AD506"/>
      <c r="AE506"/>
      <c r="AF506"/>
      <c r="AG506"/>
      <c r="AH506"/>
      <c r="AI506"/>
      <c r="AJ506"/>
      <c r="AK506"/>
      <c r="AL506"/>
      <c r="AM506"/>
      <c r="AN506"/>
      <c r="AO506"/>
      <c r="AP506"/>
      <c r="AQ506"/>
    </row>
    <row r="507" spans="1:43" s="10" customFormat="1" ht="15.75" customHeight="1" x14ac:dyDescent="0.25">
      <c r="A507" s="55">
        <f t="shared" si="81"/>
        <v>76</v>
      </c>
      <c r="B507" s="470">
        <v>44390</v>
      </c>
      <c r="C507" s="448" t="s">
        <v>1714</v>
      </c>
      <c r="D507" s="332"/>
      <c r="E507" s="58"/>
      <c r="F507" s="112" t="s">
        <v>1123</v>
      </c>
      <c r="G507" s="333" t="s">
        <v>582</v>
      </c>
      <c r="H507" s="45">
        <v>175000</v>
      </c>
      <c r="I507" s="379" t="s">
        <v>1713</v>
      </c>
      <c r="J507" s="301">
        <v>44421</v>
      </c>
      <c r="K507" s="460">
        <f t="shared" si="76"/>
        <v>175000</v>
      </c>
      <c r="L507" s="460"/>
      <c r="M507" s="459"/>
      <c r="N507" s="28">
        <f t="shared" ref="N507" si="82">K507*1%</f>
        <v>1750</v>
      </c>
      <c r="O507" s="28">
        <f t="shared" ref="O507" si="83">K507*2%</f>
        <v>3500</v>
      </c>
      <c r="P507" s="459">
        <v>173250</v>
      </c>
      <c r="Q507" s="28">
        <f t="shared" si="78"/>
        <v>0</v>
      </c>
      <c r="R507" s="482"/>
      <c r="S507" s="197">
        <v>44459</v>
      </c>
      <c r="T507" s="2">
        <v>30</v>
      </c>
      <c r="U507" s="24">
        <f t="shared" ref="U507:U570" si="84">J507+T507</f>
        <v>44451</v>
      </c>
      <c r="V507"/>
      <c r="W507"/>
      <c r="X507"/>
      <c r="Y507"/>
      <c r="Z507"/>
      <c r="AA507"/>
      <c r="AB507"/>
      <c r="AC507"/>
      <c r="AD507"/>
      <c r="AE507"/>
      <c r="AF507"/>
      <c r="AG507"/>
      <c r="AH507"/>
      <c r="AI507"/>
      <c r="AJ507"/>
      <c r="AK507"/>
      <c r="AL507"/>
      <c r="AM507"/>
      <c r="AN507"/>
      <c r="AO507"/>
      <c r="AP507"/>
      <c r="AQ507"/>
    </row>
    <row r="508" spans="1:43" s="10" customFormat="1" ht="15.75" customHeight="1" x14ac:dyDescent="0.25">
      <c r="A508" s="55">
        <f t="shared" si="81"/>
        <v>77</v>
      </c>
      <c r="B508" s="470">
        <v>44390</v>
      </c>
      <c r="C508" s="448" t="s">
        <v>1716</v>
      </c>
      <c r="D508" s="332"/>
      <c r="E508" s="58"/>
      <c r="F508" s="123" t="s">
        <v>1741</v>
      </c>
      <c r="G508" s="333" t="s">
        <v>1717</v>
      </c>
      <c r="H508" s="45">
        <v>6000000</v>
      </c>
      <c r="I508" s="379" t="s">
        <v>1715</v>
      </c>
      <c r="J508" s="301">
        <v>44421</v>
      </c>
      <c r="K508" s="760">
        <f t="shared" si="76"/>
        <v>6000000</v>
      </c>
      <c r="L508" s="460">
        <v>2900</v>
      </c>
      <c r="M508" s="459">
        <v>60000</v>
      </c>
      <c r="N508" s="28">
        <f t="shared" ref="N508" si="85">K508*1%</f>
        <v>60000</v>
      </c>
      <c r="O508" s="28">
        <f t="shared" ref="O508" si="86">K508*2%</f>
        <v>120000</v>
      </c>
      <c r="P508" s="459">
        <v>5877100</v>
      </c>
      <c r="Q508" s="28">
        <f t="shared" si="78"/>
        <v>0</v>
      </c>
      <c r="R508" s="482"/>
      <c r="S508" s="197">
        <v>44550</v>
      </c>
      <c r="T508" s="199">
        <v>30</v>
      </c>
      <c r="U508" s="24">
        <f t="shared" si="84"/>
        <v>44451</v>
      </c>
      <c r="V508"/>
      <c r="W508"/>
      <c r="X508"/>
      <c r="Y508"/>
      <c r="Z508"/>
      <c r="AA508"/>
      <c r="AB508"/>
      <c r="AC508"/>
      <c r="AD508"/>
      <c r="AE508"/>
      <c r="AF508"/>
      <c r="AG508"/>
      <c r="AH508"/>
      <c r="AI508"/>
      <c r="AJ508"/>
      <c r="AK508"/>
      <c r="AL508"/>
      <c r="AM508"/>
      <c r="AN508"/>
      <c r="AO508"/>
      <c r="AP508"/>
      <c r="AQ508"/>
    </row>
    <row r="509" spans="1:43" s="10" customFormat="1" ht="15.75" customHeight="1" x14ac:dyDescent="0.25">
      <c r="A509" s="55">
        <f t="shared" si="81"/>
        <v>78</v>
      </c>
      <c r="B509" s="56">
        <v>44379</v>
      </c>
      <c r="C509" s="58" t="s">
        <v>1260</v>
      </c>
      <c r="D509" s="58"/>
      <c r="E509" s="58"/>
      <c r="F509" s="123" t="s">
        <v>1259</v>
      </c>
      <c r="G509" s="126" t="s">
        <v>1262</v>
      </c>
      <c r="H509" s="460">
        <v>384000</v>
      </c>
      <c r="I509" s="380" t="s">
        <v>1268</v>
      </c>
      <c r="J509" s="301">
        <v>44379</v>
      </c>
      <c r="K509" s="460">
        <f t="shared" si="76"/>
        <v>384000</v>
      </c>
      <c r="L509" s="460"/>
      <c r="M509" s="459"/>
      <c r="N509" s="459"/>
      <c r="O509" s="459"/>
      <c r="P509" s="459">
        <v>384000</v>
      </c>
      <c r="Q509" s="28">
        <f t="shared" si="78"/>
        <v>0</v>
      </c>
      <c r="R509" s="199"/>
      <c r="S509" s="199" t="s">
        <v>1837</v>
      </c>
      <c r="T509" s="199">
        <v>14</v>
      </c>
      <c r="U509" s="24">
        <f t="shared" si="84"/>
        <v>44393</v>
      </c>
      <c r="V509"/>
      <c r="W509"/>
      <c r="X509"/>
      <c r="Y509"/>
      <c r="Z509"/>
      <c r="AA509"/>
      <c r="AB509"/>
      <c r="AC509"/>
      <c r="AD509"/>
      <c r="AE509"/>
      <c r="AF509"/>
      <c r="AG509"/>
      <c r="AH509"/>
      <c r="AI509"/>
      <c r="AJ509"/>
      <c r="AK509"/>
      <c r="AL509"/>
      <c r="AM509"/>
      <c r="AN509"/>
      <c r="AO509"/>
      <c r="AP509"/>
      <c r="AQ509"/>
    </row>
    <row r="510" spans="1:43" s="10" customFormat="1" ht="15.75" customHeight="1" x14ac:dyDescent="0.25">
      <c r="A510" s="55">
        <f t="shared" si="81"/>
        <v>79</v>
      </c>
      <c r="B510" s="56">
        <v>44364</v>
      </c>
      <c r="C510" s="58" t="s">
        <v>1265</v>
      </c>
      <c r="D510" s="58"/>
      <c r="E510" s="58"/>
      <c r="F510" s="123" t="s">
        <v>51</v>
      </c>
      <c r="G510" s="126" t="s">
        <v>163</v>
      </c>
      <c r="H510" s="45">
        <v>6500000</v>
      </c>
      <c r="I510" s="380" t="s">
        <v>1261</v>
      </c>
      <c r="J510" s="301">
        <v>44379</v>
      </c>
      <c r="K510" s="460">
        <f t="shared" si="76"/>
        <v>6500000</v>
      </c>
      <c r="L510" s="460">
        <v>4600000</v>
      </c>
      <c r="M510" s="459"/>
      <c r="N510" s="459"/>
      <c r="O510" s="459"/>
      <c r="P510" s="459">
        <v>1900000</v>
      </c>
      <c r="Q510" s="28">
        <f t="shared" si="78"/>
        <v>0</v>
      </c>
      <c r="R510" s="197">
        <v>44408</v>
      </c>
      <c r="S510" s="199"/>
      <c r="T510" s="199">
        <v>14</v>
      </c>
      <c r="U510" s="24">
        <f t="shared" si="84"/>
        <v>44393</v>
      </c>
      <c r="V510"/>
      <c r="W510"/>
      <c r="X510"/>
      <c r="Y510"/>
      <c r="Z510"/>
      <c r="AA510"/>
      <c r="AB510"/>
      <c r="AC510"/>
      <c r="AD510"/>
      <c r="AE510"/>
      <c r="AF510"/>
      <c r="AG510"/>
      <c r="AH510"/>
      <c r="AI510"/>
      <c r="AJ510"/>
      <c r="AK510"/>
      <c r="AL510"/>
      <c r="AM510"/>
      <c r="AN510"/>
      <c r="AO510"/>
      <c r="AP510"/>
      <c r="AQ510"/>
    </row>
    <row r="511" spans="1:43" s="10" customFormat="1" ht="15.75" customHeight="1" x14ac:dyDescent="0.25">
      <c r="A511" s="55">
        <f t="shared" si="81"/>
        <v>80</v>
      </c>
      <c r="B511" s="56">
        <v>44365</v>
      </c>
      <c r="C511" s="58" t="s">
        <v>1264</v>
      </c>
      <c r="D511" s="58"/>
      <c r="E511" s="58"/>
      <c r="F511" s="123" t="s">
        <v>1474</v>
      </c>
      <c r="G511" s="126" t="s">
        <v>1266</v>
      </c>
      <c r="H511" s="45">
        <v>1800000</v>
      </c>
      <c r="I511" s="380" t="s">
        <v>1263</v>
      </c>
      <c r="J511" s="301">
        <v>44379</v>
      </c>
      <c r="K511" s="460">
        <f t="shared" si="76"/>
        <v>1800000</v>
      </c>
      <c r="L511" s="460"/>
      <c r="M511" s="459"/>
      <c r="N511" s="459"/>
      <c r="O511" s="459"/>
      <c r="P511" s="459">
        <v>1800000</v>
      </c>
      <c r="Q511" s="28">
        <f t="shared" si="78"/>
        <v>0</v>
      </c>
      <c r="R511" s="199"/>
      <c r="S511" s="197">
        <v>44396</v>
      </c>
      <c r="T511" s="199">
        <v>14</v>
      </c>
      <c r="U511" s="24">
        <f t="shared" si="84"/>
        <v>44393</v>
      </c>
      <c r="V511"/>
      <c r="W511"/>
      <c r="X511"/>
      <c r="Y511"/>
      <c r="Z511"/>
      <c r="AA511"/>
      <c r="AB511"/>
      <c r="AC511"/>
      <c r="AD511"/>
      <c r="AE511"/>
      <c r="AF511"/>
      <c r="AG511"/>
      <c r="AH511"/>
      <c r="AI511"/>
      <c r="AJ511"/>
      <c r="AK511"/>
      <c r="AL511"/>
      <c r="AM511"/>
      <c r="AN511"/>
      <c r="AO511"/>
      <c r="AP511"/>
      <c r="AQ511"/>
    </row>
    <row r="512" spans="1:43" s="10" customFormat="1" ht="15.75" customHeight="1" x14ac:dyDescent="0.25">
      <c r="A512" s="55">
        <f t="shared" si="81"/>
        <v>81</v>
      </c>
      <c r="B512" s="56">
        <v>44377</v>
      </c>
      <c r="C512" s="58"/>
      <c r="D512" s="58"/>
      <c r="E512" s="58"/>
      <c r="F512" s="123" t="s">
        <v>1269</v>
      </c>
      <c r="G512" s="126" t="s">
        <v>1270</v>
      </c>
      <c r="H512" s="45">
        <v>7800000</v>
      </c>
      <c r="I512" s="380" t="s">
        <v>1267</v>
      </c>
      <c r="J512" s="301">
        <v>44380</v>
      </c>
      <c r="K512" s="460">
        <f t="shared" si="76"/>
        <v>7800000</v>
      </c>
      <c r="L512" s="460">
        <v>1300000</v>
      </c>
      <c r="M512" s="459"/>
      <c r="N512" s="459"/>
      <c r="O512" s="459"/>
      <c r="P512" s="459">
        <v>6500000</v>
      </c>
      <c r="Q512" s="28">
        <f t="shared" si="78"/>
        <v>0</v>
      </c>
      <c r="R512" s="199"/>
      <c r="S512" s="197">
        <v>44393</v>
      </c>
      <c r="T512" s="199">
        <v>14</v>
      </c>
      <c r="U512" s="24">
        <f t="shared" si="84"/>
        <v>44394</v>
      </c>
      <c r="V512"/>
      <c r="W512"/>
      <c r="X512"/>
      <c r="Y512"/>
      <c r="Z512"/>
      <c r="AA512"/>
      <c r="AB512"/>
      <c r="AC512"/>
      <c r="AD512"/>
      <c r="AE512"/>
      <c r="AF512"/>
      <c r="AG512"/>
      <c r="AH512"/>
      <c r="AI512"/>
      <c r="AJ512"/>
      <c r="AK512"/>
      <c r="AL512"/>
      <c r="AM512"/>
      <c r="AN512"/>
      <c r="AO512"/>
      <c r="AP512"/>
      <c r="AQ512"/>
    </row>
    <row r="513" spans="1:43" s="10" customFormat="1" ht="15.75" customHeight="1" x14ac:dyDescent="0.25">
      <c r="A513" s="55">
        <f t="shared" si="81"/>
        <v>82</v>
      </c>
      <c r="B513" s="56">
        <v>44382</v>
      </c>
      <c r="C513" s="58" t="s">
        <v>1273</v>
      </c>
      <c r="D513" s="58"/>
      <c r="E513" s="58"/>
      <c r="F513" s="123" t="s">
        <v>1272</v>
      </c>
      <c r="G513" s="126" t="s">
        <v>688</v>
      </c>
      <c r="H513" s="45">
        <v>8000000</v>
      </c>
      <c r="I513" s="380" t="s">
        <v>1271</v>
      </c>
      <c r="J513" s="301">
        <v>44380</v>
      </c>
      <c r="K513" s="460">
        <f t="shared" si="76"/>
        <v>8000000</v>
      </c>
      <c r="L513" s="460">
        <v>4000000</v>
      </c>
      <c r="M513" s="459"/>
      <c r="N513" s="459"/>
      <c r="O513" s="459"/>
      <c r="P513" s="459">
        <v>4000000</v>
      </c>
      <c r="Q513" s="28">
        <f t="shared" si="78"/>
        <v>0</v>
      </c>
      <c r="R513" s="199"/>
      <c r="S513" s="197">
        <v>44393</v>
      </c>
      <c r="T513" s="199">
        <v>14</v>
      </c>
      <c r="U513" s="24">
        <f t="shared" si="84"/>
        <v>44394</v>
      </c>
      <c r="V513"/>
      <c r="W513"/>
      <c r="X513"/>
      <c r="Y513"/>
      <c r="Z513"/>
      <c r="AA513"/>
      <c r="AB513"/>
      <c r="AC513"/>
      <c r="AD513"/>
      <c r="AE513"/>
      <c r="AF513"/>
      <c r="AG513"/>
      <c r="AH513"/>
      <c r="AI513"/>
      <c r="AJ513"/>
      <c r="AK513"/>
      <c r="AL513"/>
      <c r="AM513"/>
      <c r="AN513"/>
      <c r="AO513"/>
      <c r="AP513"/>
      <c r="AQ513"/>
    </row>
    <row r="514" spans="1:43" s="10" customFormat="1" ht="15.75" customHeight="1" x14ac:dyDescent="0.25">
      <c r="A514" s="55">
        <f t="shared" si="81"/>
        <v>83</v>
      </c>
      <c r="B514" s="56">
        <v>44366</v>
      </c>
      <c r="C514" s="58" t="s">
        <v>1520</v>
      </c>
      <c r="D514" s="58"/>
      <c r="E514" s="58"/>
      <c r="F514" s="112" t="s">
        <v>1133</v>
      </c>
      <c r="G514" s="126" t="s">
        <v>136</v>
      </c>
      <c r="H514" s="45">
        <v>16190352</v>
      </c>
      <c r="I514" s="380" t="s">
        <v>1274</v>
      </c>
      <c r="J514" s="301">
        <v>44382</v>
      </c>
      <c r="K514" s="460">
        <f t="shared" si="76"/>
        <v>16190352</v>
      </c>
      <c r="L514" s="460"/>
      <c r="M514" s="459"/>
      <c r="N514" s="459"/>
      <c r="O514" s="459">
        <f>K514*2%</f>
        <v>323807.03999999998</v>
      </c>
      <c r="P514" s="459">
        <f>K514-L514-M514-N514-O514</f>
        <v>15866544.960000001</v>
      </c>
      <c r="Q514" s="28">
        <f t="shared" si="78"/>
        <v>0</v>
      </c>
      <c r="R514" s="199"/>
      <c r="S514" s="197">
        <v>44407</v>
      </c>
      <c r="T514" s="199">
        <v>30</v>
      </c>
      <c r="U514" s="24">
        <f t="shared" si="84"/>
        <v>44412</v>
      </c>
      <c r="V514"/>
      <c r="W514"/>
      <c r="X514"/>
      <c r="Y514"/>
      <c r="Z514"/>
      <c r="AA514"/>
      <c r="AB514"/>
      <c r="AC514"/>
      <c r="AD514"/>
      <c r="AE514"/>
      <c r="AF514"/>
      <c r="AG514"/>
      <c r="AH514"/>
      <c r="AI514"/>
      <c r="AJ514"/>
      <c r="AK514"/>
      <c r="AL514"/>
      <c r="AM514"/>
      <c r="AN514"/>
      <c r="AO514"/>
      <c r="AP514"/>
      <c r="AQ514"/>
    </row>
    <row r="515" spans="1:43" s="10" customFormat="1" ht="15.75" customHeight="1" x14ac:dyDescent="0.25">
      <c r="A515" s="55">
        <f t="shared" si="81"/>
        <v>84</v>
      </c>
      <c r="B515" s="56">
        <v>44368</v>
      </c>
      <c r="C515" s="58" t="s">
        <v>1521</v>
      </c>
      <c r="D515" s="58"/>
      <c r="E515" s="58"/>
      <c r="F515" s="112" t="s">
        <v>1133</v>
      </c>
      <c r="G515" s="126" t="s">
        <v>136</v>
      </c>
      <c r="H515" s="45">
        <v>850000</v>
      </c>
      <c r="I515" s="380" t="s">
        <v>1276</v>
      </c>
      <c r="J515" s="301">
        <v>44382</v>
      </c>
      <c r="K515" s="460">
        <f t="shared" si="76"/>
        <v>850000</v>
      </c>
      <c r="L515" s="460"/>
      <c r="M515" s="459"/>
      <c r="N515" s="459"/>
      <c r="O515" s="459">
        <f>K515*2%</f>
        <v>17000</v>
      </c>
      <c r="P515" s="459">
        <f>K515-L515-M515-N515-O515</f>
        <v>833000</v>
      </c>
      <c r="Q515" s="28">
        <f t="shared" si="78"/>
        <v>0</v>
      </c>
      <c r="R515" s="199"/>
      <c r="S515" s="197">
        <v>44407</v>
      </c>
      <c r="T515" s="199">
        <v>30</v>
      </c>
      <c r="U515" s="24">
        <f t="shared" si="84"/>
        <v>44412</v>
      </c>
      <c r="V515"/>
      <c r="W515"/>
      <c r="X515"/>
      <c r="Y515"/>
      <c r="Z515"/>
      <c r="AA515"/>
      <c r="AB515"/>
      <c r="AC515"/>
      <c r="AD515"/>
      <c r="AE515"/>
      <c r="AF515"/>
      <c r="AG515"/>
      <c r="AH515"/>
      <c r="AI515"/>
      <c r="AJ515"/>
      <c r="AK515"/>
      <c r="AL515"/>
      <c r="AM515"/>
      <c r="AN515"/>
      <c r="AO515"/>
      <c r="AP515"/>
      <c r="AQ515"/>
    </row>
    <row r="516" spans="1:43" s="10" customFormat="1" ht="15.75" customHeight="1" x14ac:dyDescent="0.25">
      <c r="A516" s="55">
        <f t="shared" si="81"/>
        <v>85</v>
      </c>
      <c r="B516" s="56">
        <v>44382</v>
      </c>
      <c r="C516" s="58" t="s">
        <v>1278</v>
      </c>
      <c r="D516" s="58"/>
      <c r="E516" s="58"/>
      <c r="F516" s="123" t="s">
        <v>1279</v>
      </c>
      <c r="G516" s="126" t="s">
        <v>201</v>
      </c>
      <c r="H516" s="45">
        <v>300000</v>
      </c>
      <c r="I516" s="380" t="s">
        <v>1277</v>
      </c>
      <c r="J516" s="301">
        <v>44382</v>
      </c>
      <c r="K516" s="460">
        <f t="shared" si="76"/>
        <v>300000</v>
      </c>
      <c r="L516" s="460"/>
      <c r="M516" s="459"/>
      <c r="N516" s="459"/>
      <c r="O516" s="459"/>
      <c r="P516" s="459">
        <v>300000</v>
      </c>
      <c r="Q516" s="28">
        <f t="shared" si="78"/>
        <v>0</v>
      </c>
      <c r="R516" s="199"/>
      <c r="S516" s="197"/>
      <c r="T516" s="199">
        <v>14</v>
      </c>
      <c r="U516" s="24">
        <f t="shared" si="84"/>
        <v>44396</v>
      </c>
      <c r="V516"/>
      <c r="W516"/>
      <c r="X516"/>
      <c r="Y516"/>
      <c r="Z516"/>
      <c r="AA516"/>
      <c r="AB516"/>
      <c r="AC516"/>
      <c r="AD516"/>
      <c r="AE516"/>
      <c r="AF516"/>
      <c r="AG516"/>
      <c r="AH516"/>
      <c r="AI516"/>
      <c r="AJ516"/>
      <c r="AK516"/>
      <c r="AL516"/>
      <c r="AM516"/>
      <c r="AN516"/>
      <c r="AO516"/>
      <c r="AP516"/>
      <c r="AQ516"/>
    </row>
    <row r="517" spans="1:43" s="10" customFormat="1" ht="15.75" customHeight="1" x14ac:dyDescent="0.25">
      <c r="A517" s="55">
        <f t="shared" si="81"/>
        <v>86</v>
      </c>
      <c r="B517" s="56">
        <v>44369</v>
      </c>
      <c r="C517" s="58"/>
      <c r="D517" s="58"/>
      <c r="E517" s="58"/>
      <c r="F517" s="123" t="s">
        <v>1280</v>
      </c>
      <c r="G517" s="126" t="s">
        <v>1282</v>
      </c>
      <c r="H517" s="45">
        <v>8000000</v>
      </c>
      <c r="I517" s="380" t="s">
        <v>1281</v>
      </c>
      <c r="J517" s="301">
        <v>44382</v>
      </c>
      <c r="K517" s="460">
        <f t="shared" si="76"/>
        <v>8000000</v>
      </c>
      <c r="L517" s="460">
        <v>8000000</v>
      </c>
      <c r="M517" s="459"/>
      <c r="N517" s="459"/>
      <c r="O517" s="459"/>
      <c r="P517" s="459"/>
      <c r="Q517" s="28">
        <f t="shared" si="78"/>
        <v>0</v>
      </c>
      <c r="R517" s="199"/>
      <c r="S517" s="197">
        <v>44364</v>
      </c>
      <c r="T517" s="199">
        <v>14</v>
      </c>
      <c r="U517" s="24">
        <f t="shared" si="84"/>
        <v>44396</v>
      </c>
      <c r="V517"/>
      <c r="W517"/>
      <c r="X517"/>
      <c r="Y517"/>
      <c r="Z517"/>
      <c r="AA517"/>
      <c r="AB517"/>
      <c r="AC517"/>
      <c r="AD517"/>
      <c r="AE517"/>
      <c r="AF517"/>
      <c r="AG517"/>
      <c r="AH517"/>
      <c r="AI517"/>
      <c r="AJ517"/>
      <c r="AK517"/>
      <c r="AL517"/>
      <c r="AM517"/>
      <c r="AN517"/>
      <c r="AO517"/>
      <c r="AP517"/>
      <c r="AQ517"/>
    </row>
    <row r="518" spans="1:43" s="10" customFormat="1" ht="15.75" customHeight="1" x14ac:dyDescent="0.25">
      <c r="A518" s="55">
        <f t="shared" si="81"/>
        <v>87</v>
      </c>
      <c r="B518" s="56">
        <v>44377</v>
      </c>
      <c r="C518" s="58" t="s">
        <v>1283</v>
      </c>
      <c r="D518" s="58"/>
      <c r="E518" s="58"/>
      <c r="F518" s="123" t="s">
        <v>1112</v>
      </c>
      <c r="G518" s="126" t="s">
        <v>1284</v>
      </c>
      <c r="H518" s="45">
        <v>3500000</v>
      </c>
      <c r="I518" s="380" t="s">
        <v>1285</v>
      </c>
      <c r="J518" s="301">
        <v>44385</v>
      </c>
      <c r="K518" s="460">
        <f t="shared" si="76"/>
        <v>3500000</v>
      </c>
      <c r="L518" s="460">
        <v>2000000</v>
      </c>
      <c r="M518" s="459"/>
      <c r="N518" s="459"/>
      <c r="O518" s="459"/>
      <c r="P518" s="459">
        <v>1500000</v>
      </c>
      <c r="Q518" s="28">
        <f t="shared" si="78"/>
        <v>0</v>
      </c>
      <c r="R518" s="858" t="s">
        <v>2332</v>
      </c>
      <c r="S518" s="855"/>
      <c r="T518" s="199">
        <v>14</v>
      </c>
      <c r="U518" s="24">
        <f t="shared" si="84"/>
        <v>44399</v>
      </c>
      <c r="V518"/>
      <c r="W518"/>
      <c r="X518"/>
      <c r="Y518"/>
      <c r="Z518"/>
      <c r="AA518"/>
      <c r="AB518"/>
      <c r="AC518"/>
      <c r="AD518"/>
      <c r="AE518"/>
      <c r="AF518"/>
      <c r="AG518"/>
      <c r="AH518"/>
      <c r="AI518"/>
      <c r="AJ518"/>
      <c r="AK518"/>
      <c r="AL518"/>
      <c r="AM518"/>
      <c r="AN518"/>
      <c r="AO518"/>
      <c r="AP518"/>
      <c r="AQ518"/>
    </row>
    <row r="519" spans="1:43" s="10" customFormat="1" ht="15.75" customHeight="1" x14ac:dyDescent="0.25">
      <c r="A519" s="55">
        <f t="shared" si="81"/>
        <v>88</v>
      </c>
      <c r="B519" s="56">
        <v>44385</v>
      </c>
      <c r="C519" s="58">
        <v>403455</v>
      </c>
      <c r="D519" s="58"/>
      <c r="E519" s="58"/>
      <c r="F519" s="123" t="s">
        <v>1287</v>
      </c>
      <c r="G519" s="126" t="s">
        <v>201</v>
      </c>
      <c r="H519" s="45">
        <v>2730000</v>
      </c>
      <c r="I519" s="380" t="s">
        <v>1288</v>
      </c>
      <c r="J519" s="301">
        <v>44385</v>
      </c>
      <c r="K519" s="460">
        <f t="shared" si="76"/>
        <v>2730000</v>
      </c>
      <c r="L519" s="460"/>
      <c r="M519" s="459"/>
      <c r="N519" s="459"/>
      <c r="O519" s="459"/>
      <c r="P519" s="459">
        <v>2730000</v>
      </c>
      <c r="Q519" s="28">
        <f t="shared" si="78"/>
        <v>0</v>
      </c>
      <c r="R519" s="199"/>
      <c r="S519" s="197">
        <v>44387</v>
      </c>
      <c r="T519" s="199">
        <v>14</v>
      </c>
      <c r="U519" s="24">
        <f t="shared" si="84"/>
        <v>44399</v>
      </c>
      <c r="V519"/>
      <c r="W519"/>
      <c r="X519"/>
      <c r="Y519"/>
      <c r="Z519"/>
      <c r="AA519"/>
      <c r="AB519"/>
      <c r="AC519"/>
      <c r="AD519"/>
      <c r="AE519"/>
      <c r="AF519"/>
      <c r="AG519"/>
      <c r="AH519"/>
      <c r="AI519"/>
      <c r="AJ519"/>
      <c r="AK519"/>
      <c r="AL519"/>
      <c r="AM519"/>
      <c r="AN519"/>
      <c r="AO519"/>
      <c r="AP519"/>
      <c r="AQ519"/>
    </row>
    <row r="520" spans="1:43" s="10" customFormat="1" ht="15.75" customHeight="1" x14ac:dyDescent="0.25">
      <c r="A520" s="55">
        <f t="shared" si="81"/>
        <v>89</v>
      </c>
      <c r="B520" s="79">
        <v>44377</v>
      </c>
      <c r="C520" s="330" t="s">
        <v>1189</v>
      </c>
      <c r="D520" s="330"/>
      <c r="E520" s="330" t="s">
        <v>1408</v>
      </c>
      <c r="F520" s="123" t="s">
        <v>2694</v>
      </c>
      <c r="G520" s="126" t="s">
        <v>1190</v>
      </c>
      <c r="H520" s="45">
        <v>150000</v>
      </c>
      <c r="I520" s="377" t="s">
        <v>1289</v>
      </c>
      <c r="J520" s="301">
        <v>44386</v>
      </c>
      <c r="K520" s="460">
        <f t="shared" si="76"/>
        <v>150000</v>
      </c>
      <c r="L520" s="460"/>
      <c r="M520" s="460"/>
      <c r="N520" s="460"/>
      <c r="O520" s="460"/>
      <c r="P520" s="460">
        <v>150000</v>
      </c>
      <c r="Q520" s="28">
        <f t="shared" ref="Q520:Q583" si="87">K520-L520-M520-O520-P520+N520</f>
        <v>0</v>
      </c>
      <c r="R520" s="743"/>
      <c r="S520" s="474">
        <v>44517</v>
      </c>
      <c r="T520" s="199">
        <v>14</v>
      </c>
      <c r="U520" s="24">
        <f t="shared" si="84"/>
        <v>44400</v>
      </c>
      <c r="V520"/>
      <c r="W520"/>
      <c r="X520"/>
      <c r="Y520"/>
      <c r="Z520"/>
      <c r="AA520"/>
      <c r="AB520"/>
      <c r="AC520"/>
      <c r="AD520"/>
      <c r="AE520"/>
      <c r="AF520"/>
      <c r="AG520"/>
      <c r="AH520"/>
      <c r="AI520"/>
      <c r="AJ520"/>
      <c r="AK520"/>
      <c r="AL520"/>
      <c r="AM520"/>
      <c r="AN520"/>
      <c r="AO520"/>
      <c r="AP520"/>
      <c r="AQ520"/>
    </row>
    <row r="521" spans="1:43" s="10" customFormat="1" ht="15.75" customHeight="1" x14ac:dyDescent="0.25">
      <c r="A521" s="55">
        <f t="shared" si="81"/>
        <v>90</v>
      </c>
      <c r="B521" s="56">
        <v>44384</v>
      </c>
      <c r="C521" s="58" t="s">
        <v>1292</v>
      </c>
      <c r="D521" s="58"/>
      <c r="E521" s="58"/>
      <c r="F521" s="123" t="s">
        <v>1291</v>
      </c>
      <c r="G521" s="126" t="s">
        <v>1270</v>
      </c>
      <c r="H521" s="45">
        <v>2600000</v>
      </c>
      <c r="I521" s="380" t="s">
        <v>1290</v>
      </c>
      <c r="J521" s="301">
        <v>44390</v>
      </c>
      <c r="K521" s="460">
        <f t="shared" si="76"/>
        <v>2600000</v>
      </c>
      <c r="L521" s="460"/>
      <c r="M521" s="459"/>
      <c r="N521" s="459"/>
      <c r="O521" s="459"/>
      <c r="P521" s="459">
        <v>2600000</v>
      </c>
      <c r="Q521" s="28">
        <f t="shared" si="87"/>
        <v>0</v>
      </c>
      <c r="R521" s="197"/>
      <c r="S521" s="197">
        <v>44424</v>
      </c>
      <c r="T521" s="199">
        <v>14</v>
      </c>
      <c r="U521" s="24">
        <f t="shared" si="84"/>
        <v>44404</v>
      </c>
      <c r="V521"/>
      <c r="W521"/>
      <c r="X521"/>
      <c r="Y521"/>
      <c r="Z521"/>
      <c r="AA521"/>
      <c r="AB521"/>
      <c r="AC521"/>
      <c r="AD521"/>
      <c r="AE521"/>
      <c r="AF521"/>
      <c r="AG521"/>
      <c r="AH521"/>
      <c r="AI521"/>
      <c r="AJ521"/>
      <c r="AK521"/>
      <c r="AL521"/>
      <c r="AM521"/>
      <c r="AN521"/>
      <c r="AO521"/>
      <c r="AP521"/>
      <c r="AQ521"/>
    </row>
    <row r="522" spans="1:43" s="10" customFormat="1" ht="15.75" customHeight="1" x14ac:dyDescent="0.25">
      <c r="A522" s="55">
        <f t="shared" si="81"/>
        <v>91</v>
      </c>
      <c r="B522" s="56">
        <v>44387</v>
      </c>
      <c r="C522" s="58" t="s">
        <v>1294</v>
      </c>
      <c r="D522" s="58"/>
      <c r="E522" s="58"/>
      <c r="F522" s="123" t="s">
        <v>1295</v>
      </c>
      <c r="G522" s="126" t="s">
        <v>458</v>
      </c>
      <c r="H522" s="45">
        <v>554000</v>
      </c>
      <c r="I522" s="380" t="s">
        <v>1296</v>
      </c>
      <c r="J522" s="301">
        <v>44390</v>
      </c>
      <c r="K522" s="460">
        <f t="shared" si="76"/>
        <v>554000</v>
      </c>
      <c r="L522" s="460"/>
      <c r="M522" s="459"/>
      <c r="N522" s="459"/>
      <c r="O522" s="459"/>
      <c r="P522" s="459">
        <v>554000</v>
      </c>
      <c r="Q522" s="28">
        <f t="shared" si="87"/>
        <v>0</v>
      </c>
      <c r="R522" s="199"/>
      <c r="S522" s="247">
        <v>44389</v>
      </c>
      <c r="T522" s="199">
        <v>14</v>
      </c>
      <c r="U522" s="24">
        <f t="shared" si="84"/>
        <v>44404</v>
      </c>
      <c r="V522"/>
      <c r="W522"/>
      <c r="X522"/>
      <c r="Y522"/>
      <c r="Z522"/>
      <c r="AA522"/>
      <c r="AB522"/>
      <c r="AC522"/>
      <c r="AD522"/>
      <c r="AE522"/>
      <c r="AF522"/>
      <c r="AG522"/>
      <c r="AH522"/>
      <c r="AI522"/>
      <c r="AJ522"/>
      <c r="AK522"/>
      <c r="AL522"/>
      <c r="AM522"/>
      <c r="AN522"/>
      <c r="AO522"/>
      <c r="AP522"/>
      <c r="AQ522"/>
    </row>
    <row r="523" spans="1:43" s="10" customFormat="1" ht="15.75" customHeight="1" x14ac:dyDescent="0.25">
      <c r="A523" s="55">
        <f t="shared" si="81"/>
        <v>92</v>
      </c>
      <c r="B523" s="56">
        <v>44366</v>
      </c>
      <c r="C523" s="58" t="s">
        <v>1522</v>
      </c>
      <c r="D523" s="58"/>
      <c r="E523" s="58"/>
      <c r="F523" s="112" t="s">
        <v>1133</v>
      </c>
      <c r="G523" s="126" t="s">
        <v>136</v>
      </c>
      <c r="H523" s="45">
        <v>23048480</v>
      </c>
      <c r="I523" s="380" t="s">
        <v>1297</v>
      </c>
      <c r="J523" s="301">
        <v>44390</v>
      </c>
      <c r="K523" s="460">
        <f t="shared" si="76"/>
        <v>23048480</v>
      </c>
      <c r="L523" s="460"/>
      <c r="M523" s="459"/>
      <c r="N523" s="459"/>
      <c r="O523" s="459">
        <f>H523*2%</f>
        <v>460969.60000000003</v>
      </c>
      <c r="P523" s="459">
        <v>22587510.399999999</v>
      </c>
      <c r="Q523" s="28">
        <f t="shared" si="87"/>
        <v>0</v>
      </c>
      <c r="R523" s="199"/>
      <c r="S523" s="197">
        <v>44420</v>
      </c>
      <c r="T523" s="199">
        <v>30</v>
      </c>
      <c r="U523" s="24">
        <f t="shared" si="84"/>
        <v>44420</v>
      </c>
      <c r="V523"/>
      <c r="W523"/>
      <c r="X523"/>
      <c r="Y523"/>
      <c r="Z523"/>
      <c r="AA523"/>
      <c r="AB523"/>
      <c r="AC523"/>
      <c r="AD523"/>
      <c r="AE523"/>
      <c r="AF523"/>
      <c r="AG523"/>
      <c r="AH523"/>
      <c r="AI523"/>
      <c r="AJ523"/>
      <c r="AK523"/>
      <c r="AL523"/>
      <c r="AM523"/>
      <c r="AN523"/>
      <c r="AO523"/>
      <c r="AP523"/>
      <c r="AQ523"/>
    </row>
    <row r="524" spans="1:43" s="10" customFormat="1" ht="15.75" customHeight="1" x14ac:dyDescent="0.25">
      <c r="A524" s="55">
        <f t="shared" si="81"/>
        <v>93</v>
      </c>
      <c r="B524" s="56">
        <v>44385</v>
      </c>
      <c r="C524" s="58" t="s">
        <v>1298</v>
      </c>
      <c r="D524" s="58"/>
      <c r="E524" s="58"/>
      <c r="F524" s="123" t="s">
        <v>1112</v>
      </c>
      <c r="G524" s="126" t="s">
        <v>653</v>
      </c>
      <c r="H524" s="45">
        <v>3500000</v>
      </c>
      <c r="I524" s="380" t="s">
        <v>1299</v>
      </c>
      <c r="J524" s="301">
        <v>44390</v>
      </c>
      <c r="K524" s="460">
        <f t="shared" si="76"/>
        <v>3500000</v>
      </c>
      <c r="L524" s="460">
        <v>2000000</v>
      </c>
      <c r="M524" s="459"/>
      <c r="N524" s="459"/>
      <c r="O524" s="459"/>
      <c r="P524" s="459">
        <v>1500000</v>
      </c>
      <c r="Q524" s="28">
        <f t="shared" si="87"/>
        <v>0</v>
      </c>
      <c r="R524" s="858" t="s">
        <v>2332</v>
      </c>
      <c r="S524" s="855"/>
      <c r="T524" s="199">
        <v>14</v>
      </c>
      <c r="U524" s="24">
        <f t="shared" si="84"/>
        <v>44404</v>
      </c>
      <c r="V524"/>
      <c r="W524"/>
      <c r="X524"/>
      <c r="Y524"/>
      <c r="Z524"/>
      <c r="AA524"/>
      <c r="AB524"/>
      <c r="AC524"/>
      <c r="AD524"/>
      <c r="AE524"/>
      <c r="AF524"/>
      <c r="AG524"/>
      <c r="AH524"/>
      <c r="AI524"/>
      <c r="AJ524"/>
      <c r="AK524"/>
      <c r="AL524"/>
      <c r="AM524"/>
      <c r="AN524"/>
      <c r="AO524"/>
      <c r="AP524"/>
      <c r="AQ524"/>
    </row>
    <row r="525" spans="1:43" s="10" customFormat="1" ht="15.75" customHeight="1" x14ac:dyDescent="0.25">
      <c r="A525" s="55">
        <f t="shared" si="81"/>
        <v>94</v>
      </c>
      <c r="B525" s="56">
        <v>44323</v>
      </c>
      <c r="C525" s="58" t="s">
        <v>1300</v>
      </c>
      <c r="D525" s="58"/>
      <c r="E525" s="58"/>
      <c r="F525" s="123" t="s">
        <v>933</v>
      </c>
      <c r="G525" s="126" t="s">
        <v>462</v>
      </c>
      <c r="H525" s="45">
        <v>3500000</v>
      </c>
      <c r="I525" s="380" t="s">
        <v>1301</v>
      </c>
      <c r="J525" s="301">
        <v>44390</v>
      </c>
      <c r="K525" s="460">
        <f t="shared" si="76"/>
        <v>3500000</v>
      </c>
      <c r="L525" s="460"/>
      <c r="M525" s="459"/>
      <c r="N525" s="459"/>
      <c r="O525" s="459"/>
      <c r="P525" s="459">
        <f>'rekap tm'!E143</f>
        <v>3500000</v>
      </c>
      <c r="Q525" s="28">
        <f t="shared" si="87"/>
        <v>0</v>
      </c>
      <c r="R525" s="199"/>
      <c r="S525" s="484">
        <v>44435</v>
      </c>
      <c r="T525" s="2">
        <v>14</v>
      </c>
      <c r="U525" s="24">
        <f t="shared" si="84"/>
        <v>44404</v>
      </c>
      <c r="V525"/>
      <c r="W525"/>
      <c r="X525"/>
      <c r="Y525"/>
      <c r="Z525"/>
      <c r="AA525"/>
      <c r="AB525"/>
      <c r="AC525"/>
      <c r="AD525"/>
      <c r="AE525"/>
      <c r="AF525"/>
      <c r="AG525"/>
      <c r="AH525"/>
      <c r="AI525"/>
      <c r="AJ525"/>
      <c r="AK525"/>
      <c r="AL525"/>
      <c r="AM525"/>
      <c r="AN525"/>
      <c r="AO525"/>
      <c r="AP525"/>
      <c r="AQ525"/>
    </row>
    <row r="526" spans="1:43" s="10" customFormat="1" ht="15.75" customHeight="1" x14ac:dyDescent="0.25">
      <c r="A526" s="55">
        <f t="shared" si="81"/>
        <v>95</v>
      </c>
      <c r="B526" s="79">
        <v>44382</v>
      </c>
      <c r="C526" s="330" t="s">
        <v>1202</v>
      </c>
      <c r="D526" s="330"/>
      <c r="E526" s="330" t="s">
        <v>1411</v>
      </c>
      <c r="F526" s="123" t="s">
        <v>2694</v>
      </c>
      <c r="G526" s="126" t="s">
        <v>467</v>
      </c>
      <c r="H526" s="45">
        <v>46000</v>
      </c>
      <c r="I526" s="377" t="s">
        <v>1303</v>
      </c>
      <c r="J526" s="301">
        <v>44391</v>
      </c>
      <c r="K526" s="460">
        <f t="shared" si="76"/>
        <v>46000</v>
      </c>
      <c r="L526" s="460"/>
      <c r="M526" s="460">
        <v>920</v>
      </c>
      <c r="N526" s="460"/>
      <c r="O526" s="460"/>
      <c r="P526" s="460">
        <v>45080</v>
      </c>
      <c r="Q526" s="28">
        <f t="shared" si="87"/>
        <v>0</v>
      </c>
      <c r="R526" s="743"/>
      <c r="S526" s="474">
        <v>44516</v>
      </c>
      <c r="T526" s="199">
        <v>14</v>
      </c>
      <c r="U526" s="24">
        <f t="shared" si="84"/>
        <v>44405</v>
      </c>
      <c r="V526"/>
      <c r="W526"/>
      <c r="X526"/>
      <c r="Y526"/>
      <c r="Z526"/>
      <c r="AA526"/>
      <c r="AB526"/>
      <c r="AC526"/>
      <c r="AD526"/>
      <c r="AE526"/>
      <c r="AF526"/>
      <c r="AG526"/>
      <c r="AH526"/>
      <c r="AI526"/>
      <c r="AJ526"/>
      <c r="AK526"/>
      <c r="AL526"/>
      <c r="AM526"/>
      <c r="AN526"/>
      <c r="AO526"/>
      <c r="AP526"/>
      <c r="AQ526"/>
    </row>
    <row r="527" spans="1:43" s="10" customFormat="1" ht="15.75" customHeight="1" x14ac:dyDescent="0.25">
      <c r="A527" s="55">
        <f t="shared" si="81"/>
        <v>96</v>
      </c>
      <c r="B527" s="79">
        <v>44382</v>
      </c>
      <c r="C527" s="330" t="s">
        <v>1205</v>
      </c>
      <c r="D527" s="330"/>
      <c r="E527" s="330" t="s">
        <v>1412</v>
      </c>
      <c r="F527" s="123" t="s">
        <v>2694</v>
      </c>
      <c r="G527" s="126" t="s">
        <v>171</v>
      </c>
      <c r="H527" s="45">
        <v>260400</v>
      </c>
      <c r="I527" s="377" t="s">
        <v>1304</v>
      </c>
      <c r="J527" s="301">
        <v>44391</v>
      </c>
      <c r="K527" s="460">
        <f t="shared" si="76"/>
        <v>260400</v>
      </c>
      <c r="L527" s="460"/>
      <c r="M527" s="460"/>
      <c r="N527" s="460"/>
      <c r="O527" s="460"/>
      <c r="P527" s="460"/>
      <c r="Q527" s="28">
        <f t="shared" si="87"/>
        <v>260400</v>
      </c>
      <c r="R527" s="743"/>
      <c r="S527" s="743"/>
      <c r="T527" s="199">
        <v>14</v>
      </c>
      <c r="U527" s="24">
        <f t="shared" si="84"/>
        <v>44405</v>
      </c>
      <c r="V527"/>
      <c r="W527"/>
      <c r="X527"/>
      <c r="Y527"/>
      <c r="Z527"/>
      <c r="AA527"/>
      <c r="AB527"/>
      <c r="AC527"/>
      <c r="AD527"/>
      <c r="AE527"/>
      <c r="AF527"/>
      <c r="AG527"/>
      <c r="AH527"/>
      <c r="AI527"/>
      <c r="AJ527"/>
      <c r="AK527"/>
      <c r="AL527"/>
      <c r="AM527"/>
      <c r="AN527"/>
      <c r="AO527"/>
      <c r="AP527"/>
      <c r="AQ527"/>
    </row>
    <row r="528" spans="1:43" s="10" customFormat="1" ht="15.75" customHeight="1" x14ac:dyDescent="0.25">
      <c r="A528" s="55">
        <f t="shared" si="81"/>
        <v>97</v>
      </c>
      <c r="B528" s="56">
        <v>44391</v>
      </c>
      <c r="C528" s="58" t="s">
        <v>1309</v>
      </c>
      <c r="D528" s="58"/>
      <c r="E528" s="58"/>
      <c r="F528" s="123" t="s">
        <v>1308</v>
      </c>
      <c r="G528" s="126" t="s">
        <v>190</v>
      </c>
      <c r="H528" s="45">
        <v>3500000</v>
      </c>
      <c r="I528" s="380" t="s">
        <v>1305</v>
      </c>
      <c r="J528" s="301">
        <v>44391</v>
      </c>
      <c r="K528" s="460">
        <f t="shared" si="76"/>
        <v>3500000</v>
      </c>
      <c r="L528" s="460">
        <v>1750000</v>
      </c>
      <c r="M528" s="459"/>
      <c r="N528" s="459"/>
      <c r="O528" s="459"/>
      <c r="P528" s="459">
        <v>1750000</v>
      </c>
      <c r="Q528" s="28">
        <f t="shared" si="87"/>
        <v>0</v>
      </c>
      <c r="R528" s="199"/>
      <c r="S528" s="197">
        <v>44393</v>
      </c>
      <c r="T528" s="199">
        <v>14</v>
      </c>
      <c r="U528" s="24">
        <f t="shared" si="84"/>
        <v>44405</v>
      </c>
      <c r="V528"/>
      <c r="W528"/>
      <c r="X528"/>
      <c r="Y528"/>
      <c r="Z528"/>
      <c r="AA528"/>
      <c r="AB528"/>
      <c r="AC528"/>
      <c r="AD528"/>
      <c r="AE528"/>
      <c r="AF528"/>
      <c r="AG528"/>
      <c r="AH528"/>
      <c r="AI528"/>
      <c r="AJ528"/>
      <c r="AK528"/>
      <c r="AL528"/>
      <c r="AM528"/>
      <c r="AN528"/>
      <c r="AO528"/>
      <c r="AP528"/>
      <c r="AQ528"/>
    </row>
    <row r="529" spans="1:43" s="10" customFormat="1" ht="15.75" customHeight="1" x14ac:dyDescent="0.25">
      <c r="A529" s="55">
        <f t="shared" si="81"/>
        <v>98</v>
      </c>
      <c r="B529" s="56">
        <v>44391</v>
      </c>
      <c r="C529" s="58"/>
      <c r="D529" s="58"/>
      <c r="E529" s="58"/>
      <c r="F529" s="123" t="s">
        <v>1023</v>
      </c>
      <c r="G529" s="126" t="s">
        <v>1310</v>
      </c>
      <c r="H529" s="45">
        <v>2650000</v>
      </c>
      <c r="I529" s="380" t="s">
        <v>1306</v>
      </c>
      <c r="J529" s="301">
        <v>44391</v>
      </c>
      <c r="K529" s="460">
        <f t="shared" si="76"/>
        <v>2650000</v>
      </c>
      <c r="L529" s="460">
        <v>1650000</v>
      </c>
      <c r="M529" s="459"/>
      <c r="N529" s="459"/>
      <c r="O529" s="459"/>
      <c r="P529" s="459">
        <v>1000000</v>
      </c>
      <c r="Q529" s="28">
        <f t="shared" si="87"/>
        <v>0</v>
      </c>
      <c r="R529" s="199"/>
      <c r="S529" s="197">
        <v>44400</v>
      </c>
      <c r="T529" s="199">
        <v>14</v>
      </c>
      <c r="U529" s="24">
        <f t="shared" si="84"/>
        <v>44405</v>
      </c>
      <c r="V529"/>
      <c r="W529"/>
      <c r="X529"/>
      <c r="Y529"/>
      <c r="Z529"/>
      <c r="AA529"/>
      <c r="AB529"/>
      <c r="AC529"/>
      <c r="AD529"/>
      <c r="AE529"/>
      <c r="AF529"/>
      <c r="AG529"/>
      <c r="AH529"/>
      <c r="AI529"/>
      <c r="AJ529"/>
      <c r="AK529"/>
      <c r="AL529"/>
      <c r="AM529"/>
      <c r="AN529"/>
      <c r="AO529"/>
      <c r="AP529"/>
      <c r="AQ529"/>
    </row>
    <row r="530" spans="1:43" s="10" customFormat="1" ht="15.75" customHeight="1" x14ac:dyDescent="0.25">
      <c r="A530" s="55">
        <f t="shared" si="81"/>
        <v>99</v>
      </c>
      <c r="B530" s="56">
        <v>44380</v>
      </c>
      <c r="C530" s="58" t="s">
        <v>1311</v>
      </c>
      <c r="D530" s="58"/>
      <c r="E530" s="58"/>
      <c r="F530" s="31" t="s">
        <v>379</v>
      </c>
      <c r="G530" s="126" t="s">
        <v>467</v>
      </c>
      <c r="H530" s="45">
        <v>3160500</v>
      </c>
      <c r="I530" s="380" t="s">
        <v>1307</v>
      </c>
      <c r="J530" s="301">
        <v>44393</v>
      </c>
      <c r="K530" s="460">
        <f t="shared" si="76"/>
        <v>3160500</v>
      </c>
      <c r="L530" s="460"/>
      <c r="M530" s="459"/>
      <c r="N530" s="459"/>
      <c r="O530" s="459">
        <f>K530*2%</f>
        <v>63210</v>
      </c>
      <c r="P530" s="459">
        <v>3097290</v>
      </c>
      <c r="Q530" s="28">
        <f t="shared" si="87"/>
        <v>0</v>
      </c>
      <c r="R530" s="199"/>
      <c r="S530" s="197">
        <v>44432</v>
      </c>
      <c r="T530" s="199">
        <v>14</v>
      </c>
      <c r="U530" s="24">
        <f t="shared" si="84"/>
        <v>44407</v>
      </c>
      <c r="V530"/>
      <c r="W530"/>
      <c r="X530"/>
      <c r="Y530"/>
      <c r="Z530"/>
      <c r="AA530"/>
      <c r="AB530"/>
      <c r="AC530"/>
      <c r="AD530"/>
      <c r="AE530"/>
      <c r="AF530"/>
      <c r="AG530"/>
      <c r="AH530"/>
      <c r="AI530"/>
      <c r="AJ530"/>
      <c r="AK530"/>
      <c r="AL530"/>
      <c r="AM530"/>
      <c r="AN530"/>
      <c r="AO530"/>
      <c r="AP530"/>
      <c r="AQ530"/>
    </row>
    <row r="531" spans="1:43" s="10" customFormat="1" ht="15.75" customHeight="1" x14ac:dyDescent="0.25">
      <c r="A531" s="55">
        <f t="shared" si="81"/>
        <v>100</v>
      </c>
      <c r="B531" s="56">
        <v>44391</v>
      </c>
      <c r="C531" s="58" t="s">
        <v>1523</v>
      </c>
      <c r="D531" s="58"/>
      <c r="E531" s="58"/>
      <c r="F531" s="123" t="s">
        <v>53</v>
      </c>
      <c r="G531" s="126" t="s">
        <v>161</v>
      </c>
      <c r="H531" s="45">
        <v>1800000</v>
      </c>
      <c r="I531" s="380" t="s">
        <v>1312</v>
      </c>
      <c r="J531" s="301">
        <v>44393</v>
      </c>
      <c r="K531" s="460">
        <f t="shared" si="76"/>
        <v>1800000</v>
      </c>
      <c r="L531" s="460"/>
      <c r="M531" s="459"/>
      <c r="N531" s="459"/>
      <c r="O531" s="459"/>
      <c r="P531" s="459">
        <v>1800000</v>
      </c>
      <c r="Q531" s="28">
        <f t="shared" si="87"/>
        <v>0</v>
      </c>
      <c r="R531" s="199"/>
      <c r="S531" s="197">
        <v>44427</v>
      </c>
      <c r="T531" s="2">
        <v>14</v>
      </c>
      <c r="U531" s="24">
        <f t="shared" si="84"/>
        <v>44407</v>
      </c>
      <c r="V531"/>
      <c r="W531"/>
      <c r="X531"/>
      <c r="Y531"/>
      <c r="Z531"/>
      <c r="AA531"/>
      <c r="AB531"/>
      <c r="AC531"/>
      <c r="AD531"/>
      <c r="AE531"/>
      <c r="AF531"/>
      <c r="AG531"/>
      <c r="AH531"/>
      <c r="AI531"/>
      <c r="AJ531"/>
      <c r="AK531"/>
      <c r="AL531"/>
      <c r="AM531"/>
      <c r="AN531"/>
      <c r="AO531"/>
      <c r="AP531"/>
      <c r="AQ531"/>
    </row>
    <row r="532" spans="1:43" s="10" customFormat="1" ht="15.75" customHeight="1" x14ac:dyDescent="0.25">
      <c r="A532" s="55">
        <f t="shared" si="81"/>
        <v>101</v>
      </c>
      <c r="B532" s="56">
        <v>44390</v>
      </c>
      <c r="C532" s="58" t="s">
        <v>1313</v>
      </c>
      <c r="D532" s="58"/>
      <c r="E532" s="58"/>
      <c r="F532" s="123" t="s">
        <v>53</v>
      </c>
      <c r="G532" s="126" t="s">
        <v>417</v>
      </c>
      <c r="H532" s="45">
        <v>2150000</v>
      </c>
      <c r="I532" s="380" t="s">
        <v>1314</v>
      </c>
      <c r="J532" s="301">
        <v>44393</v>
      </c>
      <c r="K532" s="460">
        <f t="shared" si="76"/>
        <v>2150000</v>
      </c>
      <c r="L532" s="460"/>
      <c r="M532" s="459"/>
      <c r="N532" s="459"/>
      <c r="O532" s="459"/>
      <c r="P532" s="459">
        <v>2150000</v>
      </c>
      <c r="Q532" s="28">
        <f t="shared" si="87"/>
        <v>0</v>
      </c>
      <c r="R532" s="199"/>
      <c r="S532" s="197">
        <v>44432</v>
      </c>
      <c r="T532" s="2">
        <v>14</v>
      </c>
      <c r="U532" s="24">
        <f t="shared" si="84"/>
        <v>44407</v>
      </c>
      <c r="V532"/>
      <c r="W532"/>
      <c r="X532"/>
      <c r="Y532"/>
      <c r="Z532"/>
      <c r="AA532"/>
      <c r="AB532"/>
      <c r="AC532"/>
      <c r="AD532"/>
      <c r="AE532"/>
      <c r="AF532"/>
      <c r="AG532"/>
      <c r="AH532"/>
      <c r="AI532"/>
      <c r="AJ532"/>
      <c r="AK532"/>
      <c r="AL532"/>
      <c r="AM532"/>
      <c r="AN532"/>
      <c r="AO532"/>
      <c r="AP532"/>
      <c r="AQ532"/>
    </row>
    <row r="533" spans="1:43" s="10" customFormat="1" ht="15.75" customHeight="1" x14ac:dyDescent="0.25">
      <c r="A533" s="55">
        <f t="shared" si="81"/>
        <v>102</v>
      </c>
      <c r="B533" s="56">
        <v>44389</v>
      </c>
      <c r="C533" s="58" t="s">
        <v>1315</v>
      </c>
      <c r="D533" s="58"/>
      <c r="E533" s="58"/>
      <c r="F533" s="123" t="s">
        <v>53</v>
      </c>
      <c r="G533" s="126" t="s">
        <v>161</v>
      </c>
      <c r="H533" s="45">
        <v>1100000</v>
      </c>
      <c r="I533" s="380" t="s">
        <v>1316</v>
      </c>
      <c r="J533" s="301">
        <v>44393</v>
      </c>
      <c r="K533" s="460">
        <f t="shared" si="76"/>
        <v>1100000</v>
      </c>
      <c r="L533" s="460"/>
      <c r="M533" s="459"/>
      <c r="N533" s="459"/>
      <c r="O533" s="459"/>
      <c r="P533" s="459">
        <v>1100000</v>
      </c>
      <c r="Q533" s="28">
        <f t="shared" si="87"/>
        <v>0</v>
      </c>
      <c r="R533" s="199"/>
      <c r="S533" s="197">
        <v>44400</v>
      </c>
      <c r="T533" s="2">
        <v>14</v>
      </c>
      <c r="U533" s="24">
        <f t="shared" si="84"/>
        <v>44407</v>
      </c>
      <c r="V533"/>
      <c r="W533"/>
      <c r="X533"/>
      <c r="Y533"/>
      <c r="Z533"/>
      <c r="AA533"/>
      <c r="AB533"/>
      <c r="AC533"/>
      <c r="AD533"/>
      <c r="AE533"/>
      <c r="AF533"/>
      <c r="AG533"/>
      <c r="AH533"/>
      <c r="AI533"/>
      <c r="AJ533"/>
      <c r="AK533"/>
      <c r="AL533"/>
      <c r="AM533"/>
      <c r="AN533"/>
      <c r="AO533"/>
      <c r="AP533"/>
      <c r="AQ533"/>
    </row>
    <row r="534" spans="1:43" s="10" customFormat="1" ht="15.75" customHeight="1" x14ac:dyDescent="0.25">
      <c r="A534" s="55">
        <f t="shared" si="81"/>
        <v>103</v>
      </c>
      <c r="B534" s="56">
        <v>44318</v>
      </c>
      <c r="C534" s="58"/>
      <c r="D534" s="58"/>
      <c r="E534" s="58"/>
      <c r="F534" s="123" t="s">
        <v>1317</v>
      </c>
      <c r="G534" s="126"/>
      <c r="H534" s="45">
        <v>2850000</v>
      </c>
      <c r="I534" s="380" t="s">
        <v>1142</v>
      </c>
      <c r="J534" s="301">
        <v>44393</v>
      </c>
      <c r="K534" s="460">
        <f t="shared" si="76"/>
        <v>2850000</v>
      </c>
      <c r="L534" s="460"/>
      <c r="M534" s="459"/>
      <c r="N534" s="459"/>
      <c r="O534" s="459"/>
      <c r="P534" s="459"/>
      <c r="Q534" s="28">
        <f t="shared" si="87"/>
        <v>2850000</v>
      </c>
      <c r="R534" s="199"/>
      <c r="S534" s="199"/>
      <c r="T534" s="199">
        <v>60</v>
      </c>
      <c r="U534" s="24">
        <f t="shared" si="84"/>
        <v>44453</v>
      </c>
      <c r="V534"/>
      <c r="W534"/>
      <c r="X534"/>
      <c r="Y534"/>
      <c r="Z534"/>
      <c r="AA534"/>
      <c r="AB534"/>
      <c r="AC534"/>
      <c r="AD534"/>
      <c r="AE534"/>
      <c r="AF534"/>
      <c r="AG534"/>
      <c r="AH534"/>
      <c r="AI534"/>
      <c r="AJ534"/>
      <c r="AK534"/>
      <c r="AL534"/>
      <c r="AM534"/>
      <c r="AN534"/>
      <c r="AO534"/>
      <c r="AP534"/>
      <c r="AQ534"/>
    </row>
    <row r="535" spans="1:43" s="10" customFormat="1" ht="15.75" customHeight="1" x14ac:dyDescent="0.25">
      <c r="A535" s="55">
        <f t="shared" si="81"/>
        <v>104</v>
      </c>
      <c r="B535" s="56" t="s">
        <v>1209</v>
      </c>
      <c r="C535" s="58"/>
      <c r="D535" s="58"/>
      <c r="E535" s="58"/>
      <c r="F535" s="123" t="s">
        <v>1317</v>
      </c>
      <c r="G535" s="126" t="s">
        <v>1318</v>
      </c>
      <c r="H535" s="45">
        <v>4000000</v>
      </c>
      <c r="I535" s="380" t="s">
        <v>1143</v>
      </c>
      <c r="J535" s="301">
        <v>44393</v>
      </c>
      <c r="K535" s="460">
        <f t="shared" si="76"/>
        <v>4000000</v>
      </c>
      <c r="L535" s="460"/>
      <c r="M535" s="459"/>
      <c r="N535" s="459"/>
      <c r="O535" s="459"/>
      <c r="P535" s="459"/>
      <c r="Q535" s="28">
        <f t="shared" si="87"/>
        <v>4000000</v>
      </c>
      <c r="R535" s="199"/>
      <c r="S535" s="199"/>
      <c r="T535" s="199">
        <v>60</v>
      </c>
      <c r="U535" s="24">
        <f t="shared" si="84"/>
        <v>44453</v>
      </c>
      <c r="V535"/>
      <c r="W535"/>
      <c r="X535"/>
      <c r="Y535"/>
      <c r="Z535"/>
      <c r="AA535"/>
      <c r="AB535"/>
      <c r="AC535"/>
      <c r="AD535"/>
      <c r="AE535"/>
      <c r="AF535"/>
      <c r="AG535"/>
      <c r="AH535"/>
      <c r="AI535"/>
      <c r="AJ535"/>
      <c r="AK535"/>
      <c r="AL535"/>
      <c r="AM535"/>
      <c r="AN535"/>
      <c r="AO535"/>
      <c r="AP535"/>
      <c r="AQ535"/>
    </row>
    <row r="536" spans="1:43" s="10" customFormat="1" ht="15.75" customHeight="1" x14ac:dyDescent="0.25">
      <c r="A536" s="55">
        <f t="shared" si="81"/>
        <v>105</v>
      </c>
      <c r="B536" s="56" t="s">
        <v>1319</v>
      </c>
      <c r="C536" s="58"/>
      <c r="D536" s="58"/>
      <c r="E536" s="58"/>
      <c r="F536" s="123" t="s">
        <v>1320</v>
      </c>
      <c r="G536" s="126" t="s">
        <v>988</v>
      </c>
      <c r="H536" s="45">
        <v>11000000</v>
      </c>
      <c r="I536" s="380" t="s">
        <v>1322</v>
      </c>
      <c r="J536" s="301">
        <v>44396</v>
      </c>
      <c r="K536" s="460">
        <f t="shared" si="76"/>
        <v>11000000</v>
      </c>
      <c r="L536" s="460"/>
      <c r="M536" s="459"/>
      <c r="N536" s="459"/>
      <c r="O536" s="459"/>
      <c r="P536" s="459">
        <v>11000000</v>
      </c>
      <c r="Q536" s="28">
        <f t="shared" si="87"/>
        <v>0</v>
      </c>
      <c r="R536" s="199"/>
      <c r="S536" s="197">
        <v>44398</v>
      </c>
      <c r="T536" s="199">
        <v>14</v>
      </c>
      <c r="U536" s="24">
        <f t="shared" si="84"/>
        <v>44410</v>
      </c>
      <c r="V536"/>
      <c r="W536"/>
      <c r="X536"/>
      <c r="Y536"/>
      <c r="Z536"/>
      <c r="AA536"/>
      <c r="AB536"/>
      <c r="AC536"/>
      <c r="AD536"/>
      <c r="AE536"/>
      <c r="AF536"/>
      <c r="AG536"/>
      <c r="AH536"/>
      <c r="AI536"/>
      <c r="AJ536"/>
      <c r="AK536"/>
      <c r="AL536"/>
      <c r="AM536"/>
      <c r="AN536"/>
      <c r="AO536"/>
      <c r="AP536"/>
      <c r="AQ536"/>
    </row>
    <row r="537" spans="1:43" s="10" customFormat="1" ht="15.75" customHeight="1" x14ac:dyDescent="0.25">
      <c r="A537" s="55">
        <f t="shared" si="81"/>
        <v>106</v>
      </c>
      <c r="B537" s="56" t="s">
        <v>1321</v>
      </c>
      <c r="C537" s="58"/>
      <c r="D537" s="58"/>
      <c r="E537" s="58"/>
      <c r="F537" s="123" t="s">
        <v>1324</v>
      </c>
      <c r="G537" s="126" t="s">
        <v>163</v>
      </c>
      <c r="H537" s="45">
        <v>1000000</v>
      </c>
      <c r="I537" s="380" t="s">
        <v>1323</v>
      </c>
      <c r="J537" s="301">
        <v>44399</v>
      </c>
      <c r="K537" s="460">
        <f t="shared" si="76"/>
        <v>1000000</v>
      </c>
      <c r="L537" s="460"/>
      <c r="M537" s="459"/>
      <c r="N537" s="459"/>
      <c r="O537" s="459"/>
      <c r="P537" s="459">
        <v>1000000</v>
      </c>
      <c r="Q537" s="28">
        <f t="shared" si="87"/>
        <v>0</v>
      </c>
      <c r="R537" s="858" t="s">
        <v>2332</v>
      </c>
      <c r="S537" s="855"/>
      <c r="T537" s="199">
        <v>14</v>
      </c>
      <c r="U537" s="24">
        <f t="shared" si="84"/>
        <v>44413</v>
      </c>
      <c r="V537"/>
      <c r="W537"/>
      <c r="X537"/>
      <c r="Y537"/>
      <c r="Z537"/>
      <c r="AA537"/>
      <c r="AB537"/>
      <c r="AC537"/>
      <c r="AD537"/>
      <c r="AE537"/>
      <c r="AF537"/>
      <c r="AG537"/>
      <c r="AH537"/>
      <c r="AI537"/>
      <c r="AJ537"/>
      <c r="AK537"/>
      <c r="AL537"/>
      <c r="AM537"/>
      <c r="AN537"/>
      <c r="AO537"/>
      <c r="AP537"/>
      <c r="AQ537"/>
    </row>
    <row r="538" spans="1:43" s="10" customFormat="1" ht="15.75" customHeight="1" x14ac:dyDescent="0.25">
      <c r="A538" s="55">
        <f t="shared" si="81"/>
        <v>107</v>
      </c>
      <c r="B538" s="56">
        <v>44267</v>
      </c>
      <c r="C538" s="58"/>
      <c r="D538" s="58"/>
      <c r="E538" s="58"/>
      <c r="F538" s="123" t="s">
        <v>1317</v>
      </c>
      <c r="G538" s="126" t="s">
        <v>1325</v>
      </c>
      <c r="H538" s="45">
        <v>4500000</v>
      </c>
      <c r="I538" s="380" t="s">
        <v>1145</v>
      </c>
      <c r="J538" s="301">
        <v>44399</v>
      </c>
      <c r="K538" s="460">
        <f t="shared" si="76"/>
        <v>4500000</v>
      </c>
      <c r="L538" s="460"/>
      <c r="M538" s="459"/>
      <c r="N538" s="459"/>
      <c r="O538" s="459"/>
      <c r="P538" s="459"/>
      <c r="Q538" s="28">
        <f t="shared" si="87"/>
        <v>4500000</v>
      </c>
      <c r="R538" s="199"/>
      <c r="S538" s="199"/>
      <c r="T538" s="199">
        <v>60</v>
      </c>
      <c r="U538" s="24">
        <f t="shared" si="84"/>
        <v>44459</v>
      </c>
      <c r="V538"/>
      <c r="W538"/>
      <c r="X538"/>
      <c r="Y538"/>
      <c r="Z538"/>
      <c r="AA538"/>
      <c r="AB538"/>
      <c r="AC538"/>
      <c r="AD538"/>
      <c r="AE538"/>
      <c r="AF538"/>
      <c r="AG538"/>
      <c r="AH538"/>
      <c r="AI538"/>
      <c r="AJ538"/>
      <c r="AK538"/>
      <c r="AL538"/>
      <c r="AM538"/>
      <c r="AN538"/>
      <c r="AO538"/>
      <c r="AP538"/>
      <c r="AQ538"/>
    </row>
    <row r="539" spans="1:43" s="10" customFormat="1" ht="15.75" customHeight="1" x14ac:dyDescent="0.25">
      <c r="A539" s="55">
        <f t="shared" si="81"/>
        <v>108</v>
      </c>
      <c r="B539" s="56" t="s">
        <v>1330</v>
      </c>
      <c r="C539" s="58" t="s">
        <v>1326</v>
      </c>
      <c r="D539" s="58"/>
      <c r="E539" s="58"/>
      <c r="F539" s="123" t="s">
        <v>1327</v>
      </c>
      <c r="G539" s="126" t="s">
        <v>201</v>
      </c>
      <c r="H539" s="45">
        <v>693500</v>
      </c>
      <c r="I539" s="380" t="s">
        <v>1328</v>
      </c>
      <c r="J539" s="301">
        <v>44399</v>
      </c>
      <c r="K539" s="460">
        <f t="shared" si="76"/>
        <v>693500</v>
      </c>
      <c r="L539" s="460"/>
      <c r="M539" s="459">
        <v>43500</v>
      </c>
      <c r="N539" s="459"/>
      <c r="O539" s="459"/>
      <c r="P539" s="459">
        <v>650000</v>
      </c>
      <c r="Q539" s="28">
        <f t="shared" si="87"/>
        <v>0</v>
      </c>
      <c r="R539" s="199"/>
      <c r="S539" s="197">
        <v>44400</v>
      </c>
      <c r="T539" s="199">
        <v>14</v>
      </c>
      <c r="U539" s="24">
        <f t="shared" si="84"/>
        <v>44413</v>
      </c>
      <c r="V539"/>
      <c r="W539"/>
      <c r="X539"/>
      <c r="Y539"/>
      <c r="Z539"/>
      <c r="AA539"/>
      <c r="AB539"/>
      <c r="AC539"/>
      <c r="AD539"/>
      <c r="AE539"/>
      <c r="AF539"/>
      <c r="AG539"/>
      <c r="AH539"/>
      <c r="AI539"/>
      <c r="AJ539"/>
      <c r="AK539"/>
      <c r="AL539"/>
      <c r="AM539"/>
      <c r="AN539"/>
      <c r="AO539"/>
      <c r="AP539"/>
      <c r="AQ539"/>
    </row>
    <row r="540" spans="1:43" s="10" customFormat="1" ht="15.75" customHeight="1" x14ac:dyDescent="0.25">
      <c r="A540" s="55">
        <f t="shared" si="81"/>
        <v>109</v>
      </c>
      <c r="B540" s="56" t="s">
        <v>1286</v>
      </c>
      <c r="C540" s="58" t="s">
        <v>1331</v>
      </c>
      <c r="D540" s="58"/>
      <c r="E540" s="58"/>
      <c r="F540" s="123" t="s">
        <v>1329</v>
      </c>
      <c r="G540" s="126" t="s">
        <v>774</v>
      </c>
      <c r="H540" s="45">
        <v>725000</v>
      </c>
      <c r="I540" s="380" t="s">
        <v>1332</v>
      </c>
      <c r="J540" s="301">
        <v>44399</v>
      </c>
      <c r="K540" s="460">
        <f t="shared" si="76"/>
        <v>725000</v>
      </c>
      <c r="L540" s="460"/>
      <c r="M540" s="459"/>
      <c r="N540" s="459"/>
      <c r="O540" s="459"/>
      <c r="P540" s="459">
        <v>725000</v>
      </c>
      <c r="Q540" s="28">
        <f t="shared" si="87"/>
        <v>0</v>
      </c>
      <c r="R540" s="199"/>
      <c r="S540" s="197">
        <v>44421</v>
      </c>
      <c r="T540" s="199">
        <v>14</v>
      </c>
      <c r="U540" s="24">
        <f t="shared" si="84"/>
        <v>44413</v>
      </c>
      <c r="V540"/>
      <c r="W540"/>
      <c r="X540"/>
      <c r="Y540"/>
      <c r="Z540"/>
      <c r="AA540"/>
      <c r="AB540"/>
      <c r="AC540"/>
      <c r="AD540"/>
      <c r="AE540"/>
      <c r="AF540"/>
      <c r="AG540"/>
      <c r="AH540"/>
      <c r="AI540"/>
      <c r="AJ540"/>
      <c r="AK540"/>
      <c r="AL540"/>
      <c r="AM540"/>
      <c r="AN540"/>
      <c r="AO540"/>
      <c r="AP540"/>
      <c r="AQ540"/>
    </row>
    <row r="541" spans="1:43" s="10" customFormat="1" ht="15.75" customHeight="1" x14ac:dyDescent="0.25">
      <c r="A541" s="55">
        <f t="shared" si="81"/>
        <v>110</v>
      </c>
      <c r="B541" s="56" t="s">
        <v>1321</v>
      </c>
      <c r="C541" s="58" t="s">
        <v>1333</v>
      </c>
      <c r="D541" s="58"/>
      <c r="E541" s="58"/>
      <c r="F541" s="123" t="s">
        <v>1336</v>
      </c>
      <c r="G541" s="126" t="s">
        <v>1334</v>
      </c>
      <c r="H541" s="45">
        <v>1200000</v>
      </c>
      <c r="I541" s="380" t="s">
        <v>1335</v>
      </c>
      <c r="J541" s="301">
        <v>44399</v>
      </c>
      <c r="K541" s="460">
        <f t="shared" si="76"/>
        <v>1200000</v>
      </c>
      <c r="L541" s="460"/>
      <c r="M541" s="459"/>
      <c r="N541" s="459"/>
      <c r="O541" s="459"/>
      <c r="P541" s="459">
        <v>1200000</v>
      </c>
      <c r="Q541" s="28">
        <f t="shared" si="87"/>
        <v>0</v>
      </c>
      <c r="R541" s="199"/>
      <c r="S541" s="197">
        <v>44414</v>
      </c>
      <c r="T541" s="199">
        <v>14</v>
      </c>
      <c r="U541" s="24">
        <f t="shared" si="84"/>
        <v>44413</v>
      </c>
      <c r="V541"/>
      <c r="W541"/>
      <c r="X541"/>
      <c r="Y541"/>
      <c r="Z541"/>
      <c r="AA541"/>
      <c r="AB541"/>
      <c r="AC541"/>
      <c r="AD541"/>
      <c r="AE541"/>
      <c r="AF541"/>
      <c r="AG541"/>
      <c r="AH541"/>
      <c r="AI541"/>
      <c r="AJ541"/>
      <c r="AK541"/>
      <c r="AL541"/>
      <c r="AM541"/>
      <c r="AN541"/>
      <c r="AO541"/>
      <c r="AP541"/>
      <c r="AQ541"/>
    </row>
    <row r="542" spans="1:43" s="10" customFormat="1" ht="15.75" customHeight="1" x14ac:dyDescent="0.25">
      <c r="A542" s="55">
        <f t="shared" si="81"/>
        <v>111</v>
      </c>
      <c r="B542" s="56">
        <v>44368</v>
      </c>
      <c r="C542" s="58" t="s">
        <v>1524</v>
      </c>
      <c r="D542" s="58"/>
      <c r="E542" s="58"/>
      <c r="F542" s="112" t="s">
        <v>1133</v>
      </c>
      <c r="G542" s="126" t="s">
        <v>136</v>
      </c>
      <c r="H542" s="45">
        <v>16106496</v>
      </c>
      <c r="I542" s="380" t="s">
        <v>1338</v>
      </c>
      <c r="J542" s="301">
        <v>44400</v>
      </c>
      <c r="K542" s="460">
        <f t="shared" si="76"/>
        <v>16106496</v>
      </c>
      <c r="L542" s="460"/>
      <c r="M542" s="459"/>
      <c r="N542" s="459"/>
      <c r="O542" s="459"/>
      <c r="P542" s="459">
        <v>16106496</v>
      </c>
      <c r="Q542" s="28">
        <f t="shared" si="87"/>
        <v>0</v>
      </c>
      <c r="R542" s="199"/>
      <c r="S542" s="197">
        <v>44421</v>
      </c>
      <c r="T542" s="199">
        <v>30</v>
      </c>
      <c r="U542" s="24">
        <f t="shared" si="84"/>
        <v>44430</v>
      </c>
      <c r="V542"/>
      <c r="W542"/>
      <c r="X542"/>
      <c r="Y542"/>
      <c r="Z542"/>
      <c r="AA542"/>
      <c r="AB542"/>
      <c r="AC542"/>
      <c r="AD542"/>
      <c r="AE542"/>
      <c r="AF542"/>
      <c r="AG542"/>
      <c r="AH542"/>
      <c r="AI542"/>
      <c r="AJ542"/>
      <c r="AK542"/>
      <c r="AL542"/>
      <c r="AM542"/>
      <c r="AN542"/>
      <c r="AO542"/>
      <c r="AP542"/>
      <c r="AQ542"/>
    </row>
    <row r="543" spans="1:43" s="10" customFormat="1" ht="15.75" customHeight="1" x14ac:dyDescent="0.25">
      <c r="A543" s="55">
        <f t="shared" si="81"/>
        <v>112</v>
      </c>
      <c r="B543" s="79">
        <v>44398</v>
      </c>
      <c r="C543" s="330"/>
      <c r="D543" s="330"/>
      <c r="E543" s="330" t="s">
        <v>1434</v>
      </c>
      <c r="F543" s="123" t="s">
        <v>2694</v>
      </c>
      <c r="G543" s="126" t="s">
        <v>1256</v>
      </c>
      <c r="H543" s="45">
        <v>60000</v>
      </c>
      <c r="I543" s="377" t="s">
        <v>1339</v>
      </c>
      <c r="J543" s="301">
        <v>44401</v>
      </c>
      <c r="K543" s="460">
        <f t="shared" si="76"/>
        <v>60000</v>
      </c>
      <c r="L543" s="460"/>
      <c r="M543" s="460"/>
      <c r="N543" s="460"/>
      <c r="O543" s="460"/>
      <c r="P543" s="460"/>
      <c r="Q543" s="28">
        <f t="shared" si="87"/>
        <v>60000</v>
      </c>
      <c r="R543" s="743"/>
      <c r="S543" s="743"/>
      <c r="T543" s="199">
        <v>14</v>
      </c>
      <c r="U543" s="24">
        <f t="shared" si="84"/>
        <v>44415</v>
      </c>
      <c r="V543"/>
      <c r="W543"/>
      <c r="X543"/>
      <c r="Y543"/>
      <c r="Z543"/>
      <c r="AA543"/>
      <c r="AB543"/>
      <c r="AC543"/>
      <c r="AD543"/>
      <c r="AE543"/>
      <c r="AF543"/>
      <c r="AG543"/>
      <c r="AH543"/>
      <c r="AI543"/>
      <c r="AJ543"/>
      <c r="AK543"/>
      <c r="AL543"/>
      <c r="AM543"/>
      <c r="AN543"/>
      <c r="AO543"/>
      <c r="AP543"/>
      <c r="AQ543"/>
    </row>
    <row r="544" spans="1:43" s="10" customFormat="1" ht="15.75" customHeight="1" x14ac:dyDescent="0.25">
      <c r="A544" s="55">
        <f t="shared" si="81"/>
        <v>113</v>
      </c>
      <c r="B544" s="79">
        <v>44393</v>
      </c>
      <c r="C544" s="330"/>
      <c r="D544" s="330"/>
      <c r="E544" s="330" t="s">
        <v>1381</v>
      </c>
      <c r="F544" s="123" t="s">
        <v>2694</v>
      </c>
      <c r="G544" s="126" t="s">
        <v>190</v>
      </c>
      <c r="H544" s="45">
        <v>100000</v>
      </c>
      <c r="I544" s="377" t="s">
        <v>1340</v>
      </c>
      <c r="J544" s="301">
        <v>44401</v>
      </c>
      <c r="K544" s="460">
        <f t="shared" si="76"/>
        <v>100000</v>
      </c>
      <c r="L544" s="460"/>
      <c r="M544" s="460"/>
      <c r="N544" s="460"/>
      <c r="O544" s="460"/>
      <c r="P544" s="460">
        <v>100000</v>
      </c>
      <c r="Q544" s="28">
        <f t="shared" si="87"/>
        <v>0</v>
      </c>
      <c r="R544" s="743"/>
      <c r="S544" s="474">
        <v>44503</v>
      </c>
      <c r="T544" s="199">
        <v>14</v>
      </c>
      <c r="U544" s="24">
        <f t="shared" si="84"/>
        <v>44415</v>
      </c>
      <c r="V544"/>
      <c r="W544"/>
      <c r="X544"/>
      <c r="Y544"/>
      <c r="Z544"/>
      <c r="AA544"/>
      <c r="AB544"/>
      <c r="AC544"/>
      <c r="AD544"/>
      <c r="AE544"/>
      <c r="AF544"/>
      <c r="AG544"/>
      <c r="AH544"/>
      <c r="AI544"/>
      <c r="AJ544"/>
      <c r="AK544"/>
      <c r="AL544"/>
      <c r="AM544"/>
      <c r="AN544"/>
      <c r="AO544"/>
      <c r="AP544"/>
      <c r="AQ544"/>
    </row>
    <row r="545" spans="1:43" s="10" customFormat="1" ht="15.75" customHeight="1" x14ac:dyDescent="0.25">
      <c r="A545" s="55">
        <f t="shared" si="81"/>
        <v>114</v>
      </c>
      <c r="B545" s="79">
        <v>44389</v>
      </c>
      <c r="C545" s="330"/>
      <c r="D545" s="330"/>
      <c r="E545" s="330" t="s">
        <v>1430</v>
      </c>
      <c r="F545" s="123" t="s">
        <v>2694</v>
      </c>
      <c r="G545" s="126" t="s">
        <v>421</v>
      </c>
      <c r="H545" s="45">
        <v>45000</v>
      </c>
      <c r="I545" s="377" t="s">
        <v>1341</v>
      </c>
      <c r="J545" s="301">
        <v>44401</v>
      </c>
      <c r="K545" s="460">
        <f t="shared" si="76"/>
        <v>45000</v>
      </c>
      <c r="L545" s="460"/>
      <c r="M545" s="460"/>
      <c r="N545" s="460"/>
      <c r="O545" s="460">
        <f>K545*2%</f>
        <v>900</v>
      </c>
      <c r="P545" s="460">
        <v>44100</v>
      </c>
      <c r="Q545" s="28">
        <f t="shared" si="87"/>
        <v>0</v>
      </c>
      <c r="R545" s="743"/>
      <c r="S545" s="474">
        <v>44462</v>
      </c>
      <c r="T545" s="199">
        <v>14</v>
      </c>
      <c r="U545" s="24">
        <f t="shared" si="84"/>
        <v>44415</v>
      </c>
      <c r="V545"/>
      <c r="W545"/>
      <c r="X545"/>
      <c r="Y545"/>
      <c r="Z545"/>
      <c r="AA545"/>
      <c r="AB545"/>
      <c r="AC545"/>
      <c r="AD545"/>
      <c r="AE545"/>
      <c r="AF545"/>
      <c r="AG545"/>
      <c r="AH545"/>
      <c r="AI545"/>
      <c r="AJ545"/>
      <c r="AK545"/>
      <c r="AL545"/>
      <c r="AM545"/>
      <c r="AN545"/>
      <c r="AO545"/>
      <c r="AP545"/>
      <c r="AQ545"/>
    </row>
    <row r="546" spans="1:43" s="10" customFormat="1" ht="15.75" customHeight="1" x14ac:dyDescent="0.25">
      <c r="A546" s="55">
        <f t="shared" si="81"/>
        <v>115</v>
      </c>
      <c r="B546" s="79">
        <v>44399</v>
      </c>
      <c r="C546" s="330"/>
      <c r="D546" s="330"/>
      <c r="E546" s="330" t="s">
        <v>1383</v>
      </c>
      <c r="F546" s="123" t="s">
        <v>2694</v>
      </c>
      <c r="G546" s="126" t="s">
        <v>462</v>
      </c>
      <c r="H546" s="45">
        <v>100000</v>
      </c>
      <c r="I546" s="377" t="s">
        <v>1342</v>
      </c>
      <c r="J546" s="301">
        <v>44401</v>
      </c>
      <c r="K546" s="460">
        <f t="shared" si="76"/>
        <v>100000</v>
      </c>
      <c r="L546" s="460"/>
      <c r="M546" s="460">
        <v>5500</v>
      </c>
      <c r="N546" s="460"/>
      <c r="O546" s="460"/>
      <c r="P546" s="460">
        <f>47250*2</f>
        <v>94500</v>
      </c>
      <c r="Q546" s="28">
        <f t="shared" si="87"/>
        <v>0</v>
      </c>
      <c r="R546" s="743"/>
      <c r="S546" s="474"/>
      <c r="T546" s="199">
        <v>14</v>
      </c>
      <c r="U546" s="24">
        <f t="shared" si="84"/>
        <v>44415</v>
      </c>
      <c r="V546"/>
      <c r="W546"/>
      <c r="X546"/>
      <c r="Y546"/>
      <c r="Z546"/>
      <c r="AA546"/>
      <c r="AB546"/>
      <c r="AC546"/>
      <c r="AD546"/>
      <c r="AE546"/>
      <c r="AF546"/>
      <c r="AG546"/>
      <c r="AH546"/>
      <c r="AI546"/>
      <c r="AJ546"/>
      <c r="AK546"/>
      <c r="AL546"/>
      <c r="AM546"/>
      <c r="AN546"/>
      <c r="AO546"/>
      <c r="AP546"/>
      <c r="AQ546"/>
    </row>
    <row r="547" spans="1:43" s="10" customFormat="1" ht="15.75" customHeight="1" x14ac:dyDescent="0.25">
      <c r="A547" s="55">
        <f t="shared" si="81"/>
        <v>116</v>
      </c>
      <c r="B547" s="56">
        <v>44366</v>
      </c>
      <c r="C547" s="58" t="s">
        <v>1525</v>
      </c>
      <c r="D547" s="58"/>
      <c r="E547" s="58"/>
      <c r="F547" s="112" t="s">
        <v>1133</v>
      </c>
      <c r="G547" s="126" t="s">
        <v>136</v>
      </c>
      <c r="H547" s="45">
        <v>7228000</v>
      </c>
      <c r="I547" s="380" t="s">
        <v>1344</v>
      </c>
      <c r="J547" s="301">
        <v>44403</v>
      </c>
      <c r="K547" s="460">
        <f t="shared" si="76"/>
        <v>7228000</v>
      </c>
      <c r="L547" s="460"/>
      <c r="M547" s="459"/>
      <c r="N547" s="459"/>
      <c r="O547" s="459"/>
      <c r="P547" s="459">
        <v>7228000</v>
      </c>
      <c r="Q547" s="28">
        <f t="shared" si="87"/>
        <v>0</v>
      </c>
      <c r="R547" s="199"/>
      <c r="S547" s="197">
        <v>44435</v>
      </c>
      <c r="T547" s="199">
        <v>30</v>
      </c>
      <c r="U547" s="24">
        <f t="shared" si="84"/>
        <v>44433</v>
      </c>
      <c r="V547"/>
      <c r="W547"/>
      <c r="X547"/>
      <c r="Y547"/>
      <c r="Z547"/>
      <c r="AA547"/>
      <c r="AB547"/>
      <c r="AC547"/>
      <c r="AD547"/>
      <c r="AE547"/>
      <c r="AF547"/>
      <c r="AG547"/>
      <c r="AH547"/>
      <c r="AI547"/>
      <c r="AJ547"/>
      <c r="AK547"/>
      <c r="AL547"/>
      <c r="AM547"/>
      <c r="AN547"/>
      <c r="AO547"/>
      <c r="AP547"/>
      <c r="AQ547"/>
    </row>
    <row r="548" spans="1:43" s="10" customFormat="1" ht="15.75" customHeight="1" x14ac:dyDescent="0.25">
      <c r="A548" s="55">
        <f t="shared" si="81"/>
        <v>117</v>
      </c>
      <c r="B548" s="56">
        <v>44380</v>
      </c>
      <c r="C548" s="58" t="s">
        <v>1526</v>
      </c>
      <c r="D548" s="58"/>
      <c r="E548" s="58"/>
      <c r="F548" s="112" t="s">
        <v>1133</v>
      </c>
      <c r="G548" s="126" t="s">
        <v>136</v>
      </c>
      <c r="H548" s="45">
        <v>1600000</v>
      </c>
      <c r="I548" s="380" t="s">
        <v>1345</v>
      </c>
      <c r="J548" s="301">
        <v>44403</v>
      </c>
      <c r="K548" s="460">
        <f t="shared" si="76"/>
        <v>1600000</v>
      </c>
      <c r="L548" s="460"/>
      <c r="M548" s="459"/>
      <c r="N548" s="459"/>
      <c r="O548" s="459"/>
      <c r="P548" s="459">
        <v>1600000</v>
      </c>
      <c r="Q548" s="28">
        <f t="shared" si="87"/>
        <v>0</v>
      </c>
      <c r="R548" s="199"/>
      <c r="S548" s="197">
        <v>44435</v>
      </c>
      <c r="T548" s="199">
        <v>30</v>
      </c>
      <c r="U548" s="24">
        <f t="shared" si="84"/>
        <v>44433</v>
      </c>
      <c r="V548"/>
      <c r="W548"/>
      <c r="X548"/>
      <c r="Y548"/>
      <c r="Z548"/>
      <c r="AA548"/>
      <c r="AB548"/>
      <c r="AC548"/>
      <c r="AD548"/>
      <c r="AE548"/>
      <c r="AF548"/>
      <c r="AG548"/>
      <c r="AH548"/>
      <c r="AI548"/>
      <c r="AJ548"/>
      <c r="AK548"/>
      <c r="AL548"/>
      <c r="AM548"/>
      <c r="AN548"/>
      <c r="AO548"/>
      <c r="AP548"/>
      <c r="AQ548"/>
    </row>
    <row r="549" spans="1:43" s="10" customFormat="1" ht="15.75" customHeight="1" x14ac:dyDescent="0.25">
      <c r="A549" s="55">
        <f t="shared" si="81"/>
        <v>118</v>
      </c>
      <c r="B549" s="56">
        <v>44398</v>
      </c>
      <c r="C549" s="58"/>
      <c r="D549" s="58"/>
      <c r="E549" s="58"/>
      <c r="F549" s="123" t="s">
        <v>53</v>
      </c>
      <c r="G549" s="126" t="s">
        <v>1117</v>
      </c>
      <c r="H549" s="45">
        <v>4200000</v>
      </c>
      <c r="I549" s="380" t="s">
        <v>1346</v>
      </c>
      <c r="J549" s="301">
        <v>44403</v>
      </c>
      <c r="K549" s="460">
        <f t="shared" si="76"/>
        <v>4200000</v>
      </c>
      <c r="L549" s="460"/>
      <c r="M549" s="459"/>
      <c r="N549" s="459"/>
      <c r="O549" s="459"/>
      <c r="P549" s="459">
        <v>4200000</v>
      </c>
      <c r="Q549" s="28">
        <f t="shared" si="87"/>
        <v>0</v>
      </c>
      <c r="R549" s="199"/>
      <c r="S549" s="197">
        <v>44407</v>
      </c>
      <c r="T549" s="2">
        <v>14</v>
      </c>
      <c r="U549" s="24">
        <f t="shared" si="84"/>
        <v>44417</v>
      </c>
      <c r="V549"/>
      <c r="W549"/>
      <c r="X549"/>
      <c r="Y549"/>
      <c r="Z549"/>
      <c r="AA549"/>
      <c r="AB549"/>
      <c r="AC549"/>
      <c r="AD549"/>
      <c r="AE549"/>
      <c r="AF549"/>
      <c r="AG549"/>
      <c r="AH549"/>
      <c r="AI549"/>
      <c r="AJ549"/>
      <c r="AK549"/>
      <c r="AL549"/>
      <c r="AM549"/>
      <c r="AN549"/>
      <c r="AO549"/>
      <c r="AP549"/>
      <c r="AQ549"/>
    </row>
    <row r="550" spans="1:43" s="10" customFormat="1" ht="15.75" customHeight="1" x14ac:dyDescent="0.25">
      <c r="A550" s="55">
        <f t="shared" si="81"/>
        <v>119</v>
      </c>
      <c r="B550" s="466">
        <v>44392</v>
      </c>
      <c r="C550" s="264"/>
      <c r="D550" s="264"/>
      <c r="E550" s="264"/>
      <c r="F550" s="571" t="s">
        <v>1043</v>
      </c>
      <c r="G550" s="266" t="s">
        <v>1348</v>
      </c>
      <c r="H550" s="267">
        <v>9000000</v>
      </c>
      <c r="I550" s="384" t="s">
        <v>1347</v>
      </c>
      <c r="J550" s="268">
        <v>44403</v>
      </c>
      <c r="K550" s="270">
        <f t="shared" si="76"/>
        <v>9000000</v>
      </c>
      <c r="L550" s="270">
        <v>3000000</v>
      </c>
      <c r="M550" s="270"/>
      <c r="N550" s="270"/>
      <c r="O550" s="270"/>
      <c r="P550" s="270"/>
      <c r="Q550" s="417">
        <f t="shared" si="87"/>
        <v>6000000</v>
      </c>
      <c r="R550" s="268">
        <v>44396</v>
      </c>
      <c r="S550" s="263"/>
      <c r="T550" s="263">
        <v>14</v>
      </c>
      <c r="U550" s="24">
        <f t="shared" si="84"/>
        <v>44417</v>
      </c>
      <c r="V550" s="668" t="s">
        <v>1485</v>
      </c>
      <c r="W550"/>
      <c r="X550"/>
      <c r="Y550"/>
      <c r="Z550"/>
      <c r="AA550"/>
      <c r="AB550"/>
      <c r="AC550"/>
      <c r="AD550"/>
      <c r="AE550"/>
      <c r="AF550"/>
      <c r="AG550"/>
      <c r="AH550"/>
      <c r="AI550"/>
      <c r="AJ550"/>
      <c r="AK550"/>
      <c r="AL550"/>
      <c r="AM550"/>
      <c r="AN550"/>
      <c r="AO550"/>
      <c r="AP550"/>
      <c r="AQ550"/>
    </row>
    <row r="551" spans="1:43" s="10" customFormat="1" ht="15.75" customHeight="1" x14ac:dyDescent="0.25">
      <c r="A551" s="55">
        <f t="shared" si="81"/>
        <v>120</v>
      </c>
      <c r="B551" s="56">
        <v>44356</v>
      </c>
      <c r="C551" s="58">
        <v>524</v>
      </c>
      <c r="D551" s="58"/>
      <c r="E551" s="58"/>
      <c r="F551" s="110" t="s">
        <v>260</v>
      </c>
      <c r="G551" s="126" t="s">
        <v>155</v>
      </c>
      <c r="H551" s="45">
        <v>2000000</v>
      </c>
      <c r="I551" s="380" t="s">
        <v>1351</v>
      </c>
      <c r="J551" s="507">
        <v>44404</v>
      </c>
      <c r="K551" s="460">
        <f t="shared" si="76"/>
        <v>2000000</v>
      </c>
      <c r="L551" s="460"/>
      <c r="M551" s="459"/>
      <c r="N551" s="459"/>
      <c r="O551" s="459"/>
      <c r="P551" s="459">
        <v>2000000</v>
      </c>
      <c r="Q551" s="28">
        <f t="shared" si="87"/>
        <v>0</v>
      </c>
      <c r="R551" s="197"/>
      <c r="S551" s="197">
        <v>44416</v>
      </c>
      <c r="T551" s="2">
        <v>30</v>
      </c>
      <c r="U551" s="24">
        <f t="shared" si="84"/>
        <v>44434</v>
      </c>
      <c r="V551"/>
      <c r="W551"/>
      <c r="X551"/>
      <c r="Y551"/>
      <c r="Z551"/>
      <c r="AA551"/>
      <c r="AB551"/>
      <c r="AC551"/>
      <c r="AD551"/>
      <c r="AE551"/>
      <c r="AF551"/>
      <c r="AG551"/>
      <c r="AH551"/>
      <c r="AI551"/>
      <c r="AJ551"/>
      <c r="AK551"/>
      <c r="AL551"/>
      <c r="AM551"/>
      <c r="AN551"/>
      <c r="AO551"/>
      <c r="AP551"/>
      <c r="AQ551"/>
    </row>
    <row r="552" spans="1:43" s="10" customFormat="1" ht="15.75" customHeight="1" x14ac:dyDescent="0.25">
      <c r="A552" s="55">
        <f t="shared" si="81"/>
        <v>121</v>
      </c>
      <c r="B552" s="56">
        <v>44393</v>
      </c>
      <c r="C552" s="58" t="s">
        <v>1354</v>
      </c>
      <c r="D552" s="58"/>
      <c r="E552" s="58"/>
      <c r="F552" s="123" t="s">
        <v>1474</v>
      </c>
      <c r="G552" s="126" t="s">
        <v>467</v>
      </c>
      <c r="H552" s="45">
        <v>800000</v>
      </c>
      <c r="I552" s="380" t="s">
        <v>1353</v>
      </c>
      <c r="J552" s="507">
        <v>44404</v>
      </c>
      <c r="K552" s="460">
        <f t="shared" si="76"/>
        <v>800000</v>
      </c>
      <c r="L552" s="460"/>
      <c r="M552" s="459"/>
      <c r="N552" s="459"/>
      <c r="O552" s="459"/>
      <c r="P552" s="459">
        <v>800000</v>
      </c>
      <c r="Q552" s="28">
        <f t="shared" si="87"/>
        <v>0</v>
      </c>
      <c r="R552" s="199"/>
      <c r="S552" s="197">
        <v>44406</v>
      </c>
      <c r="T552" s="199">
        <v>14</v>
      </c>
      <c r="U552" s="24">
        <f t="shared" si="84"/>
        <v>44418</v>
      </c>
      <c r="V552"/>
      <c r="W552"/>
      <c r="X552"/>
      <c r="Y552"/>
      <c r="Z552"/>
      <c r="AA552"/>
      <c r="AB552"/>
      <c r="AC552"/>
      <c r="AD552"/>
      <c r="AE552"/>
      <c r="AF552"/>
      <c r="AG552"/>
      <c r="AH552"/>
      <c r="AI552"/>
      <c r="AJ552"/>
      <c r="AK552"/>
      <c r="AL552"/>
      <c r="AM552"/>
      <c r="AN552"/>
      <c r="AO552"/>
      <c r="AP552"/>
      <c r="AQ552"/>
    </row>
    <row r="553" spans="1:43" s="10" customFormat="1" ht="15.75" customHeight="1" x14ac:dyDescent="0.25">
      <c r="A553" s="55">
        <f t="shared" si="81"/>
        <v>122</v>
      </c>
      <c r="B553" s="466">
        <v>44376</v>
      </c>
      <c r="C553" s="264" t="s">
        <v>1357</v>
      </c>
      <c r="D553" s="264"/>
      <c r="E553" s="264"/>
      <c r="F553" s="571" t="s">
        <v>1356</v>
      </c>
      <c r="G553" s="266" t="s">
        <v>774</v>
      </c>
      <c r="H553" s="267">
        <v>3000000</v>
      </c>
      <c r="I553" s="384" t="s">
        <v>1355</v>
      </c>
      <c r="J553" s="268">
        <v>44404</v>
      </c>
      <c r="K553" s="270">
        <f t="shared" si="76"/>
        <v>3000000</v>
      </c>
      <c r="L553" s="270"/>
      <c r="M553" s="270"/>
      <c r="N553" s="270"/>
      <c r="O553" s="270"/>
      <c r="P553" s="270"/>
      <c r="Q553" s="417">
        <f t="shared" si="87"/>
        <v>3000000</v>
      </c>
      <c r="R553" s="263"/>
      <c r="S553" s="263"/>
      <c r="T553" s="263">
        <v>30</v>
      </c>
      <c r="U553" s="24">
        <f t="shared" si="84"/>
        <v>44434</v>
      </c>
      <c r="V553" s="668" t="s">
        <v>1485</v>
      </c>
      <c r="W553"/>
      <c r="X553"/>
      <c r="Y553"/>
      <c r="Z553"/>
      <c r="AA553"/>
      <c r="AB553"/>
      <c r="AC553"/>
      <c r="AD553"/>
      <c r="AE553"/>
      <c r="AF553"/>
      <c r="AG553"/>
      <c r="AH553"/>
      <c r="AI553"/>
      <c r="AJ553"/>
      <c r="AK553"/>
      <c r="AL553"/>
      <c r="AM553"/>
      <c r="AN553"/>
      <c r="AO553"/>
      <c r="AP553"/>
      <c r="AQ553"/>
    </row>
    <row r="554" spans="1:43" s="10" customFormat="1" ht="15.75" customHeight="1" x14ac:dyDescent="0.25">
      <c r="A554" s="55">
        <f t="shared" si="81"/>
        <v>123</v>
      </c>
      <c r="B554" s="56">
        <v>44382</v>
      </c>
      <c r="C554" s="58" t="s">
        <v>1360</v>
      </c>
      <c r="D554" s="58"/>
      <c r="E554" s="58"/>
      <c r="F554" s="123" t="s">
        <v>1359</v>
      </c>
      <c r="G554" s="126" t="s">
        <v>1361</v>
      </c>
      <c r="H554" s="45">
        <v>4000000</v>
      </c>
      <c r="I554" s="380" t="s">
        <v>1358</v>
      </c>
      <c r="J554" s="301">
        <v>44404</v>
      </c>
      <c r="K554" s="460">
        <f t="shared" si="76"/>
        <v>4000000</v>
      </c>
      <c r="L554" s="460"/>
      <c r="M554" s="459"/>
      <c r="N554" s="459"/>
      <c r="O554" s="459"/>
      <c r="P554" s="459">
        <v>4000000</v>
      </c>
      <c r="Q554" s="28">
        <f t="shared" si="87"/>
        <v>0</v>
      </c>
      <c r="R554" s="197"/>
      <c r="S554" s="197">
        <v>44382</v>
      </c>
      <c r="T554" s="199">
        <v>14</v>
      </c>
      <c r="U554" s="24">
        <f t="shared" si="84"/>
        <v>44418</v>
      </c>
      <c r="V554" t="s">
        <v>1774</v>
      </c>
      <c r="W554"/>
      <c r="X554"/>
      <c r="Y554"/>
      <c r="Z554"/>
      <c r="AA554"/>
      <c r="AB554"/>
      <c r="AC554"/>
      <c r="AD554"/>
      <c r="AE554"/>
      <c r="AF554"/>
      <c r="AG554"/>
      <c r="AH554"/>
      <c r="AI554"/>
      <c r="AJ554"/>
      <c r="AK554"/>
      <c r="AL554"/>
      <c r="AM554"/>
      <c r="AN554"/>
      <c r="AO554"/>
      <c r="AP554"/>
      <c r="AQ554"/>
    </row>
    <row r="555" spans="1:43" s="10" customFormat="1" ht="15.75" customHeight="1" x14ac:dyDescent="0.25">
      <c r="A555" s="55">
        <f t="shared" si="81"/>
        <v>124</v>
      </c>
      <c r="B555" s="56" t="s">
        <v>1365</v>
      </c>
      <c r="C555" s="58" t="s">
        <v>1363</v>
      </c>
      <c r="D555" s="58"/>
      <c r="E555" s="58"/>
      <c r="F555" s="123" t="s">
        <v>1364</v>
      </c>
      <c r="G555" s="126" t="s">
        <v>582</v>
      </c>
      <c r="H555" s="45">
        <v>5500000</v>
      </c>
      <c r="I555" s="380" t="s">
        <v>1362</v>
      </c>
      <c r="J555" s="301">
        <v>44404</v>
      </c>
      <c r="K555" s="460">
        <f t="shared" si="76"/>
        <v>5500000</v>
      </c>
      <c r="L555" s="460"/>
      <c r="M555" s="459"/>
      <c r="N555" s="459"/>
      <c r="O555" s="459"/>
      <c r="P555" s="459">
        <f>'rekap tm'!E146</f>
        <v>5500000</v>
      </c>
      <c r="Q555" s="28">
        <f t="shared" si="87"/>
        <v>0</v>
      </c>
      <c r="R555" s="199"/>
      <c r="S555" s="484">
        <v>44435</v>
      </c>
      <c r="T555" s="2">
        <v>14</v>
      </c>
      <c r="U555" s="24">
        <f t="shared" si="84"/>
        <v>44418</v>
      </c>
      <c r="V555"/>
      <c r="W555"/>
      <c r="X555"/>
      <c r="Y555"/>
      <c r="Z555"/>
      <c r="AA555"/>
      <c r="AB555"/>
      <c r="AC555"/>
      <c r="AD555"/>
      <c r="AE555"/>
      <c r="AF555"/>
      <c r="AG555"/>
      <c r="AH555"/>
      <c r="AI555"/>
      <c r="AJ555"/>
      <c r="AK555"/>
      <c r="AL555"/>
      <c r="AM555"/>
      <c r="AN555"/>
      <c r="AO555"/>
      <c r="AP555"/>
      <c r="AQ555"/>
    </row>
    <row r="556" spans="1:43" s="10" customFormat="1" ht="15.75" customHeight="1" x14ac:dyDescent="0.25">
      <c r="A556" s="55">
        <f t="shared" si="81"/>
        <v>125</v>
      </c>
      <c r="B556" s="56">
        <v>44394</v>
      </c>
      <c r="C556" s="58" t="s">
        <v>1367</v>
      </c>
      <c r="D556" s="58"/>
      <c r="E556" s="58"/>
      <c r="F556" s="123" t="s">
        <v>1364</v>
      </c>
      <c r="G556" s="126" t="s">
        <v>462</v>
      </c>
      <c r="H556" s="45">
        <v>4000000</v>
      </c>
      <c r="I556" s="380" t="s">
        <v>1366</v>
      </c>
      <c r="J556" s="301">
        <v>44404</v>
      </c>
      <c r="K556" s="460">
        <f t="shared" ref="K556:K587" si="88">H556</f>
        <v>4000000</v>
      </c>
      <c r="L556" s="460"/>
      <c r="M556" s="459"/>
      <c r="N556" s="459"/>
      <c r="O556" s="459"/>
      <c r="P556" s="459">
        <f>'rekap tm'!E149</f>
        <v>4000000</v>
      </c>
      <c r="Q556" s="28">
        <f t="shared" si="87"/>
        <v>0</v>
      </c>
      <c r="R556" s="199"/>
      <c r="S556" s="484">
        <v>44435</v>
      </c>
      <c r="T556" s="2">
        <v>14</v>
      </c>
      <c r="U556" s="24">
        <f t="shared" si="84"/>
        <v>44418</v>
      </c>
      <c r="V556"/>
      <c r="W556"/>
      <c r="X556"/>
      <c r="Y556"/>
      <c r="Z556"/>
      <c r="AA556"/>
      <c r="AB556"/>
      <c r="AC556"/>
      <c r="AD556"/>
      <c r="AE556"/>
      <c r="AF556"/>
      <c r="AG556"/>
      <c r="AH556"/>
      <c r="AI556"/>
      <c r="AJ556"/>
      <c r="AK556"/>
      <c r="AL556"/>
      <c r="AM556"/>
      <c r="AN556"/>
      <c r="AO556"/>
      <c r="AP556"/>
      <c r="AQ556"/>
    </row>
    <row r="557" spans="1:43" s="10" customFormat="1" ht="15.75" customHeight="1" x14ac:dyDescent="0.25">
      <c r="A557" s="55">
        <f t="shared" si="81"/>
        <v>126</v>
      </c>
      <c r="B557" s="56">
        <v>44405</v>
      </c>
      <c r="C557" s="58" t="s">
        <v>1445</v>
      </c>
      <c r="D557" s="58"/>
      <c r="E557" s="58"/>
      <c r="F557" s="123" t="s">
        <v>1444</v>
      </c>
      <c r="G557" s="126" t="s">
        <v>988</v>
      </c>
      <c r="H557" s="45">
        <v>6500000</v>
      </c>
      <c r="I557" s="380" t="s">
        <v>1446</v>
      </c>
      <c r="J557" s="301">
        <v>44405</v>
      </c>
      <c r="K557" s="460">
        <f t="shared" si="88"/>
        <v>6500000</v>
      </c>
      <c r="L557" s="460"/>
      <c r="M557" s="459"/>
      <c r="N557" s="459"/>
      <c r="O557" s="459"/>
      <c r="P557" s="459">
        <v>6500000</v>
      </c>
      <c r="Q557" s="28">
        <f t="shared" si="87"/>
        <v>0</v>
      </c>
      <c r="R557" s="197"/>
      <c r="S557" s="197">
        <v>44405</v>
      </c>
      <c r="T557" s="199">
        <v>14</v>
      </c>
      <c r="U557" s="24">
        <f t="shared" si="84"/>
        <v>44419</v>
      </c>
      <c r="V557"/>
      <c r="W557"/>
      <c r="X557"/>
      <c r="Y557"/>
      <c r="Z557"/>
      <c r="AA557"/>
      <c r="AB557"/>
      <c r="AC557"/>
      <c r="AD557"/>
      <c r="AE557"/>
      <c r="AF557"/>
      <c r="AG557"/>
      <c r="AH557"/>
      <c r="AI557"/>
      <c r="AJ557"/>
      <c r="AK557"/>
      <c r="AL557"/>
      <c r="AM557"/>
      <c r="AN557"/>
      <c r="AO557"/>
      <c r="AP557"/>
      <c r="AQ557"/>
    </row>
    <row r="558" spans="1:43" s="10" customFormat="1" ht="15.75" customHeight="1" x14ac:dyDescent="0.25">
      <c r="A558" s="55">
        <f t="shared" si="81"/>
        <v>127</v>
      </c>
      <c r="B558" s="56">
        <v>44403</v>
      </c>
      <c r="C558" s="58" t="s">
        <v>1449</v>
      </c>
      <c r="D558" s="58"/>
      <c r="E558" s="58"/>
      <c r="F558" s="123" t="s">
        <v>1447</v>
      </c>
      <c r="G558" s="126" t="s">
        <v>774</v>
      </c>
      <c r="H558" s="45">
        <v>600000</v>
      </c>
      <c r="I558" s="380" t="s">
        <v>1448</v>
      </c>
      <c r="J558" s="301">
        <v>44405</v>
      </c>
      <c r="K558" s="460">
        <f t="shared" si="88"/>
        <v>600000</v>
      </c>
      <c r="L558" s="460"/>
      <c r="M558" s="459"/>
      <c r="N558" s="459"/>
      <c r="O558" s="459"/>
      <c r="P558" s="459">
        <v>600000</v>
      </c>
      <c r="Q558" s="28">
        <f t="shared" si="87"/>
        <v>0</v>
      </c>
      <c r="R558" s="199"/>
      <c r="S558" s="197">
        <v>44433</v>
      </c>
      <c r="T558" s="199">
        <v>14</v>
      </c>
      <c r="U558" s="24">
        <f t="shared" si="84"/>
        <v>44419</v>
      </c>
      <c r="V558" t="s">
        <v>1450</v>
      </c>
      <c r="W558"/>
      <c r="X558"/>
      <c r="Y558"/>
      <c r="Z558"/>
      <c r="AA558"/>
      <c r="AB558"/>
      <c r="AC558"/>
      <c r="AD558"/>
      <c r="AE558"/>
      <c r="AF558"/>
      <c r="AG558"/>
      <c r="AH558"/>
      <c r="AI558"/>
      <c r="AJ558"/>
      <c r="AK558"/>
      <c r="AL558"/>
      <c r="AM558"/>
      <c r="AN558"/>
      <c r="AO558"/>
      <c r="AP558"/>
      <c r="AQ558"/>
    </row>
    <row r="559" spans="1:43" s="10" customFormat="1" ht="15.75" customHeight="1" x14ac:dyDescent="0.25">
      <c r="A559" s="55">
        <f t="shared" si="81"/>
        <v>128</v>
      </c>
      <c r="B559" s="56">
        <v>44405</v>
      </c>
      <c r="C559" s="58"/>
      <c r="D559" s="58"/>
      <c r="E559" s="58"/>
      <c r="F559" s="123" t="s">
        <v>1451</v>
      </c>
      <c r="G559" s="126" t="s">
        <v>988</v>
      </c>
      <c r="H559" s="45">
        <v>2820000</v>
      </c>
      <c r="I559" s="380" t="s">
        <v>1452</v>
      </c>
      <c r="J559" s="301">
        <v>44406</v>
      </c>
      <c r="K559" s="460">
        <f t="shared" si="88"/>
        <v>2820000</v>
      </c>
      <c r="L559" s="460"/>
      <c r="M559" s="459"/>
      <c r="N559" s="459"/>
      <c r="O559" s="459"/>
      <c r="P559" s="459">
        <v>2820000</v>
      </c>
      <c r="Q559" s="28">
        <f t="shared" si="87"/>
        <v>0</v>
      </c>
      <c r="R559" s="199"/>
      <c r="S559" s="197">
        <v>44410</v>
      </c>
      <c r="T559" s="199">
        <v>14</v>
      </c>
      <c r="U559" s="24">
        <f t="shared" si="84"/>
        <v>44420</v>
      </c>
      <c r="V559" t="s">
        <v>1453</v>
      </c>
      <c r="W559"/>
      <c r="X559"/>
      <c r="Y559"/>
      <c r="Z559"/>
      <c r="AA559"/>
      <c r="AB559"/>
      <c r="AC559"/>
      <c r="AD559"/>
      <c r="AE559"/>
      <c r="AF559"/>
      <c r="AG559"/>
      <c r="AH559"/>
      <c r="AI559"/>
      <c r="AJ559"/>
      <c r="AK559"/>
      <c r="AL559"/>
      <c r="AM559"/>
      <c r="AN559"/>
      <c r="AO559"/>
      <c r="AP559"/>
      <c r="AQ559"/>
    </row>
    <row r="560" spans="1:43" s="10" customFormat="1" ht="15.75" customHeight="1" x14ac:dyDescent="0.25">
      <c r="A560" s="55">
        <f t="shared" si="81"/>
        <v>129</v>
      </c>
      <c r="B560" s="56"/>
      <c r="C560" s="58"/>
      <c r="D560" s="58"/>
      <c r="E560" s="58"/>
      <c r="F560" s="123" t="s">
        <v>1455</v>
      </c>
      <c r="G560" s="126" t="s">
        <v>713</v>
      </c>
      <c r="H560" s="45">
        <v>4976000</v>
      </c>
      <c r="I560" s="380" t="s">
        <v>1454</v>
      </c>
      <c r="J560" s="301">
        <v>44406</v>
      </c>
      <c r="K560" s="460">
        <f t="shared" si="88"/>
        <v>4976000</v>
      </c>
      <c r="L560" s="460"/>
      <c r="M560" s="459"/>
      <c r="N560" s="459"/>
      <c r="O560" s="459"/>
      <c r="P560" s="459">
        <v>4976000</v>
      </c>
      <c r="Q560" s="28">
        <f t="shared" si="87"/>
        <v>0</v>
      </c>
      <c r="R560" s="199"/>
      <c r="S560" s="199"/>
      <c r="T560" s="199">
        <v>14</v>
      </c>
      <c r="U560" s="24">
        <f t="shared" si="84"/>
        <v>44420</v>
      </c>
      <c r="V560" t="s">
        <v>1484</v>
      </c>
      <c r="W560"/>
      <c r="X560"/>
      <c r="Y560"/>
      <c r="Z560"/>
      <c r="AA560"/>
      <c r="AB560"/>
      <c r="AC560"/>
      <c r="AD560"/>
      <c r="AE560"/>
      <c r="AF560"/>
      <c r="AG560"/>
      <c r="AH560"/>
      <c r="AI560"/>
      <c r="AJ560"/>
      <c r="AK560"/>
      <c r="AL560"/>
      <c r="AM560"/>
      <c r="AN560"/>
      <c r="AO560"/>
      <c r="AP560"/>
      <c r="AQ560"/>
    </row>
    <row r="561" spans="1:43" s="10" customFormat="1" ht="15.75" customHeight="1" x14ac:dyDescent="0.25">
      <c r="A561" s="55">
        <f t="shared" si="81"/>
        <v>130</v>
      </c>
      <c r="B561" s="56">
        <v>44391</v>
      </c>
      <c r="C561" s="58" t="s">
        <v>1117</v>
      </c>
      <c r="D561" s="58"/>
      <c r="E561" s="58"/>
      <c r="F561" s="123" t="s">
        <v>933</v>
      </c>
      <c r="G561" s="126" t="s">
        <v>1443</v>
      </c>
      <c r="H561" s="45">
        <v>22504500</v>
      </c>
      <c r="I561" s="380" t="s">
        <v>1487</v>
      </c>
      <c r="J561" s="301">
        <v>44406</v>
      </c>
      <c r="K561" s="460">
        <f t="shared" si="88"/>
        <v>22504500</v>
      </c>
      <c r="L561" s="460"/>
      <c r="M561" s="459"/>
      <c r="N561" s="459"/>
      <c r="O561" s="459"/>
      <c r="P561" s="459">
        <f>'rekap tm'!E137</f>
        <v>22504500</v>
      </c>
      <c r="Q561" s="28">
        <f t="shared" si="87"/>
        <v>0</v>
      </c>
      <c r="R561" s="199"/>
      <c r="S561" s="484">
        <v>44424</v>
      </c>
      <c r="T561" s="2">
        <v>14</v>
      </c>
      <c r="U561" s="24">
        <f t="shared" si="84"/>
        <v>44420</v>
      </c>
      <c r="V561" t="s">
        <v>1483</v>
      </c>
      <c r="W561"/>
      <c r="X561"/>
      <c r="Y561"/>
      <c r="Z561"/>
      <c r="AA561"/>
      <c r="AB561"/>
      <c r="AC561"/>
      <c r="AD561"/>
      <c r="AE561"/>
      <c r="AF561"/>
      <c r="AG561"/>
      <c r="AH561"/>
      <c r="AI561"/>
      <c r="AJ561"/>
      <c r="AK561"/>
      <c r="AL561"/>
      <c r="AM561"/>
      <c r="AN561"/>
      <c r="AO561"/>
      <c r="AP561"/>
      <c r="AQ561"/>
    </row>
    <row r="562" spans="1:43" s="10" customFormat="1" ht="15.75" customHeight="1" x14ac:dyDescent="0.25">
      <c r="A562" s="55">
        <f t="shared" ref="A562:A606" si="89">A561+1</f>
        <v>131</v>
      </c>
      <c r="B562" s="56">
        <v>44393</v>
      </c>
      <c r="C562" s="58" t="s">
        <v>1117</v>
      </c>
      <c r="D562" s="58"/>
      <c r="E562" s="58"/>
      <c r="F562" s="123" t="s">
        <v>933</v>
      </c>
      <c r="G562" s="334" t="s">
        <v>1466</v>
      </c>
      <c r="H562" s="45">
        <v>1200000</v>
      </c>
      <c r="I562" s="380" t="s">
        <v>1488</v>
      </c>
      <c r="J562" s="301">
        <v>44406</v>
      </c>
      <c r="K562" s="460">
        <f t="shared" si="88"/>
        <v>1200000</v>
      </c>
      <c r="L562" s="460"/>
      <c r="M562" s="459"/>
      <c r="N562" s="459"/>
      <c r="O562" s="459"/>
      <c r="P562" s="459">
        <f>'rekap tm'!E140</f>
        <v>1200000</v>
      </c>
      <c r="Q562" s="28">
        <f t="shared" si="87"/>
        <v>0</v>
      </c>
      <c r="R562" s="199"/>
      <c r="S562" s="484">
        <v>44424</v>
      </c>
      <c r="T562" s="2">
        <v>14</v>
      </c>
      <c r="U562" s="24">
        <f t="shared" si="84"/>
        <v>44420</v>
      </c>
      <c r="V562" t="s">
        <v>1483</v>
      </c>
      <c r="W562"/>
      <c r="X562"/>
      <c r="Y562"/>
      <c r="Z562"/>
      <c r="AA562"/>
      <c r="AB562"/>
      <c r="AC562"/>
      <c r="AD562"/>
      <c r="AE562"/>
      <c r="AF562"/>
      <c r="AG562"/>
      <c r="AH562"/>
      <c r="AI562"/>
      <c r="AJ562"/>
      <c r="AK562"/>
      <c r="AL562"/>
      <c r="AM562"/>
      <c r="AN562"/>
      <c r="AO562"/>
      <c r="AP562"/>
      <c r="AQ562"/>
    </row>
    <row r="563" spans="1:43" s="10" customFormat="1" ht="15.75" customHeight="1" x14ac:dyDescent="0.25">
      <c r="A563" s="55">
        <f t="shared" si="89"/>
        <v>132</v>
      </c>
      <c r="B563" s="56">
        <v>44403</v>
      </c>
      <c r="C563" s="58" t="s">
        <v>1468</v>
      </c>
      <c r="D563" s="58"/>
      <c r="E563" s="58"/>
      <c r="F563" s="123" t="s">
        <v>1467</v>
      </c>
      <c r="G563" s="334" t="s">
        <v>1469</v>
      </c>
      <c r="H563" s="45">
        <v>375000</v>
      </c>
      <c r="I563" s="380" t="s">
        <v>1489</v>
      </c>
      <c r="J563" s="301">
        <v>44407</v>
      </c>
      <c r="K563" s="460">
        <f t="shared" si="88"/>
        <v>375000</v>
      </c>
      <c r="L563" s="460"/>
      <c r="M563" s="459"/>
      <c r="N563" s="459"/>
      <c r="O563" s="459"/>
      <c r="P563" s="459">
        <v>375000</v>
      </c>
      <c r="Q563" s="28">
        <f t="shared" si="87"/>
        <v>0</v>
      </c>
      <c r="R563" s="199"/>
      <c r="S563" s="197">
        <v>44408</v>
      </c>
      <c r="T563" s="199">
        <v>14</v>
      </c>
      <c r="U563" s="24">
        <f t="shared" si="84"/>
        <v>44421</v>
      </c>
      <c r="V563" t="s">
        <v>1482</v>
      </c>
      <c r="W563"/>
      <c r="X563"/>
      <c r="Y563"/>
      <c r="Z563"/>
      <c r="AA563"/>
      <c r="AB563"/>
      <c r="AC563"/>
      <c r="AD563"/>
      <c r="AE563"/>
      <c r="AF563"/>
      <c r="AG563"/>
      <c r="AH563"/>
      <c r="AI563"/>
      <c r="AJ563"/>
      <c r="AK563"/>
      <c r="AL563"/>
      <c r="AM563"/>
      <c r="AN563"/>
      <c r="AO563"/>
      <c r="AP563"/>
      <c r="AQ563"/>
    </row>
    <row r="564" spans="1:43" s="10" customFormat="1" ht="15.75" customHeight="1" x14ac:dyDescent="0.25">
      <c r="A564" s="55">
        <f t="shared" si="89"/>
        <v>133</v>
      </c>
      <c r="B564" s="56">
        <v>44403</v>
      </c>
      <c r="C564" s="58" t="s">
        <v>1472</v>
      </c>
      <c r="D564" s="58"/>
      <c r="E564" s="58"/>
      <c r="F564" s="123" t="s">
        <v>1474</v>
      </c>
      <c r="G564" s="334" t="s">
        <v>467</v>
      </c>
      <c r="H564" s="45">
        <v>800000</v>
      </c>
      <c r="I564" s="380" t="s">
        <v>1471</v>
      </c>
      <c r="J564" s="301">
        <v>44407</v>
      </c>
      <c r="K564" s="460">
        <f t="shared" si="88"/>
        <v>800000</v>
      </c>
      <c r="L564" s="460"/>
      <c r="M564" s="459"/>
      <c r="N564" s="459"/>
      <c r="O564" s="459"/>
      <c r="P564" s="459">
        <v>800000</v>
      </c>
      <c r="Q564" s="28">
        <f t="shared" si="87"/>
        <v>0</v>
      </c>
      <c r="R564" s="199"/>
      <c r="S564" s="197">
        <v>44423</v>
      </c>
      <c r="T564" s="199">
        <v>14</v>
      </c>
      <c r="U564" s="24">
        <f t="shared" si="84"/>
        <v>44421</v>
      </c>
      <c r="V564" t="s">
        <v>1473</v>
      </c>
      <c r="W564"/>
      <c r="X564"/>
      <c r="Y564"/>
      <c r="Z564"/>
      <c r="AA564"/>
      <c r="AB564"/>
      <c r="AC564"/>
      <c r="AD564"/>
      <c r="AE564"/>
      <c r="AF564"/>
      <c r="AG564"/>
      <c r="AH564"/>
      <c r="AI564"/>
      <c r="AJ564"/>
      <c r="AK564"/>
      <c r="AL564"/>
      <c r="AM564"/>
      <c r="AN564"/>
      <c r="AO564"/>
      <c r="AP564"/>
      <c r="AQ564"/>
    </row>
    <row r="565" spans="1:43" s="10" customFormat="1" ht="15.75" customHeight="1" x14ac:dyDescent="0.25">
      <c r="A565" s="55">
        <f t="shared" si="89"/>
        <v>134</v>
      </c>
      <c r="B565" s="56">
        <v>44403</v>
      </c>
      <c r="C565" s="58" t="s">
        <v>1476</v>
      </c>
      <c r="D565" s="58"/>
      <c r="E565" s="58"/>
      <c r="F565" s="123" t="s">
        <v>1070</v>
      </c>
      <c r="G565" s="334" t="s">
        <v>467</v>
      </c>
      <c r="H565" s="45">
        <v>1600000</v>
      </c>
      <c r="I565" s="380" t="s">
        <v>1475</v>
      </c>
      <c r="J565" s="301">
        <v>44407</v>
      </c>
      <c r="K565" s="460">
        <f t="shared" si="88"/>
        <v>1600000</v>
      </c>
      <c r="L565" s="460"/>
      <c r="M565" s="459"/>
      <c r="N565" s="459"/>
      <c r="O565" s="459"/>
      <c r="P565" s="459">
        <v>1600000</v>
      </c>
      <c r="Q565" s="28">
        <f t="shared" si="87"/>
        <v>0</v>
      </c>
      <c r="R565" s="199"/>
      <c r="S565" s="197">
        <v>44415</v>
      </c>
      <c r="T565" s="199">
        <v>14</v>
      </c>
      <c r="U565" s="24">
        <f t="shared" si="84"/>
        <v>44421</v>
      </c>
      <c r="V565" t="s">
        <v>1481</v>
      </c>
      <c r="W565"/>
      <c r="X565"/>
      <c r="Y565"/>
      <c r="Z565"/>
      <c r="AA565"/>
      <c r="AB565"/>
      <c r="AC565"/>
      <c r="AD565"/>
      <c r="AE565"/>
      <c r="AF565"/>
      <c r="AG565"/>
      <c r="AH565"/>
      <c r="AI565"/>
      <c r="AJ565"/>
      <c r="AK565"/>
      <c r="AL565"/>
      <c r="AM565"/>
      <c r="AN565"/>
      <c r="AO565"/>
      <c r="AP565"/>
      <c r="AQ565"/>
    </row>
    <row r="566" spans="1:43" s="10" customFormat="1" ht="15.75" customHeight="1" x14ac:dyDescent="0.25">
      <c r="A566" s="55">
        <f t="shared" si="89"/>
        <v>135</v>
      </c>
      <c r="B566" s="56">
        <v>44405</v>
      </c>
      <c r="C566" s="58" t="s">
        <v>1479</v>
      </c>
      <c r="D566" s="58"/>
      <c r="E566" s="58"/>
      <c r="F566" s="123" t="s">
        <v>1480</v>
      </c>
      <c r="G566" s="334" t="s">
        <v>1478</v>
      </c>
      <c r="H566" s="45">
        <v>1200000</v>
      </c>
      <c r="I566" s="380" t="s">
        <v>1477</v>
      </c>
      <c r="J566" s="301">
        <v>44407</v>
      </c>
      <c r="K566" s="460">
        <f t="shared" si="88"/>
        <v>1200000</v>
      </c>
      <c r="L566" s="460"/>
      <c r="M566" s="459"/>
      <c r="N566" s="459"/>
      <c r="O566" s="459"/>
      <c r="P566" s="459">
        <v>1200000</v>
      </c>
      <c r="Q566" s="28">
        <f t="shared" si="87"/>
        <v>0</v>
      </c>
      <c r="R566" s="199"/>
      <c r="S566" s="197">
        <v>44375</v>
      </c>
      <c r="T566" s="199">
        <v>14</v>
      </c>
      <c r="U566" s="24">
        <f t="shared" si="84"/>
        <v>44421</v>
      </c>
      <c r="V566"/>
      <c r="W566"/>
      <c r="X566"/>
      <c r="Y566"/>
      <c r="Z566"/>
      <c r="AA566"/>
      <c r="AB566"/>
      <c r="AC566"/>
      <c r="AD566"/>
      <c r="AE566"/>
      <c r="AF566"/>
      <c r="AG566"/>
      <c r="AH566"/>
      <c r="AI566"/>
      <c r="AJ566"/>
      <c r="AK566"/>
      <c r="AL566"/>
      <c r="AM566"/>
      <c r="AN566"/>
      <c r="AO566"/>
      <c r="AP566"/>
      <c r="AQ566"/>
    </row>
    <row r="567" spans="1:43" s="10" customFormat="1" ht="15.75" customHeight="1" x14ac:dyDescent="0.25">
      <c r="A567" s="55">
        <f t="shared" si="89"/>
        <v>136</v>
      </c>
      <c r="B567" s="56" t="s">
        <v>1365</v>
      </c>
      <c r="C567" s="58" t="s">
        <v>1490</v>
      </c>
      <c r="D567" s="58"/>
      <c r="E567" s="58"/>
      <c r="F567" s="123" t="s">
        <v>933</v>
      </c>
      <c r="G567" s="334" t="s">
        <v>582</v>
      </c>
      <c r="H567" s="45">
        <v>11000000</v>
      </c>
      <c r="I567" s="380" t="s">
        <v>1491</v>
      </c>
      <c r="J567" s="301">
        <v>44407</v>
      </c>
      <c r="K567" s="460">
        <f t="shared" si="88"/>
        <v>11000000</v>
      </c>
      <c r="L567" s="460"/>
      <c r="M567" s="459"/>
      <c r="N567" s="459"/>
      <c r="O567" s="459"/>
      <c r="P567" s="459">
        <f>'rekap tm'!E152</f>
        <v>11000000</v>
      </c>
      <c r="Q567" s="28">
        <f t="shared" si="87"/>
        <v>0</v>
      </c>
      <c r="R567" s="199"/>
      <c r="S567" s="484">
        <v>44435</v>
      </c>
      <c r="T567" s="2">
        <v>14</v>
      </c>
      <c r="U567" s="24">
        <f t="shared" si="84"/>
        <v>44421</v>
      </c>
      <c r="V567"/>
      <c r="W567"/>
      <c r="X567"/>
      <c r="Y567"/>
      <c r="Z567"/>
      <c r="AA567"/>
      <c r="AB567"/>
      <c r="AC567"/>
      <c r="AD567"/>
      <c r="AE567"/>
      <c r="AF567"/>
      <c r="AG567"/>
      <c r="AH567"/>
      <c r="AI567"/>
      <c r="AJ567"/>
      <c r="AK567"/>
      <c r="AL567"/>
      <c r="AM567"/>
      <c r="AN567"/>
      <c r="AO567"/>
      <c r="AP567"/>
      <c r="AQ567"/>
    </row>
    <row r="568" spans="1:43" s="10" customFormat="1" ht="15.75" customHeight="1" x14ac:dyDescent="0.25">
      <c r="A568" s="55">
        <f t="shared" si="89"/>
        <v>137</v>
      </c>
      <c r="B568" s="56">
        <v>44434</v>
      </c>
      <c r="C568" s="58" t="s">
        <v>1493</v>
      </c>
      <c r="D568" s="58"/>
      <c r="E568" s="58"/>
      <c r="F568" s="112" t="s">
        <v>1133</v>
      </c>
      <c r="G568" s="334" t="s">
        <v>1117</v>
      </c>
      <c r="H568" s="45">
        <v>3548000</v>
      </c>
      <c r="I568" s="380" t="s">
        <v>1492</v>
      </c>
      <c r="J568" s="301">
        <v>44408</v>
      </c>
      <c r="K568" s="460">
        <f t="shared" si="88"/>
        <v>3548000</v>
      </c>
      <c r="L568" s="460"/>
      <c r="M568" s="459"/>
      <c r="N568" s="459"/>
      <c r="O568" s="459">
        <f>H568*2%</f>
        <v>70960</v>
      </c>
      <c r="P568" s="459">
        <v>3477040</v>
      </c>
      <c r="Q568" s="28">
        <f t="shared" si="87"/>
        <v>0</v>
      </c>
      <c r="R568" s="199"/>
      <c r="S568" s="475">
        <v>44449</v>
      </c>
      <c r="T568" s="199">
        <v>30</v>
      </c>
      <c r="U568" s="24">
        <f t="shared" si="84"/>
        <v>44438</v>
      </c>
      <c r="V568"/>
      <c r="W568"/>
      <c r="X568"/>
      <c r="Y568"/>
      <c r="Z568"/>
      <c r="AA568"/>
      <c r="AB568"/>
      <c r="AC568"/>
      <c r="AD568"/>
      <c r="AE568"/>
      <c r="AF568"/>
      <c r="AG568"/>
      <c r="AH568"/>
      <c r="AI568"/>
      <c r="AJ568"/>
      <c r="AK568"/>
      <c r="AL568"/>
      <c r="AM568"/>
      <c r="AN568"/>
      <c r="AO568"/>
      <c r="AP568"/>
      <c r="AQ568"/>
    </row>
    <row r="569" spans="1:43" s="10" customFormat="1" ht="15.75" customHeight="1" x14ac:dyDescent="0.25">
      <c r="A569" s="55">
        <f t="shared" si="89"/>
        <v>138</v>
      </c>
      <c r="B569" s="470">
        <v>44351</v>
      </c>
      <c r="C569" s="58" t="s">
        <v>1495</v>
      </c>
      <c r="D569" s="58"/>
      <c r="E569" s="58" t="s">
        <v>1125</v>
      </c>
      <c r="F569" s="123" t="s">
        <v>2694</v>
      </c>
      <c r="G569" s="333" t="s">
        <v>1496</v>
      </c>
      <c r="H569" s="45">
        <v>180000</v>
      </c>
      <c r="I569" s="380" t="s">
        <v>1494</v>
      </c>
      <c r="J569" s="301">
        <v>44408</v>
      </c>
      <c r="K569" s="460">
        <f t="shared" si="88"/>
        <v>180000</v>
      </c>
      <c r="L569" s="460"/>
      <c r="M569" s="459">
        <v>91800</v>
      </c>
      <c r="N569" s="459"/>
      <c r="O569" s="459"/>
      <c r="P569" s="459">
        <v>88200</v>
      </c>
      <c r="Q569" s="28">
        <f t="shared" si="87"/>
        <v>0</v>
      </c>
      <c r="R569" s="743"/>
      <c r="S569" s="474">
        <v>44516</v>
      </c>
      <c r="T569" s="199">
        <v>14</v>
      </c>
      <c r="U569" s="24">
        <f t="shared" si="84"/>
        <v>44422</v>
      </c>
      <c r="V569"/>
      <c r="W569"/>
      <c r="X569"/>
      <c r="Y569"/>
      <c r="Z569"/>
      <c r="AA569"/>
      <c r="AB569"/>
      <c r="AC569"/>
      <c r="AD569"/>
      <c r="AE569"/>
      <c r="AF569"/>
      <c r="AG569"/>
      <c r="AH569"/>
      <c r="AI569"/>
      <c r="AJ569"/>
      <c r="AK569"/>
      <c r="AL569"/>
      <c r="AM569"/>
      <c r="AN569"/>
      <c r="AO569"/>
      <c r="AP569"/>
      <c r="AQ569"/>
    </row>
    <row r="570" spans="1:43" s="10" customFormat="1" ht="15.75" customHeight="1" x14ac:dyDescent="0.25">
      <c r="A570" s="55">
        <f t="shared" si="89"/>
        <v>139</v>
      </c>
      <c r="B570" s="470">
        <v>44399</v>
      </c>
      <c r="C570" s="448" t="s">
        <v>1499</v>
      </c>
      <c r="D570" s="332"/>
      <c r="E570" s="58" t="s">
        <v>1498</v>
      </c>
      <c r="F570" s="123" t="s">
        <v>2694</v>
      </c>
      <c r="G570" s="334" t="s">
        <v>462</v>
      </c>
      <c r="H570" s="45">
        <v>100000</v>
      </c>
      <c r="I570" s="380" t="s">
        <v>1497</v>
      </c>
      <c r="J570" s="301">
        <v>44408</v>
      </c>
      <c r="K570" s="460">
        <f t="shared" si="88"/>
        <v>100000</v>
      </c>
      <c r="L570" s="460"/>
      <c r="M570" s="459"/>
      <c r="N570" s="459"/>
      <c r="O570" s="459"/>
      <c r="P570" s="459"/>
      <c r="Q570" s="28">
        <f t="shared" si="87"/>
        <v>100000</v>
      </c>
      <c r="R570" s="743"/>
      <c r="S570" s="474"/>
      <c r="T570" s="199">
        <v>14</v>
      </c>
      <c r="U570" s="24">
        <f t="shared" si="84"/>
        <v>44422</v>
      </c>
      <c r="V570"/>
      <c r="W570"/>
      <c r="X570"/>
      <c r="Y570"/>
      <c r="Z570"/>
      <c r="AA570"/>
      <c r="AB570"/>
      <c r="AC570"/>
      <c r="AD570"/>
      <c r="AE570"/>
      <c r="AF570"/>
      <c r="AG570"/>
      <c r="AH570"/>
      <c r="AI570"/>
      <c r="AJ570"/>
      <c r="AK570"/>
      <c r="AL570"/>
      <c r="AM570"/>
      <c r="AN570"/>
      <c r="AO570"/>
      <c r="AP570"/>
      <c r="AQ570"/>
    </row>
    <row r="571" spans="1:43" s="10" customFormat="1" ht="15.75" customHeight="1" x14ac:dyDescent="0.25">
      <c r="A571" s="55">
        <f t="shared" si="89"/>
        <v>140</v>
      </c>
      <c r="B571" s="56">
        <v>44403</v>
      </c>
      <c r="C571" s="58"/>
      <c r="D571" s="58"/>
      <c r="E571" s="58" t="s">
        <v>1501</v>
      </c>
      <c r="F571" s="123" t="s">
        <v>2694</v>
      </c>
      <c r="G571" s="333" t="s">
        <v>1502</v>
      </c>
      <c r="H571" s="45">
        <v>75000</v>
      </c>
      <c r="I571" s="380" t="s">
        <v>1500</v>
      </c>
      <c r="J571" s="301">
        <v>44408</v>
      </c>
      <c r="K571" s="460">
        <f t="shared" si="88"/>
        <v>75000</v>
      </c>
      <c r="L571" s="460"/>
      <c r="M571" s="459"/>
      <c r="N571" s="459"/>
      <c r="O571" s="459"/>
      <c r="P571" s="459"/>
      <c r="Q571" s="28">
        <f t="shared" si="87"/>
        <v>75000</v>
      </c>
      <c r="R571" s="743"/>
      <c r="S571" s="474"/>
      <c r="T571" s="199">
        <v>14</v>
      </c>
      <c r="U571" s="24">
        <f t="shared" ref="U571:U606" si="90">J571+T571</f>
        <v>44422</v>
      </c>
      <c r="V571"/>
      <c r="W571"/>
      <c r="X571"/>
      <c r="Y571"/>
      <c r="Z571"/>
      <c r="AA571"/>
      <c r="AB571"/>
      <c r="AC571"/>
      <c r="AD571"/>
      <c r="AE571"/>
      <c r="AF571"/>
      <c r="AG571"/>
      <c r="AH571"/>
      <c r="AI571"/>
      <c r="AJ571"/>
      <c r="AK571"/>
      <c r="AL571"/>
      <c r="AM571"/>
      <c r="AN571"/>
      <c r="AO571"/>
      <c r="AP571"/>
      <c r="AQ571"/>
    </row>
    <row r="572" spans="1:43" s="10" customFormat="1" ht="15.75" customHeight="1" x14ac:dyDescent="0.25">
      <c r="A572" s="55">
        <f t="shared" si="89"/>
        <v>141</v>
      </c>
      <c r="B572" s="56">
        <v>44403</v>
      </c>
      <c r="C572" s="58"/>
      <c r="D572" s="58"/>
      <c r="E572" s="58" t="s">
        <v>1545</v>
      </c>
      <c r="F572" s="123" t="s">
        <v>2694</v>
      </c>
      <c r="G572" s="333" t="s">
        <v>467</v>
      </c>
      <c r="H572" s="45">
        <v>430000</v>
      </c>
      <c r="I572" s="380" t="s">
        <v>1633</v>
      </c>
      <c r="J572" s="507">
        <v>44410</v>
      </c>
      <c r="K572" s="460">
        <f t="shared" si="88"/>
        <v>430000</v>
      </c>
      <c r="L572" s="460"/>
      <c r="M572" s="459"/>
      <c r="N572" s="459"/>
      <c r="O572" s="459"/>
      <c r="P572" s="459">
        <v>430000</v>
      </c>
      <c r="Q572" s="28">
        <f t="shared" si="87"/>
        <v>0</v>
      </c>
      <c r="R572" s="743"/>
      <c r="S572" s="474">
        <v>44516</v>
      </c>
      <c r="T572" s="199">
        <v>14</v>
      </c>
      <c r="U572" s="24">
        <f t="shared" si="90"/>
        <v>44424</v>
      </c>
      <c r="V572"/>
      <c r="W572"/>
      <c r="X572"/>
      <c r="Y572"/>
      <c r="Z572"/>
      <c r="AA572"/>
      <c r="AB572"/>
      <c r="AC572"/>
      <c r="AD572"/>
      <c r="AE572"/>
      <c r="AF572"/>
      <c r="AG572"/>
      <c r="AH572"/>
      <c r="AI572"/>
      <c r="AJ572"/>
      <c r="AK572"/>
      <c r="AL572"/>
      <c r="AM572"/>
      <c r="AN572"/>
      <c r="AO572"/>
      <c r="AP572"/>
      <c r="AQ572"/>
    </row>
    <row r="573" spans="1:43" s="10" customFormat="1" ht="15.75" customHeight="1" x14ac:dyDescent="0.25">
      <c r="A573" s="55">
        <f t="shared" si="89"/>
        <v>142</v>
      </c>
      <c r="B573" s="56">
        <v>44401</v>
      </c>
      <c r="C573" s="58"/>
      <c r="D573" s="58"/>
      <c r="E573" s="58" t="s">
        <v>1549</v>
      </c>
      <c r="F573" s="123" t="s">
        <v>2694</v>
      </c>
      <c r="G573" s="333" t="s">
        <v>171</v>
      </c>
      <c r="H573" s="45">
        <v>65000</v>
      </c>
      <c r="I573" s="380" t="s">
        <v>1634</v>
      </c>
      <c r="J573" s="507">
        <v>44410</v>
      </c>
      <c r="K573" s="460">
        <f t="shared" si="88"/>
        <v>65000</v>
      </c>
      <c r="L573" s="460"/>
      <c r="M573" s="459"/>
      <c r="N573" s="459"/>
      <c r="O573" s="459"/>
      <c r="P573" s="459"/>
      <c r="Q573" s="28">
        <f t="shared" si="87"/>
        <v>65000</v>
      </c>
      <c r="R573" s="743"/>
      <c r="S573" s="474"/>
      <c r="T573" s="199">
        <v>14</v>
      </c>
      <c r="U573" s="24">
        <f t="shared" si="90"/>
        <v>44424</v>
      </c>
      <c r="V573"/>
      <c r="W573"/>
      <c r="X573"/>
      <c r="Y573"/>
      <c r="Z573"/>
      <c r="AA573"/>
      <c r="AB573"/>
      <c r="AC573"/>
      <c r="AD573"/>
      <c r="AE573"/>
      <c r="AF573"/>
      <c r="AG573"/>
      <c r="AH573"/>
      <c r="AI573"/>
      <c r="AJ573"/>
      <c r="AK573"/>
      <c r="AL573"/>
      <c r="AM573"/>
      <c r="AN573"/>
      <c r="AO573"/>
      <c r="AP573"/>
      <c r="AQ573"/>
    </row>
    <row r="574" spans="1:43" s="10" customFormat="1" ht="15.75" customHeight="1" x14ac:dyDescent="0.25">
      <c r="A574" s="55">
        <f t="shared" si="89"/>
        <v>143</v>
      </c>
      <c r="B574" s="56">
        <v>44400</v>
      </c>
      <c r="C574" s="58" t="s">
        <v>1552</v>
      </c>
      <c r="D574" s="58"/>
      <c r="E574" s="58" t="s">
        <v>1553</v>
      </c>
      <c r="F574" s="123" t="s">
        <v>2694</v>
      </c>
      <c r="G574" s="333" t="s">
        <v>1369</v>
      </c>
      <c r="H574" s="45">
        <v>260000</v>
      </c>
      <c r="I574" s="380" t="s">
        <v>1635</v>
      </c>
      <c r="J574" s="507">
        <v>44410</v>
      </c>
      <c r="K574" s="460">
        <f t="shared" si="88"/>
        <v>260000</v>
      </c>
      <c r="L574" s="460"/>
      <c r="M574" s="459"/>
      <c r="N574" s="459"/>
      <c r="O574" s="459"/>
      <c r="P574" s="459"/>
      <c r="Q574" s="28">
        <f t="shared" si="87"/>
        <v>260000</v>
      </c>
      <c r="R574" s="743"/>
      <c r="S574" s="474"/>
      <c r="T574" s="199">
        <v>14</v>
      </c>
      <c r="U574" s="24">
        <f t="shared" si="90"/>
        <v>44424</v>
      </c>
      <c r="V574"/>
      <c r="W574"/>
      <c r="X574"/>
      <c r="Y574"/>
      <c r="Z574"/>
      <c r="AA574"/>
      <c r="AB574"/>
      <c r="AC574"/>
      <c r="AD574"/>
      <c r="AE574"/>
      <c r="AF574"/>
      <c r="AG574"/>
      <c r="AH574"/>
      <c r="AI574"/>
      <c r="AJ574"/>
      <c r="AK574"/>
      <c r="AL574"/>
      <c r="AM574"/>
      <c r="AN574"/>
      <c r="AO574"/>
      <c r="AP574"/>
      <c r="AQ574"/>
    </row>
    <row r="575" spans="1:43" s="10" customFormat="1" ht="15.75" customHeight="1" x14ac:dyDescent="0.25">
      <c r="A575" s="55">
        <f t="shared" si="89"/>
        <v>144</v>
      </c>
      <c r="B575" s="56">
        <v>44380</v>
      </c>
      <c r="C575" s="58" t="s">
        <v>1537</v>
      </c>
      <c r="D575" s="58"/>
      <c r="E575" s="58" t="s">
        <v>1638</v>
      </c>
      <c r="F575" s="112" t="s">
        <v>1133</v>
      </c>
      <c r="G575" s="333" t="s">
        <v>1637</v>
      </c>
      <c r="H575" s="45">
        <v>6217000</v>
      </c>
      <c r="I575" s="380" t="s">
        <v>1636</v>
      </c>
      <c r="J575" s="507">
        <v>44410</v>
      </c>
      <c r="K575" s="460">
        <f t="shared" si="88"/>
        <v>6217000</v>
      </c>
      <c r="L575" s="460"/>
      <c r="M575" s="459"/>
      <c r="N575" s="459"/>
      <c r="O575" s="459"/>
      <c r="P575" s="459">
        <v>6217000</v>
      </c>
      <c r="Q575" s="28">
        <f t="shared" si="87"/>
        <v>0</v>
      </c>
      <c r="R575" s="199"/>
      <c r="S575" s="197">
        <v>44435</v>
      </c>
      <c r="T575" s="199">
        <v>30</v>
      </c>
      <c r="U575" s="24">
        <f t="shared" si="90"/>
        <v>44440</v>
      </c>
      <c r="V575"/>
      <c r="W575"/>
      <c r="X575"/>
      <c r="Y575"/>
      <c r="Z575"/>
      <c r="AA575"/>
      <c r="AB575"/>
      <c r="AC575"/>
      <c r="AD575"/>
      <c r="AE575"/>
      <c r="AF575"/>
      <c r="AG575"/>
      <c r="AH575"/>
      <c r="AI575"/>
      <c r="AJ575"/>
      <c r="AK575"/>
      <c r="AL575"/>
      <c r="AM575"/>
      <c r="AN575"/>
      <c r="AO575"/>
      <c r="AP575"/>
      <c r="AQ575"/>
    </row>
    <row r="576" spans="1:43" s="10" customFormat="1" ht="15.75" customHeight="1" x14ac:dyDescent="0.25">
      <c r="A576" s="55">
        <f t="shared" si="89"/>
        <v>145</v>
      </c>
      <c r="B576" s="56">
        <v>44404</v>
      </c>
      <c r="C576" s="58" t="s">
        <v>1539</v>
      </c>
      <c r="D576" s="58"/>
      <c r="E576" s="58" t="s">
        <v>1640</v>
      </c>
      <c r="F576" s="112" t="s">
        <v>1133</v>
      </c>
      <c r="G576" s="357" t="s">
        <v>136</v>
      </c>
      <c r="H576" s="45">
        <v>3010000</v>
      </c>
      <c r="I576" s="380" t="s">
        <v>1639</v>
      </c>
      <c r="J576" s="507">
        <v>44411</v>
      </c>
      <c r="K576" s="460">
        <f t="shared" si="88"/>
        <v>3010000</v>
      </c>
      <c r="L576" s="460"/>
      <c r="M576" s="459"/>
      <c r="N576" s="459"/>
      <c r="O576" s="459"/>
      <c r="P576" s="459">
        <v>3010000</v>
      </c>
      <c r="Q576" s="28">
        <f t="shared" si="87"/>
        <v>0</v>
      </c>
      <c r="R576" s="199"/>
      <c r="S576" s="197">
        <v>44435</v>
      </c>
      <c r="T576" s="199">
        <v>30</v>
      </c>
      <c r="U576" s="24">
        <f t="shared" si="90"/>
        <v>44441</v>
      </c>
      <c r="V576"/>
      <c r="W576"/>
      <c r="X576"/>
      <c r="Y576"/>
      <c r="Z576"/>
      <c r="AA576"/>
      <c r="AB576"/>
      <c r="AC576"/>
      <c r="AD576"/>
      <c r="AE576"/>
      <c r="AF576"/>
      <c r="AG576"/>
      <c r="AH576"/>
      <c r="AI576"/>
      <c r="AJ576"/>
      <c r="AK576"/>
      <c r="AL576"/>
      <c r="AM576"/>
      <c r="AN576"/>
      <c r="AO576"/>
      <c r="AP576"/>
      <c r="AQ576"/>
    </row>
    <row r="577" spans="1:43" s="10" customFormat="1" ht="15.75" customHeight="1" x14ac:dyDescent="0.25">
      <c r="A577" s="55">
        <f t="shared" si="89"/>
        <v>146</v>
      </c>
      <c r="B577" s="56">
        <v>44399</v>
      </c>
      <c r="C577" s="58" t="s">
        <v>1643</v>
      </c>
      <c r="D577" s="58"/>
      <c r="E577" s="58"/>
      <c r="F577" s="31" t="s">
        <v>242</v>
      </c>
      <c r="G577" s="333" t="s">
        <v>1642</v>
      </c>
      <c r="H577" s="45">
        <v>7000000</v>
      </c>
      <c r="I577" s="380" t="s">
        <v>1641</v>
      </c>
      <c r="J577" s="507">
        <v>44411</v>
      </c>
      <c r="K577" s="460">
        <f t="shared" si="88"/>
        <v>7000000</v>
      </c>
      <c r="L577" s="460"/>
      <c r="M577" s="459"/>
      <c r="N577" s="459"/>
      <c r="O577" s="459"/>
      <c r="P577" s="459">
        <v>7000000</v>
      </c>
      <c r="Q577" s="28">
        <f t="shared" si="87"/>
        <v>0</v>
      </c>
      <c r="R577" s="199"/>
      <c r="S577" s="197">
        <v>44424</v>
      </c>
      <c r="T577" s="199">
        <v>14</v>
      </c>
      <c r="U577" s="24">
        <f t="shared" si="90"/>
        <v>44425</v>
      </c>
      <c r="V577"/>
      <c r="W577"/>
      <c r="X577"/>
      <c r="Y577"/>
      <c r="Z577"/>
      <c r="AA577"/>
      <c r="AB577"/>
      <c r="AC577"/>
      <c r="AD577"/>
      <c r="AE577"/>
      <c r="AF577"/>
      <c r="AG577"/>
      <c r="AH577"/>
      <c r="AI577"/>
      <c r="AJ577"/>
      <c r="AK577"/>
      <c r="AL577"/>
      <c r="AM577"/>
      <c r="AN577"/>
      <c r="AO577"/>
      <c r="AP577"/>
      <c r="AQ577"/>
    </row>
    <row r="578" spans="1:43" s="10" customFormat="1" ht="15.75" customHeight="1" x14ac:dyDescent="0.25">
      <c r="A578" s="55">
        <f t="shared" si="89"/>
        <v>147</v>
      </c>
      <c r="B578" s="56">
        <v>44406</v>
      </c>
      <c r="C578" s="58" t="s">
        <v>1644</v>
      </c>
      <c r="D578" s="58"/>
      <c r="E578" s="58"/>
      <c r="F578" s="123" t="s">
        <v>933</v>
      </c>
      <c r="G578" s="333" t="s">
        <v>582</v>
      </c>
      <c r="H578" s="63">
        <v>15000000</v>
      </c>
      <c r="I578" s="380" t="s">
        <v>1645</v>
      </c>
      <c r="J578" s="507">
        <v>44411</v>
      </c>
      <c r="K578" s="460">
        <f t="shared" si="88"/>
        <v>15000000</v>
      </c>
      <c r="L578" s="460"/>
      <c r="M578" s="459"/>
      <c r="N578" s="459"/>
      <c r="O578" s="459"/>
      <c r="P578" s="459">
        <v>15000000</v>
      </c>
      <c r="Q578" s="28">
        <f t="shared" si="87"/>
        <v>0</v>
      </c>
      <c r="R578" s="199"/>
      <c r="S578" s="484">
        <v>44435</v>
      </c>
      <c r="T578" s="2">
        <v>14</v>
      </c>
      <c r="U578" s="24">
        <f t="shared" si="90"/>
        <v>44425</v>
      </c>
      <c r="V578"/>
      <c r="W578"/>
      <c r="X578"/>
      <c r="Y578"/>
      <c r="Z578"/>
      <c r="AA578"/>
      <c r="AB578"/>
      <c r="AC578"/>
      <c r="AD578"/>
      <c r="AE578"/>
      <c r="AF578"/>
      <c r="AG578"/>
      <c r="AH578"/>
      <c r="AI578"/>
      <c r="AJ578"/>
      <c r="AK578"/>
      <c r="AL578"/>
      <c r="AM578"/>
      <c r="AN578"/>
      <c r="AO578"/>
      <c r="AP578"/>
      <c r="AQ578"/>
    </row>
    <row r="579" spans="1:43" s="10" customFormat="1" ht="15.75" customHeight="1" x14ac:dyDescent="0.25">
      <c r="A579" s="55">
        <f t="shared" si="89"/>
        <v>148</v>
      </c>
      <c r="B579" s="470">
        <v>44408</v>
      </c>
      <c r="C579" s="448" t="s">
        <v>1564</v>
      </c>
      <c r="D579" s="332"/>
      <c r="E579" s="58" t="s">
        <v>1563</v>
      </c>
      <c r="F579" s="123" t="s">
        <v>2694</v>
      </c>
      <c r="G579" s="333" t="s">
        <v>1190</v>
      </c>
      <c r="H579" s="45">
        <v>100000</v>
      </c>
      <c r="I579" s="380" t="s">
        <v>1646</v>
      </c>
      <c r="J579" s="507">
        <v>44414</v>
      </c>
      <c r="K579" s="460">
        <f t="shared" si="88"/>
        <v>100000</v>
      </c>
      <c r="L579" s="460"/>
      <c r="M579" s="459"/>
      <c r="N579" s="459"/>
      <c r="O579" s="459"/>
      <c r="P579" s="459"/>
      <c r="Q579" s="28">
        <f t="shared" si="87"/>
        <v>100000</v>
      </c>
      <c r="R579" s="743"/>
      <c r="S579" s="474"/>
      <c r="T579" s="199">
        <v>14</v>
      </c>
      <c r="U579" s="24">
        <f t="shared" si="90"/>
        <v>44428</v>
      </c>
      <c r="V579"/>
      <c r="W579"/>
      <c r="X579"/>
      <c r="Y579"/>
      <c r="Z579"/>
      <c r="AA579"/>
      <c r="AB579"/>
      <c r="AC579"/>
      <c r="AD579"/>
      <c r="AE579"/>
      <c r="AF579"/>
      <c r="AG579"/>
      <c r="AH579"/>
      <c r="AI579"/>
      <c r="AJ579"/>
      <c r="AK579"/>
      <c r="AL579"/>
      <c r="AM579"/>
      <c r="AN579"/>
      <c r="AO579"/>
      <c r="AP579"/>
      <c r="AQ579"/>
    </row>
    <row r="580" spans="1:43" s="10" customFormat="1" ht="15.75" customHeight="1" x14ac:dyDescent="0.25">
      <c r="A580" s="55">
        <f t="shared" si="89"/>
        <v>149</v>
      </c>
      <c r="B580" s="56">
        <v>44401</v>
      </c>
      <c r="C580" s="58" t="s">
        <v>1575</v>
      </c>
      <c r="D580" s="58"/>
      <c r="E580" s="330" t="s">
        <v>1576</v>
      </c>
      <c r="F580" s="123" t="s">
        <v>2694</v>
      </c>
      <c r="G580" s="333" t="s">
        <v>190</v>
      </c>
      <c r="H580" s="45">
        <v>50000</v>
      </c>
      <c r="I580" s="380" t="s">
        <v>1647</v>
      </c>
      <c r="J580" s="507">
        <v>44414</v>
      </c>
      <c r="K580" s="460">
        <f t="shared" si="88"/>
        <v>50000</v>
      </c>
      <c r="L580" s="460"/>
      <c r="M580" s="459">
        <f>K580*2%</f>
        <v>1000</v>
      </c>
      <c r="N580" s="459"/>
      <c r="O580" s="459"/>
      <c r="P580" s="459">
        <v>49000</v>
      </c>
      <c r="Q580" s="28">
        <f t="shared" si="87"/>
        <v>0</v>
      </c>
      <c r="R580" s="743"/>
      <c r="S580" s="474">
        <v>44518</v>
      </c>
      <c r="T580" s="199">
        <v>14</v>
      </c>
      <c r="U580" s="24">
        <f t="shared" si="90"/>
        <v>44428</v>
      </c>
      <c r="V580"/>
      <c r="W580"/>
      <c r="X580"/>
      <c r="Y580"/>
      <c r="Z580"/>
      <c r="AA580"/>
      <c r="AB580"/>
      <c r="AC580"/>
      <c r="AD580"/>
      <c r="AE580"/>
      <c r="AF580"/>
      <c r="AG580"/>
      <c r="AH580"/>
      <c r="AI580"/>
      <c r="AJ580"/>
      <c r="AK580"/>
      <c r="AL580"/>
      <c r="AM580"/>
      <c r="AN580"/>
      <c r="AO580"/>
      <c r="AP580"/>
      <c r="AQ580"/>
    </row>
    <row r="581" spans="1:43" s="10" customFormat="1" ht="15.75" customHeight="1" x14ac:dyDescent="0.25">
      <c r="A581" s="55">
        <f t="shared" si="89"/>
        <v>150</v>
      </c>
      <c r="B581" s="56">
        <v>44406</v>
      </c>
      <c r="C581" s="58" t="s">
        <v>1580</v>
      </c>
      <c r="D581" s="58"/>
      <c r="E581" s="58" t="s">
        <v>1581</v>
      </c>
      <c r="F581" s="123" t="s">
        <v>2694</v>
      </c>
      <c r="G581" s="333" t="s">
        <v>1502</v>
      </c>
      <c r="H581" s="45">
        <v>200000</v>
      </c>
      <c r="I581" s="380" t="s">
        <v>1648</v>
      </c>
      <c r="J581" s="507">
        <v>44414</v>
      </c>
      <c r="K581" s="460">
        <f t="shared" si="88"/>
        <v>200000</v>
      </c>
      <c r="L581" s="460"/>
      <c r="M581" s="459"/>
      <c r="N581" s="459"/>
      <c r="O581" s="459"/>
      <c r="P581" s="459"/>
      <c r="Q581" s="28">
        <f t="shared" si="87"/>
        <v>200000</v>
      </c>
      <c r="R581" s="743"/>
      <c r="S581" s="474"/>
      <c r="T581" s="199">
        <v>14</v>
      </c>
      <c r="U581" s="24">
        <f t="shared" si="90"/>
        <v>44428</v>
      </c>
      <c r="V581"/>
      <c r="W581"/>
      <c r="X581"/>
      <c r="Y581"/>
      <c r="Z581"/>
      <c r="AA581"/>
      <c r="AB581"/>
      <c r="AC581"/>
      <c r="AD581"/>
      <c r="AE581"/>
      <c r="AF581"/>
      <c r="AG581"/>
      <c r="AH581"/>
      <c r="AI581"/>
      <c r="AJ581"/>
      <c r="AK581"/>
      <c r="AL581"/>
      <c r="AM581"/>
      <c r="AN581"/>
      <c r="AO581"/>
      <c r="AP581"/>
      <c r="AQ581"/>
    </row>
    <row r="582" spans="1:43" s="10" customFormat="1" ht="15.75" customHeight="1" x14ac:dyDescent="0.25">
      <c r="A582" s="55">
        <f t="shared" si="89"/>
        <v>151</v>
      </c>
      <c r="B582" s="56">
        <v>44406</v>
      </c>
      <c r="C582" s="448" t="s">
        <v>1583</v>
      </c>
      <c r="D582" s="332"/>
      <c r="E582" s="58" t="s">
        <v>1584</v>
      </c>
      <c r="F582" s="123" t="s">
        <v>2694</v>
      </c>
      <c r="G582" s="333" t="s">
        <v>1502</v>
      </c>
      <c r="H582" s="45">
        <v>75000</v>
      </c>
      <c r="I582" s="380" t="s">
        <v>1649</v>
      </c>
      <c r="J582" s="507">
        <v>44414</v>
      </c>
      <c r="K582" s="460">
        <f t="shared" si="88"/>
        <v>75000</v>
      </c>
      <c r="L582" s="460"/>
      <c r="M582" s="459"/>
      <c r="N582" s="459"/>
      <c r="O582" s="459"/>
      <c r="P582" s="459"/>
      <c r="Q582" s="28">
        <f t="shared" si="87"/>
        <v>75000</v>
      </c>
      <c r="R582" s="743"/>
      <c r="S582" s="474"/>
      <c r="T582" s="199">
        <v>14</v>
      </c>
      <c r="U582" s="24">
        <f t="shared" si="90"/>
        <v>44428</v>
      </c>
      <c r="V582"/>
      <c r="W582"/>
      <c r="X582"/>
      <c r="Y582"/>
      <c r="Z582"/>
      <c r="AA582"/>
      <c r="AB582"/>
      <c r="AC582"/>
      <c r="AD582"/>
      <c r="AE582"/>
      <c r="AF582"/>
      <c r="AG582"/>
      <c r="AH582"/>
      <c r="AI582"/>
      <c r="AJ582"/>
      <c r="AK582"/>
      <c r="AL582"/>
      <c r="AM582"/>
      <c r="AN582"/>
      <c r="AO582"/>
      <c r="AP582"/>
      <c r="AQ582"/>
    </row>
    <row r="583" spans="1:43" s="10" customFormat="1" ht="15.75" customHeight="1" x14ac:dyDescent="0.25">
      <c r="A583" s="55">
        <f t="shared" si="89"/>
        <v>152</v>
      </c>
      <c r="B583" s="56">
        <v>44406</v>
      </c>
      <c r="C583" s="58" t="s">
        <v>1609</v>
      </c>
      <c r="D583" s="58"/>
      <c r="E583" s="58" t="s">
        <v>1610</v>
      </c>
      <c r="F583" s="123" t="s">
        <v>2694</v>
      </c>
      <c r="G583" s="333" t="s">
        <v>1502</v>
      </c>
      <c r="H583" s="45">
        <v>75000</v>
      </c>
      <c r="I583" s="380" t="s">
        <v>1650</v>
      </c>
      <c r="J583" s="507">
        <v>44414</v>
      </c>
      <c r="K583" s="460">
        <f t="shared" si="88"/>
        <v>75000</v>
      </c>
      <c r="L583" s="460"/>
      <c r="M583" s="459"/>
      <c r="N583" s="459"/>
      <c r="O583" s="459"/>
      <c r="P583" s="459"/>
      <c r="Q583" s="28">
        <f t="shared" si="87"/>
        <v>75000</v>
      </c>
      <c r="R583" s="743"/>
      <c r="S583" s="474"/>
      <c r="T583" s="199">
        <v>14</v>
      </c>
      <c r="U583" s="24">
        <f t="shared" si="90"/>
        <v>44428</v>
      </c>
      <c r="V583"/>
      <c r="W583"/>
      <c r="X583"/>
      <c r="Y583"/>
      <c r="Z583"/>
      <c r="AA583"/>
      <c r="AB583"/>
      <c r="AC583"/>
      <c r="AD583"/>
      <c r="AE583"/>
      <c r="AF583"/>
      <c r="AG583"/>
      <c r="AH583"/>
      <c r="AI583"/>
      <c r="AJ583"/>
      <c r="AK583"/>
      <c r="AL583"/>
      <c r="AM583"/>
      <c r="AN583"/>
      <c r="AO583"/>
      <c r="AP583"/>
      <c r="AQ583"/>
    </row>
    <row r="584" spans="1:43" s="10" customFormat="1" ht="15.75" customHeight="1" x14ac:dyDescent="0.25">
      <c r="A584" s="55">
        <f t="shared" si="89"/>
        <v>153</v>
      </c>
      <c r="B584" s="56">
        <v>44407</v>
      </c>
      <c r="C584" s="58" t="s">
        <v>1612</v>
      </c>
      <c r="D584" s="58"/>
      <c r="E584" s="58" t="s">
        <v>1613</v>
      </c>
      <c r="F584" s="123" t="s">
        <v>2694</v>
      </c>
      <c r="G584" s="333" t="s">
        <v>467</v>
      </c>
      <c r="H584" s="45">
        <v>200000</v>
      </c>
      <c r="I584" s="380" t="s">
        <v>1651</v>
      </c>
      <c r="J584" s="507">
        <v>44414</v>
      </c>
      <c r="K584" s="460">
        <f t="shared" si="88"/>
        <v>200000</v>
      </c>
      <c r="L584" s="460"/>
      <c r="M584" s="459"/>
      <c r="N584" s="459"/>
      <c r="O584" s="459"/>
      <c r="P584" s="459"/>
      <c r="Q584" s="28">
        <f t="shared" ref="Q584:Q586" si="91">K584-L584-M584-O584-P584+N584</f>
        <v>200000</v>
      </c>
      <c r="R584" s="743"/>
      <c r="S584" s="474"/>
      <c r="T584" s="199">
        <v>14</v>
      </c>
      <c r="U584" s="24">
        <f t="shared" si="90"/>
        <v>44428</v>
      </c>
      <c r="V584"/>
      <c r="W584"/>
      <c r="X584"/>
      <c r="Y584"/>
      <c r="Z584"/>
      <c r="AA584"/>
      <c r="AB584"/>
      <c r="AC584"/>
      <c r="AD584"/>
      <c r="AE584"/>
      <c r="AF584"/>
      <c r="AG584"/>
      <c r="AH584"/>
      <c r="AI584"/>
      <c r="AJ584"/>
      <c r="AK584"/>
      <c r="AL584"/>
      <c r="AM584"/>
      <c r="AN584"/>
      <c r="AO584"/>
      <c r="AP584"/>
      <c r="AQ584"/>
    </row>
    <row r="585" spans="1:43" s="10" customFormat="1" ht="15.75" customHeight="1" x14ac:dyDescent="0.25">
      <c r="A585" s="55">
        <f t="shared" si="89"/>
        <v>154</v>
      </c>
      <c r="B585" s="56">
        <v>44408</v>
      </c>
      <c r="C585" s="58" t="s">
        <v>1616</v>
      </c>
      <c r="D585" s="58"/>
      <c r="E585" s="58" t="s">
        <v>1617</v>
      </c>
      <c r="F585" s="123" t="s">
        <v>2694</v>
      </c>
      <c r="G585" s="333" t="s">
        <v>417</v>
      </c>
      <c r="H585" s="45">
        <v>200000</v>
      </c>
      <c r="I585" s="380" t="s">
        <v>1652</v>
      </c>
      <c r="J585" s="507">
        <v>44414</v>
      </c>
      <c r="K585" s="460">
        <f t="shared" si="88"/>
        <v>200000</v>
      </c>
      <c r="L585" s="460"/>
      <c r="M585" s="459"/>
      <c r="N585" s="459"/>
      <c r="O585" s="459"/>
      <c r="P585" s="459">
        <v>200000</v>
      </c>
      <c r="Q585" s="28">
        <f t="shared" si="91"/>
        <v>0</v>
      </c>
      <c r="R585" s="743"/>
      <c r="S585" s="474">
        <v>44523</v>
      </c>
      <c r="T585" s="199">
        <v>14</v>
      </c>
      <c r="U585" s="24">
        <f t="shared" si="90"/>
        <v>44428</v>
      </c>
      <c r="V585"/>
      <c r="W585"/>
      <c r="X585"/>
      <c r="Y585"/>
      <c r="Z585"/>
      <c r="AA585"/>
      <c r="AB585"/>
      <c r="AC585"/>
      <c r="AD585"/>
      <c r="AE585"/>
      <c r="AF585"/>
      <c r="AG585"/>
      <c r="AH585"/>
      <c r="AI585"/>
      <c r="AJ585"/>
      <c r="AK585"/>
      <c r="AL585"/>
      <c r="AM585"/>
      <c r="AN585"/>
      <c r="AO585"/>
      <c r="AP585"/>
      <c r="AQ585"/>
    </row>
    <row r="586" spans="1:43" s="10" customFormat="1" ht="15.75" customHeight="1" x14ac:dyDescent="0.25">
      <c r="A586" s="55">
        <f t="shared" si="89"/>
        <v>155</v>
      </c>
      <c r="B586" s="56">
        <v>44405</v>
      </c>
      <c r="C586" s="137" t="s">
        <v>1653</v>
      </c>
      <c r="D586" s="137"/>
      <c r="E586" s="58"/>
      <c r="F586" s="23" t="s">
        <v>1765</v>
      </c>
      <c r="G586" s="333" t="s">
        <v>467</v>
      </c>
      <c r="H586" s="45">
        <v>2500000</v>
      </c>
      <c r="I586" s="380" t="s">
        <v>1654</v>
      </c>
      <c r="J586" s="507">
        <v>44415</v>
      </c>
      <c r="K586" s="460">
        <f t="shared" si="88"/>
        <v>2500000</v>
      </c>
      <c r="L586" s="460"/>
      <c r="M586" s="459"/>
      <c r="N586" s="459"/>
      <c r="O586" s="459"/>
      <c r="P586" s="459"/>
      <c r="Q586" s="568">
        <f t="shared" si="91"/>
        <v>2500000</v>
      </c>
      <c r="R586" s="199"/>
      <c r="S586" s="197"/>
      <c r="T586" s="199">
        <v>30</v>
      </c>
      <c r="U586" s="24">
        <f t="shared" si="90"/>
        <v>44445</v>
      </c>
      <c r="V586" t="s">
        <v>2318</v>
      </c>
      <c r="W586"/>
      <c r="X586"/>
      <c r="Y586"/>
      <c r="Z586"/>
      <c r="AA586"/>
      <c r="AB586"/>
      <c r="AC586"/>
      <c r="AD586"/>
      <c r="AE586"/>
      <c r="AF586"/>
      <c r="AG586"/>
      <c r="AH586"/>
      <c r="AI586"/>
      <c r="AJ586"/>
      <c r="AK586"/>
      <c r="AL586"/>
      <c r="AM586"/>
      <c r="AN586"/>
      <c r="AO586"/>
      <c r="AP586"/>
      <c r="AQ586"/>
    </row>
    <row r="587" spans="1:43" s="10" customFormat="1" ht="15.75" customHeight="1" x14ac:dyDescent="0.25">
      <c r="A587" s="55">
        <f t="shared" si="89"/>
        <v>156</v>
      </c>
      <c r="B587" s="56">
        <v>44398</v>
      </c>
      <c r="C587" s="58" t="s">
        <v>1656</v>
      </c>
      <c r="D587" s="58"/>
      <c r="E587" s="58"/>
      <c r="F587" s="123" t="s">
        <v>435</v>
      </c>
      <c r="G587" s="333" t="s">
        <v>516</v>
      </c>
      <c r="H587" s="45">
        <v>500000</v>
      </c>
      <c r="I587" s="380" t="s">
        <v>1655</v>
      </c>
      <c r="J587" s="507">
        <v>44415</v>
      </c>
      <c r="K587" s="460">
        <f t="shared" si="88"/>
        <v>500000</v>
      </c>
      <c r="L587" s="460"/>
      <c r="M587" s="459"/>
      <c r="N587" s="459"/>
      <c r="O587" s="459"/>
      <c r="P587" s="459">
        <v>500000</v>
      </c>
      <c r="Q587" s="28">
        <f t="shared" ref="Q587" si="92">K587-L587-M587-O587-P587+N587</f>
        <v>0</v>
      </c>
      <c r="R587" s="199"/>
      <c r="S587" s="197">
        <v>44404</v>
      </c>
      <c r="T587" s="199">
        <v>14</v>
      </c>
      <c r="U587" s="24">
        <f t="shared" si="90"/>
        <v>44429</v>
      </c>
      <c r="V587"/>
      <c r="W587"/>
      <c r="X587"/>
      <c r="Y587"/>
      <c r="Z587"/>
      <c r="AA587"/>
      <c r="AB587"/>
      <c r="AC587"/>
      <c r="AD587"/>
      <c r="AE587"/>
      <c r="AF587"/>
      <c r="AG587"/>
      <c r="AH587"/>
      <c r="AI587"/>
      <c r="AJ587"/>
      <c r="AK587"/>
      <c r="AL587"/>
      <c r="AM587"/>
      <c r="AN587"/>
      <c r="AO587"/>
      <c r="AP587"/>
      <c r="AQ587"/>
    </row>
    <row r="588" spans="1:43" s="10" customFormat="1" ht="15.75" customHeight="1" x14ac:dyDescent="0.25">
      <c r="A588" s="55">
        <f t="shared" si="89"/>
        <v>157</v>
      </c>
      <c r="B588" s="466">
        <v>44386</v>
      </c>
      <c r="C588" s="264" t="s">
        <v>1742</v>
      </c>
      <c r="D588" s="264"/>
      <c r="E588" s="264"/>
      <c r="F588" s="571" t="s">
        <v>1744</v>
      </c>
      <c r="G588" s="625" t="s">
        <v>845</v>
      </c>
      <c r="H588" s="267">
        <v>1900000</v>
      </c>
      <c r="I588" s="384" t="s">
        <v>2598</v>
      </c>
      <c r="J588" s="517">
        <v>44518</v>
      </c>
      <c r="K588" s="270" t="s">
        <v>2793</v>
      </c>
      <c r="L588" s="270"/>
      <c r="M588" s="270"/>
      <c r="N588" s="417"/>
      <c r="O588" s="417"/>
      <c r="P588" s="270"/>
      <c r="Q588" s="417"/>
      <c r="R588" s="263"/>
      <c r="S588" s="268"/>
      <c r="T588" s="263"/>
      <c r="U588" s="24">
        <f t="shared" si="90"/>
        <v>44518</v>
      </c>
      <c r="V588"/>
      <c r="W588"/>
      <c r="X588"/>
      <c r="Y588"/>
      <c r="Z588"/>
      <c r="AA588"/>
      <c r="AB588"/>
      <c r="AC588"/>
      <c r="AD588"/>
      <c r="AE588"/>
      <c r="AF588"/>
      <c r="AG588"/>
      <c r="AH588"/>
      <c r="AI588"/>
      <c r="AJ588"/>
      <c r="AK588"/>
      <c r="AL588"/>
      <c r="AM588"/>
      <c r="AN588"/>
      <c r="AO588"/>
      <c r="AP588"/>
      <c r="AQ588"/>
    </row>
    <row r="589" spans="1:43" s="10" customFormat="1" ht="15.75" customHeight="1" x14ac:dyDescent="0.25">
      <c r="A589" s="55">
        <f t="shared" si="89"/>
        <v>158</v>
      </c>
      <c r="B589" s="56">
        <v>44386</v>
      </c>
      <c r="C589" s="58" t="s">
        <v>1743</v>
      </c>
      <c r="D589" s="58"/>
      <c r="E589" s="58"/>
      <c r="F589" s="123" t="s">
        <v>1741</v>
      </c>
      <c r="G589" s="333" t="s">
        <v>2508</v>
      </c>
      <c r="H589" s="45">
        <v>6000000</v>
      </c>
      <c r="I589" s="380" t="s">
        <v>2509</v>
      </c>
      <c r="J589" s="507">
        <v>44518</v>
      </c>
      <c r="K589" s="460">
        <f t="shared" ref="K589:K598" si="93">H589</f>
        <v>6000000</v>
      </c>
      <c r="L589" s="460"/>
      <c r="M589" s="459"/>
      <c r="N589" s="28">
        <f t="shared" ref="N589:N592" si="94">K589*1%</f>
        <v>60000</v>
      </c>
      <c r="O589" s="28">
        <f t="shared" ref="O589:O592" si="95">K589*2%</f>
        <v>120000</v>
      </c>
      <c r="P589" s="459"/>
      <c r="Q589" s="28">
        <f t="shared" ref="Q589:Q606" si="96">K589-L589-M589-O589-P589+N589</f>
        <v>5940000</v>
      </c>
      <c r="R589" s="199"/>
      <c r="S589" s="197"/>
      <c r="T589" s="199">
        <v>30</v>
      </c>
      <c r="U589" s="24">
        <f t="shared" si="90"/>
        <v>44548</v>
      </c>
      <c r="V589"/>
      <c r="W589"/>
      <c r="X589"/>
      <c r="Y589"/>
      <c r="Z589"/>
      <c r="AA589"/>
      <c r="AB589"/>
      <c r="AC589"/>
      <c r="AD589"/>
      <c r="AE589"/>
      <c r="AF589"/>
      <c r="AG589"/>
      <c r="AH589"/>
      <c r="AI589"/>
      <c r="AJ589"/>
      <c r="AK589"/>
      <c r="AL589"/>
      <c r="AM589"/>
      <c r="AN589"/>
      <c r="AO589"/>
      <c r="AP589"/>
      <c r="AQ589"/>
    </row>
    <row r="590" spans="1:43" s="10" customFormat="1" ht="15.75" customHeight="1" x14ac:dyDescent="0.25">
      <c r="A590" s="55">
        <f t="shared" si="89"/>
        <v>159</v>
      </c>
      <c r="B590" s="56">
        <v>44386</v>
      </c>
      <c r="C590" s="58" t="s">
        <v>1742</v>
      </c>
      <c r="D590" s="58"/>
      <c r="E590" s="58"/>
      <c r="F590" s="123" t="s">
        <v>1741</v>
      </c>
      <c r="G590" s="333" t="s">
        <v>155</v>
      </c>
      <c r="H590" s="45">
        <v>1900000</v>
      </c>
      <c r="I590" s="380" t="s">
        <v>2833</v>
      </c>
      <c r="J590" s="507">
        <v>44532</v>
      </c>
      <c r="K590" s="721">
        <f t="shared" si="93"/>
        <v>1900000</v>
      </c>
      <c r="L590" s="621"/>
      <c r="M590" s="620"/>
      <c r="N590" s="28">
        <f t="shared" ref="N590" si="97">K590*1%</f>
        <v>19000</v>
      </c>
      <c r="O590" s="28">
        <f t="shared" ref="O590" si="98">K590*2%</f>
        <v>38000</v>
      </c>
      <c r="P590" s="620"/>
      <c r="Q590" s="28">
        <f t="shared" si="96"/>
        <v>1881000</v>
      </c>
      <c r="R590" s="199"/>
      <c r="S590" s="197"/>
      <c r="T590" s="199">
        <v>30</v>
      </c>
      <c r="U590" s="24">
        <f t="shared" si="90"/>
        <v>44562</v>
      </c>
      <c r="V590"/>
      <c r="W590"/>
      <c r="X590"/>
      <c r="Y590"/>
      <c r="Z590"/>
      <c r="AA590"/>
      <c r="AB590"/>
      <c r="AC590"/>
      <c r="AD590"/>
      <c r="AE590"/>
      <c r="AF590"/>
      <c r="AG590"/>
      <c r="AH590"/>
      <c r="AI590"/>
      <c r="AJ590"/>
      <c r="AK590"/>
      <c r="AL590"/>
      <c r="AM590"/>
      <c r="AN590"/>
      <c r="AO590"/>
      <c r="AP590"/>
      <c r="AQ590"/>
    </row>
    <row r="591" spans="1:43" s="10" customFormat="1" ht="15.75" customHeight="1" x14ac:dyDescent="0.25">
      <c r="A591" s="55">
        <f t="shared" si="89"/>
        <v>160</v>
      </c>
      <c r="B591" s="470">
        <v>44389</v>
      </c>
      <c r="C591" s="448" t="s">
        <v>1762</v>
      </c>
      <c r="D591" s="332"/>
      <c r="E591" s="58"/>
      <c r="F591" s="123" t="s">
        <v>2191</v>
      </c>
      <c r="G591" s="363" t="s">
        <v>826</v>
      </c>
      <c r="H591" s="45">
        <v>1254000</v>
      </c>
      <c r="I591" s="380" t="s">
        <v>2190</v>
      </c>
      <c r="J591" s="507">
        <v>44488</v>
      </c>
      <c r="K591" s="460">
        <f t="shared" si="93"/>
        <v>1254000</v>
      </c>
      <c r="L591" s="460"/>
      <c r="M591" s="459"/>
      <c r="N591" s="459"/>
      <c r="O591" s="459"/>
      <c r="P591" s="459">
        <v>1254000</v>
      </c>
      <c r="Q591" s="28">
        <f t="shared" si="96"/>
        <v>0</v>
      </c>
      <c r="R591" s="197"/>
      <c r="S591" s="197">
        <v>44488</v>
      </c>
      <c r="T591" s="199">
        <v>14</v>
      </c>
      <c r="U591" s="24">
        <f t="shared" si="90"/>
        <v>44502</v>
      </c>
      <c r="V591"/>
      <c r="W591"/>
      <c r="X591"/>
      <c r="Y591"/>
      <c r="Z591"/>
      <c r="AA591"/>
      <c r="AB591"/>
      <c r="AC591"/>
      <c r="AD591"/>
      <c r="AE591"/>
      <c r="AF591"/>
      <c r="AG591"/>
      <c r="AH591"/>
      <c r="AI591"/>
      <c r="AJ591"/>
      <c r="AK591"/>
      <c r="AL591"/>
      <c r="AM591"/>
      <c r="AN591"/>
      <c r="AO591"/>
      <c r="AP591"/>
      <c r="AQ591"/>
    </row>
    <row r="592" spans="1:43" s="10" customFormat="1" ht="17.25" customHeight="1" x14ac:dyDescent="0.25">
      <c r="A592" s="55">
        <f t="shared" si="89"/>
        <v>161</v>
      </c>
      <c r="B592" s="368" t="s">
        <v>1748</v>
      </c>
      <c r="C592" s="58" t="s">
        <v>1747</v>
      </c>
      <c r="D592" s="58"/>
      <c r="E592" s="58"/>
      <c r="F592" s="112" t="s">
        <v>1123</v>
      </c>
      <c r="G592" s="363" t="s">
        <v>1746</v>
      </c>
      <c r="H592" s="364">
        <v>162500</v>
      </c>
      <c r="I592" s="380" t="s">
        <v>1804</v>
      </c>
      <c r="J592" s="507">
        <v>44432</v>
      </c>
      <c r="K592" s="460">
        <f t="shared" si="93"/>
        <v>162500</v>
      </c>
      <c r="L592" s="460"/>
      <c r="M592" s="459"/>
      <c r="N592" s="28">
        <f t="shared" si="94"/>
        <v>1625</v>
      </c>
      <c r="O592" s="28">
        <f t="shared" si="95"/>
        <v>3250</v>
      </c>
      <c r="P592" s="459">
        <v>160875</v>
      </c>
      <c r="Q592" s="28">
        <f t="shared" si="96"/>
        <v>0</v>
      </c>
      <c r="R592" s="199"/>
      <c r="S592" s="197">
        <v>44459</v>
      </c>
      <c r="T592" s="2">
        <v>30</v>
      </c>
      <c r="U592" s="24">
        <f t="shared" si="90"/>
        <v>44462</v>
      </c>
      <c r="V592"/>
      <c r="W592"/>
      <c r="X592"/>
      <c r="Y592"/>
      <c r="Z592"/>
      <c r="AA592"/>
      <c r="AB592"/>
      <c r="AC592"/>
      <c r="AD592"/>
      <c r="AE592"/>
      <c r="AF592"/>
      <c r="AG592"/>
      <c r="AH592"/>
      <c r="AI592"/>
      <c r="AJ592"/>
      <c r="AK592"/>
      <c r="AL592"/>
      <c r="AM592"/>
      <c r="AN592"/>
      <c r="AO592"/>
      <c r="AP592"/>
      <c r="AQ592"/>
    </row>
    <row r="593" spans="1:43" s="10" customFormat="1" ht="17.25" customHeight="1" x14ac:dyDescent="0.25">
      <c r="A593" s="55">
        <f t="shared" si="89"/>
        <v>162</v>
      </c>
      <c r="B593" s="368" t="s">
        <v>1749</v>
      </c>
      <c r="C593" s="58" t="s">
        <v>1750</v>
      </c>
      <c r="D593" s="58"/>
      <c r="E593" s="58"/>
      <c r="F593" s="365" t="s">
        <v>1751</v>
      </c>
      <c r="G593" s="31" t="s">
        <v>1752</v>
      </c>
      <c r="H593" s="364">
        <v>1589500</v>
      </c>
      <c r="I593" s="380" t="s">
        <v>1780</v>
      </c>
      <c r="J593" s="507">
        <v>44427</v>
      </c>
      <c r="K593" s="460">
        <f t="shared" si="93"/>
        <v>1589500</v>
      </c>
      <c r="L593" s="460"/>
      <c r="M593" s="459"/>
      <c r="N593" s="459"/>
      <c r="O593" s="459"/>
      <c r="P593" s="459">
        <v>1589500</v>
      </c>
      <c r="Q593" s="28">
        <f t="shared" si="96"/>
        <v>0</v>
      </c>
      <c r="R593" s="199"/>
      <c r="S593" s="197">
        <v>44427</v>
      </c>
      <c r="T593" s="199">
        <v>30</v>
      </c>
      <c r="U593" s="24">
        <f t="shared" si="90"/>
        <v>44457</v>
      </c>
      <c r="V593"/>
      <c r="W593"/>
      <c r="X593"/>
      <c r="Y593"/>
      <c r="Z593"/>
      <c r="AA593"/>
      <c r="AB593"/>
      <c r="AC593"/>
      <c r="AD593"/>
      <c r="AE593"/>
      <c r="AF593"/>
      <c r="AG593"/>
      <c r="AH593"/>
      <c r="AI593"/>
      <c r="AJ593"/>
      <c r="AK593"/>
      <c r="AL593"/>
      <c r="AM593"/>
      <c r="AN593"/>
      <c r="AO593"/>
      <c r="AP593"/>
      <c r="AQ593"/>
    </row>
    <row r="594" spans="1:43" s="10" customFormat="1" ht="17.25" customHeight="1" x14ac:dyDescent="0.25">
      <c r="A594" s="55">
        <f t="shared" si="89"/>
        <v>163</v>
      </c>
      <c r="B594" s="368" t="s">
        <v>1753</v>
      </c>
      <c r="C594" s="58" t="s">
        <v>1754</v>
      </c>
      <c r="D594" s="58"/>
      <c r="E594" s="58"/>
      <c r="F594" s="112" t="s">
        <v>1133</v>
      </c>
      <c r="G594" s="363" t="s">
        <v>1745</v>
      </c>
      <c r="H594" s="364">
        <v>7053000</v>
      </c>
      <c r="I594" s="380" t="s">
        <v>1870</v>
      </c>
      <c r="J594" s="507">
        <v>44449</v>
      </c>
      <c r="K594" s="460">
        <f>H594</f>
        <v>7053000</v>
      </c>
      <c r="L594" s="460"/>
      <c r="M594" s="459"/>
      <c r="N594" s="459">
        <f>H594*1%</f>
        <v>70530</v>
      </c>
      <c r="O594" s="459">
        <f>H594*2%</f>
        <v>141060</v>
      </c>
      <c r="P594" s="459">
        <v>6982470</v>
      </c>
      <c r="Q594" s="28">
        <f t="shared" si="96"/>
        <v>0</v>
      </c>
      <c r="R594" s="199"/>
      <c r="S594" s="197">
        <v>44477</v>
      </c>
      <c r="T594" s="199">
        <v>30</v>
      </c>
      <c r="U594" s="24">
        <f t="shared" si="90"/>
        <v>44479</v>
      </c>
      <c r="V594"/>
      <c r="W594"/>
      <c r="X594"/>
      <c r="Y594"/>
      <c r="Z594"/>
      <c r="AA594"/>
      <c r="AB594"/>
      <c r="AC594"/>
      <c r="AD594"/>
      <c r="AE594"/>
      <c r="AF594"/>
      <c r="AG594"/>
      <c r="AH594"/>
      <c r="AI594"/>
      <c r="AJ594"/>
      <c r="AK594"/>
      <c r="AL594"/>
      <c r="AM594"/>
      <c r="AN594"/>
      <c r="AO594"/>
      <c r="AP594"/>
      <c r="AQ594"/>
    </row>
    <row r="595" spans="1:43" s="10" customFormat="1" ht="17.25" customHeight="1" x14ac:dyDescent="0.25">
      <c r="A595" s="55">
        <f t="shared" si="89"/>
        <v>164</v>
      </c>
      <c r="B595" s="368" t="s">
        <v>1753</v>
      </c>
      <c r="C595" s="58" t="s">
        <v>1755</v>
      </c>
      <c r="D595" s="58"/>
      <c r="E595" s="58"/>
      <c r="F595" s="112" t="s">
        <v>1133</v>
      </c>
      <c r="G595" s="363" t="s">
        <v>1759</v>
      </c>
      <c r="H595" s="364">
        <v>1806000</v>
      </c>
      <c r="I595" s="380" t="s">
        <v>1871</v>
      </c>
      <c r="J595" s="507">
        <v>44449</v>
      </c>
      <c r="K595" s="460">
        <f t="shared" si="93"/>
        <v>1806000</v>
      </c>
      <c r="L595" s="460"/>
      <c r="M595" s="459"/>
      <c r="N595" s="459">
        <f>H595*1%</f>
        <v>18060</v>
      </c>
      <c r="O595" s="459">
        <f>H595*2%</f>
        <v>36120</v>
      </c>
      <c r="P595" s="459">
        <v>1787940</v>
      </c>
      <c r="Q595" s="28">
        <f t="shared" si="96"/>
        <v>0</v>
      </c>
      <c r="R595" s="199"/>
      <c r="S595" s="197">
        <v>44462</v>
      </c>
      <c r="T595" s="199">
        <v>30</v>
      </c>
      <c r="U595" s="24">
        <f t="shared" si="90"/>
        <v>44479</v>
      </c>
      <c r="V595"/>
      <c r="W595"/>
      <c r="X595"/>
      <c r="Y595"/>
      <c r="Z595"/>
      <c r="AA595"/>
      <c r="AB595"/>
      <c r="AC595"/>
      <c r="AD595"/>
      <c r="AE595"/>
      <c r="AF595"/>
      <c r="AG595"/>
      <c r="AH595"/>
      <c r="AI595"/>
      <c r="AJ595"/>
      <c r="AK595"/>
      <c r="AL595"/>
      <c r="AM595"/>
      <c r="AN595"/>
      <c r="AO595"/>
      <c r="AP595"/>
      <c r="AQ595"/>
    </row>
    <row r="596" spans="1:43" s="10" customFormat="1" ht="17.25" customHeight="1" x14ac:dyDescent="0.25">
      <c r="A596" s="55">
        <f t="shared" si="89"/>
        <v>165</v>
      </c>
      <c r="B596" s="368" t="s">
        <v>1753</v>
      </c>
      <c r="C596" s="330" t="s">
        <v>1756</v>
      </c>
      <c r="D596" s="330"/>
      <c r="E596" s="58"/>
      <c r="F596" s="112" t="s">
        <v>1133</v>
      </c>
      <c r="G596" s="31" t="s">
        <v>136</v>
      </c>
      <c r="H596" s="364">
        <v>19430000</v>
      </c>
      <c r="I596" s="379" t="s">
        <v>1776</v>
      </c>
      <c r="J596" s="516">
        <v>44426</v>
      </c>
      <c r="K596" s="460">
        <f t="shared" si="93"/>
        <v>19430000</v>
      </c>
      <c r="L596" s="460"/>
      <c r="M596" s="459"/>
      <c r="N596" s="459">
        <f>K596*1%</f>
        <v>194300</v>
      </c>
      <c r="O596" s="459">
        <f>K596*2%</f>
        <v>388600</v>
      </c>
      <c r="P596" s="459">
        <v>19235700</v>
      </c>
      <c r="Q596" s="28">
        <f t="shared" si="96"/>
        <v>0</v>
      </c>
      <c r="R596" s="199"/>
      <c r="S596" s="197">
        <v>44462</v>
      </c>
      <c r="T596" s="199">
        <v>30</v>
      </c>
      <c r="U596" s="24">
        <f t="shared" si="90"/>
        <v>44456</v>
      </c>
      <c r="V596"/>
      <c r="W596"/>
      <c r="X596"/>
      <c r="Y596"/>
      <c r="Z596"/>
      <c r="AA596"/>
      <c r="AB596"/>
      <c r="AC596"/>
      <c r="AD596"/>
      <c r="AE596"/>
      <c r="AF596"/>
      <c r="AG596"/>
      <c r="AH596"/>
      <c r="AI596"/>
      <c r="AJ596"/>
      <c r="AK596"/>
      <c r="AL596"/>
      <c r="AM596"/>
      <c r="AN596"/>
      <c r="AO596"/>
      <c r="AP596"/>
      <c r="AQ596"/>
    </row>
    <row r="597" spans="1:43" s="10" customFormat="1" ht="17.25" customHeight="1" x14ac:dyDescent="0.25">
      <c r="A597" s="55">
        <f t="shared" si="89"/>
        <v>166</v>
      </c>
      <c r="B597" s="368" t="s">
        <v>1753</v>
      </c>
      <c r="C597" s="58" t="s">
        <v>1757</v>
      </c>
      <c r="D597" s="58"/>
      <c r="E597" s="58"/>
      <c r="F597" s="112" t="s">
        <v>1133</v>
      </c>
      <c r="G597" s="363" t="s">
        <v>1760</v>
      </c>
      <c r="H597" s="364">
        <v>1315000</v>
      </c>
      <c r="I597" s="380" t="s">
        <v>1865</v>
      </c>
      <c r="J597" s="514">
        <v>44446</v>
      </c>
      <c r="K597" s="460">
        <f t="shared" si="93"/>
        <v>1315000</v>
      </c>
      <c r="L597" s="460"/>
      <c r="M597" s="459"/>
      <c r="N597" s="459">
        <f>H597*1%</f>
        <v>13150</v>
      </c>
      <c r="O597" s="459">
        <f>H597*2%</f>
        <v>26300</v>
      </c>
      <c r="P597" s="459">
        <v>1301850</v>
      </c>
      <c r="Q597" s="28">
        <f t="shared" si="96"/>
        <v>0</v>
      </c>
      <c r="R597" s="199"/>
      <c r="S597" s="197">
        <v>44469</v>
      </c>
      <c r="T597" s="199">
        <v>30</v>
      </c>
      <c r="U597" s="24">
        <f t="shared" si="90"/>
        <v>44476</v>
      </c>
      <c r="V597"/>
      <c r="W597"/>
      <c r="X597"/>
      <c r="Y597"/>
      <c r="Z597"/>
      <c r="AA597"/>
      <c r="AB597"/>
      <c r="AC597"/>
      <c r="AD597"/>
      <c r="AE597"/>
      <c r="AF597"/>
      <c r="AG597"/>
      <c r="AH597"/>
      <c r="AI597"/>
      <c r="AJ597"/>
      <c r="AK597"/>
      <c r="AL597"/>
      <c r="AM597"/>
      <c r="AN597"/>
      <c r="AO597"/>
      <c r="AP597"/>
      <c r="AQ597"/>
    </row>
    <row r="598" spans="1:43" s="10" customFormat="1" ht="17.25" customHeight="1" x14ac:dyDescent="0.25">
      <c r="A598" s="55">
        <f t="shared" si="89"/>
        <v>167</v>
      </c>
      <c r="B598" s="463" t="s">
        <v>1763</v>
      </c>
      <c r="C598" s="58" t="s">
        <v>1764</v>
      </c>
      <c r="D598" s="58"/>
      <c r="E598" s="58"/>
      <c r="F598" s="23" t="s">
        <v>1765</v>
      </c>
      <c r="G598" s="363" t="s">
        <v>1761</v>
      </c>
      <c r="H598" s="364">
        <v>1000000</v>
      </c>
      <c r="I598" s="380" t="s">
        <v>1779</v>
      </c>
      <c r="J598" s="507">
        <v>44426</v>
      </c>
      <c r="K598" s="460">
        <f t="shared" si="93"/>
        <v>1000000</v>
      </c>
      <c r="L598" s="460"/>
      <c r="M598" s="459"/>
      <c r="N598" s="459"/>
      <c r="O598" s="459"/>
      <c r="P598" s="459"/>
      <c r="Q598" s="568">
        <f t="shared" si="96"/>
        <v>1000000</v>
      </c>
      <c r="R598" s="199"/>
      <c r="S598" s="197"/>
      <c r="T598" s="199">
        <v>30</v>
      </c>
      <c r="U598" s="24">
        <f t="shared" si="90"/>
        <v>44456</v>
      </c>
      <c r="V598"/>
      <c r="W598"/>
      <c r="X598"/>
      <c r="Y598"/>
      <c r="Z598"/>
      <c r="AA598"/>
      <c r="AB598"/>
      <c r="AC598"/>
      <c r="AD598"/>
      <c r="AE598"/>
      <c r="AF598"/>
      <c r="AG598"/>
      <c r="AH598"/>
      <c r="AI598"/>
      <c r="AJ598"/>
      <c r="AK598"/>
      <c r="AL598"/>
      <c r="AM598"/>
      <c r="AN598"/>
      <c r="AO598"/>
      <c r="AP598"/>
      <c r="AQ598"/>
    </row>
    <row r="599" spans="1:43" s="10" customFormat="1" ht="16.5" customHeight="1" x14ac:dyDescent="0.25">
      <c r="A599" s="55">
        <f t="shared" si="89"/>
        <v>168</v>
      </c>
      <c r="B599" s="464" t="s">
        <v>1736</v>
      </c>
      <c r="C599" s="330" t="s">
        <v>1766</v>
      </c>
      <c r="D599" s="330"/>
      <c r="E599" s="58"/>
      <c r="F599" s="112" t="s">
        <v>1133</v>
      </c>
      <c r="G599" s="31" t="s">
        <v>136</v>
      </c>
      <c r="H599" s="364">
        <v>8169000</v>
      </c>
      <c r="I599" s="380" t="s">
        <v>1805</v>
      </c>
      <c r="J599" s="514">
        <v>44432</v>
      </c>
      <c r="K599" s="460">
        <f t="shared" ref="K599:K606" si="99">H599</f>
        <v>8169000</v>
      </c>
      <c r="L599" s="460"/>
      <c r="M599" s="459"/>
      <c r="N599" s="459">
        <f>H599*1%</f>
        <v>81690</v>
      </c>
      <c r="O599" s="459">
        <f>H599*2%</f>
        <v>163380</v>
      </c>
      <c r="P599" s="459">
        <v>8087310</v>
      </c>
      <c r="Q599" s="28">
        <f t="shared" si="96"/>
        <v>0</v>
      </c>
      <c r="R599" s="199"/>
      <c r="S599" s="197">
        <v>44469</v>
      </c>
      <c r="T599" s="199">
        <v>30</v>
      </c>
      <c r="U599" s="24">
        <f t="shared" si="90"/>
        <v>44462</v>
      </c>
      <c r="V599"/>
      <c r="W599"/>
      <c r="X599"/>
      <c r="Y599"/>
      <c r="Z599"/>
      <c r="AA599"/>
      <c r="AB599"/>
      <c r="AC599"/>
      <c r="AD599"/>
      <c r="AE599"/>
      <c r="AF599"/>
      <c r="AG599"/>
      <c r="AH599"/>
      <c r="AI599"/>
      <c r="AJ599"/>
      <c r="AK599"/>
      <c r="AL599"/>
      <c r="AM599"/>
      <c r="AN599"/>
      <c r="AO599"/>
      <c r="AP599"/>
      <c r="AQ599"/>
    </row>
    <row r="600" spans="1:43" s="10" customFormat="1" ht="17.25" customHeight="1" x14ac:dyDescent="0.25">
      <c r="A600" s="55">
        <f t="shared" si="89"/>
        <v>169</v>
      </c>
      <c r="B600" s="464" t="s">
        <v>1736</v>
      </c>
      <c r="C600" s="58" t="s">
        <v>1767</v>
      </c>
      <c r="D600" s="58"/>
      <c r="E600" s="58"/>
      <c r="F600" s="123" t="s">
        <v>1474</v>
      </c>
      <c r="G600" s="363" t="s">
        <v>1030</v>
      </c>
      <c r="H600" s="364">
        <v>800000</v>
      </c>
      <c r="I600" s="380" t="s">
        <v>1777</v>
      </c>
      <c r="J600" s="514">
        <v>44428</v>
      </c>
      <c r="K600" s="460">
        <f t="shared" si="99"/>
        <v>800000</v>
      </c>
      <c r="L600" s="460"/>
      <c r="M600" s="459"/>
      <c r="N600" s="459"/>
      <c r="O600" s="459"/>
      <c r="P600" s="459">
        <v>800000</v>
      </c>
      <c r="Q600" s="28">
        <f t="shared" si="96"/>
        <v>0</v>
      </c>
      <c r="R600" s="199"/>
      <c r="S600" s="197">
        <v>44463</v>
      </c>
      <c r="T600" s="199">
        <v>14</v>
      </c>
      <c r="U600" s="24">
        <f t="shared" si="90"/>
        <v>44442</v>
      </c>
      <c r="V600"/>
      <c r="W600"/>
      <c r="X600"/>
      <c r="Y600"/>
      <c r="Z600"/>
      <c r="AA600"/>
      <c r="AB600"/>
      <c r="AC600"/>
      <c r="AD600"/>
      <c r="AE600"/>
      <c r="AF600"/>
      <c r="AG600"/>
      <c r="AH600"/>
      <c r="AI600"/>
      <c r="AJ600"/>
      <c r="AK600"/>
      <c r="AL600"/>
      <c r="AM600"/>
      <c r="AN600"/>
      <c r="AO600"/>
      <c r="AP600"/>
      <c r="AQ600"/>
    </row>
    <row r="601" spans="1:43" s="10" customFormat="1" ht="17.25" customHeight="1" x14ac:dyDescent="0.25">
      <c r="A601" s="55">
        <f t="shared" si="89"/>
        <v>170</v>
      </c>
      <c r="B601" s="464">
        <v>44407</v>
      </c>
      <c r="C601" s="58" t="s">
        <v>1826</v>
      </c>
      <c r="D601" s="58"/>
      <c r="E601" s="58"/>
      <c r="F601" s="31" t="s">
        <v>1825</v>
      </c>
      <c r="G601" s="31" t="s">
        <v>467</v>
      </c>
      <c r="H601" s="364">
        <v>720000</v>
      </c>
      <c r="I601" s="380" t="s">
        <v>1824</v>
      </c>
      <c r="J601" s="507">
        <v>44432</v>
      </c>
      <c r="K601" s="460">
        <f t="shared" si="99"/>
        <v>720000</v>
      </c>
      <c r="L601" s="460"/>
      <c r="M601" s="459"/>
      <c r="N601" s="459"/>
      <c r="O601" s="459"/>
      <c r="P601" s="459">
        <v>720000</v>
      </c>
      <c r="Q601" s="28">
        <f t="shared" si="96"/>
        <v>0</v>
      </c>
      <c r="R601" s="199"/>
      <c r="S601" s="197">
        <v>44456</v>
      </c>
      <c r="T601" s="199">
        <v>30</v>
      </c>
      <c r="U601" s="24">
        <f t="shared" si="90"/>
        <v>44462</v>
      </c>
      <c r="V601"/>
      <c r="W601"/>
      <c r="X601"/>
      <c r="Y601"/>
      <c r="Z601"/>
      <c r="AA601"/>
      <c r="AB601"/>
      <c r="AC601"/>
      <c r="AD601"/>
      <c r="AE601"/>
      <c r="AF601"/>
      <c r="AG601"/>
      <c r="AH601"/>
      <c r="AI601"/>
      <c r="AJ601"/>
      <c r="AK601"/>
      <c r="AL601"/>
      <c r="AM601"/>
      <c r="AN601"/>
      <c r="AO601"/>
      <c r="AP601"/>
      <c r="AQ601"/>
    </row>
    <row r="602" spans="1:43" s="10" customFormat="1" ht="15.75" customHeight="1" x14ac:dyDescent="0.25">
      <c r="A602" s="55">
        <f t="shared" si="89"/>
        <v>171</v>
      </c>
      <c r="B602" s="368" t="s">
        <v>1768</v>
      </c>
      <c r="C602" s="58" t="s">
        <v>1769</v>
      </c>
      <c r="D602" s="58"/>
      <c r="E602" s="58"/>
      <c r="F602" s="23" t="s">
        <v>266</v>
      </c>
      <c r="G602" s="363" t="s">
        <v>1758</v>
      </c>
      <c r="H602" s="364">
        <v>9000000</v>
      </c>
      <c r="I602" s="380" t="s">
        <v>1778</v>
      </c>
      <c r="J602" s="507">
        <v>44428</v>
      </c>
      <c r="K602" s="460">
        <f t="shared" si="99"/>
        <v>9000000</v>
      </c>
      <c r="L602" s="460">
        <v>6000000</v>
      </c>
      <c r="M602" s="459">
        <v>500000</v>
      </c>
      <c r="N602" s="459"/>
      <c r="O602" s="459"/>
      <c r="P602" s="459">
        <v>2500000</v>
      </c>
      <c r="Q602" s="28">
        <f t="shared" si="96"/>
        <v>0</v>
      </c>
      <c r="R602" s="197">
        <v>44407</v>
      </c>
      <c r="S602" s="197">
        <v>44428</v>
      </c>
      <c r="T602" s="199">
        <v>14</v>
      </c>
      <c r="U602" s="24">
        <f t="shared" si="90"/>
        <v>44442</v>
      </c>
      <c r="V602" t="s">
        <v>1775</v>
      </c>
      <c r="W602"/>
      <c r="X602"/>
      <c r="Y602"/>
      <c r="Z602"/>
      <c r="AA602"/>
      <c r="AB602"/>
      <c r="AC602"/>
      <c r="AD602"/>
      <c r="AE602"/>
      <c r="AF602"/>
      <c r="AG602"/>
      <c r="AH602"/>
      <c r="AI602"/>
      <c r="AJ602"/>
      <c r="AK602"/>
      <c r="AL602"/>
      <c r="AM602"/>
      <c r="AN602"/>
      <c r="AO602"/>
      <c r="AP602"/>
      <c r="AQ602"/>
    </row>
    <row r="603" spans="1:43" s="10" customFormat="1" ht="15.75" customHeight="1" x14ac:dyDescent="0.25">
      <c r="A603" s="55">
        <f t="shared" si="89"/>
        <v>172</v>
      </c>
      <c r="B603" s="368" t="s">
        <v>1768</v>
      </c>
      <c r="C603" s="330" t="s">
        <v>1770</v>
      </c>
      <c r="D603" s="330"/>
      <c r="E603" s="58"/>
      <c r="F603" s="31" t="s">
        <v>1825</v>
      </c>
      <c r="G603" s="31" t="s">
        <v>136</v>
      </c>
      <c r="H603" s="364">
        <v>2875200</v>
      </c>
      <c r="I603" s="380" t="s">
        <v>1823</v>
      </c>
      <c r="J603" s="514">
        <v>44432</v>
      </c>
      <c r="K603" s="460">
        <f t="shared" si="99"/>
        <v>2875200</v>
      </c>
      <c r="L603" s="460">
        <v>2000000</v>
      </c>
      <c r="M603" s="459">
        <v>25200</v>
      </c>
      <c r="N603" s="459"/>
      <c r="O603" s="459"/>
      <c r="P603" s="459">
        <v>850000</v>
      </c>
      <c r="Q603" s="28">
        <f t="shared" si="96"/>
        <v>0</v>
      </c>
      <c r="R603" s="197">
        <v>44407</v>
      </c>
      <c r="S603" s="197">
        <v>44438</v>
      </c>
      <c r="T603" s="199">
        <v>30</v>
      </c>
      <c r="U603" s="24">
        <f t="shared" si="90"/>
        <v>44462</v>
      </c>
      <c r="V603"/>
      <c r="W603"/>
      <c r="X603"/>
      <c r="Y603"/>
      <c r="Z603"/>
      <c r="AA603"/>
      <c r="AB603"/>
      <c r="AC603"/>
      <c r="AD603"/>
      <c r="AE603"/>
      <c r="AF603"/>
      <c r="AG603"/>
      <c r="AH603"/>
      <c r="AI603"/>
      <c r="AJ603"/>
      <c r="AK603"/>
      <c r="AL603"/>
      <c r="AM603"/>
      <c r="AN603"/>
      <c r="AO603"/>
      <c r="AP603"/>
      <c r="AQ603"/>
    </row>
    <row r="604" spans="1:43" s="10" customFormat="1" ht="15.75" customHeight="1" x14ac:dyDescent="0.25">
      <c r="A604" s="55">
        <f t="shared" si="89"/>
        <v>173</v>
      </c>
      <c r="B604" s="368" t="s">
        <v>1768</v>
      </c>
      <c r="C604" s="58" t="s">
        <v>1771</v>
      </c>
      <c r="D604" s="58"/>
      <c r="E604" s="58"/>
      <c r="F604" s="365" t="s">
        <v>1751</v>
      </c>
      <c r="G604" s="363" t="s">
        <v>826</v>
      </c>
      <c r="H604" s="364">
        <v>250000</v>
      </c>
      <c r="I604" s="380" t="s">
        <v>1885</v>
      </c>
      <c r="J604" s="507">
        <v>44455</v>
      </c>
      <c r="K604" s="460">
        <f t="shared" si="99"/>
        <v>250000</v>
      </c>
      <c r="L604" s="460"/>
      <c r="M604" s="459"/>
      <c r="N604" s="459"/>
      <c r="O604" s="459"/>
      <c r="P604" s="459">
        <v>250000</v>
      </c>
      <c r="Q604" s="28">
        <f t="shared" si="96"/>
        <v>0</v>
      </c>
      <c r="R604" s="199"/>
      <c r="S604" s="197">
        <v>44468</v>
      </c>
      <c r="T604" s="199">
        <v>30</v>
      </c>
      <c r="U604" s="24">
        <f t="shared" si="90"/>
        <v>44485</v>
      </c>
      <c r="V604"/>
      <c r="W604"/>
      <c r="X604"/>
      <c r="Y604"/>
      <c r="Z604"/>
      <c r="AA604"/>
      <c r="AB604"/>
      <c r="AC604"/>
      <c r="AD604"/>
      <c r="AE604"/>
      <c r="AF604"/>
      <c r="AG604"/>
      <c r="AH604"/>
      <c r="AI604"/>
      <c r="AJ604"/>
      <c r="AK604"/>
      <c r="AL604"/>
      <c r="AM604"/>
      <c r="AN604"/>
      <c r="AO604"/>
      <c r="AP604"/>
      <c r="AQ604"/>
    </row>
    <row r="605" spans="1:43" s="10" customFormat="1" ht="15.75" customHeight="1" x14ac:dyDescent="0.25">
      <c r="A605" s="55">
        <f t="shared" si="89"/>
        <v>174</v>
      </c>
      <c r="B605" s="56">
        <v>44408</v>
      </c>
      <c r="C605" s="348" t="s">
        <v>1787</v>
      </c>
      <c r="D605" s="369"/>
      <c r="E605" s="58">
        <v>101</v>
      </c>
      <c r="F605" s="110" t="s">
        <v>260</v>
      </c>
      <c r="G605" s="126" t="s">
        <v>1789</v>
      </c>
      <c r="H605" s="45">
        <v>13000000</v>
      </c>
      <c r="I605" s="380" t="s">
        <v>1788</v>
      </c>
      <c r="J605" s="301">
        <v>44427</v>
      </c>
      <c r="K605" s="460">
        <f t="shared" si="99"/>
        <v>13000000</v>
      </c>
      <c r="L605" s="460"/>
      <c r="M605" s="459"/>
      <c r="N605" s="459"/>
      <c r="O605" s="459"/>
      <c r="P605" s="459">
        <v>13000000</v>
      </c>
      <c r="Q605" s="28">
        <f t="shared" si="96"/>
        <v>0</v>
      </c>
      <c r="R605" s="199"/>
      <c r="S605" s="197">
        <v>44482</v>
      </c>
      <c r="T605" s="2">
        <v>30</v>
      </c>
      <c r="U605" s="24">
        <f t="shared" si="90"/>
        <v>44457</v>
      </c>
      <c r="V605"/>
      <c r="W605"/>
      <c r="X605"/>
      <c r="Y605"/>
      <c r="Z605"/>
      <c r="AA605"/>
      <c r="AB605"/>
      <c r="AC605"/>
      <c r="AD605"/>
      <c r="AE605"/>
      <c r="AF605"/>
      <c r="AG605"/>
      <c r="AH605"/>
      <c r="AI605"/>
      <c r="AJ605"/>
      <c r="AK605"/>
      <c r="AL605"/>
      <c r="AM605"/>
      <c r="AN605"/>
      <c r="AO605"/>
      <c r="AP605"/>
      <c r="AQ605"/>
    </row>
    <row r="606" spans="1:43" s="10" customFormat="1" ht="15.75" customHeight="1" x14ac:dyDescent="0.25">
      <c r="A606" s="55">
        <f t="shared" si="89"/>
        <v>175</v>
      </c>
      <c r="B606" s="368">
        <v>44398</v>
      </c>
      <c r="C606" s="58" t="s">
        <v>1794</v>
      </c>
      <c r="D606" s="58"/>
      <c r="E606" s="58"/>
      <c r="F606" s="363" t="s">
        <v>1070</v>
      </c>
      <c r="G606" s="31" t="s">
        <v>467</v>
      </c>
      <c r="H606" s="364">
        <v>600000</v>
      </c>
      <c r="I606" s="380" t="s">
        <v>1793</v>
      </c>
      <c r="J606" s="301">
        <v>44427</v>
      </c>
      <c r="K606" s="460">
        <f t="shared" si="99"/>
        <v>600000</v>
      </c>
      <c r="L606" s="460"/>
      <c r="M606" s="459"/>
      <c r="N606" s="459"/>
      <c r="O606" s="459"/>
      <c r="P606" s="459">
        <v>600000</v>
      </c>
      <c r="Q606" s="28">
        <f t="shared" si="96"/>
        <v>0</v>
      </c>
      <c r="R606" s="199"/>
      <c r="S606" s="197" t="s">
        <v>2463</v>
      </c>
      <c r="T606" s="199">
        <v>14</v>
      </c>
      <c r="U606" s="24">
        <f t="shared" si="90"/>
        <v>44441</v>
      </c>
      <c r="V606"/>
      <c r="W606"/>
      <c r="X606"/>
      <c r="Y606"/>
      <c r="Z606"/>
      <c r="AA606"/>
      <c r="AB606"/>
      <c r="AC606"/>
      <c r="AD606"/>
      <c r="AE606"/>
      <c r="AF606"/>
      <c r="AG606"/>
      <c r="AH606"/>
      <c r="AI606"/>
      <c r="AJ606"/>
      <c r="AK606"/>
      <c r="AL606"/>
      <c r="AM606"/>
      <c r="AN606"/>
      <c r="AO606"/>
      <c r="AP606"/>
      <c r="AQ606"/>
    </row>
    <row r="607" spans="1:43" s="10" customFormat="1" ht="32.25" customHeight="1" x14ac:dyDescent="0.25">
      <c r="A607" s="998" t="s">
        <v>1456</v>
      </c>
      <c r="B607" s="998"/>
      <c r="C607" s="998"/>
      <c r="D607" s="998"/>
      <c r="E607" s="998"/>
      <c r="F607" s="998"/>
      <c r="G607" s="998"/>
      <c r="H607" s="998"/>
      <c r="I607" s="998"/>
      <c r="J607" s="998"/>
      <c r="K607" s="473"/>
      <c r="L607" s="473"/>
      <c r="M607" s="473"/>
      <c r="N607" s="473"/>
      <c r="O607" s="473"/>
      <c r="P607" s="473"/>
      <c r="Q607" s="51">
        <f>SUM(Q432:Q606)</f>
        <v>35285650.399999999</v>
      </c>
      <c r="R607" s="479"/>
      <c r="S607" s="479"/>
      <c r="T607" s="479"/>
      <c r="U607" s="24">
        <f t="shared" ref="U607:U627" si="100">J607+T607</f>
        <v>0</v>
      </c>
      <c r="V607"/>
      <c r="W607"/>
      <c r="X607"/>
      <c r="Y607"/>
      <c r="Z607"/>
      <c r="AA607"/>
      <c r="AB607"/>
      <c r="AC607"/>
      <c r="AD607"/>
      <c r="AE607"/>
      <c r="AF607"/>
      <c r="AG607"/>
      <c r="AH607"/>
      <c r="AI607"/>
      <c r="AJ607"/>
      <c r="AK607"/>
      <c r="AL607"/>
      <c r="AM607"/>
      <c r="AN607"/>
      <c r="AO607"/>
      <c r="AP607"/>
      <c r="AQ607"/>
    </row>
    <row r="608" spans="1:43" s="10" customFormat="1" ht="15.75" customHeight="1" x14ac:dyDescent="0.25">
      <c r="A608" s="55">
        <v>1</v>
      </c>
      <c r="B608" s="56">
        <v>44411</v>
      </c>
      <c r="C608" s="58" t="s">
        <v>1564</v>
      </c>
      <c r="D608" s="58"/>
      <c r="E608" s="58" t="s">
        <v>1567</v>
      </c>
      <c r="F608" s="123" t="s">
        <v>2694</v>
      </c>
      <c r="G608" s="126" t="s">
        <v>1252</v>
      </c>
      <c r="H608" s="45">
        <v>1150000</v>
      </c>
      <c r="I608" s="380" t="s">
        <v>1566</v>
      </c>
      <c r="J608" s="301">
        <v>44414</v>
      </c>
      <c r="K608" s="460">
        <f t="shared" ref="K608:K624" si="101">H608</f>
        <v>1150000</v>
      </c>
      <c r="L608" s="460"/>
      <c r="M608" s="459"/>
      <c r="N608" s="28">
        <f t="shared" ref="N608:N610" si="102">K608*1%</f>
        <v>11500</v>
      </c>
      <c r="O608" s="28">
        <f t="shared" ref="O608:O610" si="103">K608*2%</f>
        <v>23000</v>
      </c>
      <c r="P608" s="459">
        <v>1138500</v>
      </c>
      <c r="Q608" s="28">
        <f t="shared" ref="Q608:Q672" si="104">K608-L608-M608-O608-P608+N608</f>
        <v>0</v>
      </c>
      <c r="R608" s="743"/>
      <c r="S608" s="474">
        <v>44442</v>
      </c>
      <c r="T608" s="199">
        <v>14</v>
      </c>
      <c r="U608" s="24">
        <f t="shared" si="100"/>
        <v>44428</v>
      </c>
      <c r="V608"/>
      <c r="W608"/>
      <c r="X608"/>
      <c r="Y608"/>
      <c r="Z608"/>
      <c r="AA608"/>
      <c r="AB608"/>
      <c r="AC608"/>
      <c r="AD608"/>
      <c r="AE608"/>
      <c r="AF608"/>
      <c r="AG608"/>
      <c r="AH608"/>
      <c r="AI608"/>
      <c r="AJ608"/>
      <c r="AK608"/>
      <c r="AL608"/>
      <c r="AM608"/>
      <c r="AN608"/>
      <c r="AO608"/>
      <c r="AP608"/>
      <c r="AQ608"/>
    </row>
    <row r="609" spans="1:43" s="10" customFormat="1" ht="15.75" customHeight="1" x14ac:dyDescent="0.25">
      <c r="A609" s="55">
        <f>A608+1</f>
        <v>2</v>
      </c>
      <c r="B609" s="56">
        <v>44412</v>
      </c>
      <c r="C609" s="58" t="s">
        <v>1618</v>
      </c>
      <c r="D609" s="58"/>
      <c r="E609" s="58"/>
      <c r="F609" s="123" t="s">
        <v>1619</v>
      </c>
      <c r="G609" s="123" t="s">
        <v>467</v>
      </c>
      <c r="H609" s="45">
        <v>9000000</v>
      </c>
      <c r="I609" s="380" t="s">
        <v>1620</v>
      </c>
      <c r="J609" s="301">
        <v>44414</v>
      </c>
      <c r="K609" s="460">
        <f t="shared" si="101"/>
        <v>9000000</v>
      </c>
      <c r="L609" s="460"/>
      <c r="M609" s="459">
        <v>3000000</v>
      </c>
      <c r="N609" s="28">
        <f t="shared" si="102"/>
        <v>90000</v>
      </c>
      <c r="O609" s="28"/>
      <c r="P609" s="459">
        <v>6090000</v>
      </c>
      <c r="Q609" s="28">
        <f t="shared" si="104"/>
        <v>0</v>
      </c>
      <c r="R609" s="199"/>
      <c r="S609" s="197">
        <v>44420</v>
      </c>
      <c r="T609" s="199">
        <v>14</v>
      </c>
      <c r="U609" s="24">
        <f t="shared" si="100"/>
        <v>44428</v>
      </c>
      <c r="V609"/>
      <c r="W609"/>
      <c r="X609"/>
      <c r="Y609"/>
      <c r="Z609"/>
      <c r="AA609"/>
      <c r="AB609"/>
      <c r="AC609"/>
      <c r="AD609"/>
      <c r="AE609"/>
      <c r="AF609"/>
      <c r="AG609"/>
      <c r="AH609"/>
      <c r="AI609"/>
      <c r="AJ609"/>
      <c r="AK609"/>
      <c r="AL609"/>
      <c r="AM609"/>
      <c r="AN609"/>
      <c r="AO609"/>
      <c r="AP609"/>
      <c r="AQ609"/>
    </row>
    <row r="610" spans="1:43" s="10" customFormat="1" ht="15.75" customHeight="1" x14ac:dyDescent="0.25">
      <c r="A610" s="55">
        <f t="shared" ref="A610:A673" si="105">A609+1</f>
        <v>3</v>
      </c>
      <c r="B610" s="56">
        <v>44410</v>
      </c>
      <c r="C610" s="58" t="s">
        <v>1628</v>
      </c>
      <c r="D610" s="58"/>
      <c r="E610" s="58" t="s">
        <v>1627</v>
      </c>
      <c r="F610" s="123" t="s">
        <v>2694</v>
      </c>
      <c r="G610" s="126" t="s">
        <v>582</v>
      </c>
      <c r="H610" s="45">
        <v>3250000</v>
      </c>
      <c r="I610" s="380" t="s">
        <v>1626</v>
      </c>
      <c r="J610" s="301">
        <v>44417</v>
      </c>
      <c r="K610" s="460">
        <f t="shared" si="101"/>
        <v>3250000</v>
      </c>
      <c r="L610" s="460">
        <f>1625000-40625</f>
        <v>1584375</v>
      </c>
      <c r="M610" s="459">
        <f>1625000*2.5%</f>
        <v>40625</v>
      </c>
      <c r="N610" s="28">
        <f t="shared" si="102"/>
        <v>32500</v>
      </c>
      <c r="O610" s="28">
        <f t="shared" si="103"/>
        <v>65000</v>
      </c>
      <c r="P610" s="459">
        <v>1592500</v>
      </c>
      <c r="Q610" s="28">
        <f t="shared" si="104"/>
        <v>0</v>
      </c>
      <c r="R610" s="474">
        <v>44411</v>
      </c>
      <c r="S610" s="474">
        <v>44435</v>
      </c>
      <c r="T610" s="199">
        <v>14</v>
      </c>
      <c r="U610" s="24">
        <f t="shared" si="100"/>
        <v>44431</v>
      </c>
      <c r="V610"/>
      <c r="W610"/>
      <c r="X610"/>
      <c r="Y610"/>
      <c r="Z610"/>
      <c r="AA610"/>
      <c r="AB610"/>
      <c r="AC610"/>
      <c r="AD610"/>
      <c r="AE610"/>
      <c r="AF610"/>
      <c r="AG610"/>
      <c r="AH610"/>
      <c r="AI610"/>
      <c r="AJ610"/>
      <c r="AK610"/>
      <c r="AL610"/>
      <c r="AM610"/>
      <c r="AN610"/>
      <c r="AO610"/>
      <c r="AP610"/>
      <c r="AQ610"/>
    </row>
    <row r="611" spans="1:43" s="10" customFormat="1" ht="15.75" customHeight="1" x14ac:dyDescent="0.25">
      <c r="A611" s="55">
        <f t="shared" si="105"/>
        <v>4</v>
      </c>
      <c r="B611" s="56">
        <v>44413</v>
      </c>
      <c r="C611" s="58" t="s">
        <v>1670</v>
      </c>
      <c r="D611" s="58"/>
      <c r="E611" s="58"/>
      <c r="F611" s="123" t="s">
        <v>1695</v>
      </c>
      <c r="G611" s="126" t="s">
        <v>1671</v>
      </c>
      <c r="H611" s="45">
        <v>5300000</v>
      </c>
      <c r="I611" s="380" t="s">
        <v>1669</v>
      </c>
      <c r="J611" s="301">
        <v>44418</v>
      </c>
      <c r="K611" s="460">
        <f t="shared" si="101"/>
        <v>5300000</v>
      </c>
      <c r="L611" s="460">
        <v>1590000</v>
      </c>
      <c r="M611" s="459"/>
      <c r="N611" s="28">
        <f>K611*1%</f>
        <v>53000</v>
      </c>
      <c r="O611" s="28"/>
      <c r="P611" s="459">
        <v>3763000</v>
      </c>
      <c r="Q611" s="28">
        <f t="shared" si="104"/>
        <v>0</v>
      </c>
      <c r="R611" s="197">
        <v>44418</v>
      </c>
      <c r="S611" s="475">
        <v>44441</v>
      </c>
      <c r="T611" s="199">
        <v>30</v>
      </c>
      <c r="U611" s="24">
        <f t="shared" si="100"/>
        <v>44448</v>
      </c>
      <c r="V611" t="s">
        <v>1672</v>
      </c>
      <c r="W611" t="s">
        <v>1673</v>
      </c>
      <c r="X611"/>
      <c r="Y611"/>
      <c r="Z611"/>
      <c r="AA611"/>
      <c r="AB611"/>
      <c r="AC611"/>
      <c r="AD611"/>
      <c r="AE611"/>
      <c r="AF611"/>
      <c r="AG611"/>
      <c r="AH611"/>
      <c r="AI611"/>
      <c r="AJ611"/>
      <c r="AK611"/>
      <c r="AL611"/>
      <c r="AM611"/>
      <c r="AN611"/>
      <c r="AO611"/>
      <c r="AP611"/>
      <c r="AQ611"/>
    </row>
    <row r="612" spans="1:43" s="10" customFormat="1" ht="15.75" customHeight="1" x14ac:dyDescent="0.25">
      <c r="A612" s="55">
        <f t="shared" si="105"/>
        <v>5</v>
      </c>
      <c r="B612" s="56" t="s">
        <v>1711</v>
      </c>
      <c r="C612" s="58" t="s">
        <v>1710</v>
      </c>
      <c r="D612" s="58"/>
      <c r="E612" s="58" t="s">
        <v>1712</v>
      </c>
      <c r="F612" s="112" t="s">
        <v>1133</v>
      </c>
      <c r="G612" s="126" t="s">
        <v>1117</v>
      </c>
      <c r="H612" s="45">
        <v>10498500</v>
      </c>
      <c r="I612" s="380" t="s">
        <v>1709</v>
      </c>
      <c r="J612" s="301">
        <v>44420</v>
      </c>
      <c r="K612" s="460">
        <f t="shared" si="101"/>
        <v>10498500</v>
      </c>
      <c r="L612" s="460"/>
      <c r="M612" s="459">
        <v>2100</v>
      </c>
      <c r="N612" s="28">
        <f>K612*1%</f>
        <v>104985</v>
      </c>
      <c r="O612" s="28">
        <f>K612*2%</f>
        <v>209970</v>
      </c>
      <c r="P612" s="459">
        <v>10391415</v>
      </c>
      <c r="Q612" s="28">
        <f t="shared" si="104"/>
        <v>0</v>
      </c>
      <c r="R612" s="199"/>
      <c r="S612" s="475">
        <v>44449</v>
      </c>
      <c r="T612" s="199">
        <v>30</v>
      </c>
      <c r="U612" s="24">
        <f t="shared" si="100"/>
        <v>44450</v>
      </c>
      <c r="V612"/>
      <c r="W612"/>
      <c r="X612"/>
      <c r="Y612"/>
      <c r="Z612"/>
      <c r="AA612"/>
      <c r="AB612"/>
      <c r="AC612"/>
      <c r="AD612"/>
      <c r="AE612"/>
      <c r="AF612"/>
      <c r="AG612"/>
      <c r="AH612"/>
      <c r="AI612"/>
      <c r="AJ612"/>
      <c r="AK612"/>
      <c r="AL612"/>
      <c r="AM612"/>
      <c r="AN612"/>
      <c r="AO612"/>
      <c r="AP612"/>
      <c r="AQ612"/>
    </row>
    <row r="613" spans="1:43" s="10" customFormat="1" ht="15.75" customHeight="1" x14ac:dyDescent="0.25">
      <c r="A613" s="55">
        <f t="shared" si="105"/>
        <v>6</v>
      </c>
      <c r="B613" s="470">
        <v>44413</v>
      </c>
      <c r="C613" s="448" t="s">
        <v>1784</v>
      </c>
      <c r="D613" s="332"/>
      <c r="E613" s="58" t="s">
        <v>1876</v>
      </c>
      <c r="F613" s="123" t="s">
        <v>2694</v>
      </c>
      <c r="G613" s="333" t="s">
        <v>1786</v>
      </c>
      <c r="H613" s="45">
        <v>3100000</v>
      </c>
      <c r="I613" s="380" t="s">
        <v>1875</v>
      </c>
      <c r="J613" s="516">
        <v>44421</v>
      </c>
      <c r="K613" s="460">
        <f t="shared" si="101"/>
        <v>3100000</v>
      </c>
      <c r="L613" s="460">
        <v>1511250</v>
      </c>
      <c r="M613" s="459">
        <f>K613*1.25%</f>
        <v>38750</v>
      </c>
      <c r="N613" s="28">
        <f>K613*1%</f>
        <v>31000</v>
      </c>
      <c r="O613" s="28">
        <f>K613*2%</f>
        <v>62000</v>
      </c>
      <c r="P613" s="459">
        <v>1519000</v>
      </c>
      <c r="Q613" s="28">
        <f t="shared" si="104"/>
        <v>0</v>
      </c>
      <c r="R613" s="474">
        <v>44414</v>
      </c>
      <c r="S613" s="744">
        <v>44462</v>
      </c>
      <c r="T613" s="199">
        <v>14</v>
      </c>
      <c r="U613" s="24">
        <f t="shared" si="100"/>
        <v>44435</v>
      </c>
      <c r="V613"/>
      <c r="W613"/>
      <c r="X613"/>
      <c r="Y613"/>
      <c r="Z613"/>
      <c r="AA613"/>
      <c r="AB613"/>
      <c r="AC613"/>
      <c r="AD613"/>
      <c r="AE613"/>
      <c r="AF613"/>
      <c r="AG613"/>
      <c r="AH613"/>
      <c r="AI613"/>
      <c r="AJ613"/>
      <c r="AK613"/>
      <c r="AL613"/>
      <c r="AM613"/>
      <c r="AN613"/>
      <c r="AO613"/>
      <c r="AP613"/>
      <c r="AQ613"/>
    </row>
    <row r="614" spans="1:43" s="10" customFormat="1" ht="15.75" customHeight="1" x14ac:dyDescent="0.25">
      <c r="A614" s="55">
        <f t="shared" si="105"/>
        <v>7</v>
      </c>
      <c r="B614" s="470">
        <v>44411</v>
      </c>
      <c r="C614" s="58" t="s">
        <v>1879</v>
      </c>
      <c r="D614" s="58"/>
      <c r="E614" s="58"/>
      <c r="F614" s="112" t="s">
        <v>1878</v>
      </c>
      <c r="G614" s="126" t="s">
        <v>1880</v>
      </c>
      <c r="H614" s="45">
        <v>94775000</v>
      </c>
      <c r="I614" s="380" t="s">
        <v>1877</v>
      </c>
      <c r="J614" s="301">
        <v>44426</v>
      </c>
      <c r="K614" s="460">
        <f t="shared" si="101"/>
        <v>94775000</v>
      </c>
      <c r="L614" s="460"/>
      <c r="M614" s="459"/>
      <c r="N614" s="28"/>
      <c r="O614" s="28">
        <f>K614*2%</f>
        <v>1895500</v>
      </c>
      <c r="P614" s="459">
        <v>92879500</v>
      </c>
      <c r="Q614" s="28">
        <f t="shared" si="104"/>
        <v>0</v>
      </c>
      <c r="R614" s="199"/>
      <c r="S614" s="475">
        <v>44455</v>
      </c>
      <c r="T614" s="199">
        <v>30</v>
      </c>
      <c r="U614" s="24">
        <f t="shared" si="100"/>
        <v>44456</v>
      </c>
      <c r="V614"/>
      <c r="W614"/>
      <c r="X614"/>
      <c r="Y614"/>
      <c r="Z614"/>
      <c r="AA614"/>
      <c r="AB614"/>
      <c r="AC614"/>
      <c r="AD614"/>
      <c r="AE614"/>
      <c r="AF614"/>
      <c r="AG614"/>
      <c r="AH614"/>
      <c r="AI614"/>
      <c r="AJ614"/>
      <c r="AK614"/>
      <c r="AL614"/>
      <c r="AM614"/>
      <c r="AN614"/>
      <c r="AO614"/>
      <c r="AP614"/>
      <c r="AQ614"/>
    </row>
    <row r="615" spans="1:43" s="10" customFormat="1" ht="15.75" customHeight="1" x14ac:dyDescent="0.25">
      <c r="A615" s="55">
        <f t="shared" si="105"/>
        <v>8</v>
      </c>
      <c r="B615" s="56">
        <v>44414</v>
      </c>
      <c r="C615" s="448" t="s">
        <v>1797</v>
      </c>
      <c r="D615" s="332"/>
      <c r="E615" s="58" t="s">
        <v>1798</v>
      </c>
      <c r="F615" s="123" t="s">
        <v>2694</v>
      </c>
      <c r="G615" s="126" t="s">
        <v>1799</v>
      </c>
      <c r="H615" s="45">
        <v>2700000</v>
      </c>
      <c r="I615" s="380" t="s">
        <v>1800</v>
      </c>
      <c r="J615" s="301">
        <v>44427</v>
      </c>
      <c r="K615" s="460">
        <f t="shared" si="101"/>
        <v>2700000</v>
      </c>
      <c r="L615" s="460">
        <f>1350000-33750</f>
        <v>1316250</v>
      </c>
      <c r="M615" s="459">
        <f>1350000*5.05%</f>
        <v>68175</v>
      </c>
      <c r="N615" s="28">
        <f t="shared" ref="N615" si="106">K615*1%</f>
        <v>27000</v>
      </c>
      <c r="O615" s="28">
        <f t="shared" ref="O615" si="107">K615*2%</f>
        <v>54000</v>
      </c>
      <c r="P615" s="459">
        <v>1288575</v>
      </c>
      <c r="Q615" s="28">
        <f t="shared" si="104"/>
        <v>0</v>
      </c>
      <c r="R615" s="474">
        <v>44417</v>
      </c>
      <c r="S615" s="744">
        <v>44435</v>
      </c>
      <c r="T615" s="199">
        <v>14</v>
      </c>
      <c r="U615" s="24">
        <f t="shared" si="100"/>
        <v>44441</v>
      </c>
      <c r="V615"/>
      <c r="W615"/>
      <c r="X615"/>
      <c r="Y615"/>
      <c r="Z615"/>
      <c r="AA615"/>
      <c r="AB615"/>
      <c r="AC615"/>
      <c r="AD615"/>
      <c r="AE615"/>
      <c r="AF615"/>
      <c r="AG615"/>
      <c r="AH615"/>
      <c r="AI615"/>
      <c r="AJ615"/>
      <c r="AK615"/>
      <c r="AL615"/>
      <c r="AM615"/>
      <c r="AN615"/>
      <c r="AO615"/>
      <c r="AP615"/>
      <c r="AQ615"/>
    </row>
    <row r="616" spans="1:43" s="10" customFormat="1" ht="15.75" customHeight="1" x14ac:dyDescent="0.25">
      <c r="A616" s="55">
        <f t="shared" si="105"/>
        <v>9</v>
      </c>
      <c r="B616" s="56">
        <v>44412</v>
      </c>
      <c r="C616" s="58" t="s">
        <v>1802</v>
      </c>
      <c r="D616" s="58"/>
      <c r="E616" s="58" t="s">
        <v>1785</v>
      </c>
      <c r="F616" s="123" t="s">
        <v>2694</v>
      </c>
      <c r="G616" s="126" t="s">
        <v>1803</v>
      </c>
      <c r="H616" s="45">
        <v>3100000</v>
      </c>
      <c r="I616" s="380" t="s">
        <v>1801</v>
      </c>
      <c r="J616" s="301">
        <v>44427</v>
      </c>
      <c r="K616" s="460">
        <f t="shared" si="101"/>
        <v>3100000</v>
      </c>
      <c r="L616" s="460"/>
      <c r="M616" s="459"/>
      <c r="N616" s="28">
        <f t="shared" ref="N616:N624" si="108">K616*1%</f>
        <v>31000</v>
      </c>
      <c r="O616" s="28">
        <f t="shared" ref="O616:O624" si="109">K616*2%</f>
        <v>62000</v>
      </c>
      <c r="P616" s="459">
        <v>3069000</v>
      </c>
      <c r="Q616" s="28">
        <f t="shared" si="104"/>
        <v>0</v>
      </c>
      <c r="R616" s="743"/>
      <c r="S616" s="474">
        <v>44445</v>
      </c>
      <c r="T616" s="199">
        <v>14</v>
      </c>
      <c r="U616" s="24">
        <f t="shared" si="100"/>
        <v>44441</v>
      </c>
      <c r="V616"/>
      <c r="W616"/>
      <c r="X616"/>
      <c r="Y616"/>
      <c r="Z616"/>
      <c r="AA616"/>
      <c r="AB616"/>
      <c r="AC616"/>
      <c r="AD616"/>
      <c r="AE616"/>
      <c r="AF616"/>
      <c r="AG616"/>
      <c r="AH616"/>
      <c r="AI616"/>
      <c r="AJ616"/>
      <c r="AK616"/>
      <c r="AL616"/>
      <c r="AM616"/>
      <c r="AN616"/>
      <c r="AO616"/>
      <c r="AP616"/>
      <c r="AQ616"/>
    </row>
    <row r="617" spans="1:43" s="10" customFormat="1" ht="15.75" customHeight="1" x14ac:dyDescent="0.25">
      <c r="A617" s="55">
        <f t="shared" si="105"/>
        <v>10</v>
      </c>
      <c r="B617" s="56">
        <v>44424</v>
      </c>
      <c r="C617" s="58" t="s">
        <v>1806</v>
      </c>
      <c r="D617" s="58"/>
      <c r="E617" s="58" t="s">
        <v>1807</v>
      </c>
      <c r="F617" s="53" t="s">
        <v>553</v>
      </c>
      <c r="G617" s="126" t="s">
        <v>136</v>
      </c>
      <c r="H617" s="45">
        <v>11800000</v>
      </c>
      <c r="I617" s="380" t="s">
        <v>1808</v>
      </c>
      <c r="J617" s="301">
        <v>44433</v>
      </c>
      <c r="K617" s="460">
        <f t="shared" si="101"/>
        <v>11800000</v>
      </c>
      <c r="L617" s="460"/>
      <c r="M617" s="459"/>
      <c r="N617" s="28">
        <f t="shared" si="108"/>
        <v>118000</v>
      </c>
      <c r="O617" s="28">
        <f t="shared" si="109"/>
        <v>236000</v>
      </c>
      <c r="P617" s="459">
        <v>11682000</v>
      </c>
      <c r="Q617" s="28">
        <f t="shared" si="104"/>
        <v>0</v>
      </c>
      <c r="R617" s="199"/>
      <c r="S617" s="197">
        <v>44459</v>
      </c>
      <c r="T617" s="2">
        <v>14</v>
      </c>
      <c r="U617" s="24">
        <f t="shared" si="100"/>
        <v>44447</v>
      </c>
      <c r="V617"/>
      <c r="W617"/>
      <c r="X617"/>
      <c r="Y617"/>
      <c r="Z617"/>
      <c r="AA617"/>
      <c r="AB617"/>
      <c r="AC617"/>
      <c r="AD617"/>
      <c r="AE617"/>
      <c r="AF617"/>
      <c r="AG617"/>
      <c r="AH617"/>
      <c r="AI617"/>
      <c r="AJ617"/>
      <c r="AK617"/>
      <c r="AL617"/>
      <c r="AM617"/>
      <c r="AN617"/>
      <c r="AO617"/>
      <c r="AP617"/>
      <c r="AQ617"/>
    </row>
    <row r="618" spans="1:43" s="10" customFormat="1" ht="15.75" customHeight="1" x14ac:dyDescent="0.25">
      <c r="A618" s="55">
        <f t="shared" si="105"/>
        <v>11</v>
      </c>
      <c r="B618" s="79">
        <v>44410</v>
      </c>
      <c r="C618" s="330" t="s">
        <v>1809</v>
      </c>
      <c r="D618" s="330"/>
      <c r="E618" s="330"/>
      <c r="F618" s="33" t="s">
        <v>1195</v>
      </c>
      <c r="G618" s="126" t="s">
        <v>1810</v>
      </c>
      <c r="H618" s="45">
        <v>9538100</v>
      </c>
      <c r="I618" s="377" t="s">
        <v>1811</v>
      </c>
      <c r="J618" s="301">
        <v>44434</v>
      </c>
      <c r="K618" s="460">
        <f t="shared" si="101"/>
        <v>9538100</v>
      </c>
      <c r="L618" s="460"/>
      <c r="M618" s="459">
        <v>944271.80000000075</v>
      </c>
      <c r="N618" s="28">
        <f>K618*1%</f>
        <v>95381</v>
      </c>
      <c r="O618" s="28">
        <f>K618*2%</f>
        <v>190762</v>
      </c>
      <c r="P618" s="459">
        <v>8498447.1999999993</v>
      </c>
      <c r="Q618" s="28">
        <f t="shared" si="104"/>
        <v>0</v>
      </c>
      <c r="R618" s="199"/>
      <c r="S618" s="197">
        <v>44446</v>
      </c>
      <c r="T618" s="199">
        <v>14</v>
      </c>
      <c r="U618" s="24">
        <f t="shared" si="100"/>
        <v>44448</v>
      </c>
      <c r="V618"/>
      <c r="W618"/>
      <c r="X618"/>
      <c r="Y618"/>
      <c r="Z618"/>
      <c r="AA618"/>
      <c r="AB618"/>
      <c r="AC618"/>
      <c r="AD618"/>
      <c r="AE618"/>
      <c r="AF618"/>
      <c r="AG618"/>
      <c r="AH618"/>
      <c r="AI618"/>
      <c r="AJ618"/>
      <c r="AK618"/>
      <c r="AL618"/>
      <c r="AM618"/>
      <c r="AN618"/>
      <c r="AO618"/>
      <c r="AP618"/>
      <c r="AQ618"/>
    </row>
    <row r="619" spans="1:43" s="10" customFormat="1" ht="15.75" customHeight="1" x14ac:dyDescent="0.25">
      <c r="A619" s="55">
        <f t="shared" si="105"/>
        <v>12</v>
      </c>
      <c r="B619" s="56">
        <v>44408</v>
      </c>
      <c r="C619" s="58" t="s">
        <v>1813</v>
      </c>
      <c r="D619" s="58"/>
      <c r="E619" s="58"/>
      <c r="F619" s="123" t="s">
        <v>1195</v>
      </c>
      <c r="G619" s="126" t="s">
        <v>1559</v>
      </c>
      <c r="H619" s="45">
        <v>26369000</v>
      </c>
      <c r="I619" s="380" t="s">
        <v>1812</v>
      </c>
      <c r="J619" s="301">
        <v>44434</v>
      </c>
      <c r="K619" s="460">
        <f t="shared" si="101"/>
        <v>26369000</v>
      </c>
      <c r="L619" s="460"/>
      <c r="M619" s="431"/>
      <c r="N619" s="28">
        <f t="shared" si="108"/>
        <v>263690</v>
      </c>
      <c r="O619" s="28">
        <f t="shared" si="109"/>
        <v>527380</v>
      </c>
      <c r="P619" s="459">
        <v>26105310</v>
      </c>
      <c r="Q619" s="28">
        <f t="shared" si="104"/>
        <v>0</v>
      </c>
      <c r="R619" s="199"/>
      <c r="S619" s="197">
        <v>44447</v>
      </c>
      <c r="T619" s="199">
        <v>14</v>
      </c>
      <c r="U619" s="24">
        <f t="shared" si="100"/>
        <v>44448</v>
      </c>
      <c r="V619"/>
      <c r="W619"/>
      <c r="X619"/>
      <c r="Y619"/>
      <c r="Z619"/>
      <c r="AA619"/>
      <c r="AB619"/>
      <c r="AC619"/>
      <c r="AD619"/>
      <c r="AE619"/>
      <c r="AF619"/>
      <c r="AG619"/>
      <c r="AH619"/>
      <c r="AI619"/>
      <c r="AJ619"/>
      <c r="AK619"/>
      <c r="AL619"/>
      <c r="AM619"/>
      <c r="AN619"/>
      <c r="AO619"/>
      <c r="AP619"/>
      <c r="AQ619"/>
    </row>
    <row r="620" spans="1:43" s="10" customFormat="1" ht="15.75" customHeight="1" x14ac:dyDescent="0.25">
      <c r="A620" s="55">
        <f t="shared" si="105"/>
        <v>13</v>
      </c>
      <c r="B620" s="56">
        <v>44416</v>
      </c>
      <c r="C620" s="58" t="s">
        <v>1815</v>
      </c>
      <c r="D620" s="58"/>
      <c r="E620" s="58"/>
      <c r="F620" s="123" t="s">
        <v>1195</v>
      </c>
      <c r="G620" s="126" t="s">
        <v>21</v>
      </c>
      <c r="H620" s="45">
        <v>23828000</v>
      </c>
      <c r="I620" s="380" t="s">
        <v>1814</v>
      </c>
      <c r="J620" s="301">
        <v>44439</v>
      </c>
      <c r="K620" s="460">
        <f t="shared" si="101"/>
        <v>23828000</v>
      </c>
      <c r="L620" s="460"/>
      <c r="M620" s="459"/>
      <c r="N620" s="28">
        <f t="shared" si="108"/>
        <v>238280</v>
      </c>
      <c r="O620" s="28">
        <f t="shared" si="109"/>
        <v>476560</v>
      </c>
      <c r="P620" s="459">
        <v>23589720</v>
      </c>
      <c r="Q620" s="28">
        <f t="shared" si="104"/>
        <v>0</v>
      </c>
      <c r="R620" s="199"/>
      <c r="S620" s="197">
        <v>44449</v>
      </c>
      <c r="T620" s="199">
        <v>14</v>
      </c>
      <c r="U620" s="24">
        <f t="shared" si="100"/>
        <v>44453</v>
      </c>
      <c r="V620"/>
      <c r="W620"/>
      <c r="X620"/>
      <c r="Y620"/>
      <c r="Z620"/>
      <c r="AA620"/>
      <c r="AB620"/>
      <c r="AC620"/>
      <c r="AD620"/>
      <c r="AE620"/>
      <c r="AF620"/>
      <c r="AG620"/>
      <c r="AH620"/>
      <c r="AI620"/>
      <c r="AJ620"/>
      <c r="AK620"/>
      <c r="AL620"/>
      <c r="AM620"/>
      <c r="AN620"/>
      <c r="AO620"/>
      <c r="AP620"/>
      <c r="AQ620"/>
    </row>
    <row r="621" spans="1:43" s="10" customFormat="1" ht="15.75" customHeight="1" x14ac:dyDescent="0.25">
      <c r="A621" s="55">
        <f t="shared" si="105"/>
        <v>14</v>
      </c>
      <c r="B621" s="56">
        <v>44378</v>
      </c>
      <c r="C621" s="58" t="s">
        <v>1817</v>
      </c>
      <c r="D621" s="58"/>
      <c r="E621" s="58"/>
      <c r="F621" s="69" t="s">
        <v>2497</v>
      </c>
      <c r="G621" s="126" t="s">
        <v>477</v>
      </c>
      <c r="H621" s="45">
        <v>3740000</v>
      </c>
      <c r="I621" s="380" t="s">
        <v>1816</v>
      </c>
      <c r="J621" s="301">
        <v>44439</v>
      </c>
      <c r="K621" s="460">
        <f t="shared" si="101"/>
        <v>3740000</v>
      </c>
      <c r="L621" s="460"/>
      <c r="M621" s="459"/>
      <c r="N621" s="28">
        <f t="shared" si="108"/>
        <v>37400</v>
      </c>
      <c r="O621" s="28">
        <f t="shared" si="109"/>
        <v>74800</v>
      </c>
      <c r="P621" s="459">
        <v>3702600</v>
      </c>
      <c r="Q621" s="28">
        <f t="shared" si="104"/>
        <v>0</v>
      </c>
      <c r="R621" s="199"/>
      <c r="S621" s="197">
        <v>44488</v>
      </c>
      <c r="T621" s="199">
        <v>30</v>
      </c>
      <c r="U621" s="24">
        <f t="shared" si="100"/>
        <v>44469</v>
      </c>
      <c r="V621"/>
      <c r="W621"/>
      <c r="X621"/>
      <c r="Y621"/>
      <c r="Z621"/>
      <c r="AA621"/>
      <c r="AB621"/>
      <c r="AC621"/>
      <c r="AD621"/>
      <c r="AE621"/>
      <c r="AF621"/>
      <c r="AG621"/>
      <c r="AH621"/>
      <c r="AI621"/>
      <c r="AJ621"/>
      <c r="AK621"/>
      <c r="AL621"/>
      <c r="AM621"/>
      <c r="AN621"/>
      <c r="AO621"/>
      <c r="AP621"/>
      <c r="AQ621"/>
    </row>
    <row r="622" spans="1:43" s="10" customFormat="1" ht="15.75" customHeight="1" x14ac:dyDescent="0.25">
      <c r="A622" s="55">
        <f t="shared" si="105"/>
        <v>15</v>
      </c>
      <c r="B622" s="56">
        <v>44412</v>
      </c>
      <c r="C622" s="58" t="s">
        <v>1854</v>
      </c>
      <c r="D622" s="58"/>
      <c r="E622" s="58"/>
      <c r="F622" s="123" t="s">
        <v>1195</v>
      </c>
      <c r="G622" s="126" t="s">
        <v>503</v>
      </c>
      <c r="H622" s="45">
        <v>127352610</v>
      </c>
      <c r="I622" s="380" t="s">
        <v>1853</v>
      </c>
      <c r="J622" s="301">
        <v>44440</v>
      </c>
      <c r="K622" s="460">
        <f t="shared" si="101"/>
        <v>127352610</v>
      </c>
      <c r="L622" s="460"/>
      <c r="M622" s="459">
        <f>12735261+2271500+3515050</f>
        <v>18521811</v>
      </c>
      <c r="N622" s="28">
        <v>1146173</v>
      </c>
      <c r="O622" s="28">
        <v>2292347</v>
      </c>
      <c r="P622" s="459">
        <v>107684625.02</v>
      </c>
      <c r="Q622" s="28">
        <f t="shared" si="104"/>
        <v>-1.9999995827674866E-2</v>
      </c>
      <c r="R622" s="199"/>
      <c r="S622" s="197">
        <v>44456</v>
      </c>
      <c r="T622" s="199">
        <v>14</v>
      </c>
      <c r="U622" s="24">
        <f t="shared" si="100"/>
        <v>44454</v>
      </c>
      <c r="V622"/>
      <c r="W622"/>
      <c r="X622"/>
      <c r="Y622"/>
      <c r="Z622"/>
      <c r="AA622"/>
      <c r="AB622"/>
      <c r="AC622"/>
      <c r="AD622"/>
      <c r="AE622"/>
      <c r="AF622"/>
      <c r="AG622"/>
      <c r="AH622"/>
      <c r="AI622"/>
      <c r="AJ622"/>
      <c r="AK622"/>
      <c r="AL622"/>
      <c r="AM622"/>
      <c r="AN622"/>
      <c r="AO622"/>
      <c r="AP622"/>
      <c r="AQ622"/>
    </row>
    <row r="623" spans="1:43" s="10" customFormat="1" ht="15.75" customHeight="1" x14ac:dyDescent="0.25">
      <c r="A623" s="55">
        <f t="shared" si="105"/>
        <v>16</v>
      </c>
      <c r="B623" s="56">
        <v>44402</v>
      </c>
      <c r="C623" s="58" t="s">
        <v>1857</v>
      </c>
      <c r="D623" s="58"/>
      <c r="E623" s="58"/>
      <c r="F623" s="123" t="s">
        <v>1195</v>
      </c>
      <c r="G623" s="126" t="s">
        <v>1856</v>
      </c>
      <c r="H623" s="45">
        <v>92664000</v>
      </c>
      <c r="I623" s="380" t="s">
        <v>1855</v>
      </c>
      <c r="J623" s="301">
        <v>44445</v>
      </c>
      <c r="K623" s="460">
        <f t="shared" si="101"/>
        <v>92664000</v>
      </c>
      <c r="L623" s="460"/>
      <c r="M623" s="459">
        <v>9266400</v>
      </c>
      <c r="N623" s="28">
        <f>83397600*1%</f>
        <v>833976</v>
      </c>
      <c r="O623" s="28">
        <f>83397600*2%</f>
        <v>1667952</v>
      </c>
      <c r="P623" s="459">
        <v>82563624</v>
      </c>
      <c r="Q623" s="28">
        <f t="shared" si="104"/>
        <v>0</v>
      </c>
      <c r="R623" s="482"/>
      <c r="S623" s="475">
        <v>44459</v>
      </c>
      <c r="T623" s="199">
        <v>14</v>
      </c>
      <c r="U623" s="24">
        <f t="shared" si="100"/>
        <v>44459</v>
      </c>
      <c r="V623"/>
      <c r="W623"/>
      <c r="X623"/>
      <c r="Y623"/>
      <c r="Z623"/>
      <c r="AA623"/>
      <c r="AB623"/>
      <c r="AC623"/>
      <c r="AD623"/>
      <c r="AE623"/>
      <c r="AF623"/>
      <c r="AG623"/>
      <c r="AH623"/>
      <c r="AI623"/>
      <c r="AJ623"/>
      <c r="AK623"/>
      <c r="AL623"/>
      <c r="AM623"/>
      <c r="AN623"/>
      <c r="AO623"/>
      <c r="AP623"/>
      <c r="AQ623"/>
    </row>
    <row r="624" spans="1:43" s="10" customFormat="1" ht="15.75" customHeight="1" x14ac:dyDescent="0.25">
      <c r="A624" s="55">
        <f t="shared" si="105"/>
        <v>17</v>
      </c>
      <c r="B624" s="56">
        <v>44424</v>
      </c>
      <c r="C624" s="58" t="s">
        <v>1862</v>
      </c>
      <c r="D624" s="58"/>
      <c r="E624" s="58"/>
      <c r="F624" s="53" t="s">
        <v>553</v>
      </c>
      <c r="G624" s="126" t="s">
        <v>1861</v>
      </c>
      <c r="H624" s="45">
        <v>1600000</v>
      </c>
      <c r="I624" s="380" t="s">
        <v>1860</v>
      </c>
      <c r="J624" s="301">
        <v>44446</v>
      </c>
      <c r="K624" s="460">
        <f t="shared" si="101"/>
        <v>1600000</v>
      </c>
      <c r="L624" s="460"/>
      <c r="M624" s="459"/>
      <c r="N624" s="28">
        <f t="shared" si="108"/>
        <v>16000</v>
      </c>
      <c r="O624" s="28">
        <f t="shared" si="109"/>
        <v>32000</v>
      </c>
      <c r="P624" s="459">
        <v>1584000</v>
      </c>
      <c r="Q624" s="28">
        <f t="shared" si="104"/>
        <v>0</v>
      </c>
      <c r="R624" s="482"/>
      <c r="S624" s="197">
        <v>44459</v>
      </c>
      <c r="T624" s="2">
        <v>14</v>
      </c>
      <c r="U624" s="24">
        <f t="shared" si="100"/>
        <v>44460</v>
      </c>
      <c r="V624"/>
      <c r="W624"/>
      <c r="X624"/>
      <c r="Y624"/>
      <c r="Z624"/>
      <c r="AA624"/>
      <c r="AB624"/>
      <c r="AC624"/>
      <c r="AD624"/>
      <c r="AE624"/>
      <c r="AF624"/>
      <c r="AG624"/>
      <c r="AH624"/>
      <c r="AI624"/>
      <c r="AJ624"/>
      <c r="AK624"/>
      <c r="AL624"/>
      <c r="AM624"/>
      <c r="AN624"/>
      <c r="AO624"/>
      <c r="AP624"/>
      <c r="AQ624"/>
    </row>
    <row r="625" spans="1:43" s="10" customFormat="1" ht="15.75" customHeight="1" x14ac:dyDescent="0.25">
      <c r="A625" s="55">
        <f t="shared" si="105"/>
        <v>18</v>
      </c>
      <c r="B625" s="56">
        <v>44426</v>
      </c>
      <c r="C625" s="58"/>
      <c r="D625" s="58"/>
      <c r="E625" s="58">
        <v>1654581821</v>
      </c>
      <c r="F625" s="53" t="s">
        <v>553</v>
      </c>
      <c r="G625" s="126" t="s">
        <v>1864</v>
      </c>
      <c r="H625" s="45">
        <v>877770</v>
      </c>
      <c r="I625" s="380" t="s">
        <v>1863</v>
      </c>
      <c r="J625" s="301">
        <v>44446</v>
      </c>
      <c r="K625" s="460">
        <f>H625</f>
        <v>877770</v>
      </c>
      <c r="L625" s="460"/>
      <c r="M625" s="459"/>
      <c r="N625" s="28">
        <f>K625*1%</f>
        <v>8777.7000000000007</v>
      </c>
      <c r="O625" s="28">
        <f>K625*2%</f>
        <v>17555.400000000001</v>
      </c>
      <c r="P625" s="459">
        <v>868992.29999999993</v>
      </c>
      <c r="Q625" s="28">
        <f t="shared" si="104"/>
        <v>4.7293724492192268E-11</v>
      </c>
      <c r="R625" s="482"/>
      <c r="S625" s="197">
        <v>44459</v>
      </c>
      <c r="T625" s="2">
        <v>14</v>
      </c>
      <c r="U625" s="24">
        <f t="shared" si="100"/>
        <v>44460</v>
      </c>
      <c r="V625"/>
      <c r="W625"/>
      <c r="X625"/>
      <c r="Y625"/>
      <c r="Z625"/>
      <c r="AA625"/>
      <c r="AB625"/>
      <c r="AC625"/>
      <c r="AD625"/>
      <c r="AE625"/>
      <c r="AF625"/>
      <c r="AG625"/>
      <c r="AH625"/>
      <c r="AI625"/>
      <c r="AJ625"/>
      <c r="AK625"/>
      <c r="AL625"/>
      <c r="AM625"/>
      <c r="AN625"/>
      <c r="AO625"/>
      <c r="AP625"/>
      <c r="AQ625"/>
    </row>
    <row r="626" spans="1:43" s="10" customFormat="1" ht="15.75" customHeight="1" x14ac:dyDescent="0.25">
      <c r="A626" s="55">
        <f t="shared" si="105"/>
        <v>19</v>
      </c>
      <c r="B626" s="56">
        <v>44427</v>
      </c>
      <c r="C626" s="58" t="s">
        <v>1867</v>
      </c>
      <c r="D626" s="58"/>
      <c r="E626" s="58"/>
      <c r="F626" s="69" t="s">
        <v>279</v>
      </c>
      <c r="G626" s="126" t="s">
        <v>521</v>
      </c>
      <c r="H626" s="45">
        <v>583218</v>
      </c>
      <c r="I626" s="380" t="s">
        <v>1866</v>
      </c>
      <c r="J626" s="301">
        <v>44446</v>
      </c>
      <c r="K626" s="460">
        <f t="shared" ref="K626:K685" si="110">H626</f>
        <v>583218</v>
      </c>
      <c r="L626" s="460"/>
      <c r="M626" s="459"/>
      <c r="N626" s="28">
        <f>K626*1%</f>
        <v>5832.18</v>
      </c>
      <c r="O626" s="28">
        <f>K626*2%</f>
        <v>11664.36</v>
      </c>
      <c r="P626" s="459">
        <v>577385.82000000007</v>
      </c>
      <c r="Q626" s="28">
        <f t="shared" si="104"/>
        <v>-5.0931703299283981E-11</v>
      </c>
      <c r="R626" s="482"/>
      <c r="S626" s="475">
        <v>44531</v>
      </c>
      <c r="T626" s="199">
        <v>30</v>
      </c>
      <c r="U626" s="24">
        <f t="shared" si="100"/>
        <v>44476</v>
      </c>
      <c r="V626"/>
      <c r="W626"/>
      <c r="X626"/>
      <c r="Y626"/>
      <c r="Z626"/>
      <c r="AA626"/>
      <c r="AB626"/>
      <c r="AC626"/>
      <c r="AD626"/>
      <c r="AE626"/>
      <c r="AF626"/>
      <c r="AG626"/>
      <c r="AH626"/>
      <c r="AI626"/>
      <c r="AJ626"/>
      <c r="AK626"/>
      <c r="AL626"/>
      <c r="AM626"/>
      <c r="AN626"/>
      <c r="AO626"/>
      <c r="AP626"/>
      <c r="AQ626"/>
    </row>
    <row r="627" spans="1:43" s="10" customFormat="1" ht="15.75" customHeight="1" x14ac:dyDescent="0.25">
      <c r="A627" s="55">
        <f t="shared" si="105"/>
        <v>20</v>
      </c>
      <c r="B627" s="56">
        <v>44414</v>
      </c>
      <c r="C627" s="58" t="s">
        <v>1874</v>
      </c>
      <c r="D627" s="58"/>
      <c r="E627" s="58"/>
      <c r="F627" s="123" t="s">
        <v>1195</v>
      </c>
      <c r="G627" s="126" t="s">
        <v>1873</v>
      </c>
      <c r="H627" s="45">
        <v>388116000</v>
      </c>
      <c r="I627" s="380" t="s">
        <v>1872</v>
      </c>
      <c r="J627" s="301">
        <v>44450</v>
      </c>
      <c r="K627" s="460">
        <f t="shared" si="110"/>
        <v>388116000</v>
      </c>
      <c r="L627" s="460"/>
      <c r="M627" s="459">
        <v>38811600</v>
      </c>
      <c r="N627" s="28">
        <v>3493044</v>
      </c>
      <c r="O627" s="28">
        <f t="shared" ref="O627:O640" si="111">(K627-M627)*2%</f>
        <v>6986088</v>
      </c>
      <c r="P627" s="459">
        <v>345811356</v>
      </c>
      <c r="Q627" s="28">
        <f t="shared" si="104"/>
        <v>0</v>
      </c>
      <c r="R627" s="482"/>
      <c r="S627" s="475">
        <v>44466</v>
      </c>
      <c r="T627" s="199">
        <v>14</v>
      </c>
      <c r="U627" s="24">
        <f t="shared" si="100"/>
        <v>44464</v>
      </c>
      <c r="V627"/>
      <c r="W627"/>
      <c r="X627"/>
      <c r="Y627"/>
      <c r="Z627"/>
      <c r="AA627"/>
      <c r="AB627"/>
      <c r="AC627"/>
      <c r="AD627"/>
      <c r="AE627"/>
      <c r="AF627"/>
      <c r="AG627"/>
      <c r="AH627"/>
      <c r="AI627"/>
      <c r="AJ627"/>
      <c r="AK627"/>
      <c r="AL627"/>
      <c r="AM627"/>
      <c r="AN627"/>
      <c r="AO627"/>
      <c r="AP627"/>
      <c r="AQ627"/>
    </row>
    <row r="628" spans="1:43" s="10" customFormat="1" ht="15.75" customHeight="1" x14ac:dyDescent="0.25">
      <c r="A628" s="55">
        <f t="shared" si="105"/>
        <v>21</v>
      </c>
      <c r="B628" s="56">
        <v>44413</v>
      </c>
      <c r="C628" s="58" t="s">
        <v>1883</v>
      </c>
      <c r="D628" s="58"/>
      <c r="E628" s="58"/>
      <c r="F628" s="123" t="s">
        <v>1195</v>
      </c>
      <c r="G628" s="126" t="s">
        <v>41</v>
      </c>
      <c r="H628" s="45">
        <v>268644000</v>
      </c>
      <c r="I628" s="380" t="s">
        <v>1882</v>
      </c>
      <c r="J628" s="301">
        <v>44454</v>
      </c>
      <c r="K628" s="460">
        <f t="shared" si="110"/>
        <v>268644000</v>
      </c>
      <c r="L628" s="460"/>
      <c r="M628" s="459">
        <f>K628*10%</f>
        <v>26864400</v>
      </c>
      <c r="N628" s="28">
        <f>(K628-M628)*1%</f>
        <v>2417796</v>
      </c>
      <c r="O628" s="28">
        <f t="shared" si="111"/>
        <v>4835592</v>
      </c>
      <c r="P628" s="459">
        <v>239361804</v>
      </c>
      <c r="Q628" s="28">
        <f t="shared" si="104"/>
        <v>0</v>
      </c>
      <c r="R628" s="199"/>
      <c r="S628" s="197">
        <v>44474</v>
      </c>
      <c r="T628" s="199">
        <v>14</v>
      </c>
      <c r="U628" s="24">
        <f t="shared" ref="U628:U685" si="112">J628+T628</f>
        <v>44468</v>
      </c>
      <c r="V628" t="s">
        <v>1913</v>
      </c>
      <c r="W628"/>
      <c r="X628"/>
      <c r="Y628"/>
      <c r="Z628"/>
      <c r="AA628"/>
      <c r="AB628"/>
      <c r="AC628"/>
      <c r="AD628"/>
      <c r="AE628"/>
      <c r="AF628"/>
      <c r="AG628"/>
      <c r="AH628"/>
      <c r="AI628"/>
      <c r="AJ628"/>
      <c r="AK628"/>
      <c r="AL628"/>
      <c r="AM628"/>
      <c r="AN628"/>
      <c r="AO628"/>
      <c r="AP628"/>
      <c r="AQ628"/>
    </row>
    <row r="629" spans="1:43" s="10" customFormat="1" ht="15.75" customHeight="1" x14ac:dyDescent="0.25">
      <c r="A629" s="55">
        <f t="shared" si="105"/>
        <v>22</v>
      </c>
      <c r="B629" s="56">
        <v>44411</v>
      </c>
      <c r="C629" s="58" t="s">
        <v>1884</v>
      </c>
      <c r="D629" s="58"/>
      <c r="E629" s="58"/>
      <c r="F629" s="69" t="s">
        <v>869</v>
      </c>
      <c r="G629" s="126" t="s">
        <v>1841</v>
      </c>
      <c r="H629" s="45">
        <v>6500000</v>
      </c>
      <c r="I629" s="380" t="s">
        <v>1881</v>
      </c>
      <c r="J629" s="301">
        <v>44455</v>
      </c>
      <c r="K629" s="460">
        <f t="shared" si="110"/>
        <v>6500000</v>
      </c>
      <c r="L629" s="460"/>
      <c r="M629" s="459"/>
      <c r="N629" s="28">
        <f>(K629-M6907)*1%</f>
        <v>65000</v>
      </c>
      <c r="O629" s="28">
        <f t="shared" si="111"/>
        <v>130000</v>
      </c>
      <c r="P629" s="459">
        <v>6435000</v>
      </c>
      <c r="Q629" s="28">
        <f t="shared" si="104"/>
        <v>0</v>
      </c>
      <c r="R629" s="199"/>
      <c r="S629" s="199" t="s">
        <v>2547</v>
      </c>
      <c r="T629" s="199">
        <v>30</v>
      </c>
      <c r="U629" s="24">
        <f t="shared" si="112"/>
        <v>44485</v>
      </c>
      <c r="V629"/>
      <c r="W629"/>
      <c r="X629"/>
      <c r="Y629"/>
      <c r="Z629"/>
      <c r="AA629"/>
      <c r="AB629"/>
      <c r="AC629"/>
      <c r="AD629"/>
      <c r="AE629"/>
      <c r="AF629"/>
      <c r="AG629"/>
      <c r="AH629"/>
      <c r="AI629"/>
      <c r="AJ629"/>
      <c r="AK629"/>
      <c r="AL629"/>
      <c r="AM629"/>
      <c r="AN629"/>
      <c r="AO629"/>
      <c r="AP629"/>
      <c r="AQ629"/>
    </row>
    <row r="630" spans="1:43" s="10" customFormat="1" ht="15.75" customHeight="1" x14ac:dyDescent="0.25">
      <c r="A630" s="55">
        <f t="shared" si="105"/>
        <v>23</v>
      </c>
      <c r="B630" s="56">
        <v>44409</v>
      </c>
      <c r="C630" s="58" t="s">
        <v>1912</v>
      </c>
      <c r="D630" s="58"/>
      <c r="E630" s="58"/>
      <c r="F630" s="123" t="s">
        <v>1195</v>
      </c>
      <c r="G630" s="126" t="s">
        <v>1997</v>
      </c>
      <c r="H630" s="45">
        <v>228876000</v>
      </c>
      <c r="I630" s="380" t="s">
        <v>1996</v>
      </c>
      <c r="J630" s="301">
        <v>44457</v>
      </c>
      <c r="K630" s="460">
        <f t="shared" si="110"/>
        <v>228876000</v>
      </c>
      <c r="L630" s="460"/>
      <c r="M630" s="459">
        <f>(K630*10%)+7650098</f>
        <v>30537698</v>
      </c>
      <c r="N630" s="28">
        <f>(K630-M630)*1%</f>
        <v>1983383.02</v>
      </c>
      <c r="O630" s="28">
        <f t="shared" si="111"/>
        <v>3966766.04</v>
      </c>
      <c r="P630" s="459">
        <v>196354918.98000002</v>
      </c>
      <c r="Q630" s="28">
        <f t="shared" si="104"/>
        <v>-1.0710209608078003E-8</v>
      </c>
      <c r="R630" s="199"/>
      <c r="S630" s="197">
        <v>44474</v>
      </c>
      <c r="T630" s="199">
        <v>14</v>
      </c>
      <c r="U630" s="24">
        <f t="shared" si="112"/>
        <v>44471</v>
      </c>
      <c r="V630"/>
      <c r="W630"/>
      <c r="X630"/>
      <c r="Y630"/>
      <c r="Z630"/>
      <c r="AA630"/>
      <c r="AB630"/>
      <c r="AC630"/>
      <c r="AD630"/>
      <c r="AE630"/>
      <c r="AF630"/>
      <c r="AG630"/>
      <c r="AH630"/>
      <c r="AI630"/>
      <c r="AJ630"/>
      <c r="AK630"/>
      <c r="AL630"/>
      <c r="AM630"/>
      <c r="AN630"/>
      <c r="AO630"/>
      <c r="AP630"/>
      <c r="AQ630"/>
    </row>
    <row r="631" spans="1:43" s="10" customFormat="1" ht="15.75" customHeight="1" x14ac:dyDescent="0.25">
      <c r="A631" s="55">
        <f t="shared" si="105"/>
        <v>24</v>
      </c>
      <c r="B631" s="56">
        <v>44434</v>
      </c>
      <c r="C631" s="58"/>
      <c r="D631" s="58"/>
      <c r="E631" s="58" t="s">
        <v>2022</v>
      </c>
      <c r="F631" s="123" t="s">
        <v>2694</v>
      </c>
      <c r="G631" s="126" t="s">
        <v>2023</v>
      </c>
      <c r="H631" s="45">
        <v>687750</v>
      </c>
      <c r="I631" s="380" t="s">
        <v>2021</v>
      </c>
      <c r="J631" s="301">
        <v>44468</v>
      </c>
      <c r="K631" s="460">
        <f t="shared" ref="K631:K645" si="113">H631</f>
        <v>687750</v>
      </c>
      <c r="L631" s="460"/>
      <c r="M631" s="459">
        <v>245.5</v>
      </c>
      <c r="N631" s="28">
        <f>(K631-M6949)*1%</f>
        <v>6877.5</v>
      </c>
      <c r="O631" s="28">
        <f t="shared" ref="O631:O639" si="114">K631*2%</f>
        <v>13755</v>
      </c>
      <c r="P631" s="459">
        <v>680627</v>
      </c>
      <c r="Q631" s="28">
        <f t="shared" si="104"/>
        <v>0</v>
      </c>
      <c r="R631" s="743"/>
      <c r="S631" s="474">
        <v>44496</v>
      </c>
      <c r="T631" s="199">
        <v>14</v>
      </c>
      <c r="U631" s="24">
        <f t="shared" si="112"/>
        <v>44482</v>
      </c>
      <c r="V631"/>
      <c r="W631"/>
      <c r="X631"/>
      <c r="Y631"/>
      <c r="Z631"/>
      <c r="AA631"/>
      <c r="AB631"/>
      <c r="AC631"/>
      <c r="AD631"/>
      <c r="AE631"/>
      <c r="AF631"/>
      <c r="AG631"/>
      <c r="AH631"/>
      <c r="AI631"/>
      <c r="AJ631"/>
      <c r="AK631"/>
      <c r="AL631"/>
      <c r="AM631"/>
      <c r="AN631"/>
      <c r="AO631"/>
      <c r="AP631"/>
      <c r="AQ631"/>
    </row>
    <row r="632" spans="1:43" s="10" customFormat="1" ht="15.75" customHeight="1" x14ac:dyDescent="0.25">
      <c r="A632" s="55">
        <f t="shared" si="105"/>
        <v>25</v>
      </c>
      <c r="B632" s="79" t="s">
        <v>2028</v>
      </c>
      <c r="C632" s="330" t="s">
        <v>2027</v>
      </c>
      <c r="D632" s="330"/>
      <c r="E632" s="330" t="s">
        <v>2026</v>
      </c>
      <c r="F632" s="123" t="s">
        <v>2694</v>
      </c>
      <c r="G632" s="126" t="s">
        <v>2025</v>
      </c>
      <c r="H632" s="45">
        <v>1572000</v>
      </c>
      <c r="I632" s="377" t="s">
        <v>2024</v>
      </c>
      <c r="J632" s="301">
        <v>44468</v>
      </c>
      <c r="K632" s="460">
        <f t="shared" si="113"/>
        <v>1572000</v>
      </c>
      <c r="L632" s="460"/>
      <c r="M632" s="460">
        <v>560</v>
      </c>
      <c r="N632" s="28">
        <f>(K632-M6950)*1%</f>
        <v>15720</v>
      </c>
      <c r="O632" s="28">
        <f t="shared" si="114"/>
        <v>31440</v>
      </c>
      <c r="P632" s="460">
        <v>1555720</v>
      </c>
      <c r="Q632" s="28">
        <f t="shared" si="104"/>
        <v>0</v>
      </c>
      <c r="R632" s="743"/>
      <c r="S632" s="474">
        <v>44496</v>
      </c>
      <c r="T632" s="199">
        <v>14</v>
      </c>
      <c r="U632" s="24">
        <f t="shared" si="112"/>
        <v>44482</v>
      </c>
      <c r="V632"/>
      <c r="W632"/>
      <c r="X632"/>
      <c r="Y632"/>
      <c r="Z632"/>
      <c r="AA632"/>
      <c r="AB632"/>
      <c r="AC632"/>
      <c r="AD632"/>
      <c r="AE632"/>
      <c r="AF632"/>
      <c r="AG632"/>
      <c r="AH632"/>
      <c r="AI632"/>
      <c r="AJ632"/>
      <c r="AK632"/>
      <c r="AL632"/>
      <c r="AM632"/>
      <c r="AN632"/>
      <c r="AO632"/>
      <c r="AP632"/>
      <c r="AQ632"/>
    </row>
    <row r="633" spans="1:43" s="10" customFormat="1" ht="15.75" customHeight="1" x14ac:dyDescent="0.25">
      <c r="A633" s="55">
        <f t="shared" si="105"/>
        <v>26</v>
      </c>
      <c r="B633" s="56" t="s">
        <v>2035</v>
      </c>
      <c r="C633" s="58" t="s">
        <v>2034</v>
      </c>
      <c r="D633" s="58"/>
      <c r="E633" s="58" t="s">
        <v>2033</v>
      </c>
      <c r="F633" s="123" t="s">
        <v>2694</v>
      </c>
      <c r="G633" s="126" t="s">
        <v>2010</v>
      </c>
      <c r="H633" s="45">
        <v>1000000</v>
      </c>
      <c r="I633" s="380" t="s">
        <v>2032</v>
      </c>
      <c r="J633" s="301">
        <v>44468</v>
      </c>
      <c r="K633" s="460">
        <f t="shared" si="113"/>
        <v>1000000</v>
      </c>
      <c r="L633" s="460"/>
      <c r="M633" s="459">
        <v>17500</v>
      </c>
      <c r="N633" s="28">
        <f>(K633-M6952)*1%</f>
        <v>10000</v>
      </c>
      <c r="O633" s="28">
        <f t="shared" si="114"/>
        <v>20000</v>
      </c>
      <c r="P633" s="459">
        <v>972500</v>
      </c>
      <c r="Q633" s="28">
        <f t="shared" si="104"/>
        <v>0</v>
      </c>
      <c r="R633" s="743"/>
      <c r="S633" s="474">
        <v>44496</v>
      </c>
      <c r="T633" s="199">
        <v>14</v>
      </c>
      <c r="U633" s="24">
        <f t="shared" si="112"/>
        <v>44482</v>
      </c>
      <c r="V633"/>
      <c r="W633"/>
      <c r="X633"/>
      <c r="Y633"/>
      <c r="Z633"/>
      <c r="AA633"/>
      <c r="AB633"/>
      <c r="AC633"/>
      <c r="AD633"/>
      <c r="AE633"/>
      <c r="AF633"/>
      <c r="AG633"/>
      <c r="AH633"/>
      <c r="AI633"/>
      <c r="AJ633"/>
      <c r="AK633"/>
      <c r="AL633"/>
      <c r="AM633"/>
      <c r="AN633"/>
      <c r="AO633"/>
      <c r="AP633"/>
      <c r="AQ633"/>
    </row>
    <row r="634" spans="1:43" s="10" customFormat="1" ht="15.75" customHeight="1" x14ac:dyDescent="0.25">
      <c r="A634" s="55">
        <f t="shared" si="105"/>
        <v>27</v>
      </c>
      <c r="B634" s="56" t="s">
        <v>2035</v>
      </c>
      <c r="C634" s="448" t="s">
        <v>2039</v>
      </c>
      <c r="D634" s="332"/>
      <c r="E634" s="58" t="s">
        <v>2038</v>
      </c>
      <c r="F634" s="123" t="s">
        <v>2694</v>
      </c>
      <c r="G634" s="126" t="s">
        <v>2037</v>
      </c>
      <c r="H634" s="45">
        <v>1375500</v>
      </c>
      <c r="I634" s="380" t="s">
        <v>2036</v>
      </c>
      <c r="J634" s="301">
        <v>44468</v>
      </c>
      <c r="K634" s="460">
        <f t="shared" si="113"/>
        <v>1375500</v>
      </c>
      <c r="L634" s="460"/>
      <c r="M634" s="459">
        <v>490</v>
      </c>
      <c r="N634" s="28">
        <f>(K634-M6953)*1%</f>
        <v>13755</v>
      </c>
      <c r="O634" s="28">
        <f t="shared" si="114"/>
        <v>27510</v>
      </c>
      <c r="P634" s="459">
        <v>1361255</v>
      </c>
      <c r="Q634" s="28">
        <f t="shared" si="104"/>
        <v>0</v>
      </c>
      <c r="R634" s="743"/>
      <c r="S634" s="474">
        <v>44496</v>
      </c>
      <c r="T634" s="199">
        <v>14</v>
      </c>
      <c r="U634" s="24">
        <f t="shared" si="112"/>
        <v>44482</v>
      </c>
      <c r="V634"/>
      <c r="W634"/>
      <c r="X634"/>
      <c r="Y634"/>
      <c r="Z634"/>
      <c r="AA634"/>
      <c r="AB634"/>
      <c r="AC634"/>
      <c r="AD634"/>
      <c r="AE634"/>
      <c r="AF634"/>
      <c r="AG634"/>
      <c r="AH634"/>
      <c r="AI634"/>
      <c r="AJ634"/>
      <c r="AK634"/>
      <c r="AL634"/>
      <c r="AM634"/>
      <c r="AN634"/>
      <c r="AO634"/>
      <c r="AP634"/>
      <c r="AQ634"/>
    </row>
    <row r="635" spans="1:43" s="10" customFormat="1" ht="15.75" customHeight="1" x14ac:dyDescent="0.25">
      <c r="A635" s="55">
        <f t="shared" si="105"/>
        <v>28</v>
      </c>
      <c r="B635" s="56" t="s">
        <v>2045</v>
      </c>
      <c r="C635" s="58" t="s">
        <v>2044</v>
      </c>
      <c r="D635" s="58"/>
      <c r="E635" s="58" t="s">
        <v>2043</v>
      </c>
      <c r="F635" s="123" t="s">
        <v>2694</v>
      </c>
      <c r="G635" s="126" t="s">
        <v>2030</v>
      </c>
      <c r="H635" s="45">
        <v>900000</v>
      </c>
      <c r="I635" s="380" t="s">
        <v>2042</v>
      </c>
      <c r="J635" s="301">
        <v>44470</v>
      </c>
      <c r="K635" s="460">
        <f t="shared" si="113"/>
        <v>900000</v>
      </c>
      <c r="L635" s="460"/>
      <c r="M635" s="459">
        <v>15906</v>
      </c>
      <c r="N635" s="28">
        <f>(K635-M6955)*1%</f>
        <v>9000</v>
      </c>
      <c r="O635" s="28">
        <f t="shared" si="114"/>
        <v>18000</v>
      </c>
      <c r="P635" s="459">
        <v>875094</v>
      </c>
      <c r="Q635" s="28">
        <f t="shared" si="104"/>
        <v>0</v>
      </c>
      <c r="R635" s="743"/>
      <c r="S635" s="474">
        <v>44494</v>
      </c>
      <c r="T635" s="199">
        <v>14</v>
      </c>
      <c r="U635" s="24">
        <f t="shared" si="112"/>
        <v>44484</v>
      </c>
      <c r="V635"/>
      <c r="W635"/>
      <c r="X635"/>
      <c r="Y635"/>
      <c r="Z635"/>
      <c r="AA635"/>
      <c r="AB635"/>
      <c r="AC635"/>
      <c r="AD635"/>
      <c r="AE635"/>
      <c r="AF635"/>
      <c r="AG635"/>
      <c r="AH635"/>
      <c r="AI635"/>
      <c r="AJ635"/>
      <c r="AK635"/>
      <c r="AL635"/>
      <c r="AM635"/>
      <c r="AN635"/>
      <c r="AO635"/>
      <c r="AP635"/>
      <c r="AQ635"/>
    </row>
    <row r="636" spans="1:43" s="10" customFormat="1" ht="15.75" customHeight="1" x14ac:dyDescent="0.25">
      <c r="A636" s="55">
        <f t="shared" si="105"/>
        <v>29</v>
      </c>
      <c r="B636" s="56" t="s">
        <v>2045</v>
      </c>
      <c r="C636" s="58" t="s">
        <v>2049</v>
      </c>
      <c r="D636" s="58"/>
      <c r="E636" s="58" t="s">
        <v>2048</v>
      </c>
      <c r="F636" s="123" t="s">
        <v>2694</v>
      </c>
      <c r="G636" s="126" t="s">
        <v>2047</v>
      </c>
      <c r="H636" s="45">
        <v>800000</v>
      </c>
      <c r="I636" s="380" t="s">
        <v>2046</v>
      </c>
      <c r="J636" s="301">
        <v>44470</v>
      </c>
      <c r="K636" s="460">
        <f t="shared" si="113"/>
        <v>800000</v>
      </c>
      <c r="L636" s="460"/>
      <c r="M636" s="459">
        <v>14140</v>
      </c>
      <c r="N636" s="28">
        <f>(K636-M6956)*1%</f>
        <v>8000</v>
      </c>
      <c r="O636" s="28">
        <f t="shared" si="114"/>
        <v>16000</v>
      </c>
      <c r="P636" s="459">
        <v>777860</v>
      </c>
      <c r="Q636" s="28">
        <f t="shared" si="104"/>
        <v>0</v>
      </c>
      <c r="R636" s="743"/>
      <c r="S636" s="474">
        <v>44494</v>
      </c>
      <c r="T636" s="199">
        <v>14</v>
      </c>
      <c r="U636" s="24">
        <f t="shared" si="112"/>
        <v>44484</v>
      </c>
      <c r="V636"/>
      <c r="W636"/>
      <c r="X636"/>
      <c r="Y636"/>
      <c r="Z636"/>
      <c r="AA636"/>
      <c r="AB636"/>
      <c r="AC636"/>
      <c r="AD636"/>
      <c r="AE636"/>
      <c r="AF636"/>
      <c r="AG636"/>
      <c r="AH636"/>
      <c r="AI636"/>
      <c r="AJ636"/>
      <c r="AK636"/>
      <c r="AL636"/>
      <c r="AM636"/>
      <c r="AN636"/>
      <c r="AO636"/>
      <c r="AP636"/>
      <c r="AQ636"/>
    </row>
    <row r="637" spans="1:43" s="10" customFormat="1" ht="15.75" customHeight="1" x14ac:dyDescent="0.25">
      <c r="A637" s="55">
        <f t="shared" si="105"/>
        <v>30</v>
      </c>
      <c r="B637" s="56">
        <v>44435</v>
      </c>
      <c r="C637" s="58" t="s">
        <v>2051</v>
      </c>
      <c r="D637" s="58"/>
      <c r="E637" s="58" t="s">
        <v>2052</v>
      </c>
      <c r="F637" s="123" t="s">
        <v>2694</v>
      </c>
      <c r="G637" s="126" t="s">
        <v>2025</v>
      </c>
      <c r="H637" s="45">
        <v>1500000</v>
      </c>
      <c r="I637" s="380" t="s">
        <v>2050</v>
      </c>
      <c r="J637" s="301">
        <v>44470</v>
      </c>
      <c r="K637" s="460">
        <f t="shared" si="113"/>
        <v>1500000</v>
      </c>
      <c r="L637" s="460"/>
      <c r="M637" s="459">
        <v>26250</v>
      </c>
      <c r="N637" s="28">
        <f>(K637-M6957)*1%</f>
        <v>15000</v>
      </c>
      <c r="O637" s="28">
        <f t="shared" si="114"/>
        <v>30000</v>
      </c>
      <c r="P637" s="459">
        <v>1458750</v>
      </c>
      <c r="Q637" s="28">
        <f t="shared" si="104"/>
        <v>0</v>
      </c>
      <c r="R637" s="743"/>
      <c r="S637" s="474">
        <v>44494</v>
      </c>
      <c r="T637" s="199">
        <v>14</v>
      </c>
      <c r="U637" s="24">
        <f t="shared" si="112"/>
        <v>44484</v>
      </c>
      <c r="V637"/>
      <c r="W637"/>
      <c r="X637"/>
      <c r="Y637"/>
      <c r="Z637"/>
      <c r="AA637"/>
      <c r="AB637"/>
      <c r="AC637"/>
      <c r="AD637"/>
      <c r="AE637"/>
      <c r="AF637"/>
      <c r="AG637"/>
      <c r="AH637"/>
      <c r="AI637"/>
      <c r="AJ637"/>
      <c r="AK637"/>
      <c r="AL637"/>
      <c r="AM637"/>
      <c r="AN637"/>
      <c r="AO637"/>
      <c r="AP637"/>
      <c r="AQ637"/>
    </row>
    <row r="638" spans="1:43" s="10" customFormat="1" ht="15.75" customHeight="1" x14ac:dyDescent="0.25">
      <c r="A638" s="55">
        <f t="shared" si="105"/>
        <v>31</v>
      </c>
      <c r="B638" s="56">
        <v>44435</v>
      </c>
      <c r="C638" s="58" t="s">
        <v>2055</v>
      </c>
      <c r="D638" s="58"/>
      <c r="E638" s="58" t="s">
        <v>2054</v>
      </c>
      <c r="F638" s="123" t="s">
        <v>2694</v>
      </c>
      <c r="G638" s="126" t="s">
        <v>35</v>
      </c>
      <c r="H638" s="45">
        <v>1600000</v>
      </c>
      <c r="I638" s="380" t="s">
        <v>2053</v>
      </c>
      <c r="J638" s="301">
        <v>44470</v>
      </c>
      <c r="K638" s="460">
        <f t="shared" si="113"/>
        <v>1600000</v>
      </c>
      <c r="L638" s="460"/>
      <c r="M638" s="459">
        <v>28280</v>
      </c>
      <c r="N638" s="28">
        <f>(K638-M6958)*1%</f>
        <v>16000</v>
      </c>
      <c r="O638" s="28">
        <f t="shared" si="114"/>
        <v>32000</v>
      </c>
      <c r="P638" s="459">
        <v>1555720</v>
      </c>
      <c r="Q638" s="28">
        <f t="shared" si="104"/>
        <v>0</v>
      </c>
      <c r="R638" s="743"/>
      <c r="S638" s="474">
        <v>44494</v>
      </c>
      <c r="T638" s="199">
        <v>14</v>
      </c>
      <c r="U638" s="24">
        <f t="shared" si="112"/>
        <v>44484</v>
      </c>
      <c r="V638"/>
      <c r="W638"/>
      <c r="X638"/>
      <c r="Y638"/>
      <c r="Z638"/>
      <c r="AA638"/>
      <c r="AB638"/>
      <c r="AC638"/>
      <c r="AD638"/>
      <c r="AE638"/>
      <c r="AF638"/>
      <c r="AG638"/>
      <c r="AH638"/>
      <c r="AI638"/>
      <c r="AJ638"/>
      <c r="AK638"/>
      <c r="AL638"/>
      <c r="AM638"/>
      <c r="AN638"/>
      <c r="AO638"/>
      <c r="AP638"/>
      <c r="AQ638"/>
    </row>
    <row r="639" spans="1:43" s="10" customFormat="1" ht="15.75" customHeight="1" x14ac:dyDescent="0.25">
      <c r="A639" s="55">
        <f t="shared" si="105"/>
        <v>32</v>
      </c>
      <c r="B639" s="56">
        <v>44435</v>
      </c>
      <c r="C639" s="58" t="s">
        <v>2059</v>
      </c>
      <c r="D639" s="58"/>
      <c r="E639" s="58" t="s">
        <v>2058</v>
      </c>
      <c r="F639" s="123" t="s">
        <v>2694</v>
      </c>
      <c r="G639" s="126" t="s">
        <v>2057</v>
      </c>
      <c r="H639" s="45">
        <v>1000000</v>
      </c>
      <c r="I639" s="380" t="s">
        <v>2056</v>
      </c>
      <c r="J639" s="301">
        <v>44470</v>
      </c>
      <c r="K639" s="460">
        <f t="shared" si="113"/>
        <v>1000000</v>
      </c>
      <c r="L639" s="460"/>
      <c r="M639" s="459">
        <v>17675</v>
      </c>
      <c r="N639" s="28">
        <f>(K639-M6959)*1%</f>
        <v>10000</v>
      </c>
      <c r="O639" s="28">
        <f t="shared" si="114"/>
        <v>20000</v>
      </c>
      <c r="P639" s="459">
        <v>972325</v>
      </c>
      <c r="Q639" s="28">
        <f t="shared" si="104"/>
        <v>0</v>
      </c>
      <c r="R639" s="743"/>
      <c r="S639" s="474">
        <v>44494</v>
      </c>
      <c r="T639" s="199">
        <v>14</v>
      </c>
      <c r="U639" s="24">
        <f t="shared" si="112"/>
        <v>44484</v>
      </c>
      <c r="V639"/>
      <c r="W639"/>
      <c r="X639"/>
      <c r="Y639"/>
      <c r="Z639"/>
      <c r="AA639"/>
      <c r="AB639"/>
      <c r="AC639"/>
      <c r="AD639"/>
      <c r="AE639"/>
      <c r="AF639"/>
      <c r="AG639"/>
      <c r="AH639"/>
      <c r="AI639"/>
      <c r="AJ639"/>
      <c r="AK639"/>
      <c r="AL639"/>
      <c r="AM639"/>
      <c r="AN639"/>
      <c r="AO639"/>
      <c r="AP639"/>
      <c r="AQ639"/>
    </row>
    <row r="640" spans="1:43" s="10" customFormat="1" ht="15.75" customHeight="1" x14ac:dyDescent="0.25">
      <c r="A640" s="55">
        <f t="shared" si="105"/>
        <v>33</v>
      </c>
      <c r="B640" s="56">
        <v>44427</v>
      </c>
      <c r="C640" s="58" t="s">
        <v>2062</v>
      </c>
      <c r="D640" s="58"/>
      <c r="E640" s="58"/>
      <c r="F640" s="123" t="s">
        <v>1195</v>
      </c>
      <c r="G640" s="126" t="s">
        <v>2061</v>
      </c>
      <c r="H640" s="45">
        <v>212046000</v>
      </c>
      <c r="I640" s="380" t="s">
        <v>2060</v>
      </c>
      <c r="J640" s="301">
        <v>44470</v>
      </c>
      <c r="K640" s="460">
        <f t="shared" si="113"/>
        <v>212046000</v>
      </c>
      <c r="L640" s="460"/>
      <c r="M640" s="459">
        <v>21204600</v>
      </c>
      <c r="N640" s="459">
        <f>(K640-M640)*1%</f>
        <v>1908414</v>
      </c>
      <c r="O640" s="459">
        <f t="shared" si="111"/>
        <v>3816828</v>
      </c>
      <c r="P640" s="459">
        <v>188932986</v>
      </c>
      <c r="Q640" s="28">
        <f t="shared" si="104"/>
        <v>0</v>
      </c>
      <c r="R640" s="199"/>
      <c r="S640" s="197">
        <v>44487</v>
      </c>
      <c r="T640" s="199">
        <v>14</v>
      </c>
      <c r="U640" s="24">
        <f t="shared" si="112"/>
        <v>44484</v>
      </c>
      <c r="V640"/>
      <c r="W640"/>
      <c r="X640"/>
      <c r="Y640"/>
      <c r="Z640"/>
      <c r="AA640"/>
      <c r="AB640"/>
      <c r="AC640"/>
      <c r="AD640"/>
      <c r="AE640"/>
      <c r="AF640"/>
      <c r="AG640"/>
      <c r="AH640"/>
      <c r="AI640"/>
      <c r="AJ640"/>
      <c r="AK640"/>
      <c r="AL640"/>
      <c r="AM640"/>
      <c r="AN640"/>
      <c r="AO640"/>
      <c r="AP640"/>
      <c r="AQ640"/>
    </row>
    <row r="641" spans="1:43" s="10" customFormat="1" ht="15.75" customHeight="1" x14ac:dyDescent="0.25">
      <c r="A641" s="55">
        <f t="shared" si="105"/>
        <v>34</v>
      </c>
      <c r="B641" s="56">
        <v>44429</v>
      </c>
      <c r="C641" s="58" t="s">
        <v>2065</v>
      </c>
      <c r="D641" s="58"/>
      <c r="E641" s="58"/>
      <c r="F641" s="123" t="s">
        <v>1195</v>
      </c>
      <c r="G641" s="126" t="s">
        <v>2064</v>
      </c>
      <c r="H641" s="45">
        <v>298947000</v>
      </c>
      <c r="I641" s="380" t="s">
        <v>2063</v>
      </c>
      <c r="J641" s="301">
        <v>44470</v>
      </c>
      <c r="K641" s="460">
        <f t="shared" si="113"/>
        <v>298947000</v>
      </c>
      <c r="L641" s="460"/>
      <c r="M641" s="459">
        <f t="shared" ref="M641" si="115">K641*10%</f>
        <v>29894700</v>
      </c>
      <c r="N641" s="28">
        <f t="shared" ref="N641:N643" si="116">(K641-M641)*1%</f>
        <v>2690523</v>
      </c>
      <c r="O641" s="28">
        <f t="shared" ref="O641:O643" si="117">(K641-M641)*2%</f>
        <v>5381046</v>
      </c>
      <c r="P641" s="459">
        <v>266361777</v>
      </c>
      <c r="Q641" s="28">
        <f t="shared" si="104"/>
        <v>0</v>
      </c>
      <c r="R641" s="199"/>
      <c r="S641" s="197">
        <v>44487</v>
      </c>
      <c r="T641" s="199">
        <v>14</v>
      </c>
      <c r="U641" s="24">
        <f t="shared" si="112"/>
        <v>44484</v>
      </c>
      <c r="V641"/>
      <c r="W641"/>
      <c r="X641"/>
      <c r="Y641"/>
      <c r="Z641"/>
      <c r="AA641"/>
      <c r="AB641"/>
      <c r="AC641"/>
      <c r="AD641"/>
      <c r="AE641"/>
      <c r="AF641"/>
      <c r="AG641"/>
      <c r="AH641"/>
      <c r="AI641"/>
      <c r="AJ641"/>
      <c r="AK641"/>
      <c r="AL641"/>
      <c r="AM641"/>
      <c r="AN641"/>
      <c r="AO641"/>
      <c r="AP641"/>
      <c r="AQ641"/>
    </row>
    <row r="642" spans="1:43" s="10" customFormat="1" ht="15.75" customHeight="1" x14ac:dyDescent="0.25">
      <c r="A642" s="55">
        <f t="shared" si="105"/>
        <v>35</v>
      </c>
      <c r="B642" s="56">
        <v>44436</v>
      </c>
      <c r="C642" s="58" t="s">
        <v>2068</v>
      </c>
      <c r="D642" s="58"/>
      <c r="E642" s="58"/>
      <c r="F642" s="123" t="s">
        <v>1195</v>
      </c>
      <c r="G642" s="126" t="s">
        <v>2067</v>
      </c>
      <c r="H642" s="45">
        <v>51417000</v>
      </c>
      <c r="I642" s="380" t="s">
        <v>2066</v>
      </c>
      <c r="J642" s="301">
        <v>44470</v>
      </c>
      <c r="K642" s="460">
        <f t="shared" si="113"/>
        <v>51417000</v>
      </c>
      <c r="L642" s="460"/>
      <c r="M642" s="459">
        <f>K642*10%</f>
        <v>5141700</v>
      </c>
      <c r="N642" s="28">
        <f>(K642-M642)*1%</f>
        <v>462753</v>
      </c>
      <c r="O642" s="28">
        <f t="shared" si="117"/>
        <v>925506</v>
      </c>
      <c r="P642" s="459">
        <v>45812547</v>
      </c>
      <c r="Q642" s="28">
        <f t="shared" si="104"/>
        <v>0</v>
      </c>
      <c r="R642" s="199"/>
      <c r="S642" s="197">
        <v>44484</v>
      </c>
      <c r="T642" s="199">
        <v>14</v>
      </c>
      <c r="U642" s="24">
        <f t="shared" si="112"/>
        <v>44484</v>
      </c>
      <c r="V642"/>
      <c r="W642"/>
      <c r="X642"/>
      <c r="Y642"/>
      <c r="Z642"/>
      <c r="AA642"/>
      <c r="AB642"/>
      <c r="AC642"/>
      <c r="AD642"/>
      <c r="AE642"/>
      <c r="AF642"/>
      <c r="AG642"/>
      <c r="AH642"/>
      <c r="AI642"/>
      <c r="AJ642"/>
      <c r="AK642"/>
      <c r="AL642"/>
      <c r="AM642"/>
      <c r="AN642"/>
      <c r="AO642"/>
      <c r="AP642"/>
      <c r="AQ642"/>
    </row>
    <row r="643" spans="1:43" s="10" customFormat="1" ht="15.75" customHeight="1" x14ac:dyDescent="0.25">
      <c r="A643" s="55">
        <f t="shared" si="105"/>
        <v>36</v>
      </c>
      <c r="B643" s="56">
        <v>44425</v>
      </c>
      <c r="C643" s="58" t="s">
        <v>2071</v>
      </c>
      <c r="D643" s="58"/>
      <c r="E643" s="58"/>
      <c r="F643" s="123" t="s">
        <v>1195</v>
      </c>
      <c r="G643" s="126" t="s">
        <v>2070</v>
      </c>
      <c r="H643" s="45">
        <v>70644000</v>
      </c>
      <c r="I643" s="380" t="s">
        <v>2069</v>
      </c>
      <c r="J643" s="301">
        <v>44470</v>
      </c>
      <c r="K643" s="460">
        <f t="shared" si="113"/>
        <v>70644000</v>
      </c>
      <c r="L643" s="460"/>
      <c r="M643" s="459"/>
      <c r="N643" s="28">
        <f t="shared" si="116"/>
        <v>706440</v>
      </c>
      <c r="O643" s="28">
        <f t="shared" si="117"/>
        <v>1412880</v>
      </c>
      <c r="P643" s="459">
        <v>69937560</v>
      </c>
      <c r="Q643" s="28">
        <f t="shared" si="104"/>
        <v>0</v>
      </c>
      <c r="R643" s="199"/>
      <c r="S643" s="197">
        <v>44488</v>
      </c>
      <c r="T643" s="199">
        <v>14</v>
      </c>
      <c r="U643" s="24">
        <f t="shared" si="112"/>
        <v>44484</v>
      </c>
      <c r="V643"/>
      <c r="W643"/>
      <c r="X643"/>
      <c r="Y643"/>
      <c r="Z643"/>
      <c r="AA643"/>
      <c r="AB643"/>
      <c r="AC643"/>
      <c r="AD643"/>
      <c r="AE643"/>
      <c r="AF643"/>
      <c r="AG643"/>
      <c r="AH643"/>
      <c r="AI643"/>
      <c r="AJ643"/>
      <c r="AK643"/>
      <c r="AL643"/>
      <c r="AM643"/>
      <c r="AN643"/>
      <c r="AO643"/>
      <c r="AP643"/>
      <c r="AQ643"/>
    </row>
    <row r="644" spans="1:43" s="10" customFormat="1" ht="15.75" customHeight="1" x14ac:dyDescent="0.25">
      <c r="A644" s="55">
        <f t="shared" si="105"/>
        <v>37</v>
      </c>
      <c r="B644" s="56">
        <v>44435</v>
      </c>
      <c r="C644" s="58" t="s">
        <v>2076</v>
      </c>
      <c r="D644" s="58"/>
      <c r="E644" s="58" t="s">
        <v>2075</v>
      </c>
      <c r="F644" s="123" t="s">
        <v>2694</v>
      </c>
      <c r="G644" s="126" t="s">
        <v>30</v>
      </c>
      <c r="H644" s="45">
        <v>6600000</v>
      </c>
      <c r="I644" s="380" t="s">
        <v>2074</v>
      </c>
      <c r="J644" s="301">
        <v>44473</v>
      </c>
      <c r="K644" s="460">
        <f t="shared" si="113"/>
        <v>6600000</v>
      </c>
      <c r="L644" s="460"/>
      <c r="M644" s="459">
        <v>116655</v>
      </c>
      <c r="N644" s="28">
        <f>(K644-M6965)*1%</f>
        <v>66000</v>
      </c>
      <c r="O644" s="28">
        <f>K644*2%</f>
        <v>132000</v>
      </c>
      <c r="P644" s="459">
        <v>6417345</v>
      </c>
      <c r="Q644" s="28">
        <f t="shared" si="104"/>
        <v>0</v>
      </c>
      <c r="R644" s="743"/>
      <c r="S644" s="474">
        <v>44490</v>
      </c>
      <c r="T644" s="199">
        <v>14</v>
      </c>
      <c r="U644" s="24">
        <f t="shared" si="112"/>
        <v>44487</v>
      </c>
      <c r="V644"/>
      <c r="W644"/>
      <c r="X644"/>
      <c r="Y644"/>
      <c r="Z644"/>
      <c r="AA644"/>
      <c r="AB644"/>
      <c r="AC644"/>
      <c r="AD644"/>
      <c r="AE644"/>
      <c r="AF644"/>
      <c r="AG644"/>
      <c r="AH644"/>
      <c r="AI644"/>
      <c r="AJ644"/>
      <c r="AK644"/>
      <c r="AL644"/>
      <c r="AM644"/>
      <c r="AN644"/>
      <c r="AO644"/>
      <c r="AP644"/>
      <c r="AQ644"/>
    </row>
    <row r="645" spans="1:43" s="10" customFormat="1" ht="15.75" customHeight="1" x14ac:dyDescent="0.25">
      <c r="A645" s="55">
        <f t="shared" si="105"/>
        <v>38</v>
      </c>
      <c r="B645" s="56">
        <v>44432</v>
      </c>
      <c r="C645" s="58" t="s">
        <v>2079</v>
      </c>
      <c r="D645" s="58"/>
      <c r="E645" s="58" t="s">
        <v>2078</v>
      </c>
      <c r="F645" s="123" t="s">
        <v>2694</v>
      </c>
      <c r="G645" s="126" t="s">
        <v>928</v>
      </c>
      <c r="H645" s="45">
        <v>1100000</v>
      </c>
      <c r="I645" s="380" t="s">
        <v>2077</v>
      </c>
      <c r="J645" s="301">
        <v>44473</v>
      </c>
      <c r="K645" s="460">
        <f t="shared" si="113"/>
        <v>1100000</v>
      </c>
      <c r="L645" s="460"/>
      <c r="M645" s="459">
        <v>19442</v>
      </c>
      <c r="N645" s="28">
        <f>(K645-M6966)*1%</f>
        <v>11000</v>
      </c>
      <c r="O645" s="28">
        <f>K645*2%</f>
        <v>22000</v>
      </c>
      <c r="P645" s="459">
        <v>1069558</v>
      </c>
      <c r="Q645" s="28">
        <f t="shared" si="104"/>
        <v>0</v>
      </c>
      <c r="R645" s="743"/>
      <c r="S645" s="474">
        <v>44487</v>
      </c>
      <c r="T645" s="199">
        <v>14</v>
      </c>
      <c r="U645" s="24">
        <f t="shared" si="112"/>
        <v>44487</v>
      </c>
      <c r="V645"/>
      <c r="W645"/>
      <c r="X645"/>
      <c r="Y645"/>
      <c r="Z645"/>
      <c r="AA645"/>
      <c r="AB645"/>
      <c r="AC645"/>
      <c r="AD645"/>
      <c r="AE645"/>
      <c r="AF645"/>
      <c r="AG645"/>
      <c r="AH645"/>
      <c r="AI645"/>
      <c r="AJ645"/>
      <c r="AK645"/>
      <c r="AL645"/>
      <c r="AM645"/>
      <c r="AN645"/>
      <c r="AO645"/>
      <c r="AP645"/>
      <c r="AQ645"/>
    </row>
    <row r="646" spans="1:43" s="10" customFormat="1" ht="15.75" customHeight="1" x14ac:dyDescent="0.25">
      <c r="A646" s="55">
        <f t="shared" si="105"/>
        <v>39</v>
      </c>
      <c r="B646" s="56">
        <v>44432</v>
      </c>
      <c r="C646" s="58" t="s">
        <v>2093</v>
      </c>
      <c r="D646" s="58"/>
      <c r="E646" s="58" t="s">
        <v>2094</v>
      </c>
      <c r="F646" s="123" t="s">
        <v>2694</v>
      </c>
      <c r="G646" s="126" t="s">
        <v>2095</v>
      </c>
      <c r="H646" s="45">
        <v>1100000</v>
      </c>
      <c r="I646" s="380" t="s">
        <v>2096</v>
      </c>
      <c r="J646" s="301">
        <v>44477</v>
      </c>
      <c r="K646" s="460">
        <f t="shared" si="110"/>
        <v>1100000</v>
      </c>
      <c r="L646" s="460"/>
      <c r="M646" s="459">
        <v>192</v>
      </c>
      <c r="N646" s="28">
        <f>(K646-M6967)*1%</f>
        <v>11000</v>
      </c>
      <c r="O646" s="28">
        <f>K646*2%</f>
        <v>22000</v>
      </c>
      <c r="P646" s="459">
        <v>1088808</v>
      </c>
      <c r="Q646" s="28">
        <f t="shared" si="104"/>
        <v>0</v>
      </c>
      <c r="R646" s="743"/>
      <c r="S646" s="474">
        <v>44494</v>
      </c>
      <c r="T646" s="199">
        <v>14</v>
      </c>
      <c r="U646" s="24">
        <f t="shared" si="112"/>
        <v>44491</v>
      </c>
      <c r="V646"/>
      <c r="W646"/>
      <c r="X646"/>
      <c r="Y646"/>
      <c r="Z646"/>
      <c r="AA646"/>
      <c r="AB646"/>
      <c r="AC646"/>
      <c r="AD646"/>
      <c r="AE646"/>
      <c r="AF646"/>
      <c r="AG646"/>
      <c r="AH646"/>
      <c r="AI646"/>
      <c r="AJ646"/>
      <c r="AK646"/>
      <c r="AL646"/>
      <c r="AM646"/>
      <c r="AN646"/>
      <c r="AO646"/>
      <c r="AP646"/>
      <c r="AQ646"/>
    </row>
    <row r="647" spans="1:43" s="10" customFormat="1" ht="15.75" customHeight="1" x14ac:dyDescent="0.25">
      <c r="A647" s="55">
        <f t="shared" si="105"/>
        <v>40</v>
      </c>
      <c r="B647" s="56">
        <v>44427</v>
      </c>
      <c r="C647" s="58" t="s">
        <v>2104</v>
      </c>
      <c r="D647" s="58"/>
      <c r="E647" s="58"/>
      <c r="F647" s="123" t="s">
        <v>1195</v>
      </c>
      <c r="G647" s="126" t="s">
        <v>2103</v>
      </c>
      <c r="H647" s="45">
        <v>119686710</v>
      </c>
      <c r="I647" s="380" t="s">
        <v>2102</v>
      </c>
      <c r="J647" s="301">
        <v>44480</v>
      </c>
      <c r="K647" s="460">
        <f t="shared" si="110"/>
        <v>119686710</v>
      </c>
      <c r="L647" s="107"/>
      <c r="M647" s="459">
        <v>11968671</v>
      </c>
      <c r="N647" s="28">
        <f t="shared" ref="N647" si="118">(K647-M647)*1%</f>
        <v>1077180.3900000001</v>
      </c>
      <c r="O647" s="28">
        <f t="shared" ref="O647" si="119">(K647-M647)*2%</f>
        <v>2154360.7800000003</v>
      </c>
      <c r="P647" s="459">
        <v>106640858.61</v>
      </c>
      <c r="Q647" s="28">
        <f t="shared" si="104"/>
        <v>0</v>
      </c>
      <c r="R647" s="199"/>
      <c r="S647" s="197">
        <v>44497</v>
      </c>
      <c r="T647" s="199">
        <v>14</v>
      </c>
      <c r="U647" s="24">
        <f t="shared" si="112"/>
        <v>44494</v>
      </c>
      <c r="V647"/>
      <c r="W647"/>
      <c r="X647"/>
      <c r="Y647"/>
      <c r="Z647"/>
      <c r="AA647"/>
      <c r="AB647"/>
      <c r="AC647"/>
      <c r="AD647"/>
      <c r="AE647"/>
      <c r="AF647"/>
      <c r="AG647"/>
      <c r="AH647"/>
      <c r="AI647"/>
      <c r="AJ647"/>
      <c r="AK647"/>
      <c r="AL647"/>
      <c r="AM647"/>
      <c r="AN647"/>
      <c r="AO647"/>
      <c r="AP647"/>
      <c r="AQ647"/>
    </row>
    <row r="648" spans="1:43" s="10" customFormat="1" ht="15.75" customHeight="1" x14ac:dyDescent="0.25">
      <c r="A648" s="55">
        <f t="shared" si="105"/>
        <v>41</v>
      </c>
      <c r="B648" s="79">
        <v>44426</v>
      </c>
      <c r="C648" s="330" t="s">
        <v>2222</v>
      </c>
      <c r="D648" s="330"/>
      <c r="E648" s="330"/>
      <c r="F648" s="33" t="s">
        <v>1195</v>
      </c>
      <c r="G648" s="126" t="s">
        <v>2221</v>
      </c>
      <c r="H648" s="45">
        <v>462441000</v>
      </c>
      <c r="I648" s="377" t="s">
        <v>2220</v>
      </c>
      <c r="J648" s="301">
        <v>44487</v>
      </c>
      <c r="K648" s="460">
        <f t="shared" si="110"/>
        <v>462441000</v>
      </c>
      <c r="L648" s="460"/>
      <c r="M648" s="460">
        <v>46244100</v>
      </c>
      <c r="N648" s="28">
        <v>4161969</v>
      </c>
      <c r="O648" s="28">
        <v>8323938</v>
      </c>
      <c r="P648" s="460">
        <v>412034931</v>
      </c>
      <c r="Q648" s="28">
        <f t="shared" si="104"/>
        <v>0</v>
      </c>
      <c r="R648" s="199"/>
      <c r="S648" s="197">
        <v>44505</v>
      </c>
      <c r="T648" s="199">
        <v>14</v>
      </c>
      <c r="U648" s="24">
        <f t="shared" si="112"/>
        <v>44501</v>
      </c>
      <c r="V648"/>
      <c r="W648"/>
      <c r="X648"/>
      <c r="Y648"/>
      <c r="Z648"/>
      <c r="AA648"/>
      <c r="AB648"/>
      <c r="AC648"/>
      <c r="AD648"/>
      <c r="AE648"/>
      <c r="AF648"/>
      <c r="AG648"/>
      <c r="AH648"/>
      <c r="AI648"/>
      <c r="AJ648"/>
      <c r="AK648"/>
      <c r="AL648"/>
      <c r="AM648"/>
      <c r="AN648"/>
      <c r="AO648"/>
      <c r="AP648"/>
      <c r="AQ648"/>
    </row>
    <row r="649" spans="1:43" s="10" customFormat="1" ht="15.75" customHeight="1" x14ac:dyDescent="0.25">
      <c r="A649" s="55">
        <f t="shared" si="105"/>
        <v>42</v>
      </c>
      <c r="B649" s="79">
        <v>44414</v>
      </c>
      <c r="C649" s="330" t="s">
        <v>2279</v>
      </c>
      <c r="D649" s="330"/>
      <c r="E649" s="330"/>
      <c r="F649" s="33" t="s">
        <v>1195</v>
      </c>
      <c r="G649" s="126" t="s">
        <v>2278</v>
      </c>
      <c r="H649" s="45">
        <v>3577500</v>
      </c>
      <c r="I649" s="377" t="s">
        <v>2678</v>
      </c>
      <c r="J649" s="301">
        <v>44520</v>
      </c>
      <c r="K649" s="460">
        <f t="shared" si="110"/>
        <v>3577500</v>
      </c>
      <c r="L649" s="460"/>
      <c r="M649" s="460">
        <f>K649*10%</f>
        <v>357750</v>
      </c>
      <c r="N649" s="28">
        <v>32197.5</v>
      </c>
      <c r="O649" s="28">
        <v>64395</v>
      </c>
      <c r="P649" s="460">
        <v>3187552.5</v>
      </c>
      <c r="Q649" s="28">
        <f t="shared" si="104"/>
        <v>0</v>
      </c>
      <c r="R649" s="199"/>
      <c r="S649" s="197">
        <v>44551</v>
      </c>
      <c r="T649" s="199">
        <v>14</v>
      </c>
      <c r="U649" s="24">
        <f t="shared" si="112"/>
        <v>44534</v>
      </c>
      <c r="V649"/>
      <c r="W649"/>
      <c r="X649"/>
      <c r="Y649"/>
      <c r="Z649"/>
      <c r="AA649"/>
      <c r="AB649"/>
      <c r="AC649"/>
      <c r="AD649"/>
      <c r="AE649"/>
      <c r="AF649"/>
      <c r="AG649"/>
      <c r="AH649"/>
      <c r="AI649"/>
      <c r="AJ649"/>
      <c r="AK649"/>
      <c r="AL649"/>
      <c r="AM649"/>
      <c r="AN649"/>
      <c r="AO649"/>
      <c r="AP649"/>
      <c r="AQ649"/>
    </row>
    <row r="650" spans="1:43" s="10" customFormat="1" ht="15.75" customHeight="1" x14ac:dyDescent="0.25">
      <c r="A650" s="55">
        <f t="shared" si="105"/>
        <v>43</v>
      </c>
      <c r="B650" s="79">
        <v>44430</v>
      </c>
      <c r="C650" s="330" t="s">
        <v>2680</v>
      </c>
      <c r="D650" s="330"/>
      <c r="E650" s="330"/>
      <c r="F650" s="33" t="s">
        <v>1195</v>
      </c>
      <c r="G650" s="126" t="s">
        <v>2280</v>
      </c>
      <c r="H650" s="45">
        <v>4312000</v>
      </c>
      <c r="I650" s="377" t="s">
        <v>2679</v>
      </c>
      <c r="J650" s="301">
        <v>44520</v>
      </c>
      <c r="K650" s="460">
        <f t="shared" si="110"/>
        <v>4312000</v>
      </c>
      <c r="L650" s="460"/>
      <c r="M650" s="577">
        <f t="shared" ref="M650:M656" si="120">K650*10%</f>
        <v>431200</v>
      </c>
      <c r="N650" s="28">
        <v>38808</v>
      </c>
      <c r="O650" s="28">
        <v>77616</v>
      </c>
      <c r="P650" s="460">
        <v>3841992</v>
      </c>
      <c r="Q650" s="28">
        <f t="shared" si="104"/>
        <v>0</v>
      </c>
      <c r="R650" s="199"/>
      <c r="S650" s="197">
        <v>44545</v>
      </c>
      <c r="T650" s="199">
        <v>14</v>
      </c>
      <c r="U650" s="24">
        <f t="shared" si="112"/>
        <v>44534</v>
      </c>
      <c r="V650"/>
      <c r="W650"/>
      <c r="X650"/>
      <c r="Y650"/>
      <c r="Z650"/>
      <c r="AA650"/>
      <c r="AB650"/>
      <c r="AC650"/>
      <c r="AD650"/>
      <c r="AE650"/>
      <c r="AF650"/>
      <c r="AG650"/>
      <c r="AH650"/>
      <c r="AI650"/>
      <c r="AJ650"/>
      <c r="AK650"/>
      <c r="AL650"/>
      <c r="AM650"/>
      <c r="AN650"/>
      <c r="AO650"/>
      <c r="AP650"/>
      <c r="AQ650"/>
    </row>
    <row r="651" spans="1:43" s="10" customFormat="1" ht="15.75" customHeight="1" x14ac:dyDescent="0.25">
      <c r="A651" s="55">
        <f t="shared" si="105"/>
        <v>44</v>
      </c>
      <c r="B651" s="79">
        <v>44420</v>
      </c>
      <c r="C651" s="330" t="s">
        <v>2682</v>
      </c>
      <c r="D651" s="330"/>
      <c r="E651" s="330"/>
      <c r="F651" s="33" t="s">
        <v>1195</v>
      </c>
      <c r="G651" s="126" t="s">
        <v>2281</v>
      </c>
      <c r="H651" s="45">
        <v>8456000</v>
      </c>
      <c r="I651" s="377" t="s">
        <v>2681</v>
      </c>
      <c r="J651" s="301">
        <v>44520</v>
      </c>
      <c r="K651" s="460">
        <f t="shared" si="110"/>
        <v>8456000</v>
      </c>
      <c r="L651" s="460"/>
      <c r="M651" s="577">
        <f t="shared" si="120"/>
        <v>845600</v>
      </c>
      <c r="N651" s="28">
        <v>76104</v>
      </c>
      <c r="O651" s="28">
        <v>152208</v>
      </c>
      <c r="P651" s="460">
        <v>7534296</v>
      </c>
      <c r="Q651" s="28">
        <f t="shared" si="104"/>
        <v>0</v>
      </c>
      <c r="R651" s="199"/>
      <c r="S651" s="197">
        <v>44545</v>
      </c>
      <c r="T651" s="199">
        <v>14</v>
      </c>
      <c r="U651" s="24">
        <f t="shared" si="112"/>
        <v>44534</v>
      </c>
      <c r="V651"/>
      <c r="W651"/>
      <c r="X651"/>
      <c r="Y651"/>
      <c r="Z651"/>
      <c r="AA651"/>
      <c r="AB651"/>
      <c r="AC651"/>
      <c r="AD651"/>
      <c r="AE651"/>
      <c r="AF651"/>
      <c r="AG651"/>
      <c r="AH651"/>
      <c r="AI651"/>
      <c r="AJ651"/>
      <c r="AK651"/>
      <c r="AL651"/>
      <c r="AM651"/>
      <c r="AN651"/>
      <c r="AO651"/>
      <c r="AP651"/>
      <c r="AQ651"/>
    </row>
    <row r="652" spans="1:43" s="10" customFormat="1" ht="15.75" customHeight="1" x14ac:dyDescent="0.25">
      <c r="A652" s="55">
        <f t="shared" si="105"/>
        <v>45</v>
      </c>
      <c r="B652" s="79">
        <v>44409</v>
      </c>
      <c r="C652" s="330" t="s">
        <v>2684</v>
      </c>
      <c r="D652" s="330"/>
      <c r="E652" s="330"/>
      <c r="F652" s="33" t="s">
        <v>1195</v>
      </c>
      <c r="G652" s="126" t="s">
        <v>2282</v>
      </c>
      <c r="H652" s="45">
        <v>2860000</v>
      </c>
      <c r="I652" s="377" t="s">
        <v>2683</v>
      </c>
      <c r="J652" s="301">
        <v>44520</v>
      </c>
      <c r="K652" s="460">
        <f t="shared" si="110"/>
        <v>2860000</v>
      </c>
      <c r="L652" s="460"/>
      <c r="M652" s="577">
        <f t="shared" si="120"/>
        <v>286000</v>
      </c>
      <c r="N652" s="28">
        <v>25740</v>
      </c>
      <c r="O652" s="28">
        <v>51480</v>
      </c>
      <c r="P652" s="460">
        <v>2548260</v>
      </c>
      <c r="Q652" s="28">
        <f t="shared" si="104"/>
        <v>0</v>
      </c>
      <c r="R652" s="199"/>
      <c r="S652" s="197">
        <v>44551</v>
      </c>
      <c r="T652" s="199">
        <v>14</v>
      </c>
      <c r="U652" s="24">
        <f t="shared" si="112"/>
        <v>44534</v>
      </c>
      <c r="V652"/>
      <c r="W652"/>
      <c r="X652"/>
      <c r="Y652"/>
      <c r="Z652"/>
      <c r="AA652"/>
      <c r="AB652"/>
      <c r="AC652"/>
      <c r="AD652"/>
      <c r="AE652"/>
      <c r="AF652"/>
      <c r="AG652"/>
      <c r="AH652"/>
      <c r="AI652"/>
      <c r="AJ652"/>
      <c r="AK652"/>
      <c r="AL652"/>
      <c r="AM652"/>
      <c r="AN652"/>
      <c r="AO652"/>
      <c r="AP652"/>
      <c r="AQ652"/>
    </row>
    <row r="653" spans="1:43" s="10" customFormat="1" ht="15.75" customHeight="1" x14ac:dyDescent="0.25">
      <c r="A653" s="55">
        <f t="shared" si="105"/>
        <v>46</v>
      </c>
      <c r="B653" s="79">
        <v>44409</v>
      </c>
      <c r="C653" s="330" t="s">
        <v>2686</v>
      </c>
      <c r="D653" s="330"/>
      <c r="E653" s="330"/>
      <c r="F653" s="33" t="s">
        <v>1195</v>
      </c>
      <c r="G653" s="126" t="s">
        <v>2283</v>
      </c>
      <c r="H653" s="45">
        <v>1120000</v>
      </c>
      <c r="I653" s="377" t="s">
        <v>2685</v>
      </c>
      <c r="J653" s="301">
        <v>44520</v>
      </c>
      <c r="K653" s="460">
        <f t="shared" si="110"/>
        <v>1120000</v>
      </c>
      <c r="L653" s="460"/>
      <c r="M653" s="577">
        <f t="shared" si="120"/>
        <v>112000</v>
      </c>
      <c r="N653" s="28">
        <v>10080</v>
      </c>
      <c r="O653" s="28">
        <v>20160</v>
      </c>
      <c r="P653" s="460">
        <v>997920</v>
      </c>
      <c r="Q653" s="28">
        <f t="shared" si="104"/>
        <v>0</v>
      </c>
      <c r="R653" s="199"/>
      <c r="S653" s="197">
        <v>44545</v>
      </c>
      <c r="T653" s="199">
        <v>14</v>
      </c>
      <c r="U653" s="24">
        <f t="shared" si="112"/>
        <v>44534</v>
      </c>
      <c r="V653"/>
      <c r="W653"/>
      <c r="X653"/>
      <c r="Y653"/>
      <c r="Z653"/>
      <c r="AA653"/>
      <c r="AB653"/>
      <c r="AC653"/>
      <c r="AD653"/>
      <c r="AE653"/>
      <c r="AF653"/>
      <c r="AG653"/>
      <c r="AH653"/>
      <c r="AI653"/>
      <c r="AJ653"/>
      <c r="AK653"/>
      <c r="AL653"/>
      <c r="AM653"/>
      <c r="AN653"/>
      <c r="AO653"/>
      <c r="AP653"/>
      <c r="AQ653"/>
    </row>
    <row r="654" spans="1:43" s="10" customFormat="1" ht="15.75" customHeight="1" x14ac:dyDescent="0.25">
      <c r="A654" s="55">
        <f t="shared" si="105"/>
        <v>47</v>
      </c>
      <c r="B654" s="79">
        <v>44431</v>
      </c>
      <c r="C654" s="330" t="s">
        <v>2688</v>
      </c>
      <c r="D654" s="330"/>
      <c r="E654" s="330"/>
      <c r="F654" s="33" t="s">
        <v>1195</v>
      </c>
      <c r="G654" s="126" t="s">
        <v>200</v>
      </c>
      <c r="H654" s="45">
        <v>1463000</v>
      </c>
      <c r="I654" s="377" t="s">
        <v>2687</v>
      </c>
      <c r="J654" s="301">
        <v>44520</v>
      </c>
      <c r="K654" s="460">
        <f t="shared" si="110"/>
        <v>1463000</v>
      </c>
      <c r="L654" s="460"/>
      <c r="M654" s="577">
        <f t="shared" si="120"/>
        <v>146300</v>
      </c>
      <c r="N654" s="28">
        <v>13167</v>
      </c>
      <c r="O654" s="28">
        <v>26334</v>
      </c>
      <c r="P654" s="460">
        <v>1303533</v>
      </c>
      <c r="Q654" s="28">
        <f t="shared" si="104"/>
        <v>0</v>
      </c>
      <c r="R654" s="199"/>
      <c r="S654" s="197">
        <v>44552</v>
      </c>
      <c r="T654" s="199">
        <v>14</v>
      </c>
      <c r="U654" s="24">
        <f t="shared" si="112"/>
        <v>44534</v>
      </c>
      <c r="V654"/>
      <c r="W654"/>
      <c r="X654"/>
      <c r="Y654"/>
      <c r="Z654"/>
      <c r="AA654"/>
      <c r="AB654"/>
      <c r="AC654"/>
      <c r="AD654"/>
      <c r="AE654"/>
      <c r="AF654"/>
      <c r="AG654"/>
      <c r="AH654"/>
      <c r="AI654"/>
      <c r="AJ654"/>
      <c r="AK654"/>
      <c r="AL654"/>
      <c r="AM654"/>
      <c r="AN654"/>
      <c r="AO654"/>
      <c r="AP654"/>
      <c r="AQ654"/>
    </row>
    <row r="655" spans="1:43" s="10" customFormat="1" ht="15.75" customHeight="1" x14ac:dyDescent="0.25">
      <c r="A655" s="55">
        <f t="shared" si="105"/>
        <v>48</v>
      </c>
      <c r="B655" s="79">
        <v>44437</v>
      </c>
      <c r="C655" s="330" t="s">
        <v>2690</v>
      </c>
      <c r="D655" s="330"/>
      <c r="E655" s="330"/>
      <c r="F655" s="33" t="s">
        <v>1195</v>
      </c>
      <c r="G655" s="126" t="s">
        <v>2284</v>
      </c>
      <c r="H655" s="45">
        <v>11416293</v>
      </c>
      <c r="I655" s="377" t="s">
        <v>2689</v>
      </c>
      <c r="J655" s="301">
        <v>44520</v>
      </c>
      <c r="K655" s="460">
        <f t="shared" si="110"/>
        <v>11416293</v>
      </c>
      <c r="L655" s="460"/>
      <c r="M655" s="577">
        <f t="shared" si="120"/>
        <v>1141629.3</v>
      </c>
      <c r="N655" s="28">
        <v>102746.63699999999</v>
      </c>
      <c r="O655" s="28">
        <v>205493.27399999998</v>
      </c>
      <c r="P655" s="460">
        <v>10171917.062999999</v>
      </c>
      <c r="Q655" s="28">
        <f t="shared" si="104"/>
        <v>-1.1641532182693481E-10</v>
      </c>
      <c r="R655" s="199"/>
      <c r="S655" s="197">
        <v>44551</v>
      </c>
      <c r="T655" s="199">
        <v>14</v>
      </c>
      <c r="U655" s="24">
        <f t="shared" si="112"/>
        <v>44534</v>
      </c>
      <c r="V655"/>
      <c r="W655"/>
      <c r="X655"/>
      <c r="Y655"/>
      <c r="Z655"/>
      <c r="AA655"/>
      <c r="AB655"/>
      <c r="AC655"/>
      <c r="AD655"/>
      <c r="AE655"/>
      <c r="AF655"/>
      <c r="AG655"/>
      <c r="AH655"/>
      <c r="AI655"/>
      <c r="AJ655"/>
      <c r="AK655"/>
      <c r="AL655"/>
      <c r="AM655"/>
      <c r="AN655"/>
      <c r="AO655"/>
      <c r="AP655"/>
      <c r="AQ655"/>
    </row>
    <row r="656" spans="1:43" s="10" customFormat="1" ht="15.75" customHeight="1" x14ac:dyDescent="0.25">
      <c r="A656" s="55">
        <f t="shared" si="105"/>
        <v>49</v>
      </c>
      <c r="B656" s="79">
        <v>44429</v>
      </c>
      <c r="C656" s="330" t="s">
        <v>2692</v>
      </c>
      <c r="D656" s="330"/>
      <c r="E656" s="330"/>
      <c r="F656" s="33" t="s">
        <v>1195</v>
      </c>
      <c r="G656" s="126" t="s">
        <v>2285</v>
      </c>
      <c r="H656" s="45">
        <v>42210000</v>
      </c>
      <c r="I656" s="377" t="s">
        <v>2691</v>
      </c>
      <c r="J656" s="301">
        <v>44520</v>
      </c>
      <c r="K656" s="460">
        <f t="shared" si="110"/>
        <v>42210000</v>
      </c>
      <c r="L656" s="460"/>
      <c r="M656" s="577">
        <f t="shared" si="120"/>
        <v>4221000</v>
      </c>
      <c r="N656" s="28">
        <v>379890</v>
      </c>
      <c r="O656" s="28">
        <v>759780</v>
      </c>
      <c r="P656" s="460">
        <v>37609110</v>
      </c>
      <c r="Q656" s="28">
        <f t="shared" si="104"/>
        <v>0</v>
      </c>
      <c r="R656" s="199"/>
      <c r="S656" s="197">
        <v>44564</v>
      </c>
      <c r="T656" s="199">
        <v>14</v>
      </c>
      <c r="U656" s="24">
        <f t="shared" si="112"/>
        <v>44534</v>
      </c>
      <c r="V656"/>
      <c r="W656"/>
      <c r="X656"/>
      <c r="Y656"/>
      <c r="Z656"/>
      <c r="AA656"/>
      <c r="AB656"/>
      <c r="AC656"/>
      <c r="AD656"/>
      <c r="AE656"/>
      <c r="AF656"/>
      <c r="AG656"/>
      <c r="AH656"/>
      <c r="AI656"/>
      <c r="AJ656"/>
      <c r="AK656"/>
      <c r="AL656"/>
      <c r="AM656"/>
      <c r="AN656"/>
      <c r="AO656"/>
      <c r="AP656"/>
      <c r="AQ656"/>
    </row>
    <row r="657" spans="1:43" s="10" customFormat="1" ht="15.75" customHeight="1" x14ac:dyDescent="0.25">
      <c r="A657" s="55">
        <f t="shared" si="105"/>
        <v>50</v>
      </c>
      <c r="B657" s="470">
        <v>44435</v>
      </c>
      <c r="C657" s="448" t="s">
        <v>2234</v>
      </c>
      <c r="D657" s="448"/>
      <c r="E657" s="58" t="s">
        <v>2232</v>
      </c>
      <c r="F657" s="123" t="s">
        <v>2694</v>
      </c>
      <c r="G657" s="334" t="s">
        <v>3045</v>
      </c>
      <c r="H657" s="45">
        <v>2100000</v>
      </c>
      <c r="I657" s="380" t="s">
        <v>3044</v>
      </c>
      <c r="J657" s="514">
        <v>44541</v>
      </c>
      <c r="K657" s="719">
        <f>H657</f>
        <v>2100000</v>
      </c>
      <c r="L657" s="719"/>
      <c r="M657" s="718">
        <v>37117</v>
      </c>
      <c r="N657" s="718">
        <f>K657*1%</f>
        <v>21000</v>
      </c>
      <c r="O657" s="718">
        <f>K657*2%</f>
        <v>42000</v>
      </c>
      <c r="P657" s="718">
        <v>2041883</v>
      </c>
      <c r="Q657" s="28">
        <f>K657-L657-M657-O657-P657+N657</f>
        <v>0</v>
      </c>
      <c r="R657" s="743"/>
      <c r="S657" s="474">
        <v>44554</v>
      </c>
      <c r="T657" s="199"/>
      <c r="U657" s="24">
        <f t="shared" si="112"/>
        <v>44541</v>
      </c>
      <c r="V657"/>
      <c r="W657"/>
      <c r="X657"/>
      <c r="Y657"/>
      <c r="Z657"/>
      <c r="AA657"/>
      <c r="AB657"/>
      <c r="AC657"/>
      <c r="AD657"/>
      <c r="AE657"/>
      <c r="AF657"/>
      <c r="AG657"/>
      <c r="AH657"/>
      <c r="AI657"/>
      <c r="AJ657"/>
      <c r="AK657"/>
      <c r="AL657"/>
      <c r="AM657"/>
      <c r="AN657"/>
      <c r="AO657"/>
      <c r="AP657"/>
      <c r="AQ657"/>
    </row>
    <row r="658" spans="1:43" s="10" customFormat="1" ht="15.75" customHeight="1" x14ac:dyDescent="0.25">
      <c r="A658" s="55">
        <f t="shared" si="105"/>
        <v>51</v>
      </c>
      <c r="B658" s="56">
        <v>44410</v>
      </c>
      <c r="C658" s="58" t="s">
        <v>1659</v>
      </c>
      <c r="D658" s="58"/>
      <c r="E658" s="58"/>
      <c r="F658" s="123" t="s">
        <v>53</v>
      </c>
      <c r="G658" s="333" t="s">
        <v>1658</v>
      </c>
      <c r="H658" s="45">
        <v>3300000</v>
      </c>
      <c r="I658" s="380" t="s">
        <v>1657</v>
      </c>
      <c r="J658" s="507">
        <v>44415</v>
      </c>
      <c r="K658" s="460">
        <f t="shared" si="110"/>
        <v>3300000</v>
      </c>
      <c r="L658" s="460"/>
      <c r="M658" s="459"/>
      <c r="N658" s="459"/>
      <c r="O658" s="459"/>
      <c r="P658" s="459">
        <v>3300000</v>
      </c>
      <c r="Q658" s="28">
        <f t="shared" si="104"/>
        <v>0</v>
      </c>
      <c r="R658" s="199"/>
      <c r="S658" s="197">
        <v>44447</v>
      </c>
      <c r="T658" s="2">
        <v>14</v>
      </c>
      <c r="U658" s="24">
        <f t="shared" si="112"/>
        <v>44429</v>
      </c>
      <c r="V658"/>
      <c r="W658"/>
      <c r="X658"/>
      <c r="Y658"/>
      <c r="Z658"/>
      <c r="AA658"/>
      <c r="AB658"/>
      <c r="AC658"/>
      <c r="AD658"/>
      <c r="AE658"/>
      <c r="AF658"/>
      <c r="AG658"/>
      <c r="AH658"/>
      <c r="AI658"/>
      <c r="AJ658"/>
      <c r="AK658"/>
      <c r="AL658"/>
      <c r="AM658"/>
      <c r="AN658"/>
      <c r="AO658"/>
      <c r="AP658"/>
      <c r="AQ658"/>
    </row>
    <row r="659" spans="1:43" s="10" customFormat="1" ht="15.75" customHeight="1" x14ac:dyDescent="0.25">
      <c r="A659" s="55">
        <f t="shared" si="105"/>
        <v>52</v>
      </c>
      <c r="B659" s="56">
        <v>44415</v>
      </c>
      <c r="C659" s="58">
        <v>210029090</v>
      </c>
      <c r="D659" s="58"/>
      <c r="E659" s="58"/>
      <c r="F659" s="123" t="s">
        <v>1661</v>
      </c>
      <c r="G659" s="333" t="s">
        <v>988</v>
      </c>
      <c r="H659" s="45">
        <v>5789000</v>
      </c>
      <c r="I659" s="380" t="s">
        <v>1660</v>
      </c>
      <c r="J659" s="507">
        <v>44415</v>
      </c>
      <c r="K659" s="460">
        <f t="shared" si="110"/>
        <v>5789000</v>
      </c>
      <c r="L659" s="460"/>
      <c r="M659" s="459"/>
      <c r="N659" s="459"/>
      <c r="O659" s="459"/>
      <c r="P659" s="459">
        <v>5789000</v>
      </c>
      <c r="Q659" s="28">
        <f t="shared" si="104"/>
        <v>0</v>
      </c>
      <c r="R659" s="199"/>
      <c r="S659" s="197">
        <v>44438</v>
      </c>
      <c r="T659" s="199">
        <v>14</v>
      </c>
      <c r="U659" s="24">
        <f t="shared" si="112"/>
        <v>44429</v>
      </c>
      <c r="V659" s="360" t="s">
        <v>1726</v>
      </c>
      <c r="W659"/>
      <c r="X659"/>
      <c r="Y659"/>
      <c r="Z659"/>
      <c r="AA659"/>
      <c r="AB659"/>
      <c r="AC659"/>
      <c r="AD659"/>
      <c r="AE659"/>
      <c r="AF659"/>
      <c r="AG659"/>
      <c r="AH659"/>
      <c r="AI659"/>
      <c r="AJ659"/>
      <c r="AK659"/>
      <c r="AL659"/>
      <c r="AM659"/>
      <c r="AN659"/>
      <c r="AO659"/>
      <c r="AP659"/>
      <c r="AQ659"/>
    </row>
    <row r="660" spans="1:43" s="10" customFormat="1" ht="15.75" customHeight="1" x14ac:dyDescent="0.25">
      <c r="A660" s="55">
        <f t="shared" si="105"/>
        <v>53</v>
      </c>
      <c r="B660" s="56">
        <v>44411</v>
      </c>
      <c r="C660" s="58" t="s">
        <v>1663</v>
      </c>
      <c r="D660" s="58"/>
      <c r="E660" s="58"/>
      <c r="F660" s="123" t="s">
        <v>1070</v>
      </c>
      <c r="G660" s="126" t="s">
        <v>1664</v>
      </c>
      <c r="H660" s="45">
        <v>4529600</v>
      </c>
      <c r="I660" s="380" t="s">
        <v>1662</v>
      </c>
      <c r="J660" s="301">
        <v>44415</v>
      </c>
      <c r="K660" s="460">
        <f t="shared" si="110"/>
        <v>4529600</v>
      </c>
      <c r="L660" s="460">
        <v>650000</v>
      </c>
      <c r="M660" s="459"/>
      <c r="N660" s="459"/>
      <c r="O660" s="459"/>
      <c r="P660" s="459">
        <v>3879600</v>
      </c>
      <c r="Q660" s="28">
        <f t="shared" si="104"/>
        <v>0</v>
      </c>
      <c r="R660" s="197"/>
      <c r="S660" s="197">
        <v>44478</v>
      </c>
      <c r="T660" s="199">
        <v>14</v>
      </c>
      <c r="U660" s="24">
        <f t="shared" si="112"/>
        <v>44429</v>
      </c>
      <c r="V660"/>
      <c r="W660"/>
      <c r="X660"/>
      <c r="Y660"/>
      <c r="Z660"/>
      <c r="AA660"/>
      <c r="AB660"/>
      <c r="AC660"/>
      <c r="AD660"/>
      <c r="AE660"/>
      <c r="AF660"/>
      <c r="AG660"/>
      <c r="AH660"/>
      <c r="AI660"/>
      <c r="AJ660"/>
      <c r="AK660"/>
      <c r="AL660"/>
      <c r="AM660"/>
      <c r="AN660"/>
      <c r="AO660"/>
      <c r="AP660"/>
      <c r="AQ660"/>
    </row>
    <row r="661" spans="1:43" s="10" customFormat="1" ht="15.75" customHeight="1" x14ac:dyDescent="0.25">
      <c r="A661" s="55">
        <f t="shared" si="105"/>
        <v>54</v>
      </c>
      <c r="B661" s="56">
        <v>44410</v>
      </c>
      <c r="C661" s="58" t="s">
        <v>1628</v>
      </c>
      <c r="D661" s="58"/>
      <c r="E661" s="58" t="s">
        <v>1627</v>
      </c>
      <c r="F661" s="123" t="s">
        <v>2694</v>
      </c>
      <c r="G661" s="126" t="s">
        <v>582</v>
      </c>
      <c r="H661" s="45">
        <v>211000</v>
      </c>
      <c r="I661" s="380" t="s">
        <v>1665</v>
      </c>
      <c r="J661" s="301">
        <v>44417</v>
      </c>
      <c r="K661" s="460">
        <f t="shared" si="110"/>
        <v>211000</v>
      </c>
      <c r="L661" s="460"/>
      <c r="M661" s="459"/>
      <c r="N661" s="459"/>
      <c r="O661" s="459"/>
      <c r="P661" s="459"/>
      <c r="Q661" s="28">
        <f t="shared" si="104"/>
        <v>211000</v>
      </c>
      <c r="R661" s="743"/>
      <c r="S661" s="474"/>
      <c r="T661" s="199">
        <v>14</v>
      </c>
      <c r="U661" s="24">
        <f t="shared" si="112"/>
        <v>44431</v>
      </c>
      <c r="V661"/>
      <c r="W661"/>
      <c r="X661"/>
      <c r="Y661"/>
      <c r="Z661"/>
      <c r="AA661"/>
      <c r="AB661"/>
      <c r="AC661"/>
      <c r="AD661"/>
      <c r="AE661"/>
      <c r="AF661"/>
      <c r="AG661"/>
      <c r="AH661"/>
      <c r="AI661"/>
      <c r="AJ661"/>
      <c r="AK661"/>
      <c r="AL661"/>
      <c r="AM661"/>
      <c r="AN661"/>
      <c r="AO661"/>
      <c r="AP661"/>
      <c r="AQ661"/>
    </row>
    <row r="662" spans="1:43" s="10" customFormat="1" ht="15.75" customHeight="1" x14ac:dyDescent="0.25">
      <c r="A662" s="55">
        <f t="shared" si="105"/>
        <v>55</v>
      </c>
      <c r="B662" s="56">
        <v>44369</v>
      </c>
      <c r="C662" s="58" t="s">
        <v>1719</v>
      </c>
      <c r="D662" s="58"/>
      <c r="E662" s="58"/>
      <c r="F662" s="123" t="s">
        <v>1474</v>
      </c>
      <c r="G662" s="126" t="s">
        <v>201</v>
      </c>
      <c r="H662" s="45">
        <v>1900000</v>
      </c>
      <c r="I662" s="380" t="s">
        <v>1718</v>
      </c>
      <c r="J662" s="301">
        <v>44418</v>
      </c>
      <c r="K662" s="460">
        <f t="shared" si="110"/>
        <v>1900000</v>
      </c>
      <c r="L662" s="460"/>
      <c r="M662" s="459"/>
      <c r="N662" s="459"/>
      <c r="O662" s="459"/>
      <c r="P662" s="459">
        <v>1900000</v>
      </c>
      <c r="Q662" s="28">
        <f t="shared" si="104"/>
        <v>0</v>
      </c>
      <c r="R662" s="199"/>
      <c r="S662" s="197">
        <v>44463</v>
      </c>
      <c r="T662" s="199">
        <v>14</v>
      </c>
      <c r="U662" s="24">
        <f t="shared" si="112"/>
        <v>44432</v>
      </c>
      <c r="V662" t="s">
        <v>1723</v>
      </c>
      <c r="W662"/>
      <c r="X662"/>
      <c r="Y662"/>
      <c r="Z662"/>
      <c r="AA662"/>
      <c r="AB662"/>
      <c r="AC662"/>
      <c r="AD662"/>
      <c r="AE662"/>
      <c r="AF662"/>
      <c r="AG662"/>
      <c r="AH662"/>
      <c r="AI662"/>
      <c r="AJ662"/>
      <c r="AK662"/>
      <c r="AL662"/>
      <c r="AM662"/>
      <c r="AN662"/>
      <c r="AO662"/>
      <c r="AP662"/>
      <c r="AQ662"/>
    </row>
    <row r="663" spans="1:43" s="10" customFormat="1" ht="15.75" customHeight="1" x14ac:dyDescent="0.25">
      <c r="A663" s="55">
        <f t="shared" si="105"/>
        <v>56</v>
      </c>
      <c r="B663" s="56">
        <v>44418</v>
      </c>
      <c r="C663" s="58"/>
      <c r="D663" s="58"/>
      <c r="E663" s="58"/>
      <c r="F663" s="123" t="s">
        <v>1721</v>
      </c>
      <c r="G663" s="126" t="s">
        <v>988</v>
      </c>
      <c r="H663" s="45">
        <v>580000</v>
      </c>
      <c r="I663" s="380" t="s">
        <v>1720</v>
      </c>
      <c r="J663" s="301">
        <v>44420</v>
      </c>
      <c r="K663" s="460">
        <f t="shared" si="110"/>
        <v>580000</v>
      </c>
      <c r="L663" s="460"/>
      <c r="M663" s="459"/>
      <c r="N663" s="459"/>
      <c r="O663" s="459"/>
      <c r="P663" s="459">
        <v>580000</v>
      </c>
      <c r="Q663" s="28">
        <f t="shared" si="104"/>
        <v>0</v>
      </c>
      <c r="R663" s="199"/>
      <c r="S663" s="56">
        <v>44421</v>
      </c>
      <c r="T663" s="199">
        <v>14</v>
      </c>
      <c r="U663" s="24">
        <f t="shared" si="112"/>
        <v>44434</v>
      </c>
      <c r="V663"/>
      <c r="W663"/>
      <c r="X663"/>
      <c r="Y663"/>
      <c r="Z663"/>
      <c r="AA663"/>
      <c r="AB663"/>
      <c r="AC663"/>
      <c r="AD663"/>
      <c r="AE663"/>
      <c r="AF663"/>
      <c r="AG663"/>
      <c r="AH663"/>
      <c r="AI663"/>
      <c r="AJ663"/>
      <c r="AK663"/>
      <c r="AL663"/>
      <c r="AM663"/>
      <c r="AN663"/>
      <c r="AO663"/>
      <c r="AP663"/>
      <c r="AQ663"/>
    </row>
    <row r="664" spans="1:43" s="10" customFormat="1" ht="15.75" customHeight="1" x14ac:dyDescent="0.25">
      <c r="A664" s="55">
        <f t="shared" si="105"/>
        <v>57</v>
      </c>
      <c r="B664" s="56">
        <v>44399</v>
      </c>
      <c r="C664" s="58" t="s">
        <v>1725</v>
      </c>
      <c r="D664" s="58"/>
      <c r="E664" s="58">
        <v>100</v>
      </c>
      <c r="F664" s="110" t="s">
        <v>260</v>
      </c>
      <c r="G664" s="126" t="s">
        <v>1973</v>
      </c>
      <c r="H664" s="45">
        <v>14000000</v>
      </c>
      <c r="I664" s="380" t="s">
        <v>1724</v>
      </c>
      <c r="J664" s="301">
        <v>44421</v>
      </c>
      <c r="K664" s="460">
        <f t="shared" si="110"/>
        <v>14000000</v>
      </c>
      <c r="L664" s="460"/>
      <c r="M664" s="459"/>
      <c r="N664" s="459"/>
      <c r="O664" s="459"/>
      <c r="P664" s="459">
        <v>14000000</v>
      </c>
      <c r="Q664" s="28">
        <f t="shared" si="104"/>
        <v>0</v>
      </c>
      <c r="R664" s="199"/>
      <c r="S664" s="197">
        <v>44524</v>
      </c>
      <c r="T664" s="2">
        <v>30</v>
      </c>
      <c r="U664" s="24">
        <f t="shared" si="112"/>
        <v>44451</v>
      </c>
      <c r="V664"/>
      <c r="W664"/>
      <c r="X664"/>
      <c r="Y664"/>
      <c r="Z664"/>
      <c r="AA664"/>
      <c r="AB664"/>
      <c r="AC664"/>
      <c r="AD664"/>
      <c r="AE664"/>
      <c r="AF664"/>
      <c r="AG664"/>
      <c r="AH664"/>
      <c r="AI664"/>
      <c r="AJ664"/>
      <c r="AK664"/>
      <c r="AL664"/>
      <c r="AM664"/>
      <c r="AN664"/>
      <c r="AO664"/>
      <c r="AP664"/>
      <c r="AQ664"/>
    </row>
    <row r="665" spans="1:43" s="10" customFormat="1" ht="15.75" customHeight="1" x14ac:dyDescent="0.25">
      <c r="A665" s="55">
        <f t="shared" si="105"/>
        <v>58</v>
      </c>
      <c r="B665" s="56">
        <v>44417</v>
      </c>
      <c r="C665" s="58" t="s">
        <v>1729</v>
      </c>
      <c r="D665" s="58"/>
      <c r="E665" s="58"/>
      <c r="F665" s="123" t="s">
        <v>1727</v>
      </c>
      <c r="G665" s="126" t="s">
        <v>163</v>
      </c>
      <c r="H665" s="45">
        <v>675000</v>
      </c>
      <c r="I665" s="380" t="s">
        <v>1728</v>
      </c>
      <c r="J665" s="301">
        <v>44421</v>
      </c>
      <c r="K665" s="460">
        <f t="shared" si="110"/>
        <v>675000</v>
      </c>
      <c r="L665" s="460"/>
      <c r="M665" s="459"/>
      <c r="N665" s="459"/>
      <c r="O665" s="459"/>
      <c r="P665" s="459">
        <v>675000</v>
      </c>
      <c r="Q665" s="28">
        <f t="shared" si="104"/>
        <v>0</v>
      </c>
      <c r="R665" s="199"/>
      <c r="S665" s="197">
        <v>44421</v>
      </c>
      <c r="T665" s="199">
        <v>14</v>
      </c>
      <c r="U665" s="24">
        <f t="shared" si="112"/>
        <v>44435</v>
      </c>
      <c r="V665"/>
      <c r="W665"/>
      <c r="X665"/>
      <c r="Y665"/>
      <c r="Z665"/>
      <c r="AA665"/>
      <c r="AB665"/>
      <c r="AC665"/>
      <c r="AD665"/>
      <c r="AE665"/>
      <c r="AF665"/>
      <c r="AG665"/>
      <c r="AH665"/>
      <c r="AI665"/>
      <c r="AJ665"/>
      <c r="AK665"/>
      <c r="AL665"/>
      <c r="AM665"/>
      <c r="AN665"/>
      <c r="AO665"/>
      <c r="AP665"/>
      <c r="AQ665"/>
    </row>
    <row r="666" spans="1:43" s="10" customFormat="1" ht="15.75" customHeight="1" x14ac:dyDescent="0.25">
      <c r="A666" s="55">
        <f t="shared" si="105"/>
        <v>59</v>
      </c>
      <c r="B666" s="361">
        <v>44413</v>
      </c>
      <c r="C666" s="448" t="s">
        <v>1732</v>
      </c>
      <c r="D666" s="476"/>
      <c r="E666" s="58"/>
      <c r="F666" s="123" t="s">
        <v>1112</v>
      </c>
      <c r="G666" s="126" t="s">
        <v>1731</v>
      </c>
      <c r="H666" s="45">
        <v>590000</v>
      </c>
      <c r="I666" s="380" t="s">
        <v>1730</v>
      </c>
      <c r="J666" s="514">
        <v>44421</v>
      </c>
      <c r="K666" s="460">
        <f t="shared" si="110"/>
        <v>590000</v>
      </c>
      <c r="L666" s="460"/>
      <c r="M666" s="459"/>
      <c r="N666" s="459"/>
      <c r="O666" s="459"/>
      <c r="P666" s="459">
        <v>590000</v>
      </c>
      <c r="Q666" s="28">
        <f t="shared" si="104"/>
        <v>0</v>
      </c>
      <c r="R666" s="858" t="s">
        <v>2332</v>
      </c>
      <c r="S666" s="855"/>
      <c r="T666" s="199">
        <v>14</v>
      </c>
      <c r="U666" s="24">
        <f t="shared" si="112"/>
        <v>44435</v>
      </c>
      <c r="V666"/>
      <c r="W666"/>
      <c r="X666"/>
      <c r="Y666"/>
      <c r="Z666"/>
      <c r="AA666"/>
      <c r="AB666"/>
      <c r="AC666"/>
      <c r="AD666"/>
      <c r="AE666"/>
      <c r="AF666"/>
      <c r="AG666"/>
      <c r="AH666"/>
      <c r="AI666"/>
      <c r="AJ666"/>
      <c r="AK666"/>
      <c r="AL666"/>
      <c r="AM666"/>
      <c r="AN666"/>
      <c r="AO666"/>
      <c r="AP666"/>
      <c r="AQ666"/>
    </row>
    <row r="667" spans="1:43" s="10" customFormat="1" ht="15.75" customHeight="1" x14ac:dyDescent="0.25">
      <c r="A667" s="55">
        <f t="shared" si="105"/>
        <v>60</v>
      </c>
      <c r="B667" s="56" t="s">
        <v>1736</v>
      </c>
      <c r="C667" s="58" t="s">
        <v>1449</v>
      </c>
      <c r="D667" s="58"/>
      <c r="E667" s="58"/>
      <c r="F667" s="123" t="s">
        <v>1734</v>
      </c>
      <c r="G667" s="126" t="s">
        <v>1735</v>
      </c>
      <c r="H667" s="45">
        <v>600000</v>
      </c>
      <c r="I667" s="380" t="s">
        <v>1733</v>
      </c>
      <c r="J667" s="301">
        <v>44421</v>
      </c>
      <c r="K667" s="460">
        <f t="shared" si="110"/>
        <v>600000</v>
      </c>
      <c r="L667" s="460"/>
      <c r="M667" s="459"/>
      <c r="N667" s="459"/>
      <c r="O667" s="459"/>
      <c r="P667" s="459"/>
      <c r="Q667" s="568">
        <f t="shared" si="104"/>
        <v>600000</v>
      </c>
      <c r="R667" s="199"/>
      <c r="S667" s="199"/>
      <c r="T667" s="199">
        <v>14</v>
      </c>
      <c r="U667" s="24">
        <f t="shared" si="112"/>
        <v>44435</v>
      </c>
      <c r="V667"/>
      <c r="W667"/>
      <c r="X667"/>
      <c r="Y667"/>
      <c r="Z667"/>
      <c r="AA667"/>
      <c r="AB667"/>
      <c r="AC667"/>
      <c r="AD667"/>
      <c r="AE667"/>
      <c r="AF667"/>
      <c r="AG667"/>
      <c r="AH667"/>
      <c r="AI667"/>
      <c r="AJ667"/>
      <c r="AK667"/>
      <c r="AL667"/>
      <c r="AM667"/>
      <c r="AN667"/>
      <c r="AO667"/>
      <c r="AP667"/>
      <c r="AQ667"/>
    </row>
    <row r="668" spans="1:43" s="10" customFormat="1" ht="15.75" customHeight="1" x14ac:dyDescent="0.25">
      <c r="A668" s="55">
        <f t="shared" si="105"/>
        <v>61</v>
      </c>
      <c r="B668" s="361">
        <v>44424</v>
      </c>
      <c r="C668" s="58" t="s">
        <v>1738</v>
      </c>
      <c r="D668" s="58"/>
      <c r="E668" s="58"/>
      <c r="F668" s="123" t="s">
        <v>1994</v>
      </c>
      <c r="G668" s="126" t="s">
        <v>161</v>
      </c>
      <c r="H668" s="45">
        <v>2150000</v>
      </c>
      <c r="I668" s="380" t="s">
        <v>1737</v>
      </c>
      <c r="J668" s="301">
        <v>44424</v>
      </c>
      <c r="K668" s="460">
        <f t="shared" si="110"/>
        <v>2150000</v>
      </c>
      <c r="L668" s="460"/>
      <c r="M668" s="459">
        <v>500000</v>
      </c>
      <c r="N668" s="459"/>
      <c r="O668" s="459"/>
      <c r="P668" s="459">
        <v>1650000</v>
      </c>
      <c r="Q668" s="28">
        <f t="shared" si="104"/>
        <v>0</v>
      </c>
      <c r="R668" s="199"/>
      <c r="S668" s="197">
        <v>44426</v>
      </c>
      <c r="T668" s="199">
        <v>14</v>
      </c>
      <c r="U668" s="24">
        <f t="shared" si="112"/>
        <v>44438</v>
      </c>
      <c r="V668"/>
      <c r="W668"/>
      <c r="X668"/>
      <c r="Y668"/>
      <c r="Z668"/>
      <c r="AA668"/>
      <c r="AB668"/>
      <c r="AC668"/>
      <c r="AD668"/>
      <c r="AE668"/>
      <c r="AF668"/>
      <c r="AG668"/>
      <c r="AH668"/>
      <c r="AI668"/>
      <c r="AJ668"/>
      <c r="AK668"/>
      <c r="AL668"/>
      <c r="AM668"/>
      <c r="AN668"/>
      <c r="AO668"/>
      <c r="AP668"/>
      <c r="AQ668"/>
    </row>
    <row r="669" spans="1:43" s="10" customFormat="1" ht="15.75" customHeight="1" x14ac:dyDescent="0.25">
      <c r="A669" s="55">
        <f t="shared" si="105"/>
        <v>62</v>
      </c>
      <c r="B669" s="56">
        <v>44414</v>
      </c>
      <c r="C669" s="58" t="s">
        <v>1740</v>
      </c>
      <c r="D669" s="58"/>
      <c r="E669" s="58"/>
      <c r="F669" s="31" t="s">
        <v>242</v>
      </c>
      <c r="G669" s="362" t="s">
        <v>1731</v>
      </c>
      <c r="H669" s="45">
        <v>3500000</v>
      </c>
      <c r="I669" s="380" t="s">
        <v>1739</v>
      </c>
      <c r="J669" s="301">
        <v>44424</v>
      </c>
      <c r="K669" s="460">
        <f t="shared" si="110"/>
        <v>3500000</v>
      </c>
      <c r="L669" s="460"/>
      <c r="M669" s="459"/>
      <c r="N669" s="459"/>
      <c r="O669" s="459"/>
      <c r="P669" s="459">
        <v>3500000</v>
      </c>
      <c r="Q669" s="28">
        <f t="shared" si="104"/>
        <v>0</v>
      </c>
      <c r="R669" s="197" t="s">
        <v>1914</v>
      </c>
      <c r="S669" s="197"/>
      <c r="T669" s="199">
        <v>14</v>
      </c>
      <c r="U669" s="24">
        <f t="shared" si="112"/>
        <v>44438</v>
      </c>
      <c r="V669"/>
      <c r="W669"/>
      <c r="X669"/>
      <c r="Y669"/>
      <c r="Z669"/>
      <c r="AA669"/>
      <c r="AB669"/>
      <c r="AC669"/>
      <c r="AD669"/>
      <c r="AE669"/>
      <c r="AF669"/>
      <c r="AG669"/>
      <c r="AH669"/>
      <c r="AI669"/>
      <c r="AJ669"/>
      <c r="AK669"/>
      <c r="AL669"/>
      <c r="AM669"/>
      <c r="AN669"/>
      <c r="AO669"/>
      <c r="AP669"/>
      <c r="AQ669"/>
    </row>
    <row r="670" spans="1:43" s="10" customFormat="1" ht="15.75" customHeight="1" x14ac:dyDescent="0.25">
      <c r="A670" s="55">
        <f t="shared" si="105"/>
        <v>63</v>
      </c>
      <c r="B670" s="56">
        <v>44424</v>
      </c>
      <c r="C670" s="58" t="s">
        <v>1781</v>
      </c>
      <c r="D670" s="58"/>
      <c r="E670" s="58"/>
      <c r="F670" s="123" t="s">
        <v>1782</v>
      </c>
      <c r="G670" s="126" t="s">
        <v>988</v>
      </c>
      <c r="H670" s="45">
        <v>350000</v>
      </c>
      <c r="I670" s="380" t="s">
        <v>1783</v>
      </c>
      <c r="J670" s="301">
        <v>44424</v>
      </c>
      <c r="K670" s="460">
        <f t="shared" si="110"/>
        <v>350000</v>
      </c>
      <c r="L670" s="460"/>
      <c r="M670" s="459"/>
      <c r="N670" s="459"/>
      <c r="O670" s="459"/>
      <c r="P670" s="459">
        <v>350000</v>
      </c>
      <c r="Q670" s="28">
        <f t="shared" si="104"/>
        <v>0</v>
      </c>
      <c r="R670" s="199"/>
      <c r="S670" s="199" t="s">
        <v>1836</v>
      </c>
      <c r="T670" s="199">
        <v>14</v>
      </c>
      <c r="U670" s="24">
        <f t="shared" si="112"/>
        <v>44438</v>
      </c>
      <c r="V670"/>
      <c r="W670"/>
      <c r="X670"/>
      <c r="Y670"/>
      <c r="Z670"/>
      <c r="AA670"/>
      <c r="AB670"/>
      <c r="AC670"/>
      <c r="AD670"/>
      <c r="AE670"/>
      <c r="AF670"/>
      <c r="AG670"/>
      <c r="AH670"/>
      <c r="AI670"/>
      <c r="AJ670"/>
      <c r="AK670"/>
      <c r="AL670"/>
      <c r="AM670"/>
      <c r="AN670"/>
      <c r="AO670"/>
      <c r="AP670"/>
      <c r="AQ670"/>
    </row>
    <row r="671" spans="1:43" s="10" customFormat="1" ht="15.75" customHeight="1" x14ac:dyDescent="0.25">
      <c r="A671" s="55">
        <f t="shared" si="105"/>
        <v>64</v>
      </c>
      <c r="B671" s="56">
        <v>44412</v>
      </c>
      <c r="C671" s="58" t="s">
        <v>1784</v>
      </c>
      <c r="D671" s="58"/>
      <c r="E671" s="58" t="s">
        <v>1785</v>
      </c>
      <c r="F671" s="123" t="s">
        <v>2694</v>
      </c>
      <c r="G671" s="126" t="s">
        <v>1786</v>
      </c>
      <c r="H671" s="45">
        <v>176400</v>
      </c>
      <c r="I671" s="380" t="s">
        <v>1780</v>
      </c>
      <c r="J671" s="301">
        <v>44427</v>
      </c>
      <c r="K671" s="460">
        <f t="shared" si="110"/>
        <v>176400</v>
      </c>
      <c r="L671" s="460"/>
      <c r="M671" s="459"/>
      <c r="N671" s="459"/>
      <c r="O671" s="459"/>
      <c r="P671" s="459"/>
      <c r="Q671" s="28">
        <f t="shared" si="104"/>
        <v>176400</v>
      </c>
      <c r="R671" s="743"/>
      <c r="S671" s="743"/>
      <c r="T671" s="199">
        <v>14</v>
      </c>
      <c r="U671" s="24">
        <f t="shared" si="112"/>
        <v>44441</v>
      </c>
      <c r="V671"/>
      <c r="W671"/>
      <c r="X671"/>
      <c r="Y671"/>
      <c r="Z671"/>
      <c r="AA671"/>
      <c r="AB671"/>
      <c r="AC671"/>
      <c r="AD671"/>
      <c r="AE671"/>
      <c r="AF671"/>
      <c r="AG671"/>
      <c r="AH671"/>
      <c r="AI671"/>
      <c r="AJ671"/>
      <c r="AK671"/>
      <c r="AL671"/>
      <c r="AM671"/>
      <c r="AN671"/>
      <c r="AO671"/>
      <c r="AP671"/>
      <c r="AQ671"/>
    </row>
    <row r="672" spans="1:43" s="10" customFormat="1" ht="15.75" customHeight="1" x14ac:dyDescent="0.25">
      <c r="A672" s="55">
        <f t="shared" si="105"/>
        <v>65</v>
      </c>
      <c r="B672" s="56">
        <v>44420</v>
      </c>
      <c r="C672" s="448" t="s">
        <v>1790</v>
      </c>
      <c r="D672" s="476"/>
      <c r="E672" s="58"/>
      <c r="F672" s="123" t="s">
        <v>53</v>
      </c>
      <c r="G672" s="126" t="s">
        <v>1791</v>
      </c>
      <c r="H672" s="45">
        <v>2800000</v>
      </c>
      <c r="I672" s="380" t="s">
        <v>1792</v>
      </c>
      <c r="J672" s="301">
        <v>44427</v>
      </c>
      <c r="K672" s="460">
        <f t="shared" si="110"/>
        <v>2800000</v>
      </c>
      <c r="L672" s="460"/>
      <c r="M672" s="459"/>
      <c r="N672" s="459"/>
      <c r="O672" s="459"/>
      <c r="P672" s="459">
        <v>2800000</v>
      </c>
      <c r="Q672" s="28">
        <f t="shared" si="104"/>
        <v>0</v>
      </c>
      <c r="R672" s="199"/>
      <c r="S672" s="197">
        <v>44459</v>
      </c>
      <c r="T672" s="2">
        <v>14</v>
      </c>
      <c r="U672" s="24">
        <f t="shared" si="112"/>
        <v>44441</v>
      </c>
      <c r="V672"/>
      <c r="W672"/>
      <c r="X672"/>
      <c r="Y672"/>
      <c r="Z672"/>
      <c r="AA672"/>
      <c r="AB672"/>
      <c r="AC672"/>
      <c r="AD672"/>
      <c r="AE672"/>
      <c r="AF672"/>
      <c r="AG672"/>
      <c r="AH672"/>
      <c r="AI672"/>
      <c r="AJ672"/>
      <c r="AK672"/>
      <c r="AL672"/>
      <c r="AM672"/>
      <c r="AN672"/>
      <c r="AO672"/>
      <c r="AP672"/>
      <c r="AQ672"/>
    </row>
    <row r="673" spans="1:43" s="10" customFormat="1" ht="15.75" customHeight="1" x14ac:dyDescent="0.25">
      <c r="A673" s="55">
        <f t="shared" si="105"/>
        <v>66</v>
      </c>
      <c r="B673" s="56">
        <v>44431</v>
      </c>
      <c r="C673" s="448" t="s">
        <v>1818</v>
      </c>
      <c r="D673" s="332"/>
      <c r="E673" s="58"/>
      <c r="F673" s="123" t="s">
        <v>1023</v>
      </c>
      <c r="G673" s="126" t="s">
        <v>1819</v>
      </c>
      <c r="H673" s="45">
        <v>3650000</v>
      </c>
      <c r="I673" s="379" t="s">
        <v>1820</v>
      </c>
      <c r="J673" s="301">
        <v>44438</v>
      </c>
      <c r="K673" s="460">
        <f t="shared" si="110"/>
        <v>3650000</v>
      </c>
      <c r="L673" s="460">
        <v>2500000</v>
      </c>
      <c r="M673" s="459"/>
      <c r="N673" s="459"/>
      <c r="O673" s="459"/>
      <c r="P673" s="459">
        <v>1150000</v>
      </c>
      <c r="Q673" s="28">
        <f t="shared" ref="Q673:Q685" si="121">K673-L673-M673-O673-P673+N673</f>
        <v>0</v>
      </c>
      <c r="R673" s="197">
        <v>44433</v>
      </c>
      <c r="S673" s="197">
        <v>44439</v>
      </c>
      <c r="T673" s="199">
        <v>14</v>
      </c>
      <c r="U673" s="24">
        <f t="shared" si="112"/>
        <v>44452</v>
      </c>
      <c r="V673"/>
      <c r="W673"/>
      <c r="X673"/>
      <c r="Y673"/>
      <c r="Z673"/>
      <c r="AA673"/>
      <c r="AB673"/>
      <c r="AC673"/>
      <c r="AD673"/>
      <c r="AE673"/>
      <c r="AF673"/>
      <c r="AG673"/>
      <c r="AH673"/>
      <c r="AI673"/>
      <c r="AJ673"/>
      <c r="AK673"/>
      <c r="AL673"/>
      <c r="AM673"/>
      <c r="AN673"/>
      <c r="AO673"/>
      <c r="AP673"/>
      <c r="AQ673"/>
    </row>
    <row r="674" spans="1:43" s="10" customFormat="1" ht="15.75" customHeight="1" x14ac:dyDescent="0.25">
      <c r="A674" s="55">
        <f t="shared" ref="A674:A685" si="122">A673+1</f>
        <v>67</v>
      </c>
      <c r="B674" s="56">
        <v>44413</v>
      </c>
      <c r="C674" s="448" t="s">
        <v>1827</v>
      </c>
      <c r="D674" s="332"/>
      <c r="E674" s="58"/>
      <c r="F674" s="123" t="s">
        <v>933</v>
      </c>
      <c r="G674" s="333" t="s">
        <v>161</v>
      </c>
      <c r="H674" s="45">
        <v>150000</v>
      </c>
      <c r="I674" s="379" t="s">
        <v>1828</v>
      </c>
      <c r="J674" s="516">
        <v>44432</v>
      </c>
      <c r="K674" s="460">
        <f t="shared" si="110"/>
        <v>150000</v>
      </c>
      <c r="L674" s="460"/>
      <c r="M674" s="459"/>
      <c r="N674" s="459"/>
      <c r="O674" s="459"/>
      <c r="P674" s="459">
        <v>150000</v>
      </c>
      <c r="Q674" s="28">
        <f t="shared" si="121"/>
        <v>0</v>
      </c>
      <c r="R674" s="199"/>
      <c r="S674" s="484">
        <v>44435</v>
      </c>
      <c r="T674" s="2">
        <v>14</v>
      </c>
      <c r="U674" s="24">
        <f t="shared" si="112"/>
        <v>44446</v>
      </c>
      <c r="V674"/>
      <c r="W674"/>
      <c r="X674"/>
      <c r="Y674"/>
      <c r="Z674"/>
      <c r="AA674"/>
      <c r="AB674"/>
      <c r="AC674"/>
      <c r="AD674"/>
      <c r="AE674"/>
      <c r="AF674"/>
      <c r="AG674"/>
      <c r="AH674"/>
      <c r="AI674"/>
      <c r="AJ674"/>
      <c r="AK674"/>
      <c r="AL674"/>
      <c r="AM674"/>
      <c r="AN674"/>
      <c r="AO674"/>
      <c r="AP674"/>
      <c r="AQ674"/>
    </row>
    <row r="675" spans="1:43" s="10" customFormat="1" ht="15.75" customHeight="1" x14ac:dyDescent="0.25">
      <c r="A675" s="55">
        <f t="shared" si="122"/>
        <v>68</v>
      </c>
      <c r="B675" s="56">
        <v>44413</v>
      </c>
      <c r="C675" s="448" t="s">
        <v>1830</v>
      </c>
      <c r="D675" s="332"/>
      <c r="E675" s="58">
        <v>104</v>
      </c>
      <c r="F675" s="110" t="s">
        <v>260</v>
      </c>
      <c r="G675" s="401" t="s">
        <v>1974</v>
      </c>
      <c r="H675" s="45">
        <v>14000000</v>
      </c>
      <c r="I675" s="380" t="s">
        <v>1829</v>
      </c>
      <c r="J675" s="516">
        <v>44432</v>
      </c>
      <c r="K675" s="460">
        <f t="shared" si="110"/>
        <v>14000000</v>
      </c>
      <c r="L675" s="460"/>
      <c r="M675" s="459"/>
      <c r="N675" s="459"/>
      <c r="O675" s="459"/>
      <c r="P675" s="459">
        <v>14000000</v>
      </c>
      <c r="Q675" s="28">
        <f t="shared" si="121"/>
        <v>0</v>
      </c>
      <c r="R675" s="199"/>
      <c r="S675" s="199" t="s">
        <v>5057</v>
      </c>
      <c r="T675" s="199">
        <v>30</v>
      </c>
      <c r="U675" s="24">
        <f t="shared" si="112"/>
        <v>44462</v>
      </c>
      <c r="V675"/>
      <c r="W675"/>
      <c r="X675"/>
      <c r="Y675"/>
      <c r="Z675"/>
      <c r="AA675"/>
      <c r="AB675"/>
      <c r="AC675"/>
      <c r="AD675"/>
      <c r="AE675"/>
      <c r="AF675"/>
      <c r="AG675"/>
      <c r="AH675"/>
      <c r="AI675"/>
      <c r="AJ675"/>
      <c r="AK675"/>
      <c r="AL675"/>
      <c r="AM675"/>
      <c r="AN675"/>
      <c r="AO675"/>
      <c r="AP675"/>
      <c r="AQ675"/>
    </row>
    <row r="676" spans="1:43" s="10" customFormat="1" ht="15.75" customHeight="1" x14ac:dyDescent="0.25">
      <c r="A676" s="55">
        <f t="shared" si="122"/>
        <v>69</v>
      </c>
      <c r="B676" s="56">
        <v>44427</v>
      </c>
      <c r="C676" s="58" t="s">
        <v>1832</v>
      </c>
      <c r="D676" s="58"/>
      <c r="E676" s="58"/>
      <c r="F676" s="123" t="s">
        <v>1949</v>
      </c>
      <c r="G676" s="126" t="s">
        <v>1833</v>
      </c>
      <c r="H676" s="45">
        <v>5000000</v>
      </c>
      <c r="I676" s="380" t="s">
        <v>1831</v>
      </c>
      <c r="J676" s="301">
        <v>44432</v>
      </c>
      <c r="K676" s="460">
        <f t="shared" si="110"/>
        <v>5000000</v>
      </c>
      <c r="L676" s="460"/>
      <c r="M676" s="459"/>
      <c r="N676" s="459"/>
      <c r="O676" s="459"/>
      <c r="P676" s="459">
        <v>5000000</v>
      </c>
      <c r="Q676" s="28">
        <f t="shared" si="121"/>
        <v>0</v>
      </c>
      <c r="R676" s="197" t="s">
        <v>4055</v>
      </c>
      <c r="S676" s="197"/>
      <c r="T676" s="199">
        <v>30</v>
      </c>
      <c r="U676" s="24">
        <f t="shared" si="112"/>
        <v>44462</v>
      </c>
      <c r="V676" t="s">
        <v>2082</v>
      </c>
      <c r="W676"/>
      <c r="X676"/>
      <c r="Y676"/>
      <c r="Z676"/>
      <c r="AA676"/>
      <c r="AB676"/>
      <c r="AC676"/>
      <c r="AD676"/>
      <c r="AE676"/>
      <c r="AF676"/>
      <c r="AG676"/>
      <c r="AH676"/>
      <c r="AI676"/>
      <c r="AJ676"/>
      <c r="AK676"/>
      <c r="AL676"/>
      <c r="AM676"/>
      <c r="AN676"/>
      <c r="AO676"/>
      <c r="AP676"/>
      <c r="AQ676"/>
    </row>
    <row r="677" spans="1:43" s="10" customFormat="1" ht="15.75" customHeight="1" x14ac:dyDescent="0.25">
      <c r="A677" s="55">
        <f t="shared" si="122"/>
        <v>70</v>
      </c>
      <c r="B677" s="56">
        <v>44426</v>
      </c>
      <c r="C677" s="58" t="s">
        <v>1834</v>
      </c>
      <c r="D677" s="58"/>
      <c r="E677" s="58"/>
      <c r="F677" s="31" t="s">
        <v>242</v>
      </c>
      <c r="G677" s="126" t="s">
        <v>677</v>
      </c>
      <c r="H677" s="45">
        <v>6200000</v>
      </c>
      <c r="I677" s="380" t="s">
        <v>1835</v>
      </c>
      <c r="J677" s="301">
        <v>44439</v>
      </c>
      <c r="K677" s="460">
        <f t="shared" si="110"/>
        <v>6200000</v>
      </c>
      <c r="L677" s="460"/>
      <c r="M677" s="459"/>
      <c r="N677" s="459"/>
      <c r="O677" s="459"/>
      <c r="P677" s="459">
        <v>6200000</v>
      </c>
      <c r="Q677" s="28">
        <f t="shared" si="121"/>
        <v>0</v>
      </c>
      <c r="R677" s="197"/>
      <c r="S677" s="197">
        <v>44460</v>
      </c>
      <c r="T677" s="199">
        <v>14</v>
      </c>
      <c r="U677" s="24">
        <f t="shared" si="112"/>
        <v>44453</v>
      </c>
      <c r="V677"/>
      <c r="W677"/>
      <c r="X677"/>
      <c r="Y677"/>
      <c r="Z677"/>
      <c r="AA677"/>
      <c r="AB677"/>
      <c r="AC677"/>
      <c r="AD677"/>
      <c r="AE677"/>
      <c r="AF677"/>
      <c r="AG677"/>
      <c r="AH677"/>
      <c r="AI677"/>
      <c r="AJ677"/>
      <c r="AK677"/>
      <c r="AL677"/>
      <c r="AM677"/>
      <c r="AN677"/>
      <c r="AO677"/>
      <c r="AP677"/>
      <c r="AQ677"/>
    </row>
    <row r="678" spans="1:43" s="10" customFormat="1" ht="15.75" customHeight="1" x14ac:dyDescent="0.25">
      <c r="A678" s="55">
        <f t="shared" si="122"/>
        <v>71</v>
      </c>
      <c r="B678" s="56">
        <v>44413</v>
      </c>
      <c r="C678" s="448" t="s">
        <v>1848</v>
      </c>
      <c r="D678" s="332"/>
      <c r="E678" s="58"/>
      <c r="F678" s="123" t="s">
        <v>1847</v>
      </c>
      <c r="G678" s="333" t="s">
        <v>136</v>
      </c>
      <c r="H678" s="45">
        <v>2475000</v>
      </c>
      <c r="I678" s="379" t="s">
        <v>1846</v>
      </c>
      <c r="J678" s="301">
        <v>44446</v>
      </c>
      <c r="K678" s="460">
        <f t="shared" si="110"/>
        <v>2475000</v>
      </c>
      <c r="L678" s="460">
        <v>1237500</v>
      </c>
      <c r="M678" s="459"/>
      <c r="N678" s="459"/>
      <c r="O678" s="459">
        <f>H678*2%</f>
        <v>49500</v>
      </c>
      <c r="P678" s="459">
        <v>1188000</v>
      </c>
      <c r="Q678" s="28">
        <f t="shared" si="121"/>
        <v>0</v>
      </c>
      <c r="R678" s="482" t="s">
        <v>1889</v>
      </c>
      <c r="S678" s="197">
        <v>44455</v>
      </c>
      <c r="T678" s="199">
        <v>14</v>
      </c>
      <c r="U678" s="24">
        <f t="shared" si="112"/>
        <v>44460</v>
      </c>
      <c r="V678" t="s">
        <v>1849</v>
      </c>
      <c r="W678"/>
      <c r="X678"/>
      <c r="Y678"/>
      <c r="Z678"/>
      <c r="AA678"/>
      <c r="AB678"/>
      <c r="AC678"/>
      <c r="AD678"/>
      <c r="AE678"/>
      <c r="AF678"/>
      <c r="AG678"/>
      <c r="AH678"/>
      <c r="AI678"/>
      <c r="AJ678"/>
      <c r="AK678"/>
      <c r="AL678"/>
      <c r="AM678"/>
      <c r="AN678"/>
      <c r="AO678"/>
      <c r="AP678"/>
      <c r="AQ678"/>
    </row>
    <row r="679" spans="1:43" s="10" customFormat="1" ht="15.75" customHeight="1" x14ac:dyDescent="0.25">
      <c r="A679" s="55">
        <f t="shared" si="122"/>
        <v>72</v>
      </c>
      <c r="B679" s="56">
        <v>44436</v>
      </c>
      <c r="C679" s="58" t="s">
        <v>1843</v>
      </c>
      <c r="D679" s="58"/>
      <c r="E679" s="58"/>
      <c r="F679" s="123" t="s">
        <v>53</v>
      </c>
      <c r="G679" s="126" t="s">
        <v>1844</v>
      </c>
      <c r="H679" s="45">
        <v>2200000</v>
      </c>
      <c r="I679" s="380" t="s">
        <v>1842</v>
      </c>
      <c r="J679" s="301">
        <v>44446</v>
      </c>
      <c r="K679" s="460">
        <f t="shared" si="110"/>
        <v>2200000</v>
      </c>
      <c r="L679" s="460"/>
      <c r="M679" s="459"/>
      <c r="N679" s="459"/>
      <c r="O679" s="459"/>
      <c r="P679" s="459">
        <v>2200000</v>
      </c>
      <c r="Q679" s="28">
        <f t="shared" si="121"/>
        <v>0</v>
      </c>
      <c r="R679" s="199"/>
      <c r="S679" s="197">
        <v>44470</v>
      </c>
      <c r="T679" s="2">
        <v>14</v>
      </c>
      <c r="U679" s="24">
        <f t="shared" si="112"/>
        <v>44460</v>
      </c>
      <c r="V679"/>
      <c r="W679"/>
      <c r="X679"/>
      <c r="Y679"/>
      <c r="Z679"/>
      <c r="AA679"/>
      <c r="AB679"/>
      <c r="AC679"/>
      <c r="AD679"/>
      <c r="AE679"/>
      <c r="AF679"/>
      <c r="AG679"/>
      <c r="AH679"/>
      <c r="AI679"/>
      <c r="AJ679"/>
      <c r="AK679"/>
      <c r="AL679"/>
      <c r="AM679"/>
      <c r="AN679"/>
      <c r="AO679"/>
      <c r="AP679"/>
      <c r="AQ679"/>
    </row>
    <row r="680" spans="1:43" s="10" customFormat="1" ht="15.75" customHeight="1" x14ac:dyDescent="0.25">
      <c r="A680" s="55">
        <f t="shared" si="122"/>
        <v>73</v>
      </c>
      <c r="B680" s="56">
        <v>44426</v>
      </c>
      <c r="C680" s="58" t="s">
        <v>1895</v>
      </c>
      <c r="D680" s="58"/>
      <c r="E680" s="58"/>
      <c r="F680" s="123" t="s">
        <v>1894</v>
      </c>
      <c r="G680" s="126" t="s">
        <v>1891</v>
      </c>
      <c r="H680" s="45">
        <v>490000</v>
      </c>
      <c r="I680" s="380" t="s">
        <v>1893</v>
      </c>
      <c r="J680" s="301">
        <v>44455</v>
      </c>
      <c r="K680" s="460">
        <f t="shared" si="110"/>
        <v>490000</v>
      </c>
      <c r="L680" s="460"/>
      <c r="M680" s="459"/>
      <c r="N680" s="459"/>
      <c r="O680" s="459"/>
      <c r="P680" s="459">
        <v>490000</v>
      </c>
      <c r="Q680" s="28">
        <f t="shared" si="121"/>
        <v>0</v>
      </c>
      <c r="R680" s="199"/>
      <c r="S680" s="197">
        <v>44426</v>
      </c>
      <c r="T680" s="199">
        <v>14</v>
      </c>
      <c r="U680" s="24">
        <f t="shared" si="112"/>
        <v>44469</v>
      </c>
      <c r="V680"/>
      <c r="W680"/>
      <c r="X680"/>
      <c r="Y680"/>
      <c r="Z680"/>
      <c r="AA680"/>
      <c r="AB680"/>
      <c r="AC680"/>
      <c r="AD680"/>
      <c r="AE680"/>
      <c r="AF680"/>
      <c r="AG680"/>
      <c r="AH680"/>
      <c r="AI680"/>
      <c r="AJ680"/>
      <c r="AK680"/>
      <c r="AL680"/>
      <c r="AM680"/>
      <c r="AN680"/>
      <c r="AO680"/>
      <c r="AP680"/>
      <c r="AQ680"/>
    </row>
    <row r="681" spans="1:43" s="10" customFormat="1" ht="15.75" customHeight="1" x14ac:dyDescent="0.25">
      <c r="A681" s="55">
        <f t="shared" si="122"/>
        <v>74</v>
      </c>
      <c r="B681" s="56">
        <v>44413</v>
      </c>
      <c r="C681" s="58" t="s">
        <v>1892</v>
      </c>
      <c r="D681" s="58"/>
      <c r="E681" s="58"/>
      <c r="F681" s="123" t="s">
        <v>1890</v>
      </c>
      <c r="G681" s="126" t="s">
        <v>1891</v>
      </c>
      <c r="H681" s="45"/>
      <c r="I681" s="380"/>
      <c r="J681" s="301"/>
      <c r="K681" s="460">
        <f t="shared" si="110"/>
        <v>0</v>
      </c>
      <c r="L681" s="460"/>
      <c r="M681" s="459"/>
      <c r="N681" s="459"/>
      <c r="O681" s="459"/>
      <c r="P681" s="459"/>
      <c r="Q681" s="28">
        <f t="shared" si="121"/>
        <v>0</v>
      </c>
      <c r="R681" s="199"/>
      <c r="S681" s="199"/>
      <c r="T681" s="199"/>
      <c r="U681" s="24">
        <f t="shared" si="112"/>
        <v>0</v>
      </c>
      <c r="V681"/>
      <c r="W681"/>
      <c r="X681"/>
      <c r="Y681"/>
      <c r="Z681"/>
      <c r="AA681"/>
      <c r="AB681"/>
      <c r="AC681"/>
      <c r="AD681"/>
      <c r="AE681"/>
      <c r="AF681"/>
      <c r="AG681"/>
      <c r="AH681"/>
      <c r="AI681"/>
      <c r="AJ681"/>
      <c r="AK681"/>
      <c r="AL681"/>
      <c r="AM681"/>
      <c r="AN681"/>
      <c r="AO681"/>
      <c r="AP681"/>
      <c r="AQ681"/>
    </row>
    <row r="682" spans="1:43" s="10" customFormat="1" ht="15.75" customHeight="1" x14ac:dyDescent="0.25">
      <c r="A682" s="55">
        <f t="shared" si="122"/>
        <v>75</v>
      </c>
      <c r="B682" s="56" t="e">
        <f t="array" ref="B682">[3]!'!382_Karya Indo_Batam!R18C2'</f>
        <v>#REF!</v>
      </c>
      <c r="C682" s="58" t="s">
        <v>1895</v>
      </c>
      <c r="D682" s="58"/>
      <c r="E682" s="58"/>
      <c r="F682" s="123" t="s">
        <v>1897</v>
      </c>
      <c r="G682" s="126" t="s">
        <v>1898</v>
      </c>
      <c r="H682" s="45">
        <v>490000</v>
      </c>
      <c r="I682" s="133" t="s">
        <v>1893</v>
      </c>
      <c r="J682" s="301">
        <v>44455</v>
      </c>
      <c r="K682" s="460">
        <f t="shared" si="110"/>
        <v>490000</v>
      </c>
      <c r="L682" s="460"/>
      <c r="M682" s="459"/>
      <c r="N682" s="459"/>
      <c r="O682" s="459"/>
      <c r="P682" s="459">
        <v>490000</v>
      </c>
      <c r="Q682" s="28">
        <f t="shared" si="121"/>
        <v>0</v>
      </c>
      <c r="R682" s="199"/>
      <c r="S682" s="199" t="s">
        <v>1899</v>
      </c>
      <c r="T682" s="199">
        <v>30</v>
      </c>
      <c r="U682" s="24">
        <f t="shared" si="112"/>
        <v>44485</v>
      </c>
      <c r="V682"/>
      <c r="W682"/>
      <c r="X682"/>
      <c r="Y682"/>
      <c r="Z682"/>
      <c r="AA682"/>
      <c r="AB682"/>
      <c r="AC682"/>
      <c r="AD682"/>
      <c r="AE682"/>
      <c r="AF682"/>
      <c r="AG682"/>
      <c r="AH682"/>
      <c r="AI682"/>
      <c r="AJ682"/>
      <c r="AK682"/>
      <c r="AL682"/>
      <c r="AM682"/>
      <c r="AN682"/>
      <c r="AO682"/>
      <c r="AP682"/>
      <c r="AQ682"/>
    </row>
    <row r="683" spans="1:43" s="10" customFormat="1" ht="15.75" customHeight="1" x14ac:dyDescent="0.25">
      <c r="A683" s="55">
        <f t="shared" si="122"/>
        <v>76</v>
      </c>
      <c r="B683" s="56">
        <v>44428</v>
      </c>
      <c r="C683" s="58"/>
      <c r="D683" s="58"/>
      <c r="E683" s="58"/>
      <c r="F683" s="123" t="s">
        <v>1949</v>
      </c>
      <c r="G683" s="126" t="s">
        <v>1950</v>
      </c>
      <c r="H683" s="45">
        <v>85000000</v>
      </c>
      <c r="I683" s="380" t="s">
        <v>1951</v>
      </c>
      <c r="J683" s="301">
        <v>44461</v>
      </c>
      <c r="K683" s="460">
        <f t="shared" si="110"/>
        <v>85000000</v>
      </c>
      <c r="L683" s="460">
        <f>55000000+13000000+9000000</f>
        <v>77000000</v>
      </c>
      <c r="M683" s="459"/>
      <c r="N683" s="459"/>
      <c r="O683" s="459"/>
      <c r="P683" s="459">
        <v>8000000</v>
      </c>
      <c r="Q683" s="28">
        <f t="shared" si="121"/>
        <v>0</v>
      </c>
      <c r="R683" s="197" t="s">
        <v>4055</v>
      </c>
      <c r="S683" s="197"/>
      <c r="T683" s="199">
        <v>30</v>
      </c>
      <c r="U683" s="24">
        <f t="shared" si="112"/>
        <v>44491</v>
      </c>
      <c r="V683" t="s">
        <v>2083</v>
      </c>
      <c r="W683"/>
      <c r="X683"/>
      <c r="Y683"/>
      <c r="Z683"/>
      <c r="AA683"/>
      <c r="AB683"/>
      <c r="AC683"/>
      <c r="AD683"/>
      <c r="AE683"/>
      <c r="AF683"/>
      <c r="AG683"/>
      <c r="AH683"/>
      <c r="AI683"/>
      <c r="AJ683"/>
      <c r="AK683"/>
      <c r="AL683"/>
      <c r="AM683"/>
      <c r="AN683"/>
      <c r="AO683"/>
      <c r="AP683"/>
      <c r="AQ683"/>
    </row>
    <row r="684" spans="1:43" s="10" customFormat="1" ht="15.75" customHeight="1" x14ac:dyDescent="0.25">
      <c r="A684" s="55">
        <f t="shared" si="122"/>
        <v>77</v>
      </c>
      <c r="B684" s="56">
        <v>44427</v>
      </c>
      <c r="C684" s="58" t="s">
        <v>1832</v>
      </c>
      <c r="D684" s="58"/>
      <c r="E684" s="58"/>
      <c r="F684" s="123" t="s">
        <v>1949</v>
      </c>
      <c r="G684" s="126" t="s">
        <v>1833</v>
      </c>
      <c r="H684" s="45">
        <v>7000000</v>
      </c>
      <c r="I684" s="380" t="s">
        <v>1960</v>
      </c>
      <c r="J684" s="301">
        <v>44466</v>
      </c>
      <c r="K684" s="460">
        <f t="shared" si="110"/>
        <v>7000000</v>
      </c>
      <c r="L684" s="460"/>
      <c r="M684" s="459"/>
      <c r="N684" s="459"/>
      <c r="O684" s="459"/>
      <c r="P684" s="459">
        <v>7000000</v>
      </c>
      <c r="Q684" s="28">
        <f t="shared" si="121"/>
        <v>0</v>
      </c>
      <c r="R684" s="197"/>
      <c r="S684" s="197">
        <v>44502</v>
      </c>
      <c r="T684" s="199">
        <v>30</v>
      </c>
      <c r="U684" s="24">
        <f t="shared" si="112"/>
        <v>44496</v>
      </c>
      <c r="V684" t="s">
        <v>2083</v>
      </c>
      <c r="W684"/>
      <c r="X684"/>
      <c r="Y684"/>
      <c r="Z684"/>
      <c r="AA684"/>
      <c r="AB684"/>
      <c r="AC684"/>
      <c r="AD684"/>
      <c r="AE684"/>
      <c r="AF684"/>
      <c r="AG684"/>
      <c r="AH684"/>
      <c r="AI684"/>
      <c r="AJ684"/>
      <c r="AK684"/>
      <c r="AL684"/>
      <c r="AM684"/>
      <c r="AN684"/>
      <c r="AO684"/>
      <c r="AP684"/>
      <c r="AQ684"/>
    </row>
    <row r="685" spans="1:43" s="10" customFormat="1" ht="15.75" customHeight="1" x14ac:dyDescent="0.25">
      <c r="A685" s="55">
        <f t="shared" si="122"/>
        <v>78</v>
      </c>
      <c r="B685" s="56">
        <v>44431</v>
      </c>
      <c r="C685" s="58" t="s">
        <v>1980</v>
      </c>
      <c r="D685" s="58"/>
      <c r="E685" s="58">
        <v>113</v>
      </c>
      <c r="F685" s="110" t="s">
        <v>260</v>
      </c>
      <c r="G685" s="126" t="s">
        <v>1979</v>
      </c>
      <c r="H685" s="45">
        <v>14000000</v>
      </c>
      <c r="I685" s="380" t="s">
        <v>1978</v>
      </c>
      <c r="J685" s="301">
        <v>44468</v>
      </c>
      <c r="K685" s="460">
        <f t="shared" si="110"/>
        <v>14000000</v>
      </c>
      <c r="L685" s="460"/>
      <c r="M685" s="459"/>
      <c r="N685" s="459"/>
      <c r="O685" s="459"/>
      <c r="P685" s="459"/>
      <c r="Q685" s="28">
        <f t="shared" si="121"/>
        <v>14000000</v>
      </c>
      <c r="R685" s="199"/>
      <c r="S685" s="197"/>
      <c r="T685" s="199">
        <v>30</v>
      </c>
      <c r="U685" s="24">
        <f t="shared" si="112"/>
        <v>44498</v>
      </c>
      <c r="V685" s="59" t="s">
        <v>1981</v>
      </c>
      <c r="W685"/>
      <c r="X685"/>
      <c r="Y685"/>
      <c r="Z685"/>
      <c r="AA685"/>
      <c r="AB685"/>
      <c r="AC685"/>
      <c r="AD685"/>
      <c r="AE685"/>
      <c r="AF685"/>
      <c r="AG685"/>
      <c r="AH685"/>
      <c r="AI685"/>
      <c r="AJ685"/>
      <c r="AK685"/>
      <c r="AL685"/>
      <c r="AM685"/>
      <c r="AN685"/>
      <c r="AO685"/>
      <c r="AP685"/>
      <c r="AQ685"/>
    </row>
    <row r="686" spans="1:43" s="10" customFormat="1" ht="32.25" customHeight="1" x14ac:dyDescent="0.25">
      <c r="A686" s="998" t="s">
        <v>1838</v>
      </c>
      <c r="B686" s="998"/>
      <c r="C686" s="998"/>
      <c r="D686" s="998"/>
      <c r="E686" s="998"/>
      <c r="F686" s="998"/>
      <c r="G686" s="998"/>
      <c r="H686" s="998"/>
      <c r="I686" s="998"/>
      <c r="J686" s="998"/>
      <c r="K686" s="473"/>
      <c r="L686" s="473"/>
      <c r="M686" s="473"/>
      <c r="N686" s="473"/>
      <c r="O686" s="473"/>
      <c r="P686" s="473"/>
      <c r="Q686" s="51">
        <f>SUM(Q608:Q685)</f>
        <v>14987399.979999993</v>
      </c>
      <c r="R686" s="479"/>
      <c r="S686" s="479"/>
      <c r="T686" s="479"/>
      <c r="U686" s="24">
        <f t="shared" ref="U686:U747" si="123">J686+T686</f>
        <v>0</v>
      </c>
      <c r="V686"/>
      <c r="W686"/>
      <c r="X686"/>
      <c r="Y686"/>
      <c r="Z686"/>
      <c r="AA686"/>
      <c r="AB686"/>
      <c r="AC686"/>
      <c r="AD686"/>
      <c r="AE686"/>
      <c r="AF686"/>
      <c r="AG686"/>
      <c r="AH686"/>
      <c r="AI686"/>
      <c r="AJ686"/>
      <c r="AK686"/>
      <c r="AL686"/>
      <c r="AM686"/>
      <c r="AN686"/>
      <c r="AO686"/>
      <c r="AP686"/>
      <c r="AQ686"/>
    </row>
    <row r="687" spans="1:43" s="10" customFormat="1" ht="15.75" customHeight="1" x14ac:dyDescent="0.25">
      <c r="A687" s="55">
        <v>1</v>
      </c>
      <c r="B687" s="56">
        <v>44447</v>
      </c>
      <c r="C687" s="599" t="s">
        <v>1999</v>
      </c>
      <c r="D687" s="477"/>
      <c r="E687" s="58"/>
      <c r="F687" s="53" t="s">
        <v>553</v>
      </c>
      <c r="G687" s="126" t="s">
        <v>2000</v>
      </c>
      <c r="H687" s="45">
        <v>13047000</v>
      </c>
      <c r="I687" s="380" t="s">
        <v>1998</v>
      </c>
      <c r="J687" s="301">
        <v>44463</v>
      </c>
      <c r="K687" s="460">
        <f t="shared" ref="K687:K707" si="124">H687</f>
        <v>13047000</v>
      </c>
      <c r="L687" s="460"/>
      <c r="M687" s="459"/>
      <c r="N687" s="28">
        <f>K687*1%</f>
        <v>130470</v>
      </c>
      <c r="O687" s="28">
        <f>K687*2%</f>
        <v>260940</v>
      </c>
      <c r="P687" s="459">
        <v>12916530</v>
      </c>
      <c r="Q687" s="28">
        <f t="shared" ref="Q687:Q745" si="125">K687-L687-M687-O687-P687+N687</f>
        <v>0</v>
      </c>
      <c r="R687" s="199"/>
      <c r="S687" s="197">
        <v>44487</v>
      </c>
      <c r="T687" s="2">
        <v>14</v>
      </c>
      <c r="U687" s="24">
        <f t="shared" si="123"/>
        <v>44477</v>
      </c>
      <c r="V687"/>
      <c r="W687"/>
      <c r="X687"/>
      <c r="Y687"/>
      <c r="Z687"/>
      <c r="AA687"/>
      <c r="AB687"/>
      <c r="AC687"/>
      <c r="AD687"/>
      <c r="AE687"/>
      <c r="AF687"/>
      <c r="AG687"/>
      <c r="AH687"/>
      <c r="AI687"/>
      <c r="AJ687"/>
      <c r="AK687"/>
      <c r="AL687"/>
      <c r="AM687"/>
      <c r="AN687"/>
      <c r="AO687"/>
      <c r="AP687"/>
      <c r="AQ687"/>
    </row>
    <row r="688" spans="1:43" s="10" customFormat="1" ht="15.75" customHeight="1" x14ac:dyDescent="0.25">
      <c r="A688" s="55">
        <f t="shared" ref="A688:A750" si="126">A687+1</f>
        <v>2</v>
      </c>
      <c r="B688" s="56">
        <v>44455</v>
      </c>
      <c r="C688" s="58" t="s">
        <v>1954</v>
      </c>
      <c r="D688" s="58"/>
      <c r="E688" s="330" t="s">
        <v>2900</v>
      </c>
      <c r="F688" s="123" t="s">
        <v>2694</v>
      </c>
      <c r="G688" s="126" t="s">
        <v>1953</v>
      </c>
      <c r="H688" s="45">
        <v>1500000</v>
      </c>
      <c r="I688" s="377" t="s">
        <v>2001</v>
      </c>
      <c r="J688" s="301">
        <v>44466</v>
      </c>
      <c r="K688" s="460">
        <f t="shared" si="124"/>
        <v>1500000</v>
      </c>
      <c r="L688" s="460"/>
      <c r="M688" s="459">
        <v>26513</v>
      </c>
      <c r="N688" s="28">
        <f t="shared" ref="N688:N694" si="127">K688*1%</f>
        <v>15000</v>
      </c>
      <c r="O688" s="28">
        <f t="shared" ref="O688:O694" si="128">K688*2%</f>
        <v>30000</v>
      </c>
      <c r="P688" s="459">
        <v>1458487</v>
      </c>
      <c r="Q688" s="28">
        <f t="shared" si="125"/>
        <v>0</v>
      </c>
      <c r="R688" s="743"/>
      <c r="S688" s="474">
        <v>44503</v>
      </c>
      <c r="T688" s="199">
        <v>14</v>
      </c>
      <c r="U688" s="24">
        <f t="shared" si="123"/>
        <v>44480</v>
      </c>
      <c r="V688"/>
      <c r="W688"/>
      <c r="X688"/>
      <c r="Y688"/>
      <c r="Z688"/>
      <c r="AA688"/>
      <c r="AB688"/>
      <c r="AC688"/>
      <c r="AD688"/>
      <c r="AE688"/>
      <c r="AF688"/>
      <c r="AG688"/>
      <c r="AH688"/>
      <c r="AI688"/>
      <c r="AJ688"/>
      <c r="AK688"/>
      <c r="AL688"/>
      <c r="AM688"/>
      <c r="AN688"/>
      <c r="AO688"/>
      <c r="AP688"/>
      <c r="AQ688"/>
    </row>
    <row r="689" spans="1:43" s="10" customFormat="1" ht="15.75" customHeight="1" x14ac:dyDescent="0.25">
      <c r="A689" s="55">
        <f t="shared" si="126"/>
        <v>3</v>
      </c>
      <c r="B689" s="56">
        <v>44448</v>
      </c>
      <c r="C689" s="58" t="s">
        <v>2003</v>
      </c>
      <c r="D689" s="58"/>
      <c r="E689" s="58" t="s">
        <v>2006</v>
      </c>
      <c r="F689" s="123" t="s">
        <v>2694</v>
      </c>
      <c r="G689" s="126" t="s">
        <v>417</v>
      </c>
      <c r="H689" s="45">
        <v>1800000</v>
      </c>
      <c r="I689" s="377" t="s">
        <v>2002</v>
      </c>
      <c r="J689" s="301">
        <v>44467</v>
      </c>
      <c r="K689" s="460">
        <f t="shared" si="124"/>
        <v>1800000</v>
      </c>
      <c r="L689" s="460"/>
      <c r="M689" s="459">
        <v>32124</v>
      </c>
      <c r="N689" s="28">
        <f t="shared" si="127"/>
        <v>18000</v>
      </c>
      <c r="O689" s="28">
        <f t="shared" si="128"/>
        <v>36000</v>
      </c>
      <c r="P689" s="459">
        <v>1749876</v>
      </c>
      <c r="Q689" s="28">
        <f t="shared" si="125"/>
        <v>0</v>
      </c>
      <c r="R689" s="743"/>
      <c r="S689" s="474">
        <v>44503</v>
      </c>
      <c r="T689" s="199">
        <v>14</v>
      </c>
      <c r="U689" s="24">
        <f t="shared" si="123"/>
        <v>44481</v>
      </c>
      <c r="V689"/>
      <c r="W689"/>
      <c r="X689"/>
      <c r="Y689"/>
      <c r="Z689"/>
      <c r="AA689"/>
      <c r="AB689"/>
      <c r="AC689"/>
      <c r="AD689"/>
      <c r="AE689"/>
      <c r="AF689"/>
      <c r="AG689"/>
      <c r="AH689"/>
      <c r="AI689"/>
      <c r="AJ689"/>
      <c r="AK689"/>
      <c r="AL689"/>
      <c r="AM689"/>
      <c r="AN689"/>
      <c r="AO689"/>
      <c r="AP689"/>
      <c r="AQ689"/>
    </row>
    <row r="690" spans="1:43" s="10" customFormat="1" ht="15.75" customHeight="1" x14ac:dyDescent="0.25">
      <c r="A690" s="55">
        <f t="shared" si="126"/>
        <v>4</v>
      </c>
      <c r="B690" s="79">
        <v>44453</v>
      </c>
      <c r="C690" s="330" t="s">
        <v>2008</v>
      </c>
      <c r="D690" s="330"/>
      <c r="E690" s="330" t="s">
        <v>2007</v>
      </c>
      <c r="F690" s="123" t="s">
        <v>2694</v>
      </c>
      <c r="G690" s="126" t="s">
        <v>2005</v>
      </c>
      <c r="H690" s="45">
        <v>1000000</v>
      </c>
      <c r="I690" s="377" t="s">
        <v>2004</v>
      </c>
      <c r="J690" s="301">
        <v>44467</v>
      </c>
      <c r="K690" s="460">
        <f t="shared" si="124"/>
        <v>1000000</v>
      </c>
      <c r="L690" s="460"/>
      <c r="M690" s="460">
        <f>K690*1.7675%</f>
        <v>17675</v>
      </c>
      <c r="N690" s="28">
        <f t="shared" si="127"/>
        <v>10000</v>
      </c>
      <c r="O690" s="28">
        <f t="shared" si="128"/>
        <v>20000</v>
      </c>
      <c r="P690" s="460">
        <v>972325</v>
      </c>
      <c r="Q690" s="28">
        <f t="shared" si="125"/>
        <v>0</v>
      </c>
      <c r="R690" s="743"/>
      <c r="S690" s="474">
        <v>44503</v>
      </c>
      <c r="T690" s="199">
        <v>14</v>
      </c>
      <c r="U690" s="24">
        <f t="shared" si="123"/>
        <v>44481</v>
      </c>
      <c r="V690"/>
      <c r="W690"/>
      <c r="X690"/>
      <c r="Y690"/>
      <c r="Z690"/>
      <c r="AA690"/>
      <c r="AB690"/>
      <c r="AC690"/>
      <c r="AD690"/>
      <c r="AE690"/>
      <c r="AF690"/>
      <c r="AG690"/>
      <c r="AH690"/>
      <c r="AI690"/>
      <c r="AJ690"/>
      <c r="AK690"/>
      <c r="AL690"/>
      <c r="AM690"/>
      <c r="AN690"/>
      <c r="AO690"/>
      <c r="AP690"/>
      <c r="AQ690"/>
    </row>
    <row r="691" spans="1:43" s="10" customFormat="1" ht="15.75" customHeight="1" x14ac:dyDescent="0.25">
      <c r="A691" s="55">
        <f t="shared" si="126"/>
        <v>5</v>
      </c>
      <c r="B691" s="56">
        <v>44452</v>
      </c>
      <c r="C691" s="58" t="s">
        <v>2011</v>
      </c>
      <c r="D691" s="58"/>
      <c r="E691" s="330" t="s">
        <v>2901</v>
      </c>
      <c r="F691" s="123" t="s">
        <v>2694</v>
      </c>
      <c r="G691" s="126" t="s">
        <v>2010</v>
      </c>
      <c r="H691" s="63">
        <v>982500</v>
      </c>
      <c r="I691" s="380" t="s">
        <v>2009</v>
      </c>
      <c r="J691" s="301">
        <v>44467</v>
      </c>
      <c r="K691" s="460">
        <f t="shared" si="124"/>
        <v>982500</v>
      </c>
      <c r="L691" s="460"/>
      <c r="M691" s="459">
        <v>522</v>
      </c>
      <c r="N691" s="28">
        <f t="shared" si="127"/>
        <v>9825</v>
      </c>
      <c r="O691" s="28">
        <f t="shared" si="128"/>
        <v>19650</v>
      </c>
      <c r="P691" s="459">
        <v>972153</v>
      </c>
      <c r="Q691" s="28">
        <f t="shared" si="125"/>
        <v>0</v>
      </c>
      <c r="R691" s="743"/>
      <c r="S691" s="474">
        <v>44503</v>
      </c>
      <c r="T691" s="199">
        <v>14</v>
      </c>
      <c r="U691" s="24">
        <f t="shared" si="123"/>
        <v>44481</v>
      </c>
      <c r="V691"/>
      <c r="W691"/>
      <c r="X691"/>
      <c r="Y691"/>
      <c r="Z691"/>
      <c r="AA691"/>
      <c r="AB691"/>
      <c r="AC691"/>
      <c r="AD691"/>
      <c r="AE691"/>
      <c r="AF691"/>
      <c r="AG691"/>
      <c r="AH691"/>
      <c r="AI691"/>
      <c r="AJ691"/>
      <c r="AK691"/>
      <c r="AL691"/>
      <c r="AM691"/>
      <c r="AN691"/>
      <c r="AO691"/>
      <c r="AP691"/>
      <c r="AQ691"/>
    </row>
    <row r="692" spans="1:43" s="10" customFormat="1" ht="15.75" customHeight="1" x14ac:dyDescent="0.25">
      <c r="A692" s="55">
        <f t="shared" si="126"/>
        <v>6</v>
      </c>
      <c r="B692" s="56">
        <v>44452</v>
      </c>
      <c r="C692" s="58" t="s">
        <v>2013</v>
      </c>
      <c r="D692" s="58"/>
      <c r="E692" s="58" t="s">
        <v>2424</v>
      </c>
      <c r="F692" s="123" t="s">
        <v>2694</v>
      </c>
      <c r="G692" s="126" t="s">
        <v>147</v>
      </c>
      <c r="H692" s="45">
        <v>1000000</v>
      </c>
      <c r="I692" s="380" t="s">
        <v>2012</v>
      </c>
      <c r="J692" s="301">
        <v>44468</v>
      </c>
      <c r="K692" s="460">
        <f t="shared" si="124"/>
        <v>1000000</v>
      </c>
      <c r="L692" s="460"/>
      <c r="M692" s="459">
        <v>17675</v>
      </c>
      <c r="N692" s="28">
        <f t="shared" si="127"/>
        <v>10000</v>
      </c>
      <c r="O692" s="28">
        <f t="shared" si="128"/>
        <v>20000</v>
      </c>
      <c r="P692" s="459">
        <v>972325</v>
      </c>
      <c r="Q692" s="28">
        <f t="shared" si="125"/>
        <v>0</v>
      </c>
      <c r="R692" s="743"/>
      <c r="S692" s="474">
        <v>44496</v>
      </c>
      <c r="T692" s="199">
        <v>14</v>
      </c>
      <c r="U692" s="24">
        <f t="shared" si="123"/>
        <v>44482</v>
      </c>
      <c r="V692"/>
      <c r="W692"/>
      <c r="X692"/>
      <c r="Y692"/>
      <c r="Z692"/>
      <c r="AA692"/>
      <c r="AB692"/>
      <c r="AC692"/>
      <c r="AD692"/>
      <c r="AE692"/>
      <c r="AF692"/>
      <c r="AG692"/>
      <c r="AH692"/>
      <c r="AI692"/>
      <c r="AJ692"/>
      <c r="AK692"/>
      <c r="AL692"/>
      <c r="AM692"/>
      <c r="AN692"/>
      <c r="AO692"/>
      <c r="AP692"/>
      <c r="AQ692"/>
    </row>
    <row r="693" spans="1:43" s="10" customFormat="1" ht="15.75" customHeight="1" x14ac:dyDescent="0.25">
      <c r="A693" s="55">
        <f t="shared" si="126"/>
        <v>7</v>
      </c>
      <c r="B693" s="56">
        <v>44447</v>
      </c>
      <c r="C693" s="58" t="s">
        <v>2016</v>
      </c>
      <c r="D693" s="58"/>
      <c r="E693" s="58" t="s">
        <v>2425</v>
      </c>
      <c r="F693" s="123" t="s">
        <v>2694</v>
      </c>
      <c r="G693" s="126" t="s">
        <v>2015</v>
      </c>
      <c r="H693" s="45">
        <v>900000</v>
      </c>
      <c r="I693" s="380" t="s">
        <v>2014</v>
      </c>
      <c r="J693" s="301">
        <v>44468</v>
      </c>
      <c r="K693" s="460">
        <f t="shared" si="124"/>
        <v>900000</v>
      </c>
      <c r="L693" s="460"/>
      <c r="M693" s="459">
        <v>15908</v>
      </c>
      <c r="N693" s="28">
        <f t="shared" si="127"/>
        <v>9000</v>
      </c>
      <c r="O693" s="28">
        <f t="shared" si="128"/>
        <v>18000</v>
      </c>
      <c r="P693" s="459">
        <v>875092</v>
      </c>
      <c r="Q693" s="28">
        <f t="shared" si="125"/>
        <v>0</v>
      </c>
      <c r="R693" s="743"/>
      <c r="S693" s="474">
        <v>44496</v>
      </c>
      <c r="T693" s="199">
        <v>14</v>
      </c>
      <c r="U693" s="24">
        <f t="shared" si="123"/>
        <v>44482</v>
      </c>
      <c r="V693"/>
      <c r="W693"/>
      <c r="X693"/>
      <c r="Y693"/>
      <c r="Z693"/>
      <c r="AA693"/>
      <c r="AB693"/>
      <c r="AC693"/>
      <c r="AD693"/>
      <c r="AE693"/>
      <c r="AF693"/>
      <c r="AG693"/>
      <c r="AH693"/>
      <c r="AI693"/>
      <c r="AJ693"/>
      <c r="AK693"/>
      <c r="AL693"/>
      <c r="AM693"/>
      <c r="AN693"/>
      <c r="AO693"/>
      <c r="AP693"/>
      <c r="AQ693"/>
    </row>
    <row r="694" spans="1:43" s="10" customFormat="1" ht="15.75" customHeight="1" x14ac:dyDescent="0.25">
      <c r="A694" s="55">
        <f t="shared" si="126"/>
        <v>8</v>
      </c>
      <c r="B694" s="56">
        <v>44445</v>
      </c>
      <c r="C694" s="58" t="s">
        <v>2020</v>
      </c>
      <c r="D694" s="58"/>
      <c r="E694" s="58" t="s">
        <v>2019</v>
      </c>
      <c r="F694" s="123" t="s">
        <v>2694</v>
      </c>
      <c r="G694" s="126" t="s">
        <v>2018</v>
      </c>
      <c r="H694" s="45">
        <v>1800000</v>
      </c>
      <c r="I694" s="380" t="s">
        <v>2017</v>
      </c>
      <c r="J694" s="301">
        <v>44468</v>
      </c>
      <c r="K694" s="460">
        <f t="shared" si="124"/>
        <v>1800000</v>
      </c>
      <c r="L694" s="460"/>
      <c r="M694" s="459">
        <v>31815</v>
      </c>
      <c r="N694" s="28">
        <f t="shared" si="127"/>
        <v>18000</v>
      </c>
      <c r="O694" s="28">
        <f t="shared" si="128"/>
        <v>36000</v>
      </c>
      <c r="P694" s="459">
        <v>1750185</v>
      </c>
      <c r="Q694" s="28">
        <f t="shared" si="125"/>
        <v>0</v>
      </c>
      <c r="R694" s="743"/>
      <c r="S694" s="474">
        <v>44496</v>
      </c>
      <c r="T694" s="199">
        <v>14</v>
      </c>
      <c r="U694" s="24">
        <f t="shared" si="123"/>
        <v>44482</v>
      </c>
      <c r="V694"/>
      <c r="W694"/>
      <c r="X694"/>
      <c r="Y694"/>
      <c r="Z694"/>
      <c r="AA694"/>
      <c r="AB694"/>
      <c r="AC694"/>
      <c r="AD694"/>
      <c r="AE694"/>
      <c r="AF694"/>
      <c r="AG694"/>
      <c r="AH694"/>
      <c r="AI694"/>
      <c r="AJ694"/>
      <c r="AK694"/>
      <c r="AL694"/>
      <c r="AM694"/>
      <c r="AN694"/>
      <c r="AO694"/>
      <c r="AP694"/>
      <c r="AQ694"/>
    </row>
    <row r="695" spans="1:43" s="10" customFormat="1" ht="15.75" customHeight="1" x14ac:dyDescent="0.25">
      <c r="A695" s="55">
        <f t="shared" si="126"/>
        <v>9</v>
      </c>
      <c r="B695" s="79">
        <v>44446</v>
      </c>
      <c r="C695" s="330" t="s">
        <v>2031</v>
      </c>
      <c r="D695" s="330"/>
      <c r="E695" s="330" t="s">
        <v>2426</v>
      </c>
      <c r="F695" s="123" t="s">
        <v>2694</v>
      </c>
      <c r="G695" s="126" t="s">
        <v>2030</v>
      </c>
      <c r="H695" s="45">
        <v>950000</v>
      </c>
      <c r="I695" s="377" t="s">
        <v>2029</v>
      </c>
      <c r="J695" s="301">
        <v>44468</v>
      </c>
      <c r="K695" s="460">
        <f t="shared" si="124"/>
        <v>950000</v>
      </c>
      <c r="L695" s="460"/>
      <c r="M695" s="460">
        <v>16791</v>
      </c>
      <c r="N695" s="28">
        <f>(K695-M6951)*1%</f>
        <v>9500</v>
      </c>
      <c r="O695" s="28">
        <f>K695*2%</f>
        <v>19000</v>
      </c>
      <c r="P695" s="460">
        <v>923709</v>
      </c>
      <c r="Q695" s="28">
        <f t="shared" si="125"/>
        <v>0</v>
      </c>
      <c r="R695" s="743"/>
      <c r="S695" s="474">
        <v>44496</v>
      </c>
      <c r="T695" s="199">
        <v>14</v>
      </c>
      <c r="U695" s="24">
        <f t="shared" si="123"/>
        <v>44482</v>
      </c>
      <c r="V695"/>
      <c r="W695"/>
      <c r="X695"/>
      <c r="Y695"/>
      <c r="Z695"/>
      <c r="AA695"/>
      <c r="AB695"/>
      <c r="AC695"/>
      <c r="AD695"/>
      <c r="AE695"/>
      <c r="AF695"/>
      <c r="AG695"/>
      <c r="AH695"/>
      <c r="AI695"/>
      <c r="AJ695"/>
      <c r="AK695"/>
      <c r="AL695"/>
      <c r="AM695"/>
      <c r="AN695"/>
      <c r="AO695"/>
      <c r="AP695"/>
      <c r="AQ695"/>
    </row>
    <row r="696" spans="1:43" s="10" customFormat="1" ht="15.75" customHeight="1" x14ac:dyDescent="0.25">
      <c r="A696" s="55">
        <f t="shared" si="126"/>
        <v>10</v>
      </c>
      <c r="B696" s="56">
        <v>44446</v>
      </c>
      <c r="C696" s="58" t="s">
        <v>2041</v>
      </c>
      <c r="D696" s="58"/>
      <c r="E696" s="58" t="s">
        <v>2428</v>
      </c>
      <c r="F696" s="123" t="s">
        <v>2694</v>
      </c>
      <c r="G696" s="126" t="s">
        <v>467</v>
      </c>
      <c r="H696" s="45">
        <v>7000000</v>
      </c>
      <c r="I696" s="380" t="s">
        <v>2040</v>
      </c>
      <c r="J696" s="301">
        <v>44470</v>
      </c>
      <c r="K696" s="460">
        <f t="shared" si="124"/>
        <v>7000000</v>
      </c>
      <c r="L696" s="460">
        <v>3412500</v>
      </c>
      <c r="M696" s="459">
        <v>176750</v>
      </c>
      <c r="N696" s="28">
        <f>K696*1%</f>
        <v>70000</v>
      </c>
      <c r="O696" s="28">
        <f>K696*2%</f>
        <v>140000</v>
      </c>
      <c r="P696" s="459">
        <v>3340750</v>
      </c>
      <c r="Q696" s="28">
        <f t="shared" si="125"/>
        <v>0</v>
      </c>
      <c r="R696" s="474">
        <v>44468</v>
      </c>
      <c r="S696" s="474">
        <v>44480</v>
      </c>
      <c r="T696" s="199">
        <v>14</v>
      </c>
      <c r="U696" s="24">
        <f t="shared" si="123"/>
        <v>44484</v>
      </c>
      <c r="V696"/>
      <c r="W696"/>
      <c r="X696"/>
      <c r="Y696"/>
      <c r="Z696"/>
      <c r="AA696"/>
      <c r="AB696"/>
      <c r="AC696"/>
      <c r="AD696"/>
      <c r="AE696"/>
      <c r="AF696"/>
      <c r="AG696"/>
      <c r="AH696"/>
      <c r="AI696"/>
      <c r="AJ696"/>
      <c r="AK696"/>
      <c r="AL696"/>
      <c r="AM696"/>
      <c r="AN696"/>
      <c r="AO696"/>
      <c r="AP696"/>
      <c r="AQ696"/>
    </row>
    <row r="697" spans="1:43" s="10" customFormat="1" ht="15.75" customHeight="1" x14ac:dyDescent="0.25">
      <c r="A697" s="55">
        <f t="shared" si="126"/>
        <v>11</v>
      </c>
      <c r="B697" s="56">
        <v>44455</v>
      </c>
      <c r="C697" s="58"/>
      <c r="D697" s="58"/>
      <c r="E697" s="58"/>
      <c r="F697" s="123" t="s">
        <v>2072</v>
      </c>
      <c r="G697" s="126" t="s">
        <v>190</v>
      </c>
      <c r="H697" s="45">
        <v>191629825</v>
      </c>
      <c r="I697" s="380" t="s">
        <v>2073</v>
      </c>
      <c r="J697" s="301">
        <v>44470</v>
      </c>
      <c r="K697" s="460">
        <v>191629825</v>
      </c>
      <c r="L697" s="460"/>
      <c r="M697" s="459">
        <v>3484179</v>
      </c>
      <c r="N697" s="28">
        <f>H697*1%</f>
        <v>1916298.25</v>
      </c>
      <c r="O697" s="28">
        <f>K697*2%</f>
        <v>3832596.5</v>
      </c>
      <c r="P697" s="459">
        <v>186229348</v>
      </c>
      <c r="Q697" s="28">
        <f t="shared" si="125"/>
        <v>-0.25</v>
      </c>
      <c r="R697" s="199"/>
      <c r="S697" s="197">
        <v>44485</v>
      </c>
      <c r="T697" s="199">
        <v>30</v>
      </c>
      <c r="U697" s="24">
        <f t="shared" si="123"/>
        <v>44500</v>
      </c>
      <c r="V697"/>
      <c r="W697"/>
      <c r="X697"/>
      <c r="Y697"/>
      <c r="Z697"/>
      <c r="AA697"/>
      <c r="AB697"/>
      <c r="AC697"/>
      <c r="AD697"/>
      <c r="AE697"/>
      <c r="AF697"/>
      <c r="AG697"/>
      <c r="AH697"/>
      <c r="AI697"/>
      <c r="AJ697"/>
      <c r="AK697"/>
      <c r="AL697"/>
      <c r="AM697"/>
      <c r="AN697"/>
      <c r="AO697"/>
      <c r="AP697"/>
      <c r="AQ697"/>
    </row>
    <row r="698" spans="1:43" s="10" customFormat="1" ht="15.75" customHeight="1" x14ac:dyDescent="0.25">
      <c r="A698" s="55">
        <f t="shared" si="126"/>
        <v>12</v>
      </c>
      <c r="B698" s="56">
        <v>44468</v>
      </c>
      <c r="C698" s="58"/>
      <c r="D698" s="58"/>
      <c r="E698" s="58" t="s">
        <v>2088</v>
      </c>
      <c r="F698" s="69" t="s">
        <v>2457</v>
      </c>
      <c r="G698" s="126" t="s">
        <v>146</v>
      </c>
      <c r="H698" s="45">
        <v>3000000</v>
      </c>
      <c r="I698" s="380" t="s">
        <v>2087</v>
      </c>
      <c r="J698" s="301">
        <v>44473</v>
      </c>
      <c r="K698" s="460">
        <f t="shared" si="124"/>
        <v>3000000</v>
      </c>
      <c r="L698" s="460"/>
      <c r="M698" s="459"/>
      <c r="N698" s="28">
        <f t="shared" ref="N698:N706" si="129">(K698-M6965)*1%</f>
        <v>30000</v>
      </c>
      <c r="O698" s="28">
        <f t="shared" ref="O698:O700" si="130">(K698-M698)*2%</f>
        <v>60000</v>
      </c>
      <c r="P698" s="459">
        <v>2970000</v>
      </c>
      <c r="Q698" s="28">
        <f t="shared" si="125"/>
        <v>0</v>
      </c>
      <c r="R698" s="199"/>
      <c r="S698" s="197">
        <v>44546</v>
      </c>
      <c r="T698" s="2">
        <v>30</v>
      </c>
      <c r="U698" s="24">
        <f t="shared" si="123"/>
        <v>44503</v>
      </c>
      <c r="V698"/>
      <c r="W698"/>
      <c r="X698"/>
      <c r="Y698"/>
      <c r="Z698"/>
      <c r="AA698"/>
      <c r="AB698"/>
      <c r="AC698"/>
      <c r="AD698"/>
      <c r="AE698"/>
      <c r="AF698"/>
      <c r="AG698"/>
      <c r="AH698"/>
      <c r="AI698"/>
      <c r="AJ698"/>
      <c r="AK698"/>
      <c r="AL698"/>
      <c r="AM698"/>
      <c r="AN698"/>
      <c r="AO698"/>
      <c r="AP698"/>
      <c r="AQ698"/>
    </row>
    <row r="699" spans="1:43" s="10" customFormat="1" ht="15.75" customHeight="1" x14ac:dyDescent="0.25">
      <c r="A699" s="55">
        <f t="shared" si="126"/>
        <v>13</v>
      </c>
      <c r="B699" s="56">
        <v>44466</v>
      </c>
      <c r="C699" s="58">
        <v>402502</v>
      </c>
      <c r="D699" s="58"/>
      <c r="E699" s="58"/>
      <c r="F699" s="123" t="s">
        <v>2089</v>
      </c>
      <c r="G699" s="126" t="s">
        <v>2090</v>
      </c>
      <c r="H699" s="45">
        <v>13999999.500000002</v>
      </c>
      <c r="I699" s="380" t="s">
        <v>2091</v>
      </c>
      <c r="J699" s="301">
        <v>44476</v>
      </c>
      <c r="K699" s="460">
        <f t="shared" si="124"/>
        <v>13999999.500000002</v>
      </c>
      <c r="L699" s="460"/>
      <c r="M699" s="459"/>
      <c r="N699" s="28">
        <f t="shared" si="129"/>
        <v>139999.99500000002</v>
      </c>
      <c r="O699" s="28">
        <f t="shared" si="130"/>
        <v>279999.99000000005</v>
      </c>
      <c r="P699" s="459">
        <v>13859999.505000001</v>
      </c>
      <c r="Q699" s="28">
        <f t="shared" si="125"/>
        <v>8.440110832452774E-10</v>
      </c>
      <c r="R699" s="199"/>
      <c r="S699" s="197">
        <v>44512</v>
      </c>
      <c r="T699" s="199">
        <v>14</v>
      </c>
      <c r="U699" s="24">
        <f t="shared" si="123"/>
        <v>44490</v>
      </c>
      <c r="V699" t="s">
        <v>2092</v>
      </c>
      <c r="W699"/>
      <c r="X699"/>
      <c r="Y699"/>
      <c r="Z699"/>
      <c r="AA699"/>
      <c r="AB699"/>
      <c r="AC699"/>
      <c r="AD699"/>
      <c r="AE699"/>
      <c r="AF699"/>
      <c r="AG699"/>
      <c r="AH699"/>
      <c r="AI699"/>
      <c r="AJ699"/>
      <c r="AK699"/>
      <c r="AL699"/>
      <c r="AM699"/>
      <c r="AN699"/>
      <c r="AO699"/>
      <c r="AP699"/>
      <c r="AQ699"/>
    </row>
    <row r="700" spans="1:43" s="10" customFormat="1" ht="15.75" customHeight="1" x14ac:dyDescent="0.25">
      <c r="A700" s="55">
        <f t="shared" si="126"/>
        <v>14</v>
      </c>
      <c r="B700" s="56">
        <v>44462</v>
      </c>
      <c r="C700" s="58" t="s">
        <v>2100</v>
      </c>
      <c r="D700" s="58"/>
      <c r="E700" s="58"/>
      <c r="F700" s="123" t="s">
        <v>1397</v>
      </c>
      <c r="G700" s="126" t="s">
        <v>702</v>
      </c>
      <c r="H700" s="45">
        <v>3600000</v>
      </c>
      <c r="I700" s="380" t="s">
        <v>2101</v>
      </c>
      <c r="J700" s="301">
        <v>44477</v>
      </c>
      <c r="K700" s="460">
        <f t="shared" si="124"/>
        <v>3600000</v>
      </c>
      <c r="L700" s="460"/>
      <c r="M700" s="459"/>
      <c r="N700" s="28">
        <f t="shared" si="129"/>
        <v>36000</v>
      </c>
      <c r="O700" s="28">
        <f t="shared" si="130"/>
        <v>72000</v>
      </c>
      <c r="P700" s="459">
        <v>3564000</v>
      </c>
      <c r="Q700" s="28">
        <f t="shared" si="125"/>
        <v>0</v>
      </c>
      <c r="R700" s="199"/>
      <c r="S700" s="225">
        <v>44495</v>
      </c>
      <c r="T700" s="199">
        <v>14</v>
      </c>
      <c r="U700" s="24">
        <f t="shared" si="123"/>
        <v>44491</v>
      </c>
      <c r="V700"/>
      <c r="W700"/>
      <c r="X700"/>
      <c r="Y700"/>
      <c r="Z700"/>
      <c r="AA700"/>
      <c r="AB700"/>
      <c r="AC700"/>
      <c r="AD700"/>
      <c r="AE700"/>
      <c r="AF700"/>
      <c r="AG700"/>
      <c r="AH700"/>
      <c r="AI700"/>
      <c r="AJ700"/>
      <c r="AK700"/>
      <c r="AL700"/>
      <c r="AM700"/>
      <c r="AN700"/>
      <c r="AO700"/>
      <c r="AP700"/>
      <c r="AQ700"/>
    </row>
    <row r="701" spans="1:43" s="10" customFormat="1" ht="15.75" customHeight="1" x14ac:dyDescent="0.25">
      <c r="A701" s="55">
        <f t="shared" si="126"/>
        <v>15</v>
      </c>
      <c r="B701" s="56">
        <v>44449</v>
      </c>
      <c r="C701" s="58" t="s">
        <v>2108</v>
      </c>
      <c r="D701" s="58"/>
      <c r="E701" s="58" t="s">
        <v>2107</v>
      </c>
      <c r="F701" s="123" t="s">
        <v>2694</v>
      </c>
      <c r="G701" s="126" t="s">
        <v>2106</v>
      </c>
      <c r="H701" s="45">
        <v>1500000</v>
      </c>
      <c r="I701" s="380" t="s">
        <v>2105</v>
      </c>
      <c r="J701" s="301">
        <v>44482</v>
      </c>
      <c r="K701" s="460">
        <f t="shared" si="124"/>
        <v>1500000</v>
      </c>
      <c r="L701" s="460"/>
      <c r="M701" s="459">
        <v>26513</v>
      </c>
      <c r="N701" s="28">
        <f t="shared" si="129"/>
        <v>15000</v>
      </c>
      <c r="O701" s="28">
        <f t="shared" ref="O701:O712" si="131">K701*2%</f>
        <v>30000</v>
      </c>
      <c r="P701" s="459">
        <v>1458487</v>
      </c>
      <c r="Q701" s="28">
        <f t="shared" si="125"/>
        <v>0</v>
      </c>
      <c r="R701" s="743"/>
      <c r="S701" s="474">
        <v>44496</v>
      </c>
      <c r="T701" s="199">
        <v>14</v>
      </c>
      <c r="U701" s="24">
        <f t="shared" si="123"/>
        <v>44496</v>
      </c>
      <c r="V701"/>
      <c r="W701"/>
      <c r="X701"/>
      <c r="Y701"/>
      <c r="Z701"/>
      <c r="AA701"/>
      <c r="AB701"/>
      <c r="AC701"/>
      <c r="AD701"/>
      <c r="AE701"/>
      <c r="AF701"/>
      <c r="AG701"/>
      <c r="AH701"/>
      <c r="AI701"/>
      <c r="AJ701"/>
      <c r="AK701"/>
      <c r="AL701"/>
      <c r="AM701"/>
      <c r="AN701"/>
      <c r="AO701"/>
      <c r="AP701"/>
      <c r="AQ701"/>
    </row>
    <row r="702" spans="1:43" s="10" customFormat="1" ht="15.75" customHeight="1" x14ac:dyDescent="0.25">
      <c r="A702" s="55">
        <f t="shared" si="126"/>
        <v>16</v>
      </c>
      <c r="B702" s="56">
        <v>44454</v>
      </c>
      <c r="C702" s="58" t="s">
        <v>2110</v>
      </c>
      <c r="D702" s="58"/>
      <c r="E702" s="58" t="s">
        <v>3148</v>
      </c>
      <c r="F702" s="123" t="s">
        <v>2694</v>
      </c>
      <c r="G702" s="126" t="s">
        <v>32</v>
      </c>
      <c r="H702" s="45">
        <v>1050000</v>
      </c>
      <c r="I702" s="380" t="s">
        <v>2109</v>
      </c>
      <c r="J702" s="301">
        <v>44482</v>
      </c>
      <c r="K702" s="460">
        <f t="shared" si="124"/>
        <v>1050000</v>
      </c>
      <c r="L702" s="460"/>
      <c r="M702" s="459">
        <v>18559</v>
      </c>
      <c r="N702" s="28">
        <f t="shared" si="129"/>
        <v>10500</v>
      </c>
      <c r="O702" s="28">
        <f t="shared" si="131"/>
        <v>21000</v>
      </c>
      <c r="P702" s="459">
        <v>1020941</v>
      </c>
      <c r="Q702" s="28">
        <f t="shared" si="125"/>
        <v>0</v>
      </c>
      <c r="R702" s="743"/>
      <c r="S702" s="474">
        <v>44496</v>
      </c>
      <c r="T702" s="199">
        <v>14</v>
      </c>
      <c r="U702" s="24">
        <f t="shared" si="123"/>
        <v>44496</v>
      </c>
      <c r="V702"/>
      <c r="W702"/>
      <c r="X702"/>
      <c r="Y702"/>
      <c r="Z702"/>
      <c r="AA702"/>
      <c r="AB702"/>
      <c r="AC702"/>
      <c r="AD702"/>
      <c r="AE702"/>
      <c r="AF702"/>
      <c r="AG702"/>
      <c r="AH702"/>
      <c r="AI702"/>
      <c r="AJ702"/>
      <c r="AK702"/>
      <c r="AL702"/>
      <c r="AM702"/>
      <c r="AN702"/>
      <c r="AO702"/>
      <c r="AP702"/>
      <c r="AQ702"/>
    </row>
    <row r="703" spans="1:43" s="10" customFormat="1" ht="15" customHeight="1" x14ac:dyDescent="0.25">
      <c r="A703" s="55">
        <f t="shared" si="126"/>
        <v>17</v>
      </c>
      <c r="B703" s="56">
        <v>44468</v>
      </c>
      <c r="C703" s="58" t="s">
        <v>2111</v>
      </c>
      <c r="D703" s="58"/>
      <c r="E703" s="58" t="s">
        <v>2112</v>
      </c>
      <c r="F703" s="123" t="s">
        <v>2694</v>
      </c>
      <c r="G703" s="126" t="s">
        <v>2113</v>
      </c>
      <c r="H703" s="45">
        <v>700000</v>
      </c>
      <c r="I703" s="380" t="s">
        <v>2114</v>
      </c>
      <c r="J703" s="301">
        <v>44482</v>
      </c>
      <c r="K703" s="460">
        <f t="shared" si="124"/>
        <v>700000</v>
      </c>
      <c r="L703" s="460"/>
      <c r="M703" s="459">
        <v>12372</v>
      </c>
      <c r="N703" s="28">
        <f t="shared" si="129"/>
        <v>7000</v>
      </c>
      <c r="O703" s="28">
        <f t="shared" si="131"/>
        <v>14000</v>
      </c>
      <c r="P703" s="459">
        <v>680628</v>
      </c>
      <c r="Q703" s="28">
        <f t="shared" si="125"/>
        <v>0</v>
      </c>
      <c r="R703" s="743"/>
      <c r="S703" s="474">
        <v>44496</v>
      </c>
      <c r="T703" s="199">
        <v>14</v>
      </c>
      <c r="U703" s="24">
        <f t="shared" si="123"/>
        <v>44496</v>
      </c>
      <c r="V703"/>
      <c r="W703"/>
      <c r="X703"/>
      <c r="Y703"/>
      <c r="Z703"/>
      <c r="AA703"/>
      <c r="AB703"/>
      <c r="AC703"/>
      <c r="AD703"/>
      <c r="AE703"/>
      <c r="AF703"/>
      <c r="AG703"/>
      <c r="AH703"/>
      <c r="AI703"/>
      <c r="AJ703"/>
      <c r="AK703"/>
      <c r="AL703"/>
      <c r="AM703"/>
      <c r="AN703"/>
      <c r="AO703"/>
      <c r="AP703"/>
      <c r="AQ703"/>
    </row>
    <row r="704" spans="1:43" s="10" customFormat="1" ht="15.75" customHeight="1" x14ac:dyDescent="0.25">
      <c r="A704" s="55">
        <f t="shared" si="126"/>
        <v>18</v>
      </c>
      <c r="B704" s="56">
        <v>44460</v>
      </c>
      <c r="C704" s="58" t="s">
        <v>2116</v>
      </c>
      <c r="D704" s="58"/>
      <c r="E704" s="58" t="s">
        <v>3151</v>
      </c>
      <c r="F704" s="123" t="s">
        <v>2694</v>
      </c>
      <c r="G704" s="126" t="s">
        <v>2025</v>
      </c>
      <c r="H704" s="45">
        <v>1700000</v>
      </c>
      <c r="I704" s="380" t="s">
        <v>2115</v>
      </c>
      <c r="J704" s="301">
        <v>44482</v>
      </c>
      <c r="K704" s="460">
        <f t="shared" si="124"/>
        <v>1700000</v>
      </c>
      <c r="L704" s="460"/>
      <c r="M704" s="486">
        <v>297</v>
      </c>
      <c r="N704" s="28">
        <f t="shared" si="129"/>
        <v>17000</v>
      </c>
      <c r="O704" s="28">
        <f t="shared" si="131"/>
        <v>34000</v>
      </c>
      <c r="P704" s="459">
        <v>1682703</v>
      </c>
      <c r="Q704" s="28">
        <f t="shared" si="125"/>
        <v>0</v>
      </c>
      <c r="R704" s="743"/>
      <c r="S704" s="474">
        <v>44496</v>
      </c>
      <c r="T704" s="199">
        <v>14</v>
      </c>
      <c r="U704" s="24">
        <f t="shared" si="123"/>
        <v>44496</v>
      </c>
      <c r="V704"/>
      <c r="W704"/>
      <c r="X704"/>
      <c r="Y704"/>
      <c r="Z704"/>
      <c r="AA704"/>
      <c r="AB704"/>
      <c r="AC704"/>
      <c r="AD704"/>
      <c r="AE704"/>
      <c r="AF704"/>
      <c r="AG704"/>
      <c r="AH704"/>
      <c r="AI704"/>
      <c r="AJ704"/>
      <c r="AK704"/>
      <c r="AL704"/>
      <c r="AM704"/>
      <c r="AN704"/>
      <c r="AO704"/>
      <c r="AP704"/>
      <c r="AQ704"/>
    </row>
    <row r="705" spans="1:43" s="10" customFormat="1" ht="15.75" customHeight="1" x14ac:dyDescent="0.25">
      <c r="A705" s="55">
        <f t="shared" si="126"/>
        <v>19</v>
      </c>
      <c r="B705" s="56">
        <v>44469</v>
      </c>
      <c r="C705" s="58" t="s">
        <v>2119</v>
      </c>
      <c r="D705" s="58"/>
      <c r="E705" s="58" t="s">
        <v>2118</v>
      </c>
      <c r="F705" s="123" t="s">
        <v>2694</v>
      </c>
      <c r="G705" s="126" t="s">
        <v>2120</v>
      </c>
      <c r="H705" s="45">
        <v>1100000</v>
      </c>
      <c r="I705" s="380" t="s">
        <v>2117</v>
      </c>
      <c r="J705" s="301">
        <v>44482</v>
      </c>
      <c r="K705" s="460">
        <f t="shared" si="124"/>
        <v>1100000</v>
      </c>
      <c r="L705" s="460"/>
      <c r="M705" s="459">
        <v>19442</v>
      </c>
      <c r="N705" s="28">
        <f t="shared" si="129"/>
        <v>11000</v>
      </c>
      <c r="O705" s="28">
        <f t="shared" si="131"/>
        <v>22000</v>
      </c>
      <c r="P705" s="459">
        <v>1069558</v>
      </c>
      <c r="Q705" s="28">
        <f t="shared" si="125"/>
        <v>0</v>
      </c>
      <c r="R705" s="743"/>
      <c r="S705" s="474">
        <v>44496</v>
      </c>
      <c r="T705" s="199">
        <v>14</v>
      </c>
      <c r="U705" s="24">
        <f t="shared" si="123"/>
        <v>44496</v>
      </c>
      <c r="V705"/>
      <c r="W705"/>
      <c r="X705"/>
      <c r="Y705"/>
      <c r="Z705"/>
      <c r="AA705"/>
      <c r="AB705"/>
      <c r="AC705"/>
      <c r="AD705"/>
      <c r="AE705"/>
      <c r="AF705"/>
      <c r="AG705"/>
      <c r="AH705"/>
      <c r="AI705"/>
      <c r="AJ705"/>
      <c r="AK705"/>
      <c r="AL705"/>
      <c r="AM705"/>
      <c r="AN705"/>
      <c r="AO705"/>
      <c r="AP705"/>
      <c r="AQ705"/>
    </row>
    <row r="706" spans="1:43" s="10" customFormat="1" ht="15.75" customHeight="1" x14ac:dyDescent="0.25">
      <c r="A706" s="55">
        <f t="shared" si="126"/>
        <v>20</v>
      </c>
      <c r="B706" s="56">
        <v>44468</v>
      </c>
      <c r="C706" s="58" t="s">
        <v>2123</v>
      </c>
      <c r="D706" s="58"/>
      <c r="E706" s="58" t="s">
        <v>2122</v>
      </c>
      <c r="F706" s="123" t="s">
        <v>2694</v>
      </c>
      <c r="G706" s="126" t="s">
        <v>2030</v>
      </c>
      <c r="H706" s="45">
        <v>1200000</v>
      </c>
      <c r="I706" s="380" t="s">
        <v>2121</v>
      </c>
      <c r="J706" s="301">
        <v>44482</v>
      </c>
      <c r="K706" s="460">
        <f t="shared" si="124"/>
        <v>1200000</v>
      </c>
      <c r="L706" s="460"/>
      <c r="M706" s="459">
        <v>21210</v>
      </c>
      <c r="N706" s="28">
        <f t="shared" si="129"/>
        <v>12000</v>
      </c>
      <c r="O706" s="28">
        <f t="shared" si="131"/>
        <v>24000</v>
      </c>
      <c r="P706" s="459">
        <v>1166790</v>
      </c>
      <c r="Q706" s="28">
        <f t="shared" si="125"/>
        <v>0</v>
      </c>
      <c r="R706" s="743"/>
      <c r="S706" s="745">
        <v>44496</v>
      </c>
      <c r="T706" s="199">
        <v>14</v>
      </c>
      <c r="U706" s="24">
        <f t="shared" si="123"/>
        <v>44496</v>
      </c>
      <c r="V706"/>
      <c r="W706"/>
      <c r="X706"/>
      <c r="Y706"/>
      <c r="Z706"/>
      <c r="AA706"/>
      <c r="AB706"/>
      <c r="AC706"/>
      <c r="AD706"/>
      <c r="AE706"/>
      <c r="AF706"/>
      <c r="AG706"/>
      <c r="AH706"/>
      <c r="AI706"/>
      <c r="AJ706"/>
      <c r="AK706"/>
      <c r="AL706"/>
      <c r="AM706"/>
      <c r="AN706"/>
      <c r="AO706"/>
      <c r="AP706"/>
      <c r="AQ706"/>
    </row>
    <row r="707" spans="1:43" s="10" customFormat="1" ht="15.75" customHeight="1" x14ac:dyDescent="0.25">
      <c r="A707" s="55">
        <f t="shared" si="126"/>
        <v>21</v>
      </c>
      <c r="B707" s="79">
        <v>44468</v>
      </c>
      <c r="C707" s="330" t="s">
        <v>2130</v>
      </c>
      <c r="D707" s="330"/>
      <c r="E707" s="330"/>
      <c r="F707" s="53" t="s">
        <v>553</v>
      </c>
      <c r="G707" s="126" t="s">
        <v>2129</v>
      </c>
      <c r="H707" s="45">
        <v>8900000</v>
      </c>
      <c r="I707" s="377" t="s">
        <v>2128</v>
      </c>
      <c r="J707" s="301">
        <v>44484</v>
      </c>
      <c r="K707" s="460">
        <f t="shared" si="124"/>
        <v>8900000</v>
      </c>
      <c r="L707" s="460"/>
      <c r="M707" s="460"/>
      <c r="N707" s="28">
        <f>K707*1%</f>
        <v>89000</v>
      </c>
      <c r="O707" s="28">
        <f t="shared" si="131"/>
        <v>178000</v>
      </c>
      <c r="P707" s="460">
        <v>8811000</v>
      </c>
      <c r="Q707" s="28">
        <f t="shared" si="125"/>
        <v>0</v>
      </c>
      <c r="R707" s="199"/>
      <c r="S707" s="197">
        <v>44519</v>
      </c>
      <c r="T707" s="199">
        <v>14</v>
      </c>
      <c r="U707" s="24">
        <f t="shared" si="123"/>
        <v>44498</v>
      </c>
      <c r="V707"/>
      <c r="W707"/>
      <c r="X707"/>
      <c r="Y707"/>
      <c r="Z707"/>
      <c r="AA707"/>
      <c r="AB707"/>
      <c r="AC707"/>
      <c r="AD707"/>
      <c r="AE707"/>
      <c r="AF707"/>
      <c r="AG707"/>
      <c r="AH707"/>
      <c r="AI707"/>
      <c r="AJ707"/>
      <c r="AK707"/>
      <c r="AL707"/>
      <c r="AM707"/>
      <c r="AN707"/>
      <c r="AO707"/>
      <c r="AP707"/>
      <c r="AQ707"/>
    </row>
    <row r="708" spans="1:43" s="10" customFormat="1" ht="15.75" customHeight="1" x14ac:dyDescent="0.25">
      <c r="A708" s="55">
        <f t="shared" si="126"/>
        <v>22</v>
      </c>
      <c r="B708" s="79">
        <v>44449</v>
      </c>
      <c r="C708" s="330" t="s">
        <v>2201</v>
      </c>
      <c r="D708" s="330"/>
      <c r="E708" s="330" t="s">
        <v>2202</v>
      </c>
      <c r="F708" s="123" t="s">
        <v>2694</v>
      </c>
      <c r="G708" s="126" t="s">
        <v>2120</v>
      </c>
      <c r="H708" s="403">
        <v>1100000</v>
      </c>
      <c r="I708" s="377" t="s">
        <v>2128</v>
      </c>
      <c r="J708" s="301">
        <v>44485</v>
      </c>
      <c r="K708" s="460">
        <f>H708</f>
        <v>1100000</v>
      </c>
      <c r="L708" s="460"/>
      <c r="M708" s="459">
        <v>18865</v>
      </c>
      <c r="N708" s="28">
        <f>K708*1%</f>
        <v>11000</v>
      </c>
      <c r="O708" s="28">
        <f t="shared" si="131"/>
        <v>22000</v>
      </c>
      <c r="P708" s="459">
        <v>1070135</v>
      </c>
      <c r="Q708" s="28">
        <f t="shared" si="125"/>
        <v>0</v>
      </c>
      <c r="R708" s="743"/>
      <c r="S708" s="474">
        <v>44499</v>
      </c>
      <c r="T708" s="199">
        <v>14</v>
      </c>
      <c r="U708" s="24">
        <f t="shared" si="123"/>
        <v>44499</v>
      </c>
      <c r="V708"/>
      <c r="W708"/>
      <c r="X708"/>
      <c r="Y708"/>
      <c r="Z708"/>
      <c r="AA708"/>
      <c r="AB708"/>
      <c r="AC708"/>
      <c r="AD708"/>
      <c r="AE708"/>
      <c r="AF708"/>
      <c r="AG708"/>
      <c r="AH708"/>
      <c r="AI708"/>
      <c r="AJ708"/>
      <c r="AK708"/>
      <c r="AL708"/>
      <c r="AM708"/>
      <c r="AN708"/>
      <c r="AO708"/>
      <c r="AP708"/>
      <c r="AQ708"/>
    </row>
    <row r="709" spans="1:43" s="10" customFormat="1" ht="15.75" customHeight="1" x14ac:dyDescent="0.25">
      <c r="A709" s="55">
        <f t="shared" si="126"/>
        <v>23</v>
      </c>
      <c r="B709" s="79">
        <v>44449</v>
      </c>
      <c r="C709" s="330" t="s">
        <v>2201</v>
      </c>
      <c r="D709" s="330"/>
      <c r="E709" s="330" t="s">
        <v>2203</v>
      </c>
      <c r="F709" s="123" t="s">
        <v>2694</v>
      </c>
      <c r="G709" s="126" t="s">
        <v>2120</v>
      </c>
      <c r="H709" s="45">
        <v>1100000</v>
      </c>
      <c r="I709" s="377" t="s">
        <v>2204</v>
      </c>
      <c r="J709" s="301">
        <v>44485</v>
      </c>
      <c r="K709" s="460">
        <f>H709</f>
        <v>1100000</v>
      </c>
      <c r="L709" s="460"/>
      <c r="M709" s="459">
        <v>19058</v>
      </c>
      <c r="N709" s="28">
        <f>K709*1%</f>
        <v>11000</v>
      </c>
      <c r="O709" s="28">
        <f t="shared" si="131"/>
        <v>22000</v>
      </c>
      <c r="P709" s="459">
        <v>1069942</v>
      </c>
      <c r="Q709" s="28">
        <f t="shared" si="125"/>
        <v>0</v>
      </c>
      <c r="R709" s="743"/>
      <c r="S709" s="474">
        <v>44499</v>
      </c>
      <c r="T709" s="199">
        <v>14</v>
      </c>
      <c r="U709" s="24">
        <f t="shared" si="123"/>
        <v>44499</v>
      </c>
      <c r="V709"/>
      <c r="W709"/>
      <c r="X709"/>
      <c r="Y709"/>
      <c r="Z709"/>
      <c r="AA709"/>
      <c r="AB709"/>
      <c r="AC709"/>
      <c r="AD709"/>
      <c r="AE709"/>
      <c r="AF709"/>
      <c r="AG709"/>
      <c r="AH709"/>
      <c r="AI709"/>
      <c r="AJ709"/>
      <c r="AK709"/>
      <c r="AL709"/>
      <c r="AM709"/>
      <c r="AN709"/>
      <c r="AO709"/>
      <c r="AP709"/>
      <c r="AQ709"/>
    </row>
    <row r="710" spans="1:43" s="10" customFormat="1" ht="15.75" customHeight="1" x14ac:dyDescent="0.25">
      <c r="A710" s="55">
        <f t="shared" si="126"/>
        <v>24</v>
      </c>
      <c r="B710" s="79" t="s">
        <v>2207</v>
      </c>
      <c r="C710" s="330" t="s">
        <v>2206</v>
      </c>
      <c r="D710" s="330"/>
      <c r="E710" s="330" t="s">
        <v>3149</v>
      </c>
      <c r="F710" s="123" t="s">
        <v>2694</v>
      </c>
      <c r="G710" s="126" t="s">
        <v>2120</v>
      </c>
      <c r="H710" s="45">
        <v>1100000</v>
      </c>
      <c r="I710" s="377" t="s">
        <v>2205</v>
      </c>
      <c r="J710" s="301">
        <v>44485</v>
      </c>
      <c r="K710" s="460">
        <f>H710</f>
        <v>1100000</v>
      </c>
      <c r="L710" s="460"/>
      <c r="M710" s="459">
        <v>18865</v>
      </c>
      <c r="N710" s="28">
        <f>K710*1%</f>
        <v>11000</v>
      </c>
      <c r="O710" s="28">
        <f t="shared" si="131"/>
        <v>22000</v>
      </c>
      <c r="P710" s="459">
        <v>1070135</v>
      </c>
      <c r="Q710" s="28">
        <f t="shared" si="125"/>
        <v>0</v>
      </c>
      <c r="R710" s="743"/>
      <c r="S710" s="474">
        <v>44499</v>
      </c>
      <c r="T710" s="199">
        <v>14</v>
      </c>
      <c r="U710" s="24">
        <f t="shared" si="123"/>
        <v>44499</v>
      </c>
      <c r="V710"/>
      <c r="W710"/>
      <c r="X710"/>
      <c r="Y710"/>
      <c r="Z710"/>
      <c r="AA710"/>
      <c r="AB710"/>
      <c r="AC710"/>
      <c r="AD710"/>
      <c r="AE710"/>
      <c r="AF710"/>
      <c r="AG710"/>
      <c r="AH710"/>
      <c r="AI710"/>
      <c r="AJ710"/>
      <c r="AK710"/>
      <c r="AL710"/>
      <c r="AM710"/>
      <c r="AN710"/>
      <c r="AO710"/>
      <c r="AP710"/>
      <c r="AQ710"/>
    </row>
    <row r="711" spans="1:43" s="10" customFormat="1" ht="15.75" customHeight="1" x14ac:dyDescent="0.25">
      <c r="A711" s="55">
        <f t="shared" si="126"/>
        <v>25</v>
      </c>
      <c r="B711" s="79" t="s">
        <v>2211</v>
      </c>
      <c r="C711" s="330" t="s">
        <v>2210</v>
      </c>
      <c r="D711" s="330"/>
      <c r="E711" s="330" t="s">
        <v>3150</v>
      </c>
      <c r="F711" s="123" t="s">
        <v>2694</v>
      </c>
      <c r="G711" s="126" t="s">
        <v>2209</v>
      </c>
      <c r="H711" s="45">
        <v>1250000</v>
      </c>
      <c r="I711" s="377" t="s">
        <v>2208</v>
      </c>
      <c r="J711" s="301">
        <v>44485</v>
      </c>
      <c r="K711" s="460">
        <f>H711</f>
        <v>1250000</v>
      </c>
      <c r="L711" s="460">
        <v>609375</v>
      </c>
      <c r="M711" s="459">
        <v>26610</v>
      </c>
      <c r="N711" s="28">
        <f>K711*1%</f>
        <v>12500</v>
      </c>
      <c r="O711" s="28">
        <f t="shared" si="131"/>
        <v>25000</v>
      </c>
      <c r="P711" s="459">
        <v>601515</v>
      </c>
      <c r="Q711" s="28">
        <f t="shared" si="125"/>
        <v>0</v>
      </c>
      <c r="R711" s="474">
        <v>44474</v>
      </c>
      <c r="S711" s="474">
        <v>44499</v>
      </c>
      <c r="T711" s="199">
        <v>14</v>
      </c>
      <c r="U711" s="24">
        <f t="shared" si="123"/>
        <v>44499</v>
      </c>
      <c r="V711"/>
      <c r="W711"/>
      <c r="X711"/>
      <c r="Y711"/>
      <c r="Z711"/>
      <c r="AA711"/>
      <c r="AB711"/>
      <c r="AC711"/>
      <c r="AD711"/>
      <c r="AE711"/>
      <c r="AF711"/>
      <c r="AG711"/>
      <c r="AH711"/>
      <c r="AI711"/>
      <c r="AJ711"/>
      <c r="AK711"/>
      <c r="AL711"/>
      <c r="AM711"/>
      <c r="AN711"/>
      <c r="AO711"/>
      <c r="AP711"/>
      <c r="AQ711"/>
    </row>
    <row r="712" spans="1:43" s="10" customFormat="1" ht="15.75" customHeight="1" x14ac:dyDescent="0.25">
      <c r="A712" s="55">
        <f t="shared" si="126"/>
        <v>26</v>
      </c>
      <c r="B712" s="79">
        <v>44449</v>
      </c>
      <c r="C712" s="330" t="s">
        <v>2214</v>
      </c>
      <c r="D712" s="330"/>
      <c r="E712" s="330" t="s">
        <v>2213</v>
      </c>
      <c r="F712" s="123" t="s">
        <v>2694</v>
      </c>
      <c r="G712" s="126" t="s">
        <v>904</v>
      </c>
      <c r="H712" s="45">
        <v>1000000</v>
      </c>
      <c r="I712" s="377" t="s">
        <v>2212</v>
      </c>
      <c r="J712" s="301">
        <v>44485</v>
      </c>
      <c r="K712" s="460">
        <f>H712</f>
        <v>1000000</v>
      </c>
      <c r="L712" s="460"/>
      <c r="M712" s="459">
        <v>17325</v>
      </c>
      <c r="N712" s="28">
        <f>(K712-M7013)*1%</f>
        <v>10000</v>
      </c>
      <c r="O712" s="28">
        <f t="shared" si="131"/>
        <v>20000</v>
      </c>
      <c r="P712" s="459">
        <v>972675</v>
      </c>
      <c r="Q712" s="28">
        <f t="shared" si="125"/>
        <v>0</v>
      </c>
      <c r="R712" s="743"/>
      <c r="S712" s="474">
        <v>44499</v>
      </c>
      <c r="T712" s="199">
        <v>14</v>
      </c>
      <c r="U712" s="24">
        <f t="shared" si="123"/>
        <v>44499</v>
      </c>
      <c r="V712"/>
      <c r="W712"/>
      <c r="X712"/>
      <c r="Y712"/>
      <c r="Z712"/>
      <c r="AA712"/>
      <c r="AB712"/>
      <c r="AC712"/>
      <c r="AD712"/>
      <c r="AE712"/>
      <c r="AF712"/>
      <c r="AG712"/>
      <c r="AH712"/>
      <c r="AI712"/>
      <c r="AJ712"/>
      <c r="AK712"/>
      <c r="AL712"/>
      <c r="AM712"/>
      <c r="AN712"/>
      <c r="AO712"/>
      <c r="AP712"/>
      <c r="AQ712"/>
    </row>
    <row r="713" spans="1:43" s="10" customFormat="1" ht="15.75" customHeight="1" x14ac:dyDescent="0.25">
      <c r="A713" s="55">
        <f t="shared" si="126"/>
        <v>27</v>
      </c>
      <c r="B713" s="56">
        <v>44440</v>
      </c>
      <c r="C713" s="58" t="s">
        <v>2223</v>
      </c>
      <c r="D713" s="58"/>
      <c r="E713" s="58"/>
      <c r="F713" s="112" t="s">
        <v>1123</v>
      </c>
      <c r="G713" s="126" t="s">
        <v>1746</v>
      </c>
      <c r="H713" s="45">
        <v>75000</v>
      </c>
      <c r="I713" s="380"/>
      <c r="J713" s="301"/>
      <c r="K713" s="460">
        <f t="shared" ref="K713:K715" si="132">H713</f>
        <v>75000</v>
      </c>
      <c r="L713" s="460"/>
      <c r="M713" s="459"/>
      <c r="N713" s="28"/>
      <c r="O713" s="28"/>
      <c r="P713" s="459"/>
      <c r="Q713" s="28">
        <f t="shared" si="125"/>
        <v>75000</v>
      </c>
      <c r="R713" s="199"/>
      <c r="S713" s="199"/>
      <c r="T713" s="2">
        <v>30</v>
      </c>
      <c r="U713" s="24">
        <f t="shared" si="123"/>
        <v>30</v>
      </c>
      <c r="V713"/>
      <c r="W713"/>
      <c r="X713"/>
      <c r="Y713"/>
      <c r="Z713"/>
      <c r="AA713"/>
      <c r="AB713"/>
      <c r="AC713"/>
      <c r="AD713"/>
      <c r="AE713"/>
      <c r="AF713"/>
      <c r="AG713"/>
      <c r="AH713"/>
      <c r="AI713"/>
      <c r="AJ713"/>
      <c r="AK713"/>
      <c r="AL713"/>
      <c r="AM713"/>
      <c r="AN713"/>
      <c r="AO713"/>
      <c r="AP713"/>
      <c r="AQ713"/>
    </row>
    <row r="714" spans="1:43" s="10" customFormat="1" ht="15.75" customHeight="1" x14ac:dyDescent="0.25">
      <c r="A714" s="55">
        <f t="shared" si="126"/>
        <v>28</v>
      </c>
      <c r="B714" s="56">
        <v>44440</v>
      </c>
      <c r="C714" s="58" t="s">
        <v>2224</v>
      </c>
      <c r="D714" s="58"/>
      <c r="E714" s="58"/>
      <c r="F714" s="112" t="s">
        <v>1123</v>
      </c>
      <c r="G714" s="126" t="s">
        <v>880</v>
      </c>
      <c r="H714" s="45">
        <v>162000</v>
      </c>
      <c r="I714" s="380"/>
      <c r="J714" s="301"/>
      <c r="K714" s="460">
        <f t="shared" si="132"/>
        <v>162000</v>
      </c>
      <c r="L714" s="460"/>
      <c r="M714" s="459"/>
      <c r="N714" s="28"/>
      <c r="O714" s="28"/>
      <c r="P714" s="459"/>
      <c r="Q714" s="28">
        <f t="shared" si="125"/>
        <v>162000</v>
      </c>
      <c r="R714" s="199"/>
      <c r="S714" s="199"/>
      <c r="T714" s="2">
        <v>30</v>
      </c>
      <c r="U714" s="24">
        <f t="shared" si="123"/>
        <v>30</v>
      </c>
      <c r="V714"/>
      <c r="W714"/>
      <c r="X714"/>
      <c r="Y714"/>
      <c r="Z714"/>
      <c r="AA714"/>
      <c r="AB714"/>
      <c r="AC714"/>
      <c r="AD714"/>
      <c r="AE714"/>
      <c r="AF714"/>
      <c r="AG714"/>
      <c r="AH714"/>
      <c r="AI714"/>
      <c r="AJ714"/>
      <c r="AK714"/>
      <c r="AL714"/>
      <c r="AM714"/>
      <c r="AN714"/>
      <c r="AO714"/>
      <c r="AP714"/>
      <c r="AQ714"/>
    </row>
    <row r="715" spans="1:43" s="10" customFormat="1" ht="15.75" customHeight="1" x14ac:dyDescent="0.25">
      <c r="A715" s="55">
        <f t="shared" si="126"/>
        <v>29</v>
      </c>
      <c r="B715" s="56">
        <v>44434</v>
      </c>
      <c r="C715" s="58" t="s">
        <v>2233</v>
      </c>
      <c r="D715" s="58"/>
      <c r="E715" s="58" t="s">
        <v>2231</v>
      </c>
      <c r="F715" s="123" t="s">
        <v>2694</v>
      </c>
      <c r="G715" s="126" t="s">
        <v>839</v>
      </c>
      <c r="H715" s="45">
        <v>700000</v>
      </c>
      <c r="I715" s="380"/>
      <c r="J715" s="301"/>
      <c r="K715" s="460">
        <f t="shared" si="132"/>
        <v>700000</v>
      </c>
      <c r="L715" s="460"/>
      <c r="M715" s="459">
        <f>H715*2.75%</f>
        <v>19250</v>
      </c>
      <c r="N715" s="28">
        <f>H715*1%</f>
        <v>7000</v>
      </c>
      <c r="O715" s="28">
        <f>H715*2%</f>
        <v>14000</v>
      </c>
      <c r="P715" s="459"/>
      <c r="Q715" s="28">
        <f t="shared" si="125"/>
        <v>673750</v>
      </c>
      <c r="R715" s="743"/>
      <c r="S715" s="474"/>
      <c r="T715" s="199">
        <v>14</v>
      </c>
      <c r="U715" s="24">
        <f t="shared" si="123"/>
        <v>14</v>
      </c>
      <c r="V715"/>
      <c r="W715"/>
      <c r="X715"/>
      <c r="Y715"/>
      <c r="Z715"/>
      <c r="AA715"/>
      <c r="AB715"/>
      <c r="AC715"/>
      <c r="AD715"/>
      <c r="AE715"/>
      <c r="AF715"/>
      <c r="AG715"/>
      <c r="AH715"/>
      <c r="AI715"/>
      <c r="AJ715"/>
      <c r="AK715"/>
      <c r="AL715"/>
      <c r="AM715"/>
      <c r="AN715"/>
      <c r="AO715"/>
      <c r="AP715"/>
      <c r="AQ715"/>
    </row>
    <row r="716" spans="1:43" s="10" customFormat="1" ht="15.75" customHeight="1" x14ac:dyDescent="0.25">
      <c r="A716" s="55" t="e">
        <f>#REF!+1</f>
        <v>#REF!</v>
      </c>
      <c r="B716" s="56">
        <v>44440</v>
      </c>
      <c r="C716" s="58" t="s">
        <v>2261</v>
      </c>
      <c r="D716" s="58"/>
      <c r="E716" s="58"/>
      <c r="F716" s="123" t="s">
        <v>1394</v>
      </c>
      <c r="G716" s="126" t="s">
        <v>2260</v>
      </c>
      <c r="H716" s="45">
        <v>99689016</v>
      </c>
      <c r="I716" s="380" t="s">
        <v>2259</v>
      </c>
      <c r="J716" s="301">
        <v>44491</v>
      </c>
      <c r="K716" s="460">
        <f t="shared" ref="K716:K717" si="133">H716</f>
        <v>99689016</v>
      </c>
      <c r="L716" s="460"/>
      <c r="M716" s="459"/>
      <c r="N716" s="28">
        <f>(K716-M7026)*1%</f>
        <v>996890.16</v>
      </c>
      <c r="O716" s="28">
        <f>(K716-M716)*2%</f>
        <v>1993780.32</v>
      </c>
      <c r="P716" s="459">
        <v>98692125.840000004</v>
      </c>
      <c r="Q716" s="28">
        <f t="shared" si="125"/>
        <v>3.6088749766349792E-9</v>
      </c>
      <c r="R716" s="199"/>
      <c r="S716" s="197">
        <v>44511</v>
      </c>
      <c r="T716" s="199">
        <v>14</v>
      </c>
      <c r="U716" s="24">
        <f t="shared" si="123"/>
        <v>44505</v>
      </c>
      <c r="V716"/>
      <c r="W716"/>
      <c r="X716"/>
      <c r="Y716"/>
      <c r="Z716"/>
      <c r="AA716"/>
      <c r="AB716"/>
      <c r="AC716"/>
      <c r="AD716"/>
      <c r="AE716"/>
      <c r="AF716"/>
      <c r="AG716"/>
      <c r="AH716"/>
      <c r="AI716"/>
      <c r="AJ716"/>
      <c r="AK716"/>
      <c r="AL716"/>
      <c r="AM716"/>
      <c r="AN716"/>
      <c r="AO716"/>
      <c r="AP716"/>
      <c r="AQ716"/>
    </row>
    <row r="717" spans="1:43" s="607" customFormat="1" ht="15.75" customHeight="1" x14ac:dyDescent="0.25">
      <c r="A717" s="55" t="e">
        <f t="shared" si="126"/>
        <v>#REF!</v>
      </c>
      <c r="B717" s="560">
        <v>44440</v>
      </c>
      <c r="C717" s="561" t="s">
        <v>2599</v>
      </c>
      <c r="D717" s="561"/>
      <c r="E717" s="561"/>
      <c r="F717" s="562" t="s">
        <v>1394</v>
      </c>
      <c r="G717" s="563" t="s">
        <v>2286</v>
      </c>
      <c r="H717" s="564">
        <v>420084666.10000002</v>
      </c>
      <c r="I717" s="565" t="s">
        <v>2464</v>
      </c>
      <c r="J717" s="566">
        <v>44512</v>
      </c>
      <c r="K717" s="567">
        <f t="shared" si="133"/>
        <v>420084666.10000002</v>
      </c>
      <c r="L717" s="567"/>
      <c r="M717" s="567">
        <v>42008466.610000007</v>
      </c>
      <c r="N717" s="568">
        <v>3780761.9949000003</v>
      </c>
      <c r="O717" s="568">
        <v>7561523.9898000006</v>
      </c>
      <c r="P717" s="567">
        <v>374295437.49510002</v>
      </c>
      <c r="Q717" s="568">
        <f t="shared" si="125"/>
        <v>1.2107193470001221E-8</v>
      </c>
      <c r="R717" s="559"/>
      <c r="S717" s="566">
        <v>44529</v>
      </c>
      <c r="T717" s="559">
        <v>30</v>
      </c>
      <c r="U717" s="24">
        <f t="shared" si="123"/>
        <v>44542</v>
      </c>
      <c r="V717" s="538" t="s">
        <v>2597</v>
      </c>
      <c r="W717" s="616">
        <f>K717-M717</f>
        <v>378076199.49000001</v>
      </c>
      <c r="X717" s="11"/>
      <c r="Y717" s="11"/>
      <c r="Z717" s="11"/>
      <c r="AA717" s="11"/>
      <c r="AB717" s="11"/>
      <c r="AC717" s="11"/>
      <c r="AD717" s="11"/>
      <c r="AE717" s="11"/>
      <c r="AF717" s="11"/>
      <c r="AG717" s="11"/>
      <c r="AH717" s="11"/>
      <c r="AI717" s="11"/>
      <c r="AJ717" s="11"/>
      <c r="AK717" s="11"/>
      <c r="AL717" s="11"/>
      <c r="AM717" s="11"/>
      <c r="AN717" s="11"/>
      <c r="AO717" s="11"/>
      <c r="AP717" s="11"/>
      <c r="AQ717" s="11"/>
    </row>
    <row r="718" spans="1:43" ht="15.75" x14ac:dyDescent="0.25">
      <c r="A718" s="55" t="e">
        <f t="shared" si="126"/>
        <v>#REF!</v>
      </c>
      <c r="B718" s="79">
        <v>44440</v>
      </c>
      <c r="C718" s="600" t="s">
        <v>2304</v>
      </c>
      <c r="D718" s="441"/>
      <c r="E718" s="441"/>
      <c r="F718" s="31" t="s">
        <v>1195</v>
      </c>
      <c r="G718" s="31" t="s">
        <v>2275</v>
      </c>
      <c r="H718" s="459">
        <v>38738017.500000007</v>
      </c>
      <c r="I718" s="442" t="s">
        <v>2303</v>
      </c>
      <c r="J718" s="368">
        <v>44494</v>
      </c>
      <c r="K718" s="460">
        <f>H718</f>
        <v>38738017.500000007</v>
      </c>
      <c r="L718" s="35"/>
      <c r="M718" s="28">
        <v>3873801.7500000009</v>
      </c>
      <c r="N718" s="487">
        <f>(K718-M718)*1%</f>
        <v>348642.15750000009</v>
      </c>
      <c r="O718" s="487">
        <f>(K718-M718)*2%</f>
        <v>697284.31500000018</v>
      </c>
      <c r="P718" s="28">
        <v>34515573.592500009</v>
      </c>
      <c r="Q718" s="28">
        <f t="shared" si="125"/>
        <v>1.280568540096283E-9</v>
      </c>
      <c r="R718" s="442"/>
      <c r="S718" s="368">
        <v>44512</v>
      </c>
      <c r="T718" s="199">
        <v>14</v>
      </c>
      <c r="U718" s="24">
        <f t="shared" si="123"/>
        <v>44508</v>
      </c>
      <c r="V718" s="360"/>
    </row>
    <row r="719" spans="1:43" s="10" customFormat="1" ht="15.75" customHeight="1" x14ac:dyDescent="0.25">
      <c r="A719" s="55" t="e">
        <f t="shared" si="126"/>
        <v>#REF!</v>
      </c>
      <c r="B719" s="79">
        <v>44440</v>
      </c>
      <c r="C719" s="440" t="s">
        <v>2306</v>
      </c>
      <c r="D719" s="440"/>
      <c r="E719" s="440"/>
      <c r="F719" s="31" t="s">
        <v>1195</v>
      </c>
      <c r="G719" s="33" t="s">
        <v>2276</v>
      </c>
      <c r="H719" s="460">
        <v>143109000</v>
      </c>
      <c r="I719" s="39" t="s">
        <v>2305</v>
      </c>
      <c r="J719" s="79">
        <v>44494</v>
      </c>
      <c r="K719" s="460">
        <f>H719</f>
        <v>143109000</v>
      </c>
      <c r="L719" s="460"/>
      <c r="M719" s="28">
        <v>14310900</v>
      </c>
      <c r="N719" s="487">
        <f>(K719-M719)*1%</f>
        <v>1287981</v>
      </c>
      <c r="O719" s="487">
        <f>(K719-M719)*2%</f>
        <v>2575962</v>
      </c>
      <c r="P719" s="460">
        <v>127510119</v>
      </c>
      <c r="Q719" s="28">
        <f t="shared" si="125"/>
        <v>0</v>
      </c>
      <c r="R719" s="133"/>
      <c r="S719" s="56">
        <v>44515</v>
      </c>
      <c r="T719" s="199">
        <v>14</v>
      </c>
      <c r="U719" s="24">
        <f t="shared" si="123"/>
        <v>44508</v>
      </c>
      <c r="V719" s="360"/>
      <c r="W719"/>
      <c r="X719" s="16">
        <f>W717+W788</f>
        <v>514423499.49000001</v>
      </c>
      <c r="Y719" s="131">
        <v>402708023</v>
      </c>
      <c r="Z719" s="131"/>
      <c r="AA719" s="16"/>
      <c r="AB719" s="16"/>
      <c r="AC719"/>
      <c r="AD719"/>
      <c r="AE719"/>
      <c r="AF719"/>
      <c r="AG719"/>
      <c r="AH719"/>
      <c r="AI719"/>
      <c r="AJ719"/>
      <c r="AK719"/>
      <c r="AL719"/>
      <c r="AM719"/>
      <c r="AN719"/>
      <c r="AO719"/>
      <c r="AP719"/>
      <c r="AQ719"/>
    </row>
    <row r="720" spans="1:43" s="10" customFormat="1" ht="15.75" customHeight="1" x14ac:dyDescent="0.25">
      <c r="A720" s="55" t="e">
        <f t="shared" si="126"/>
        <v>#REF!</v>
      </c>
      <c r="B720" s="470">
        <v>44446</v>
      </c>
      <c r="C720" s="448"/>
      <c r="D720" s="448" t="s">
        <v>3061</v>
      </c>
      <c r="E720" s="58"/>
      <c r="F720" s="123" t="s">
        <v>1741</v>
      </c>
      <c r="G720" s="334" t="s">
        <v>2876</v>
      </c>
      <c r="H720" s="45">
        <v>6500000</v>
      </c>
      <c r="I720" s="380" t="s">
        <v>3060</v>
      </c>
      <c r="J720" s="514">
        <v>44543</v>
      </c>
      <c r="K720" s="719">
        <f>H720</f>
        <v>6500000</v>
      </c>
      <c r="L720" s="719"/>
      <c r="M720" s="718"/>
      <c r="N720" s="28">
        <f t="shared" ref="N720" si="134">K720*1%</f>
        <v>65000</v>
      </c>
      <c r="O720" s="28">
        <f t="shared" ref="O720" si="135">K720*2%</f>
        <v>130000</v>
      </c>
      <c r="P720" s="718"/>
      <c r="Q720" s="28">
        <f t="shared" si="125"/>
        <v>6435000</v>
      </c>
      <c r="R720" s="199"/>
      <c r="S720" s="197"/>
      <c r="T720" s="199">
        <v>30</v>
      </c>
      <c r="U720" s="24">
        <f t="shared" si="123"/>
        <v>44573</v>
      </c>
      <c r="V720"/>
      <c r="W720"/>
      <c r="X720"/>
      <c r="Y720"/>
      <c r="Z720"/>
      <c r="AA720"/>
      <c r="AB720"/>
      <c r="AC720"/>
      <c r="AD720"/>
      <c r="AE720"/>
      <c r="AF720"/>
      <c r="AG720"/>
      <c r="AH720"/>
      <c r="AI720"/>
      <c r="AJ720"/>
      <c r="AK720"/>
      <c r="AL720"/>
      <c r="AM720"/>
      <c r="AN720"/>
      <c r="AO720"/>
      <c r="AP720"/>
      <c r="AQ720"/>
    </row>
    <row r="721" spans="1:43" s="10" customFormat="1" ht="15.75" customHeight="1" x14ac:dyDescent="0.25">
      <c r="A721" s="55" t="e">
        <f t="shared" si="126"/>
        <v>#REF!</v>
      </c>
      <c r="B721" s="56"/>
      <c r="C721" s="58"/>
      <c r="D721" s="58"/>
      <c r="E721" s="58"/>
      <c r="F721" s="123"/>
      <c r="G721" s="126"/>
      <c r="H721" s="45"/>
      <c r="I721" s="380"/>
      <c r="J721" s="301"/>
      <c r="K721" s="460"/>
      <c r="L721" s="460"/>
      <c r="M721" s="459"/>
      <c r="N721" s="28"/>
      <c r="O721" s="28"/>
      <c r="P721" s="459"/>
      <c r="Q721" s="28">
        <f t="shared" si="125"/>
        <v>0</v>
      </c>
      <c r="R721" s="199"/>
      <c r="S721" s="199"/>
      <c r="T721" s="199"/>
      <c r="U721" s="24">
        <f t="shared" si="123"/>
        <v>0</v>
      </c>
      <c r="V721"/>
      <c r="W721"/>
      <c r="X721"/>
      <c r="Y721"/>
      <c r="Z721"/>
      <c r="AA721"/>
      <c r="AB721"/>
      <c r="AC721"/>
      <c r="AD721"/>
      <c r="AE721"/>
      <c r="AF721"/>
      <c r="AG721"/>
      <c r="AH721"/>
      <c r="AI721"/>
      <c r="AJ721"/>
      <c r="AK721"/>
      <c r="AL721"/>
      <c r="AM721"/>
      <c r="AN721"/>
      <c r="AO721"/>
      <c r="AP721"/>
      <c r="AQ721"/>
    </row>
    <row r="722" spans="1:43" s="10" customFormat="1" ht="15.75" customHeight="1" x14ac:dyDescent="0.25">
      <c r="A722" s="55" t="e">
        <f t="shared" si="126"/>
        <v>#REF!</v>
      </c>
      <c r="B722" s="56">
        <v>44442</v>
      </c>
      <c r="C722" s="58"/>
      <c r="D722" s="58"/>
      <c r="E722" s="58"/>
      <c r="F722" s="123" t="s">
        <v>1840</v>
      </c>
      <c r="G722" s="126" t="s">
        <v>1841</v>
      </c>
      <c r="H722" s="45">
        <v>8000000</v>
      </c>
      <c r="I722" s="380" t="s">
        <v>1839</v>
      </c>
      <c r="J722" s="301">
        <v>44442</v>
      </c>
      <c r="K722" s="460">
        <f t="shared" ref="K722:K761" si="136">H722</f>
        <v>8000000</v>
      </c>
      <c r="L722" s="460"/>
      <c r="M722" s="459"/>
      <c r="N722" s="459"/>
      <c r="O722" s="459"/>
      <c r="P722" s="459">
        <v>8000000</v>
      </c>
      <c r="Q722" s="28">
        <f t="shared" si="125"/>
        <v>0</v>
      </c>
      <c r="R722" s="199"/>
      <c r="S722" s="197">
        <v>44456</v>
      </c>
      <c r="T722" s="199">
        <v>30</v>
      </c>
      <c r="U722" s="24">
        <f t="shared" si="123"/>
        <v>44472</v>
      </c>
      <c r="V722" t="s">
        <v>1845</v>
      </c>
      <c r="W722"/>
      <c r="X722"/>
      <c r="Y722"/>
      <c r="Z722"/>
      <c r="AA722"/>
      <c r="AB722"/>
      <c r="AC722"/>
      <c r="AD722"/>
      <c r="AE722"/>
      <c r="AF722"/>
      <c r="AG722"/>
      <c r="AH722"/>
      <c r="AI722"/>
      <c r="AJ722"/>
      <c r="AK722"/>
      <c r="AL722"/>
      <c r="AM722"/>
      <c r="AN722"/>
      <c r="AO722"/>
      <c r="AP722"/>
      <c r="AQ722"/>
    </row>
    <row r="723" spans="1:43" s="10" customFormat="1" ht="15.75" customHeight="1" x14ac:dyDescent="0.25">
      <c r="A723" s="55" t="e">
        <f t="shared" si="126"/>
        <v>#REF!</v>
      </c>
      <c r="B723" s="56">
        <v>44446</v>
      </c>
      <c r="C723" s="58"/>
      <c r="D723" s="58"/>
      <c r="E723" s="58"/>
      <c r="F723" s="123" t="s">
        <v>1852</v>
      </c>
      <c r="G723" s="126" t="s">
        <v>1851</v>
      </c>
      <c r="H723" s="45">
        <v>1020000</v>
      </c>
      <c r="I723" s="380" t="s">
        <v>1850</v>
      </c>
      <c r="J723" s="301">
        <v>44447</v>
      </c>
      <c r="K723" s="460">
        <f t="shared" si="136"/>
        <v>1020000</v>
      </c>
      <c r="L723" s="460"/>
      <c r="M723" s="459"/>
      <c r="N723" s="459"/>
      <c r="O723" s="459"/>
      <c r="P723" s="459">
        <v>1020000</v>
      </c>
      <c r="Q723" s="28">
        <f t="shared" si="125"/>
        <v>0</v>
      </c>
      <c r="R723" s="199"/>
      <c r="S723" s="197">
        <v>44453</v>
      </c>
      <c r="T723" s="199">
        <v>14</v>
      </c>
      <c r="U723" s="24">
        <f t="shared" si="123"/>
        <v>44461</v>
      </c>
      <c r="V723"/>
      <c r="W723"/>
      <c r="X723"/>
      <c r="Y723"/>
      <c r="Z723"/>
      <c r="AA723"/>
      <c r="AB723"/>
      <c r="AC723"/>
      <c r="AD723"/>
      <c r="AE723"/>
      <c r="AF723"/>
      <c r="AG723"/>
      <c r="AH723"/>
      <c r="AI723"/>
      <c r="AJ723"/>
      <c r="AK723"/>
      <c r="AL723"/>
      <c r="AM723"/>
      <c r="AN723"/>
      <c r="AO723"/>
      <c r="AP723"/>
      <c r="AQ723"/>
    </row>
    <row r="724" spans="1:43" s="10" customFormat="1" ht="15.75" customHeight="1" x14ac:dyDescent="0.25">
      <c r="A724" s="55" t="e">
        <f t="shared" si="126"/>
        <v>#REF!</v>
      </c>
      <c r="B724" s="56">
        <v>44452</v>
      </c>
      <c r="C724" s="58"/>
      <c r="D724" s="58"/>
      <c r="E724" s="58"/>
      <c r="F724" s="31" t="s">
        <v>242</v>
      </c>
      <c r="G724" s="126" t="s">
        <v>503</v>
      </c>
      <c r="H724" s="45">
        <v>49000000</v>
      </c>
      <c r="I724" s="380" t="s">
        <v>1869</v>
      </c>
      <c r="J724" s="301">
        <v>44452</v>
      </c>
      <c r="K724" s="460">
        <f t="shared" si="136"/>
        <v>49000000</v>
      </c>
      <c r="L724" s="460">
        <v>28000000</v>
      </c>
      <c r="M724" s="459"/>
      <c r="N724" s="459"/>
      <c r="O724" s="459"/>
      <c r="P724" s="459">
        <v>21000000</v>
      </c>
      <c r="Q724" s="28">
        <f t="shared" si="125"/>
        <v>0</v>
      </c>
      <c r="R724" s="197">
        <v>44453</v>
      </c>
      <c r="S724" s="197">
        <v>44502</v>
      </c>
      <c r="T724" s="199">
        <v>14</v>
      </c>
      <c r="U724" s="24">
        <f t="shared" si="123"/>
        <v>44466</v>
      </c>
      <c r="V724"/>
      <c r="W724"/>
      <c r="X724"/>
      <c r="Y724"/>
      <c r="Z724"/>
      <c r="AA724"/>
      <c r="AB724"/>
      <c r="AC724"/>
      <c r="AD724"/>
      <c r="AE724"/>
      <c r="AF724"/>
      <c r="AG724"/>
      <c r="AH724"/>
      <c r="AI724"/>
      <c r="AJ724"/>
      <c r="AK724"/>
      <c r="AL724"/>
      <c r="AM724"/>
      <c r="AN724"/>
      <c r="AO724"/>
      <c r="AP724"/>
      <c r="AQ724"/>
    </row>
    <row r="725" spans="1:43" s="10" customFormat="1" ht="15.75" customHeight="1" x14ac:dyDescent="0.25">
      <c r="A725" s="55" t="e">
        <f t="shared" si="126"/>
        <v>#REF!</v>
      </c>
      <c r="B725" s="56">
        <v>44455</v>
      </c>
      <c r="C725" s="58"/>
      <c r="D725" s="58"/>
      <c r="E725" s="58"/>
      <c r="F725" s="123" t="s">
        <v>1272</v>
      </c>
      <c r="G725" s="126" t="s">
        <v>1887</v>
      </c>
      <c r="H725" s="45">
        <v>8100000</v>
      </c>
      <c r="I725" s="380" t="s">
        <v>1886</v>
      </c>
      <c r="J725" s="301">
        <v>44455</v>
      </c>
      <c r="K725" s="460">
        <f t="shared" si="136"/>
        <v>8100000</v>
      </c>
      <c r="L725" s="460"/>
      <c r="M725" s="459">
        <f>500000+500000</f>
        <v>1000000</v>
      </c>
      <c r="N725" s="459"/>
      <c r="O725" s="459"/>
      <c r="P725" s="459">
        <v>8100000</v>
      </c>
      <c r="Q725" s="28">
        <f t="shared" si="125"/>
        <v>-1000000</v>
      </c>
      <c r="R725" s="199"/>
      <c r="S725" s="197">
        <v>44463</v>
      </c>
      <c r="T725" s="199">
        <v>14</v>
      </c>
      <c r="U725" s="24">
        <f t="shared" si="123"/>
        <v>44469</v>
      </c>
      <c r="V725"/>
      <c r="W725"/>
      <c r="X725"/>
      <c r="Y725"/>
      <c r="Z725"/>
      <c r="AA725"/>
      <c r="AB725"/>
      <c r="AC725"/>
      <c r="AD725"/>
      <c r="AE725"/>
      <c r="AF725"/>
      <c r="AG725"/>
      <c r="AH725"/>
      <c r="AI725"/>
      <c r="AJ725"/>
      <c r="AK725"/>
      <c r="AL725"/>
      <c r="AM725"/>
      <c r="AN725"/>
      <c r="AO725"/>
      <c r="AP725"/>
      <c r="AQ725"/>
    </row>
    <row r="726" spans="1:43" s="10" customFormat="1" ht="15.75" customHeight="1" x14ac:dyDescent="0.25">
      <c r="A726" s="55" t="e">
        <f t="shared" si="126"/>
        <v>#REF!</v>
      </c>
      <c r="B726" s="56">
        <v>44442</v>
      </c>
      <c r="C726" s="58"/>
      <c r="D726" s="58"/>
      <c r="E726" s="58"/>
      <c r="F726" s="123" t="s">
        <v>1840</v>
      </c>
      <c r="G726" s="126" t="s">
        <v>1841</v>
      </c>
      <c r="H726" s="45">
        <v>8000000</v>
      </c>
      <c r="I726" s="380" t="s">
        <v>1888</v>
      </c>
      <c r="J726" s="301">
        <v>44455</v>
      </c>
      <c r="K726" s="460">
        <f t="shared" si="136"/>
        <v>8000000</v>
      </c>
      <c r="L726" s="460"/>
      <c r="M726" s="459"/>
      <c r="N726" s="459"/>
      <c r="O726" s="459"/>
      <c r="P726" s="459">
        <v>8000000</v>
      </c>
      <c r="Q726" s="28">
        <f t="shared" si="125"/>
        <v>0</v>
      </c>
      <c r="R726" s="199"/>
      <c r="S726" s="197">
        <v>44456</v>
      </c>
      <c r="T726" s="199">
        <v>30</v>
      </c>
      <c r="U726" s="24">
        <f t="shared" si="123"/>
        <v>44485</v>
      </c>
      <c r="V726"/>
      <c r="W726"/>
      <c r="X726"/>
      <c r="Y726"/>
      <c r="Z726"/>
      <c r="AA726"/>
      <c r="AB726"/>
      <c r="AC726"/>
      <c r="AD726"/>
      <c r="AE726"/>
      <c r="AF726"/>
      <c r="AG726"/>
      <c r="AH726"/>
      <c r="AI726"/>
      <c r="AJ726"/>
      <c r="AK726"/>
      <c r="AL726"/>
      <c r="AM726"/>
      <c r="AN726"/>
      <c r="AO726"/>
      <c r="AP726"/>
      <c r="AQ726"/>
    </row>
    <row r="727" spans="1:43" s="10" customFormat="1" ht="15.75" customHeight="1" x14ac:dyDescent="0.25">
      <c r="A727" s="55" t="e">
        <f t="shared" si="126"/>
        <v>#REF!</v>
      </c>
      <c r="B727" s="56">
        <v>44456</v>
      </c>
      <c r="C727" s="58" t="s">
        <v>1901</v>
      </c>
      <c r="D727" s="58"/>
      <c r="E727" s="58"/>
      <c r="F727" s="123" t="s">
        <v>1902</v>
      </c>
      <c r="G727" s="126" t="s">
        <v>1903</v>
      </c>
      <c r="H727" s="45">
        <v>800000</v>
      </c>
      <c r="I727" s="380" t="s">
        <v>1900</v>
      </c>
      <c r="J727" s="301">
        <v>44456</v>
      </c>
      <c r="K727" s="460">
        <f t="shared" si="136"/>
        <v>800000</v>
      </c>
      <c r="L727" s="460"/>
      <c r="M727" s="459"/>
      <c r="N727" s="459"/>
      <c r="O727" s="459"/>
      <c r="P727" s="459">
        <v>800000</v>
      </c>
      <c r="Q727" s="28">
        <f t="shared" si="125"/>
        <v>0</v>
      </c>
      <c r="R727" s="199"/>
      <c r="S727" s="197">
        <v>44456</v>
      </c>
      <c r="T727" s="199">
        <v>14</v>
      </c>
      <c r="U727" s="24">
        <f t="shared" si="123"/>
        <v>44470</v>
      </c>
      <c r="V727" t="s">
        <v>1939</v>
      </c>
      <c r="W727"/>
      <c r="X727"/>
      <c r="Y727"/>
      <c r="Z727"/>
      <c r="AA727"/>
      <c r="AB727"/>
      <c r="AC727"/>
      <c r="AD727"/>
      <c r="AE727"/>
      <c r="AF727"/>
      <c r="AG727"/>
      <c r="AH727"/>
      <c r="AI727"/>
      <c r="AJ727"/>
      <c r="AK727"/>
      <c r="AL727"/>
      <c r="AM727"/>
      <c r="AN727"/>
      <c r="AO727"/>
      <c r="AP727"/>
      <c r="AQ727"/>
    </row>
    <row r="728" spans="1:43" s="10" customFormat="1" ht="15.75" customHeight="1" x14ac:dyDescent="0.25">
      <c r="A728" s="55" t="e">
        <f t="shared" si="126"/>
        <v>#REF!</v>
      </c>
      <c r="B728" s="56">
        <v>44456</v>
      </c>
      <c r="C728" s="58" t="s">
        <v>1909</v>
      </c>
      <c r="D728" s="58"/>
      <c r="E728" s="58"/>
      <c r="F728" s="112" t="s">
        <v>1905</v>
      </c>
      <c r="G728" s="126" t="s">
        <v>604</v>
      </c>
      <c r="H728" s="45">
        <v>3750000</v>
      </c>
      <c r="I728" s="380" t="s">
        <v>1904</v>
      </c>
      <c r="J728" s="301">
        <v>44456</v>
      </c>
      <c r="K728" s="460">
        <f t="shared" si="136"/>
        <v>3750000</v>
      </c>
      <c r="L728" s="460"/>
      <c r="M728" s="459"/>
      <c r="N728" s="459"/>
      <c r="O728" s="459"/>
      <c r="P728" s="459">
        <v>3750000</v>
      </c>
      <c r="Q728" s="28">
        <f t="shared" si="125"/>
        <v>0</v>
      </c>
      <c r="R728" s="199"/>
      <c r="S728" s="197">
        <v>44461</v>
      </c>
      <c r="T728" s="199">
        <v>14</v>
      </c>
      <c r="U728" s="24">
        <f t="shared" si="123"/>
        <v>44470</v>
      </c>
      <c r="V728" t="s">
        <v>1906</v>
      </c>
      <c r="W728"/>
      <c r="X728"/>
      <c r="Y728"/>
      <c r="Z728"/>
      <c r="AA728"/>
      <c r="AB728"/>
      <c r="AC728"/>
      <c r="AD728"/>
      <c r="AE728"/>
      <c r="AF728"/>
      <c r="AG728"/>
      <c r="AH728"/>
      <c r="AI728"/>
      <c r="AJ728"/>
      <c r="AK728"/>
      <c r="AL728"/>
      <c r="AM728"/>
      <c r="AN728"/>
      <c r="AO728"/>
      <c r="AP728"/>
      <c r="AQ728"/>
    </row>
    <row r="729" spans="1:43" s="10" customFormat="1" ht="15.75" customHeight="1" x14ac:dyDescent="0.25">
      <c r="A729" s="55" t="e">
        <f t="shared" si="126"/>
        <v>#REF!</v>
      </c>
      <c r="B729" s="56">
        <v>44456</v>
      </c>
      <c r="C729" s="330"/>
      <c r="D729" s="330"/>
      <c r="E729" s="330"/>
      <c r="F729" s="33" t="s">
        <v>1908</v>
      </c>
      <c r="G729" s="126" t="s">
        <v>503</v>
      </c>
      <c r="H729" s="45">
        <v>467500</v>
      </c>
      <c r="I729" s="377" t="s">
        <v>1907</v>
      </c>
      <c r="J729" s="301">
        <v>44457</v>
      </c>
      <c r="K729" s="460">
        <f t="shared" si="136"/>
        <v>467500</v>
      </c>
      <c r="L729" s="460"/>
      <c r="M729" s="460"/>
      <c r="N729" s="460"/>
      <c r="O729" s="460"/>
      <c r="P729" s="460">
        <v>467500</v>
      </c>
      <c r="Q729" s="28">
        <f t="shared" si="125"/>
        <v>0</v>
      </c>
      <c r="R729" s="199"/>
      <c r="S729" s="197">
        <v>44456</v>
      </c>
      <c r="T729" s="199">
        <v>14</v>
      </c>
      <c r="U729" s="24">
        <f t="shared" si="123"/>
        <v>44471</v>
      </c>
      <c r="V729" t="s">
        <v>1910</v>
      </c>
      <c r="W729"/>
      <c r="X729"/>
      <c r="Y729"/>
      <c r="Z729"/>
      <c r="AA729"/>
      <c r="AB729"/>
      <c r="AC729"/>
      <c r="AD729"/>
      <c r="AE729"/>
      <c r="AF729"/>
      <c r="AG729"/>
      <c r="AH729"/>
      <c r="AI729"/>
      <c r="AJ729"/>
      <c r="AK729"/>
      <c r="AL729"/>
      <c r="AM729"/>
      <c r="AN729"/>
      <c r="AO729"/>
      <c r="AP729"/>
      <c r="AQ729"/>
    </row>
    <row r="730" spans="1:43" s="10" customFormat="1" ht="15.75" customHeight="1" x14ac:dyDescent="0.25">
      <c r="A730" s="55" t="e">
        <f t="shared" si="126"/>
        <v>#REF!</v>
      </c>
      <c r="B730" s="79">
        <v>44459</v>
      </c>
      <c r="C730" s="330">
        <v>401480</v>
      </c>
      <c r="D730" s="330"/>
      <c r="E730" s="330"/>
      <c r="F730" s="33" t="s">
        <v>1919</v>
      </c>
      <c r="G730" s="126" t="s">
        <v>1920</v>
      </c>
      <c r="H730" s="45">
        <v>400000</v>
      </c>
      <c r="I730" s="377" t="s">
        <v>1918</v>
      </c>
      <c r="J730" s="301">
        <v>44459</v>
      </c>
      <c r="K730" s="460">
        <f t="shared" si="136"/>
        <v>400000</v>
      </c>
      <c r="L730" s="460"/>
      <c r="M730" s="460"/>
      <c r="N730" s="460"/>
      <c r="O730" s="460"/>
      <c r="P730" s="460">
        <v>400000</v>
      </c>
      <c r="Q730" s="28">
        <f t="shared" si="125"/>
        <v>0</v>
      </c>
      <c r="R730" s="199"/>
      <c r="S730" s="197">
        <v>44459</v>
      </c>
      <c r="T730" s="199">
        <v>14</v>
      </c>
      <c r="U730" s="24">
        <f t="shared" si="123"/>
        <v>44473</v>
      </c>
      <c r="V730" t="s">
        <v>1910</v>
      </c>
      <c r="W730"/>
      <c r="X730"/>
      <c r="Y730"/>
      <c r="Z730"/>
      <c r="AA730"/>
      <c r="AB730"/>
      <c r="AC730"/>
      <c r="AD730"/>
      <c r="AE730"/>
      <c r="AF730"/>
      <c r="AG730"/>
      <c r="AH730"/>
      <c r="AI730"/>
      <c r="AJ730"/>
      <c r="AK730"/>
      <c r="AL730"/>
      <c r="AM730"/>
      <c r="AN730"/>
      <c r="AO730"/>
      <c r="AP730"/>
      <c r="AQ730"/>
    </row>
    <row r="731" spans="1:43" s="10" customFormat="1" ht="15.75" customHeight="1" x14ac:dyDescent="0.25">
      <c r="A731" s="55" t="e">
        <f t="shared" si="126"/>
        <v>#REF!</v>
      </c>
      <c r="B731" s="79">
        <v>44461</v>
      </c>
      <c r="C731" s="330" t="s">
        <v>1942</v>
      </c>
      <c r="D731" s="330"/>
      <c r="E731" s="330"/>
      <c r="F731" s="33" t="s">
        <v>1941</v>
      </c>
      <c r="G731" s="126" t="s">
        <v>988</v>
      </c>
      <c r="H731" s="45">
        <v>2964500</v>
      </c>
      <c r="I731" s="377" t="s">
        <v>1943</v>
      </c>
      <c r="J731" s="301">
        <v>44461</v>
      </c>
      <c r="K731" s="460">
        <f t="shared" si="136"/>
        <v>2964500</v>
      </c>
      <c r="L731" s="460"/>
      <c r="M731" s="460"/>
      <c r="N731" s="460"/>
      <c r="O731" s="460"/>
      <c r="P731" s="460">
        <v>2964500</v>
      </c>
      <c r="Q731" s="28">
        <f t="shared" si="125"/>
        <v>0</v>
      </c>
      <c r="R731" s="199"/>
      <c r="S731" s="197">
        <v>44462</v>
      </c>
      <c r="T731" s="199">
        <v>14</v>
      </c>
      <c r="U731" s="24">
        <f t="shared" si="123"/>
        <v>44475</v>
      </c>
      <c r="V731" t="s">
        <v>1944</v>
      </c>
      <c r="W731"/>
      <c r="X731"/>
      <c r="Y731"/>
      <c r="Z731"/>
      <c r="AA731"/>
      <c r="AB731"/>
      <c r="AC731"/>
      <c r="AD731"/>
      <c r="AE731"/>
      <c r="AF731"/>
      <c r="AG731"/>
      <c r="AH731"/>
      <c r="AI731"/>
      <c r="AJ731"/>
      <c r="AK731"/>
      <c r="AL731"/>
      <c r="AM731"/>
      <c r="AN731"/>
      <c r="AO731"/>
      <c r="AP731"/>
      <c r="AQ731"/>
    </row>
    <row r="732" spans="1:43" s="10" customFormat="1" ht="15.75" customHeight="1" x14ac:dyDescent="0.25">
      <c r="A732" s="55" t="e">
        <f t="shared" si="126"/>
        <v>#REF!</v>
      </c>
      <c r="B732" s="79">
        <v>44461</v>
      </c>
      <c r="C732" s="330"/>
      <c r="D732" s="330"/>
      <c r="E732" s="330"/>
      <c r="F732" s="33" t="s">
        <v>1946</v>
      </c>
      <c r="G732" s="126" t="s">
        <v>1947</v>
      </c>
      <c r="H732" s="45">
        <v>2150000</v>
      </c>
      <c r="I732" s="377" t="s">
        <v>1945</v>
      </c>
      <c r="J732" s="301">
        <v>44461</v>
      </c>
      <c r="K732" s="460">
        <f t="shared" si="136"/>
        <v>2150000</v>
      </c>
      <c r="L732" s="460"/>
      <c r="M732" s="460"/>
      <c r="N732" s="460"/>
      <c r="O732" s="460"/>
      <c r="P732" s="460">
        <v>2150000</v>
      </c>
      <c r="Q732" s="28">
        <f t="shared" si="125"/>
        <v>0</v>
      </c>
      <c r="R732" s="199"/>
      <c r="S732" s="197">
        <v>44461</v>
      </c>
      <c r="T732" s="199">
        <v>14</v>
      </c>
      <c r="U732" s="24">
        <f t="shared" si="123"/>
        <v>44475</v>
      </c>
      <c r="V732" t="s">
        <v>1948</v>
      </c>
      <c r="W732"/>
      <c r="X732"/>
      <c r="Y732"/>
      <c r="Z732"/>
      <c r="AA732"/>
      <c r="AB732"/>
      <c r="AC732"/>
      <c r="AD732"/>
      <c r="AE732"/>
      <c r="AF732"/>
      <c r="AG732"/>
      <c r="AH732"/>
      <c r="AI732"/>
      <c r="AJ732"/>
      <c r="AK732"/>
      <c r="AL732"/>
      <c r="AM732"/>
      <c r="AN732"/>
      <c r="AO732"/>
      <c r="AP732"/>
      <c r="AQ732"/>
    </row>
    <row r="733" spans="1:43" s="10" customFormat="1" ht="15.75" customHeight="1" x14ac:dyDescent="0.25">
      <c r="A733" s="55" t="e">
        <f t="shared" si="126"/>
        <v>#REF!</v>
      </c>
      <c r="B733" s="56" t="s">
        <v>1956</v>
      </c>
      <c r="C733" s="58" t="s">
        <v>1954</v>
      </c>
      <c r="D733" s="58"/>
      <c r="E733" s="58" t="s">
        <v>1955</v>
      </c>
      <c r="F733" s="123" t="s">
        <v>2694</v>
      </c>
      <c r="G733" s="126" t="s">
        <v>1953</v>
      </c>
      <c r="H733" s="45">
        <v>120000</v>
      </c>
      <c r="I733" s="377" t="s">
        <v>1952</v>
      </c>
      <c r="J733" s="301">
        <v>44466</v>
      </c>
      <c r="K733" s="460">
        <f t="shared" si="136"/>
        <v>120000</v>
      </c>
      <c r="L733" s="460"/>
      <c r="M733" s="459"/>
      <c r="N733" s="459"/>
      <c r="O733" s="459"/>
      <c r="P733" s="459"/>
      <c r="Q733" s="28">
        <f t="shared" si="125"/>
        <v>120000</v>
      </c>
      <c r="R733" s="743"/>
      <c r="S733" s="474"/>
      <c r="T733" s="199">
        <v>14</v>
      </c>
      <c r="U733" s="24">
        <f t="shared" si="123"/>
        <v>44480</v>
      </c>
      <c r="V733"/>
      <c r="W733"/>
      <c r="X733"/>
      <c r="Y733"/>
      <c r="Z733"/>
      <c r="AA733"/>
      <c r="AB733"/>
      <c r="AC733"/>
      <c r="AD733"/>
      <c r="AE733"/>
      <c r="AF733"/>
      <c r="AG733"/>
      <c r="AH733"/>
      <c r="AI733"/>
      <c r="AJ733"/>
      <c r="AK733"/>
      <c r="AL733"/>
      <c r="AM733"/>
      <c r="AN733"/>
      <c r="AO733"/>
      <c r="AP733"/>
      <c r="AQ733"/>
    </row>
    <row r="734" spans="1:43" s="10" customFormat="1" ht="15.75" customHeight="1" x14ac:dyDescent="0.25">
      <c r="A734" s="55" t="e">
        <f t="shared" si="126"/>
        <v>#REF!</v>
      </c>
      <c r="B734" s="56">
        <v>44441</v>
      </c>
      <c r="C734" s="58" t="s">
        <v>1958</v>
      </c>
      <c r="D734" s="58"/>
      <c r="E734" s="58"/>
      <c r="F734" s="123" t="s">
        <v>53</v>
      </c>
      <c r="G734" s="126" t="s">
        <v>1959</v>
      </c>
      <c r="H734" s="45">
        <v>1300000</v>
      </c>
      <c r="I734" s="380" t="s">
        <v>1957</v>
      </c>
      <c r="J734" s="301">
        <v>44466</v>
      </c>
      <c r="K734" s="460">
        <f t="shared" si="136"/>
        <v>1300000</v>
      </c>
      <c r="L734" s="460"/>
      <c r="M734" s="459"/>
      <c r="N734" s="459"/>
      <c r="O734" s="459"/>
      <c r="P734" s="459">
        <v>1300000</v>
      </c>
      <c r="Q734" s="28">
        <f t="shared" si="125"/>
        <v>0</v>
      </c>
      <c r="R734" s="199"/>
      <c r="S734" s="197">
        <v>44488</v>
      </c>
      <c r="T734" s="2">
        <v>14</v>
      </c>
      <c r="U734" s="24">
        <f t="shared" si="123"/>
        <v>44480</v>
      </c>
      <c r="V734"/>
      <c r="W734"/>
      <c r="X734"/>
      <c r="Y734"/>
      <c r="Z734"/>
      <c r="AA734"/>
      <c r="AB734"/>
      <c r="AC734"/>
      <c r="AD734"/>
      <c r="AE734"/>
      <c r="AF734"/>
      <c r="AG734"/>
      <c r="AH734"/>
      <c r="AI734"/>
      <c r="AJ734"/>
      <c r="AK734"/>
      <c r="AL734"/>
      <c r="AM734"/>
      <c r="AN734"/>
      <c r="AO734"/>
      <c r="AP734"/>
      <c r="AQ734"/>
    </row>
    <row r="735" spans="1:43" s="10" customFormat="1" ht="15.75" customHeight="1" x14ac:dyDescent="0.25">
      <c r="A735" s="55" t="e">
        <f t="shared" si="126"/>
        <v>#REF!</v>
      </c>
      <c r="B735" s="56">
        <v>44460</v>
      </c>
      <c r="C735" s="58" t="s">
        <v>1963</v>
      </c>
      <c r="D735" s="58"/>
      <c r="E735" s="58"/>
      <c r="F735" s="123" t="s">
        <v>1962</v>
      </c>
      <c r="G735" s="126" t="s">
        <v>1262</v>
      </c>
      <c r="H735" s="45">
        <v>3900000</v>
      </c>
      <c r="I735" s="380" t="s">
        <v>1961</v>
      </c>
      <c r="J735" s="507">
        <v>44467</v>
      </c>
      <c r="K735" s="460">
        <f t="shared" si="136"/>
        <v>3900000</v>
      </c>
      <c r="L735" s="460"/>
      <c r="M735" s="459"/>
      <c r="N735" s="459"/>
      <c r="O735" s="459"/>
      <c r="P735" s="459">
        <v>3900000</v>
      </c>
      <c r="Q735" s="28">
        <f t="shared" si="125"/>
        <v>0</v>
      </c>
      <c r="R735" s="53" t="s">
        <v>1964</v>
      </c>
      <c r="S735" s="199"/>
      <c r="T735" s="199"/>
      <c r="U735" s="24">
        <f t="shared" si="123"/>
        <v>44467</v>
      </c>
      <c r="V735"/>
      <c r="W735"/>
      <c r="X735"/>
      <c r="Y735"/>
      <c r="Z735"/>
      <c r="AA735"/>
      <c r="AB735"/>
      <c r="AC735"/>
      <c r="AD735"/>
      <c r="AE735"/>
      <c r="AF735"/>
      <c r="AG735"/>
      <c r="AH735"/>
      <c r="AI735"/>
      <c r="AJ735"/>
      <c r="AK735"/>
      <c r="AL735"/>
      <c r="AM735"/>
      <c r="AN735"/>
      <c r="AO735"/>
      <c r="AP735"/>
      <c r="AQ735"/>
    </row>
    <row r="736" spans="1:43" s="10" customFormat="1" ht="15.75" customHeight="1" x14ac:dyDescent="0.25">
      <c r="A736" s="55" t="e">
        <f t="shared" si="126"/>
        <v>#REF!</v>
      </c>
      <c r="B736" s="56">
        <v>44467</v>
      </c>
      <c r="C736" s="58" t="s">
        <v>1966</v>
      </c>
      <c r="D736" s="58"/>
      <c r="E736" s="58"/>
      <c r="F736" s="123" t="s">
        <v>1967</v>
      </c>
      <c r="G736" s="126" t="s">
        <v>521</v>
      </c>
      <c r="H736" s="45">
        <v>1960000</v>
      </c>
      <c r="I736" s="380" t="s">
        <v>1965</v>
      </c>
      <c r="J736" s="507">
        <v>44467</v>
      </c>
      <c r="K736" s="460">
        <f t="shared" si="136"/>
        <v>1960000</v>
      </c>
      <c r="L736" s="460"/>
      <c r="M736" s="459"/>
      <c r="N736" s="459"/>
      <c r="O736" s="459"/>
      <c r="P736" s="459">
        <v>1960000</v>
      </c>
      <c r="Q736" s="28">
        <f t="shared" si="125"/>
        <v>0</v>
      </c>
      <c r="R736" s="199"/>
      <c r="S736" s="197">
        <v>44468</v>
      </c>
      <c r="T736" s="199">
        <v>14</v>
      </c>
      <c r="U736" s="24">
        <f t="shared" si="123"/>
        <v>44481</v>
      </c>
      <c r="V736" t="s">
        <v>1910</v>
      </c>
      <c r="W736"/>
      <c r="X736"/>
      <c r="Y736"/>
      <c r="Z736"/>
      <c r="AA736"/>
      <c r="AB736"/>
      <c r="AC736"/>
      <c r="AD736"/>
      <c r="AE736"/>
      <c r="AF736"/>
      <c r="AG736"/>
      <c r="AH736"/>
      <c r="AI736"/>
      <c r="AJ736"/>
      <c r="AK736"/>
      <c r="AL736"/>
      <c r="AM736"/>
      <c r="AN736"/>
      <c r="AO736"/>
      <c r="AP736"/>
      <c r="AQ736"/>
    </row>
    <row r="737" spans="1:43" s="10" customFormat="1" ht="15.75" customHeight="1" x14ac:dyDescent="0.25">
      <c r="A737" s="55" t="e">
        <f t="shared" si="126"/>
        <v>#REF!</v>
      </c>
      <c r="B737" s="56">
        <v>44467</v>
      </c>
      <c r="C737" s="58"/>
      <c r="D737" s="58"/>
      <c r="E737" s="58"/>
      <c r="F737" s="123" t="s">
        <v>1969</v>
      </c>
      <c r="G737" s="126" t="s">
        <v>161</v>
      </c>
      <c r="H737" s="45">
        <v>1200000</v>
      </c>
      <c r="I737" s="380" t="s">
        <v>1968</v>
      </c>
      <c r="J737" s="301">
        <v>44467</v>
      </c>
      <c r="K737" s="460">
        <f t="shared" si="136"/>
        <v>1200000</v>
      </c>
      <c r="L737" s="460"/>
      <c r="M737" s="459"/>
      <c r="N737" s="459"/>
      <c r="O737" s="459"/>
      <c r="P737" s="459">
        <v>1200000</v>
      </c>
      <c r="Q737" s="28">
        <f t="shared" si="125"/>
        <v>0</v>
      </c>
      <c r="R737" s="199"/>
      <c r="S737" s="197">
        <v>44469</v>
      </c>
      <c r="T737" s="199">
        <v>14</v>
      </c>
      <c r="U737" s="24">
        <f t="shared" si="123"/>
        <v>44481</v>
      </c>
      <c r="V737" t="s">
        <v>1970</v>
      </c>
      <c r="W737"/>
      <c r="X737"/>
      <c r="Y737"/>
      <c r="Z737"/>
      <c r="AA737"/>
      <c r="AB737"/>
      <c r="AC737"/>
      <c r="AD737"/>
      <c r="AE737"/>
      <c r="AF737"/>
      <c r="AG737"/>
      <c r="AH737"/>
      <c r="AI737"/>
      <c r="AJ737"/>
      <c r="AK737"/>
      <c r="AL737"/>
      <c r="AM737"/>
      <c r="AN737"/>
      <c r="AO737"/>
      <c r="AP737"/>
      <c r="AQ737"/>
    </row>
    <row r="738" spans="1:43" s="10" customFormat="1" ht="15.75" customHeight="1" x14ac:dyDescent="0.25">
      <c r="A738" s="55" t="e">
        <f t="shared" si="126"/>
        <v>#REF!</v>
      </c>
      <c r="B738" s="56">
        <v>44462</v>
      </c>
      <c r="C738" s="58"/>
      <c r="D738" s="58"/>
      <c r="E738" s="58"/>
      <c r="F738" s="123" t="s">
        <v>1949</v>
      </c>
      <c r="G738" s="126" t="s">
        <v>1976</v>
      </c>
      <c r="H738" s="45">
        <v>23000000</v>
      </c>
      <c r="I738" s="380" t="s">
        <v>1971</v>
      </c>
      <c r="J738" s="301">
        <v>44468</v>
      </c>
      <c r="K738" s="460">
        <f t="shared" si="136"/>
        <v>23000000</v>
      </c>
      <c r="L738" s="460">
        <v>22000000</v>
      </c>
      <c r="M738" s="459"/>
      <c r="N738" s="459"/>
      <c r="O738" s="459"/>
      <c r="P738" s="459">
        <v>1000000</v>
      </c>
      <c r="Q738" s="28">
        <f t="shared" si="125"/>
        <v>0</v>
      </c>
      <c r="R738" s="197">
        <v>44502</v>
      </c>
      <c r="S738" s="197">
        <v>44446</v>
      </c>
      <c r="T738" s="199">
        <v>30</v>
      </c>
      <c r="U738" s="24">
        <f t="shared" si="123"/>
        <v>44498</v>
      </c>
      <c r="V738" t="s">
        <v>2083</v>
      </c>
      <c r="W738"/>
      <c r="X738"/>
      <c r="Y738"/>
      <c r="Z738"/>
      <c r="AA738"/>
      <c r="AB738"/>
      <c r="AC738"/>
      <c r="AD738"/>
      <c r="AE738"/>
      <c r="AF738"/>
      <c r="AG738"/>
      <c r="AH738"/>
      <c r="AI738"/>
      <c r="AJ738"/>
      <c r="AK738"/>
      <c r="AL738"/>
      <c r="AM738"/>
      <c r="AN738"/>
      <c r="AO738"/>
      <c r="AP738"/>
      <c r="AQ738"/>
    </row>
    <row r="739" spans="1:43" s="10" customFormat="1" ht="15.75" customHeight="1" x14ac:dyDescent="0.25">
      <c r="A739" s="55" t="e">
        <f t="shared" si="126"/>
        <v>#REF!</v>
      </c>
      <c r="B739" s="56">
        <v>44466</v>
      </c>
      <c r="C739" s="58"/>
      <c r="D739" s="58"/>
      <c r="E739" s="58"/>
      <c r="F739" s="123" t="s">
        <v>1949</v>
      </c>
      <c r="G739" s="126" t="s">
        <v>1977</v>
      </c>
      <c r="H739" s="45">
        <v>24000000</v>
      </c>
      <c r="I739" s="380" t="s">
        <v>1972</v>
      </c>
      <c r="J739" s="301">
        <v>44468</v>
      </c>
      <c r="K739" s="460">
        <f t="shared" si="136"/>
        <v>24000000</v>
      </c>
      <c r="L739" s="460">
        <v>4000000</v>
      </c>
      <c r="M739" s="459"/>
      <c r="N739" s="459"/>
      <c r="O739" s="459"/>
      <c r="P739" s="459">
        <v>20000000</v>
      </c>
      <c r="Q739" s="28">
        <f t="shared" si="125"/>
        <v>0</v>
      </c>
      <c r="R739" s="197">
        <v>44524</v>
      </c>
      <c r="S739" s="197">
        <v>44446</v>
      </c>
      <c r="T739" s="199">
        <v>30</v>
      </c>
      <c r="U739" s="24">
        <f t="shared" si="123"/>
        <v>44498</v>
      </c>
      <c r="V739" t="s">
        <v>2083</v>
      </c>
      <c r="W739"/>
      <c r="X739"/>
      <c r="Y739"/>
      <c r="Z739"/>
      <c r="AA739"/>
      <c r="AB739"/>
      <c r="AC739"/>
      <c r="AD739"/>
      <c r="AE739"/>
      <c r="AF739"/>
      <c r="AG739"/>
      <c r="AH739"/>
      <c r="AI739"/>
      <c r="AJ739"/>
      <c r="AK739"/>
      <c r="AL739"/>
      <c r="AM739"/>
      <c r="AN739"/>
      <c r="AO739"/>
      <c r="AP739"/>
      <c r="AQ739"/>
    </row>
    <row r="740" spans="1:43" s="10" customFormat="1" ht="15.75" customHeight="1" x14ac:dyDescent="0.25">
      <c r="A740" s="55" t="e">
        <f t="shared" si="126"/>
        <v>#REF!</v>
      </c>
      <c r="B740" s="56">
        <v>44447</v>
      </c>
      <c r="C740" s="58" t="s">
        <v>1984</v>
      </c>
      <c r="D740" s="58"/>
      <c r="E740" s="58"/>
      <c r="F740" s="123" t="s">
        <v>1975</v>
      </c>
      <c r="G740" s="126" t="s">
        <v>1983</v>
      </c>
      <c r="H740" s="45">
        <v>16000000</v>
      </c>
      <c r="I740" s="380" t="s">
        <v>1982</v>
      </c>
      <c r="J740" s="301">
        <v>44468</v>
      </c>
      <c r="K740" s="460">
        <f t="shared" si="136"/>
        <v>16000000</v>
      </c>
      <c r="L740" s="460"/>
      <c r="M740" s="459"/>
      <c r="N740" s="459"/>
      <c r="O740" s="459"/>
      <c r="P740" s="459">
        <v>16000000</v>
      </c>
      <c r="Q740" s="28">
        <f t="shared" si="125"/>
        <v>0</v>
      </c>
      <c r="R740" s="197"/>
      <c r="S740" s="197">
        <v>44453</v>
      </c>
      <c r="T740" s="199">
        <v>14</v>
      </c>
      <c r="U740" s="24">
        <f t="shared" si="123"/>
        <v>44482</v>
      </c>
      <c r="V740" s="59" t="s">
        <v>1981</v>
      </c>
      <c r="W740"/>
      <c r="X740"/>
      <c r="Y740"/>
      <c r="Z740"/>
      <c r="AA740"/>
      <c r="AB740"/>
      <c r="AC740"/>
      <c r="AD740"/>
      <c r="AE740"/>
      <c r="AF740"/>
      <c r="AG740"/>
      <c r="AH740"/>
      <c r="AI740"/>
      <c r="AJ740"/>
      <c r="AK740"/>
      <c r="AL740"/>
      <c r="AM740"/>
      <c r="AN740"/>
      <c r="AO740"/>
      <c r="AP740"/>
      <c r="AQ740"/>
    </row>
    <row r="741" spans="1:43" s="10" customFormat="1" ht="15" customHeight="1" x14ac:dyDescent="0.25">
      <c r="A741" s="55" t="e">
        <f t="shared" si="126"/>
        <v>#REF!</v>
      </c>
      <c r="B741" s="56">
        <v>44462</v>
      </c>
      <c r="C741" s="58" t="s">
        <v>1986</v>
      </c>
      <c r="D741" s="58"/>
      <c r="E741" s="58"/>
      <c r="F741" s="123" t="s">
        <v>1840</v>
      </c>
      <c r="G741" s="126" t="s">
        <v>1987</v>
      </c>
      <c r="H741" s="45">
        <v>10000000</v>
      </c>
      <c r="I741" s="380" t="s">
        <v>1985</v>
      </c>
      <c r="J741" s="301">
        <v>44468</v>
      </c>
      <c r="K741" s="460">
        <f t="shared" si="136"/>
        <v>10000000</v>
      </c>
      <c r="L741" s="460"/>
      <c r="M741" s="459"/>
      <c r="N741" s="459"/>
      <c r="O741" s="459"/>
      <c r="P741" s="459">
        <v>10000000</v>
      </c>
      <c r="Q741" s="28">
        <f t="shared" si="125"/>
        <v>0</v>
      </c>
      <c r="R741" s="199"/>
      <c r="S741" s="197">
        <v>44474</v>
      </c>
      <c r="T741" s="199">
        <v>30</v>
      </c>
      <c r="U741" s="24">
        <f t="shared" si="123"/>
        <v>44498</v>
      </c>
      <c r="V741" s="995" t="s">
        <v>2604</v>
      </c>
      <c r="W741"/>
      <c r="X741"/>
      <c r="Y741"/>
      <c r="Z741"/>
      <c r="AA741"/>
      <c r="AB741"/>
      <c r="AC741"/>
      <c r="AD741"/>
      <c r="AE741"/>
      <c r="AF741"/>
      <c r="AG741"/>
      <c r="AH741"/>
      <c r="AI741"/>
      <c r="AJ741"/>
      <c r="AK741"/>
      <c r="AL741"/>
      <c r="AM741"/>
      <c r="AN741"/>
      <c r="AO741"/>
      <c r="AP741"/>
      <c r="AQ741"/>
    </row>
    <row r="742" spans="1:43" s="10" customFormat="1" ht="15.75" customHeight="1" x14ac:dyDescent="0.25">
      <c r="A742" s="55" t="e">
        <f t="shared" si="126"/>
        <v>#REF!</v>
      </c>
      <c r="B742" s="56">
        <v>44463</v>
      </c>
      <c r="C742" s="58"/>
      <c r="D742" s="58"/>
      <c r="E742" s="58"/>
      <c r="F742" s="123" t="s">
        <v>1840</v>
      </c>
      <c r="G742" s="126" t="s">
        <v>1989</v>
      </c>
      <c r="H742" s="45">
        <v>8000000</v>
      </c>
      <c r="I742" s="380" t="s">
        <v>1988</v>
      </c>
      <c r="J742" s="301">
        <v>44468</v>
      </c>
      <c r="K742" s="460">
        <f t="shared" si="136"/>
        <v>8000000</v>
      </c>
      <c r="L742" s="460"/>
      <c r="M742" s="459"/>
      <c r="N742" s="459"/>
      <c r="O742" s="459"/>
      <c r="P742" s="459">
        <v>8000000</v>
      </c>
      <c r="Q742" s="28">
        <f t="shared" si="125"/>
        <v>0</v>
      </c>
      <c r="R742" s="858" t="s">
        <v>2332</v>
      </c>
      <c r="S742" s="855"/>
      <c r="T742" s="199">
        <v>30</v>
      </c>
      <c r="U742" s="24">
        <f t="shared" si="123"/>
        <v>44498</v>
      </c>
      <c r="V742" s="996"/>
      <c r="W742"/>
      <c r="X742"/>
      <c r="Y742"/>
      <c r="Z742"/>
      <c r="AA742"/>
      <c r="AB742"/>
      <c r="AC742"/>
      <c r="AD742"/>
      <c r="AE742"/>
      <c r="AF742"/>
      <c r="AG742"/>
      <c r="AH742"/>
      <c r="AI742"/>
      <c r="AJ742"/>
      <c r="AK742"/>
      <c r="AL742"/>
      <c r="AM742"/>
      <c r="AN742"/>
      <c r="AO742"/>
      <c r="AP742"/>
      <c r="AQ742"/>
    </row>
    <row r="743" spans="1:43" s="10" customFormat="1" ht="15.75" customHeight="1" x14ac:dyDescent="0.25">
      <c r="A743" s="55" t="e">
        <f t="shared" si="126"/>
        <v>#REF!</v>
      </c>
      <c r="B743" s="56">
        <v>44467</v>
      </c>
      <c r="C743" s="58"/>
      <c r="D743" s="58"/>
      <c r="E743" s="58"/>
      <c r="F743" s="123" t="s">
        <v>1840</v>
      </c>
      <c r="G743" s="126" t="s">
        <v>1991</v>
      </c>
      <c r="H743" s="45">
        <v>4000000</v>
      </c>
      <c r="I743" s="380" t="s">
        <v>1990</v>
      </c>
      <c r="J743" s="301">
        <v>44468</v>
      </c>
      <c r="K743" s="460">
        <f t="shared" si="136"/>
        <v>4000000</v>
      </c>
      <c r="L743" s="460"/>
      <c r="M743" s="459"/>
      <c r="N743" s="459"/>
      <c r="O743" s="459"/>
      <c r="P743" s="459">
        <v>4000000</v>
      </c>
      <c r="Q743" s="28">
        <f t="shared" si="125"/>
        <v>0</v>
      </c>
      <c r="R743" s="858" t="s">
        <v>2332</v>
      </c>
      <c r="S743" s="480"/>
      <c r="T743" s="199">
        <v>30</v>
      </c>
      <c r="U743" s="24">
        <f t="shared" si="123"/>
        <v>44498</v>
      </c>
      <c r="V743" s="996"/>
      <c r="W743"/>
      <c r="X743"/>
      <c r="Y743"/>
      <c r="Z743"/>
      <c r="AA743"/>
      <c r="AB743"/>
      <c r="AC743"/>
      <c r="AD743"/>
      <c r="AE743"/>
      <c r="AF743"/>
      <c r="AG743"/>
      <c r="AH743"/>
      <c r="AI743"/>
      <c r="AJ743"/>
      <c r="AK743"/>
      <c r="AL743"/>
      <c r="AM743"/>
      <c r="AN743"/>
      <c r="AO743"/>
      <c r="AP743"/>
      <c r="AQ743"/>
    </row>
    <row r="744" spans="1:43" s="10" customFormat="1" ht="15.75" customHeight="1" x14ac:dyDescent="0.25">
      <c r="A744" s="55" t="e">
        <f t="shared" si="126"/>
        <v>#REF!</v>
      </c>
      <c r="B744" s="56">
        <v>44468</v>
      </c>
      <c r="C744" s="58"/>
      <c r="D744" s="58"/>
      <c r="E744" s="58"/>
      <c r="F744" s="123" t="s">
        <v>1840</v>
      </c>
      <c r="G744" s="126" t="s">
        <v>1880</v>
      </c>
      <c r="H744" s="45">
        <v>7500000</v>
      </c>
      <c r="I744" s="380" t="s">
        <v>1992</v>
      </c>
      <c r="J744" s="301">
        <v>44468</v>
      </c>
      <c r="K744" s="460">
        <f t="shared" si="136"/>
        <v>7500000</v>
      </c>
      <c r="L744" s="460"/>
      <c r="M744" s="459"/>
      <c r="N744" s="459"/>
      <c r="O744" s="459"/>
      <c r="P744" s="459">
        <v>7500000</v>
      </c>
      <c r="Q744" s="28">
        <f t="shared" si="125"/>
        <v>0</v>
      </c>
      <c r="R744" s="858" t="s">
        <v>2332</v>
      </c>
      <c r="S744" s="480"/>
      <c r="T744" s="199">
        <v>30</v>
      </c>
      <c r="U744" s="24">
        <f t="shared" si="123"/>
        <v>44498</v>
      </c>
      <c r="V744" s="996"/>
      <c r="W744"/>
      <c r="X744"/>
      <c r="Y744"/>
      <c r="Z744"/>
      <c r="AA744"/>
      <c r="AB744"/>
      <c r="AC744"/>
      <c r="AD744"/>
      <c r="AE744"/>
      <c r="AF744"/>
      <c r="AG744"/>
      <c r="AH744"/>
      <c r="AI744"/>
      <c r="AJ744"/>
      <c r="AK744"/>
      <c r="AL744"/>
      <c r="AM744"/>
      <c r="AN744"/>
      <c r="AO744"/>
      <c r="AP744"/>
      <c r="AQ744"/>
    </row>
    <row r="745" spans="1:43" s="10" customFormat="1" ht="15.75" customHeight="1" x14ac:dyDescent="0.25">
      <c r="A745" s="55" t="e">
        <f t="shared" si="126"/>
        <v>#REF!</v>
      </c>
      <c r="B745" s="56">
        <v>44468</v>
      </c>
      <c r="C745" s="58" t="s">
        <v>1995</v>
      </c>
      <c r="D745" s="58"/>
      <c r="E745" s="58"/>
      <c r="F745" s="123" t="s">
        <v>1994</v>
      </c>
      <c r="G745" s="334" t="s">
        <v>161</v>
      </c>
      <c r="H745" s="45">
        <v>1875000</v>
      </c>
      <c r="I745" s="380" t="s">
        <v>1993</v>
      </c>
      <c r="J745" s="301">
        <v>44469</v>
      </c>
      <c r="K745" s="460">
        <f t="shared" si="136"/>
        <v>1875000</v>
      </c>
      <c r="L745" s="460"/>
      <c r="M745" s="459"/>
      <c r="N745" s="459"/>
      <c r="O745" s="459"/>
      <c r="P745" s="459">
        <v>1875000</v>
      </c>
      <c r="Q745" s="28">
        <f t="shared" si="125"/>
        <v>0</v>
      </c>
      <c r="R745" s="199"/>
      <c r="S745" s="197">
        <v>44469</v>
      </c>
      <c r="T745" s="199">
        <v>14</v>
      </c>
      <c r="U745" s="24">
        <f t="shared" si="123"/>
        <v>44483</v>
      </c>
      <c r="V745"/>
      <c r="W745"/>
      <c r="X745"/>
      <c r="Y745"/>
      <c r="Z745"/>
      <c r="AA745"/>
      <c r="AB745"/>
      <c r="AC745"/>
      <c r="AD745"/>
      <c r="AE745"/>
      <c r="AF745"/>
      <c r="AG745"/>
      <c r="AH745"/>
      <c r="AI745"/>
      <c r="AJ745"/>
      <c r="AK745"/>
      <c r="AL745"/>
      <c r="AM745"/>
      <c r="AN745"/>
      <c r="AO745"/>
      <c r="AP745"/>
      <c r="AQ745"/>
    </row>
    <row r="746" spans="1:43" s="10" customFormat="1" ht="15.75" customHeight="1" x14ac:dyDescent="0.25">
      <c r="A746" s="55" t="e">
        <f t="shared" si="126"/>
        <v>#REF!</v>
      </c>
      <c r="B746" s="56">
        <v>44463</v>
      </c>
      <c r="C746" s="58" t="s">
        <v>2132</v>
      </c>
      <c r="D746" s="58"/>
      <c r="E746" s="58"/>
      <c r="F746" s="123" t="s">
        <v>1272</v>
      </c>
      <c r="G746" s="334" t="s">
        <v>1887</v>
      </c>
      <c r="H746" s="45">
        <v>9891000</v>
      </c>
      <c r="I746" s="380" t="s">
        <v>2131</v>
      </c>
      <c r="J746" s="301">
        <v>44470</v>
      </c>
      <c r="K746" s="460">
        <f t="shared" si="136"/>
        <v>9891000</v>
      </c>
      <c r="L746" s="460"/>
      <c r="M746" s="459">
        <v>1000000</v>
      </c>
      <c r="N746" s="459"/>
      <c r="O746" s="459"/>
      <c r="P746" s="459">
        <v>9891000</v>
      </c>
      <c r="Q746" s="28">
        <f t="shared" ref="Q746:Q773" si="137">K746-L746-M746-O746-P746+N746</f>
        <v>-1000000</v>
      </c>
      <c r="R746" s="199"/>
      <c r="S746" s="197">
        <v>44484</v>
      </c>
      <c r="T746" s="199">
        <v>14</v>
      </c>
      <c r="U746" s="24">
        <f t="shared" si="123"/>
        <v>44484</v>
      </c>
      <c r="V746"/>
      <c r="W746"/>
      <c r="X746"/>
      <c r="Y746"/>
      <c r="Z746"/>
      <c r="AA746"/>
      <c r="AB746"/>
      <c r="AC746"/>
      <c r="AD746"/>
      <c r="AE746"/>
      <c r="AF746"/>
      <c r="AG746"/>
      <c r="AH746"/>
      <c r="AI746"/>
      <c r="AJ746"/>
      <c r="AK746"/>
      <c r="AL746"/>
      <c r="AM746"/>
      <c r="AN746"/>
      <c r="AO746"/>
      <c r="AP746"/>
      <c r="AQ746"/>
    </row>
    <row r="747" spans="1:43" s="10" customFormat="1" ht="15.75" customHeight="1" x14ac:dyDescent="0.25">
      <c r="A747" s="55" t="e">
        <f t="shared" si="126"/>
        <v>#REF!</v>
      </c>
      <c r="B747" s="56">
        <v>44443</v>
      </c>
      <c r="C747" s="58" t="s">
        <v>2134</v>
      </c>
      <c r="D747" s="58"/>
      <c r="E747" s="58">
        <v>116</v>
      </c>
      <c r="F747" s="110" t="s">
        <v>260</v>
      </c>
      <c r="G747" s="334" t="s">
        <v>2135</v>
      </c>
      <c r="H747" s="45">
        <v>2500000</v>
      </c>
      <c r="I747" s="380" t="s">
        <v>2133</v>
      </c>
      <c r="J747" s="301">
        <v>44471</v>
      </c>
      <c r="K747" s="460">
        <f t="shared" si="136"/>
        <v>2500000</v>
      </c>
      <c r="L747" s="460"/>
      <c r="M747" s="459"/>
      <c r="N747" s="459"/>
      <c r="O747" s="459"/>
      <c r="P747" s="459">
        <v>2500000</v>
      </c>
      <c r="Q747" s="28">
        <f t="shared" si="137"/>
        <v>0</v>
      </c>
      <c r="R747" s="199"/>
      <c r="S747" s="197">
        <v>44610</v>
      </c>
      <c r="T747" s="199">
        <v>30</v>
      </c>
      <c r="U747" s="24">
        <f t="shared" si="123"/>
        <v>44501</v>
      </c>
      <c r="V747"/>
      <c r="W747"/>
      <c r="X747"/>
      <c r="Y747"/>
      <c r="Z747"/>
      <c r="AA747"/>
      <c r="AB747"/>
      <c r="AC747"/>
      <c r="AD747"/>
      <c r="AE747"/>
      <c r="AF747"/>
      <c r="AG747"/>
      <c r="AH747"/>
      <c r="AI747"/>
      <c r="AJ747"/>
      <c r="AK747"/>
      <c r="AL747"/>
      <c r="AM747"/>
      <c r="AN747"/>
      <c r="AO747"/>
      <c r="AP747"/>
      <c r="AQ747"/>
    </row>
    <row r="748" spans="1:43" s="10" customFormat="1" ht="15.75" customHeight="1" x14ac:dyDescent="0.25">
      <c r="A748" s="55" t="e">
        <f t="shared" si="126"/>
        <v>#REF!</v>
      </c>
      <c r="B748" s="56">
        <v>44460</v>
      </c>
      <c r="C748" s="58" t="s">
        <v>2137</v>
      </c>
      <c r="D748" s="58"/>
      <c r="E748" s="58"/>
      <c r="F748" s="123" t="s">
        <v>933</v>
      </c>
      <c r="G748" s="334" t="s">
        <v>2138</v>
      </c>
      <c r="H748" s="45">
        <v>30000000</v>
      </c>
      <c r="I748" s="380" t="s">
        <v>2136</v>
      </c>
      <c r="J748" s="301">
        <v>44476</v>
      </c>
      <c r="K748" s="460">
        <f t="shared" si="136"/>
        <v>30000000</v>
      </c>
      <c r="L748" s="460"/>
      <c r="M748" s="459"/>
      <c r="N748" s="459"/>
      <c r="O748" s="459"/>
      <c r="P748" s="459">
        <v>30000000</v>
      </c>
      <c r="Q748" s="28">
        <f t="shared" si="137"/>
        <v>0</v>
      </c>
      <c r="R748" s="199"/>
      <c r="S748" s="197">
        <v>44438</v>
      </c>
      <c r="T748" s="2">
        <v>14</v>
      </c>
      <c r="U748" s="24">
        <f t="shared" ref="U748:U773" si="138">J748+T748</f>
        <v>44490</v>
      </c>
      <c r="V748"/>
      <c r="W748"/>
      <c r="X748"/>
      <c r="Y748"/>
      <c r="Z748"/>
      <c r="AA748"/>
      <c r="AB748"/>
      <c r="AC748"/>
      <c r="AD748"/>
      <c r="AE748"/>
      <c r="AF748"/>
      <c r="AG748"/>
      <c r="AH748"/>
      <c r="AI748"/>
      <c r="AJ748"/>
      <c r="AK748"/>
      <c r="AL748"/>
      <c r="AM748"/>
      <c r="AN748"/>
      <c r="AO748"/>
      <c r="AP748"/>
      <c r="AQ748"/>
    </row>
    <row r="749" spans="1:43" s="10" customFormat="1" ht="15.75" customHeight="1" x14ac:dyDescent="0.25">
      <c r="A749" s="55" t="e">
        <f t="shared" si="126"/>
        <v>#REF!</v>
      </c>
      <c r="B749" s="56" t="s">
        <v>2141</v>
      </c>
      <c r="C749" s="58" t="s">
        <v>2142</v>
      </c>
      <c r="D749" s="58"/>
      <c r="E749" s="58"/>
      <c r="F749" s="123" t="s">
        <v>933</v>
      </c>
      <c r="G749" s="334" t="s">
        <v>2140</v>
      </c>
      <c r="H749" s="45">
        <v>140981640</v>
      </c>
      <c r="I749" s="380" t="s">
        <v>2139</v>
      </c>
      <c r="J749" s="301">
        <v>44476</v>
      </c>
      <c r="K749" s="460">
        <f t="shared" si="136"/>
        <v>140981640</v>
      </c>
      <c r="L749" s="460">
        <v>140000000</v>
      </c>
      <c r="M749" s="459"/>
      <c r="N749" s="459"/>
      <c r="O749" s="459"/>
      <c r="P749" s="459">
        <v>981640</v>
      </c>
      <c r="Q749" s="28">
        <f t="shared" si="137"/>
        <v>0</v>
      </c>
      <c r="R749" s="197">
        <v>44438</v>
      </c>
      <c r="S749" s="197">
        <v>44519</v>
      </c>
      <c r="T749" s="2">
        <v>14</v>
      </c>
      <c r="U749" s="24">
        <f t="shared" si="138"/>
        <v>44490</v>
      </c>
      <c r="V749"/>
      <c r="W749"/>
      <c r="X749"/>
      <c r="Y749"/>
      <c r="Z749"/>
      <c r="AA749"/>
      <c r="AB749"/>
      <c r="AC749"/>
      <c r="AD749"/>
      <c r="AE749"/>
      <c r="AF749"/>
      <c r="AG749"/>
      <c r="AH749"/>
      <c r="AI749"/>
      <c r="AJ749"/>
      <c r="AK749"/>
      <c r="AL749"/>
      <c r="AM749"/>
      <c r="AN749"/>
      <c r="AO749"/>
      <c r="AP749"/>
      <c r="AQ749"/>
    </row>
    <row r="750" spans="1:43" s="10" customFormat="1" ht="15.75" customHeight="1" x14ac:dyDescent="0.25">
      <c r="A750" s="55" t="e">
        <f t="shared" si="126"/>
        <v>#REF!</v>
      </c>
      <c r="B750" s="470">
        <v>44447</v>
      </c>
      <c r="C750" s="58" t="s">
        <v>2153</v>
      </c>
      <c r="D750" s="58"/>
      <c r="E750" s="58"/>
      <c r="F750" s="123" t="s">
        <v>933</v>
      </c>
      <c r="G750" s="333" t="s">
        <v>2152</v>
      </c>
      <c r="H750" s="45">
        <v>7907000</v>
      </c>
      <c r="I750" s="380" t="s">
        <v>2151</v>
      </c>
      <c r="J750" s="507">
        <v>44483</v>
      </c>
      <c r="K750" s="460">
        <f t="shared" si="136"/>
        <v>7907000</v>
      </c>
      <c r="L750" s="460"/>
      <c r="M750" s="459"/>
      <c r="N750" s="459"/>
      <c r="O750" s="459"/>
      <c r="P750" s="459">
        <v>7907000</v>
      </c>
      <c r="Q750" s="28">
        <f t="shared" si="137"/>
        <v>0</v>
      </c>
      <c r="R750" s="199"/>
      <c r="S750" s="197">
        <v>44519</v>
      </c>
      <c r="T750" s="2">
        <v>14</v>
      </c>
      <c r="U750" s="24">
        <f t="shared" si="138"/>
        <v>44497</v>
      </c>
      <c r="V750"/>
      <c r="W750"/>
      <c r="X750"/>
      <c r="Y750"/>
      <c r="Z750"/>
      <c r="AA750"/>
      <c r="AB750"/>
      <c r="AC750"/>
      <c r="AD750"/>
      <c r="AE750"/>
      <c r="AF750"/>
      <c r="AG750"/>
      <c r="AH750"/>
      <c r="AI750"/>
      <c r="AJ750"/>
      <c r="AK750"/>
      <c r="AL750"/>
      <c r="AM750"/>
      <c r="AN750"/>
      <c r="AO750"/>
      <c r="AP750"/>
      <c r="AQ750"/>
    </row>
    <row r="751" spans="1:43" s="10" customFormat="1" ht="15.75" customHeight="1" x14ac:dyDescent="0.25">
      <c r="A751" s="55" t="e">
        <f t="shared" ref="A751:A773" si="139">A750+1</f>
        <v>#REF!</v>
      </c>
      <c r="B751" s="470">
        <v>44447</v>
      </c>
      <c r="C751" s="601" t="s">
        <v>2156</v>
      </c>
      <c r="D751" s="366"/>
      <c r="E751" s="58"/>
      <c r="F751" s="123" t="s">
        <v>933</v>
      </c>
      <c r="G751" s="333" t="s">
        <v>2155</v>
      </c>
      <c r="H751" s="45">
        <v>22275000</v>
      </c>
      <c r="I751" s="380" t="s">
        <v>2154</v>
      </c>
      <c r="J751" s="507">
        <v>44483</v>
      </c>
      <c r="K751" s="460">
        <f t="shared" si="136"/>
        <v>22275000</v>
      </c>
      <c r="L751" s="460"/>
      <c r="M751" s="459"/>
      <c r="N751" s="459"/>
      <c r="O751" s="459"/>
      <c r="P751" s="459">
        <v>22275000</v>
      </c>
      <c r="Q751" s="28">
        <f t="shared" si="137"/>
        <v>0</v>
      </c>
      <c r="R751" s="199"/>
      <c r="S751" s="197">
        <v>44519</v>
      </c>
      <c r="T751" s="2">
        <v>14</v>
      </c>
      <c r="U751" s="24">
        <f t="shared" si="138"/>
        <v>44497</v>
      </c>
      <c r="V751"/>
      <c r="W751"/>
      <c r="X751"/>
      <c r="Y751"/>
      <c r="Z751"/>
      <c r="AA751"/>
      <c r="AB751"/>
      <c r="AC751"/>
      <c r="AD751"/>
      <c r="AE751"/>
      <c r="AF751"/>
      <c r="AG751"/>
      <c r="AH751"/>
      <c r="AI751"/>
      <c r="AJ751"/>
      <c r="AK751"/>
      <c r="AL751"/>
      <c r="AM751"/>
      <c r="AN751"/>
      <c r="AO751"/>
      <c r="AP751"/>
      <c r="AQ751"/>
    </row>
    <row r="752" spans="1:43" s="10" customFormat="1" ht="15.75" customHeight="1" x14ac:dyDescent="0.25">
      <c r="A752" s="55" t="e">
        <f t="shared" si="139"/>
        <v>#REF!</v>
      </c>
      <c r="B752" s="470">
        <v>44447</v>
      </c>
      <c r="C752" s="58" t="s">
        <v>2159</v>
      </c>
      <c r="D752" s="58"/>
      <c r="E752" s="58"/>
      <c r="F752" s="123" t="s">
        <v>933</v>
      </c>
      <c r="G752" s="333" t="s">
        <v>2158</v>
      </c>
      <c r="H752" s="45">
        <v>19557000</v>
      </c>
      <c r="I752" s="380" t="s">
        <v>2157</v>
      </c>
      <c r="J752" s="507">
        <v>44483</v>
      </c>
      <c r="K752" s="460">
        <f t="shared" si="136"/>
        <v>19557000</v>
      </c>
      <c r="L752" s="460">
        <v>18836360</v>
      </c>
      <c r="M752" s="459"/>
      <c r="N752" s="459"/>
      <c r="O752" s="459"/>
      <c r="P752" s="459">
        <v>720640</v>
      </c>
      <c r="Q752" s="28">
        <f t="shared" si="137"/>
        <v>0</v>
      </c>
      <c r="R752" s="197">
        <v>44519</v>
      </c>
      <c r="S752" s="197">
        <v>44526</v>
      </c>
      <c r="T752" s="2">
        <v>14</v>
      </c>
      <c r="U752" s="24">
        <f t="shared" si="138"/>
        <v>44497</v>
      </c>
      <c r="V752"/>
      <c r="W752"/>
      <c r="X752"/>
      <c r="Y752"/>
      <c r="Z752"/>
      <c r="AA752"/>
      <c r="AB752"/>
      <c r="AC752"/>
      <c r="AD752"/>
      <c r="AE752"/>
      <c r="AF752"/>
      <c r="AG752"/>
      <c r="AH752"/>
      <c r="AI752"/>
      <c r="AJ752"/>
      <c r="AK752"/>
      <c r="AL752"/>
      <c r="AM752"/>
      <c r="AN752"/>
      <c r="AO752"/>
      <c r="AP752"/>
      <c r="AQ752"/>
    </row>
    <row r="753" spans="1:43" s="10" customFormat="1" ht="15.75" customHeight="1" x14ac:dyDescent="0.25">
      <c r="A753" s="55" t="e">
        <f t="shared" si="139"/>
        <v>#REF!</v>
      </c>
      <c r="B753" s="470">
        <v>44447</v>
      </c>
      <c r="C753" s="58" t="s">
        <v>2162</v>
      </c>
      <c r="D753" s="58"/>
      <c r="E753" s="58"/>
      <c r="F753" s="123" t="s">
        <v>933</v>
      </c>
      <c r="G753" s="333" t="s">
        <v>2161</v>
      </c>
      <c r="H753" s="45">
        <v>55146000</v>
      </c>
      <c r="I753" s="380" t="s">
        <v>2160</v>
      </c>
      <c r="J753" s="507">
        <v>44483</v>
      </c>
      <c r="K753" s="460">
        <f t="shared" si="136"/>
        <v>55146000</v>
      </c>
      <c r="L753" s="460">
        <v>49279360</v>
      </c>
      <c r="M753" s="459"/>
      <c r="N753" s="459"/>
      <c r="O753" s="459"/>
      <c r="P753" s="459">
        <v>5866640</v>
      </c>
      <c r="Q753" s="28">
        <f t="shared" si="137"/>
        <v>0</v>
      </c>
      <c r="R753" s="197">
        <v>44526</v>
      </c>
      <c r="S753" s="197">
        <v>44505</v>
      </c>
      <c r="T753" s="2">
        <v>14</v>
      </c>
      <c r="U753" s="24">
        <f t="shared" si="138"/>
        <v>44497</v>
      </c>
      <c r="V753"/>
      <c r="W753"/>
      <c r="X753"/>
      <c r="Y753"/>
      <c r="Z753"/>
      <c r="AA753"/>
      <c r="AB753"/>
      <c r="AC753"/>
      <c r="AD753"/>
      <c r="AE753"/>
      <c r="AF753"/>
      <c r="AG753"/>
      <c r="AH753"/>
      <c r="AI753"/>
      <c r="AJ753"/>
      <c r="AK753"/>
      <c r="AL753"/>
      <c r="AM753"/>
      <c r="AN753"/>
      <c r="AO753"/>
      <c r="AP753"/>
      <c r="AQ753"/>
    </row>
    <row r="754" spans="1:43" s="10" customFormat="1" ht="15.75" customHeight="1" x14ac:dyDescent="0.25">
      <c r="A754" s="55" t="e">
        <f t="shared" si="139"/>
        <v>#REF!</v>
      </c>
      <c r="B754" s="470">
        <v>44447</v>
      </c>
      <c r="C754" s="58" t="s">
        <v>2165</v>
      </c>
      <c r="D754" s="58"/>
      <c r="E754" s="58"/>
      <c r="F754" s="123" t="s">
        <v>933</v>
      </c>
      <c r="G754" s="333" t="s">
        <v>2164</v>
      </c>
      <c r="H754" s="45">
        <v>13724000</v>
      </c>
      <c r="I754" s="380" t="s">
        <v>2163</v>
      </c>
      <c r="J754" s="507">
        <v>44483</v>
      </c>
      <c r="K754" s="460">
        <f t="shared" si="136"/>
        <v>13724000</v>
      </c>
      <c r="L754" s="460"/>
      <c r="M754" s="459"/>
      <c r="N754" s="459"/>
      <c r="O754" s="459"/>
      <c r="P754" s="459">
        <v>13724000</v>
      </c>
      <c r="Q754" s="28">
        <f t="shared" si="137"/>
        <v>0</v>
      </c>
      <c r="R754" s="199"/>
      <c r="S754" s="197">
        <v>44505</v>
      </c>
      <c r="T754" s="2">
        <v>14</v>
      </c>
      <c r="U754" s="24">
        <f t="shared" si="138"/>
        <v>44497</v>
      </c>
      <c r="V754"/>
      <c r="W754"/>
      <c r="X754"/>
      <c r="Y754"/>
      <c r="Z754"/>
      <c r="AA754"/>
      <c r="AB754"/>
      <c r="AC754"/>
      <c r="AD754"/>
      <c r="AE754"/>
      <c r="AF754"/>
      <c r="AG754"/>
      <c r="AH754"/>
      <c r="AI754"/>
      <c r="AJ754"/>
      <c r="AK754"/>
      <c r="AL754"/>
      <c r="AM754"/>
      <c r="AN754"/>
      <c r="AO754"/>
      <c r="AP754"/>
      <c r="AQ754"/>
    </row>
    <row r="755" spans="1:43" s="10" customFormat="1" ht="15.75" customHeight="1" x14ac:dyDescent="0.25">
      <c r="A755" s="55" t="e">
        <f t="shared" si="139"/>
        <v>#REF!</v>
      </c>
      <c r="B755" s="470">
        <v>44446</v>
      </c>
      <c r="C755" s="58" t="s">
        <v>2167</v>
      </c>
      <c r="D755" s="58"/>
      <c r="E755" s="58">
        <v>113</v>
      </c>
      <c r="F755" s="110" t="s">
        <v>260</v>
      </c>
      <c r="G755" s="333" t="s">
        <v>41</v>
      </c>
      <c r="H755" s="45">
        <v>14000000</v>
      </c>
      <c r="I755" s="380" t="s">
        <v>2166</v>
      </c>
      <c r="J755" s="507">
        <v>44484</v>
      </c>
      <c r="K755" s="460">
        <f t="shared" si="136"/>
        <v>14000000</v>
      </c>
      <c r="L755" s="460"/>
      <c r="M755" s="459"/>
      <c r="N755" s="459"/>
      <c r="O755" s="459"/>
      <c r="P755" s="459"/>
      <c r="Q755" s="28">
        <f t="shared" si="137"/>
        <v>14000000</v>
      </c>
      <c r="R755" s="199"/>
      <c r="S755" s="197"/>
      <c r="T755" s="199">
        <v>30</v>
      </c>
      <c r="U755" s="24">
        <f t="shared" si="138"/>
        <v>44514</v>
      </c>
      <c r="V755"/>
      <c r="W755"/>
      <c r="X755"/>
      <c r="Y755"/>
      <c r="Z755"/>
      <c r="AA755"/>
      <c r="AB755"/>
      <c r="AC755"/>
      <c r="AD755"/>
      <c r="AE755"/>
      <c r="AF755"/>
      <c r="AG755"/>
      <c r="AH755"/>
      <c r="AI755"/>
      <c r="AJ755"/>
      <c r="AK755"/>
      <c r="AL755"/>
      <c r="AM755"/>
      <c r="AN755"/>
      <c r="AO755"/>
      <c r="AP755"/>
      <c r="AQ755"/>
    </row>
    <row r="756" spans="1:43" s="10" customFormat="1" ht="15.75" customHeight="1" x14ac:dyDescent="0.25">
      <c r="A756" s="55" t="e">
        <f t="shared" si="139"/>
        <v>#REF!</v>
      </c>
      <c r="B756" s="470">
        <v>44452</v>
      </c>
      <c r="C756" s="58" t="s">
        <v>2169</v>
      </c>
      <c r="D756" s="58"/>
      <c r="E756" s="58">
        <v>114</v>
      </c>
      <c r="F756" s="110" t="s">
        <v>260</v>
      </c>
      <c r="G756" s="333" t="s">
        <v>2170</v>
      </c>
      <c r="H756" s="45">
        <v>14000000</v>
      </c>
      <c r="I756" s="380" t="s">
        <v>2168</v>
      </c>
      <c r="J756" s="507">
        <v>44484</v>
      </c>
      <c r="K756" s="460">
        <f t="shared" si="136"/>
        <v>14000000</v>
      </c>
      <c r="L756" s="460"/>
      <c r="M756" s="459"/>
      <c r="N756" s="459"/>
      <c r="O756" s="459"/>
      <c r="P756" s="459"/>
      <c r="Q756" s="28">
        <f t="shared" si="137"/>
        <v>14000000</v>
      </c>
      <c r="R756" s="199"/>
      <c r="S756" s="197"/>
      <c r="T756" s="199">
        <v>30</v>
      </c>
      <c r="U756" s="24">
        <f t="shared" si="138"/>
        <v>44514</v>
      </c>
      <c r="V756"/>
      <c r="W756"/>
      <c r="X756"/>
      <c r="Y756"/>
      <c r="Z756"/>
      <c r="AA756"/>
      <c r="AB756"/>
      <c r="AC756"/>
      <c r="AD756"/>
      <c r="AE756"/>
      <c r="AF756"/>
      <c r="AG756"/>
      <c r="AH756"/>
      <c r="AI756"/>
      <c r="AJ756"/>
      <c r="AK756"/>
      <c r="AL756"/>
      <c r="AM756"/>
      <c r="AN756"/>
      <c r="AO756"/>
      <c r="AP756"/>
      <c r="AQ756"/>
    </row>
    <row r="757" spans="1:43" s="10" customFormat="1" ht="15.75" customHeight="1" x14ac:dyDescent="0.25">
      <c r="A757" s="55" t="e">
        <f t="shared" si="139"/>
        <v>#REF!</v>
      </c>
      <c r="B757" s="470">
        <v>44466</v>
      </c>
      <c r="C757" s="448" t="s">
        <v>2172</v>
      </c>
      <c r="D757" s="332"/>
      <c r="E757" s="58">
        <v>123</v>
      </c>
      <c r="F757" s="110" t="s">
        <v>260</v>
      </c>
      <c r="G757" s="334" t="s">
        <v>2173</v>
      </c>
      <c r="H757" s="45">
        <v>4500000</v>
      </c>
      <c r="I757" s="380" t="s">
        <v>2171</v>
      </c>
      <c r="J757" s="507">
        <v>44484</v>
      </c>
      <c r="K757" s="460">
        <f t="shared" si="136"/>
        <v>4500000</v>
      </c>
      <c r="L757" s="460"/>
      <c r="M757" s="459"/>
      <c r="N757" s="459"/>
      <c r="O757" s="459"/>
      <c r="P757" s="459">
        <v>4500000</v>
      </c>
      <c r="Q757" s="28">
        <f t="shared" si="137"/>
        <v>0</v>
      </c>
      <c r="R757" s="199"/>
      <c r="S757" s="197">
        <v>44610</v>
      </c>
      <c r="T757" s="199">
        <v>30</v>
      </c>
      <c r="U757" s="24">
        <f t="shared" si="138"/>
        <v>44514</v>
      </c>
      <c r="V757"/>
      <c r="W757"/>
      <c r="X757"/>
      <c r="Y757"/>
      <c r="Z757"/>
      <c r="AA757"/>
      <c r="AB757"/>
      <c r="AC757"/>
      <c r="AD757"/>
      <c r="AE757"/>
      <c r="AF757"/>
      <c r="AG757"/>
      <c r="AH757"/>
      <c r="AI757"/>
      <c r="AJ757"/>
      <c r="AK757"/>
      <c r="AL757"/>
      <c r="AM757"/>
      <c r="AN757"/>
      <c r="AO757"/>
      <c r="AP757"/>
      <c r="AQ757"/>
    </row>
    <row r="758" spans="1:43" s="10" customFormat="1" ht="15.75" customHeight="1" x14ac:dyDescent="0.25">
      <c r="A758" s="55" t="e">
        <f t="shared" si="139"/>
        <v>#REF!</v>
      </c>
      <c r="B758" s="470">
        <v>44466</v>
      </c>
      <c r="C758" s="448" t="s">
        <v>2189</v>
      </c>
      <c r="D758" s="332"/>
      <c r="E758" s="58"/>
      <c r="F758" s="31" t="s">
        <v>242</v>
      </c>
      <c r="G758" s="334" t="s">
        <v>2188</v>
      </c>
      <c r="H758" s="45">
        <v>17222500</v>
      </c>
      <c r="I758" s="380" t="s">
        <v>2187</v>
      </c>
      <c r="J758" s="507">
        <v>44487</v>
      </c>
      <c r="K758" s="569">
        <f t="shared" si="136"/>
        <v>17222500</v>
      </c>
      <c r="L758" s="460"/>
      <c r="M758" s="459"/>
      <c r="N758" s="459"/>
      <c r="O758" s="459"/>
      <c r="P758" s="459">
        <v>17222500</v>
      </c>
      <c r="Q758" s="28">
        <f t="shared" si="137"/>
        <v>0</v>
      </c>
      <c r="R758" s="197"/>
      <c r="S758" s="197">
        <v>44532</v>
      </c>
      <c r="T758" s="199">
        <v>14</v>
      </c>
      <c r="U758" s="24">
        <f t="shared" si="138"/>
        <v>44501</v>
      </c>
      <c r="V758"/>
      <c r="W758"/>
      <c r="X758"/>
      <c r="Y758"/>
      <c r="Z758"/>
      <c r="AA758"/>
      <c r="AB758"/>
      <c r="AC758"/>
      <c r="AD758"/>
      <c r="AE758"/>
      <c r="AF758"/>
      <c r="AG758"/>
      <c r="AH758"/>
      <c r="AI758"/>
      <c r="AJ758"/>
      <c r="AK758"/>
      <c r="AL758"/>
      <c r="AM758"/>
      <c r="AN758"/>
      <c r="AO758"/>
      <c r="AP758"/>
      <c r="AQ758"/>
    </row>
    <row r="759" spans="1:43" s="10" customFormat="1" ht="15.75" customHeight="1" x14ac:dyDescent="0.25">
      <c r="A759" s="55" t="e">
        <f t="shared" si="139"/>
        <v>#REF!</v>
      </c>
      <c r="B759" s="470">
        <v>44450</v>
      </c>
      <c r="C759" s="448" t="s">
        <v>2193</v>
      </c>
      <c r="D759" s="332"/>
      <c r="E759" s="58"/>
      <c r="F759" s="365" t="s">
        <v>1751</v>
      </c>
      <c r="G759" s="334" t="s">
        <v>2194</v>
      </c>
      <c r="H759" s="45">
        <v>6000000</v>
      </c>
      <c r="I759" s="380" t="s">
        <v>2192</v>
      </c>
      <c r="J759" s="507">
        <v>44488</v>
      </c>
      <c r="K759" s="460">
        <f t="shared" si="136"/>
        <v>6000000</v>
      </c>
      <c r="L759" s="460">
        <v>2500000</v>
      </c>
      <c r="M759" s="459"/>
      <c r="N759" s="459"/>
      <c r="O759" s="459"/>
      <c r="P759" s="459"/>
      <c r="Q759" s="568">
        <f t="shared" si="137"/>
        <v>3500000</v>
      </c>
      <c r="R759" s="197" t="s">
        <v>2875</v>
      </c>
      <c r="S759" s="197"/>
      <c r="T759" s="199">
        <v>30</v>
      </c>
      <c r="U759" s="24">
        <f t="shared" si="138"/>
        <v>44518</v>
      </c>
      <c r="V759"/>
      <c r="W759"/>
      <c r="X759"/>
      <c r="Y759"/>
      <c r="Z759"/>
      <c r="AA759"/>
      <c r="AB759"/>
      <c r="AC759"/>
      <c r="AD759"/>
      <c r="AE759"/>
      <c r="AF759"/>
      <c r="AG759"/>
      <c r="AH759"/>
      <c r="AI759"/>
      <c r="AJ759"/>
      <c r="AK759"/>
      <c r="AL759"/>
      <c r="AM759"/>
      <c r="AN759"/>
      <c r="AO759"/>
      <c r="AP759"/>
      <c r="AQ759"/>
    </row>
    <row r="760" spans="1:43" s="10" customFormat="1" ht="15.75" customHeight="1" x14ac:dyDescent="0.25">
      <c r="A760" s="55" t="e">
        <f t="shared" si="139"/>
        <v>#REF!</v>
      </c>
      <c r="B760" s="470" t="s">
        <v>2141</v>
      </c>
      <c r="C760" s="448" t="s">
        <v>2227</v>
      </c>
      <c r="D760" s="332"/>
      <c r="E760" s="58"/>
      <c r="F760" s="123" t="s">
        <v>2225</v>
      </c>
      <c r="G760" s="334" t="s">
        <v>839</v>
      </c>
      <c r="H760" s="45">
        <v>150000</v>
      </c>
      <c r="I760" s="380" t="s">
        <v>2362</v>
      </c>
      <c r="J760" s="514">
        <v>44503</v>
      </c>
      <c r="K760" s="460">
        <f t="shared" si="136"/>
        <v>150000</v>
      </c>
      <c r="L760" s="460"/>
      <c r="M760" s="459"/>
      <c r="N760" s="459"/>
      <c r="O760" s="459"/>
      <c r="P760" s="459">
        <v>150000</v>
      </c>
      <c r="Q760" s="28">
        <f t="shared" si="137"/>
        <v>0</v>
      </c>
      <c r="R760" s="53" t="s">
        <v>2364</v>
      </c>
      <c r="S760" s="199"/>
      <c r="T760" s="199">
        <v>14</v>
      </c>
      <c r="U760" s="24">
        <f t="shared" si="138"/>
        <v>44517</v>
      </c>
      <c r="V760"/>
      <c r="W760"/>
      <c r="X760"/>
      <c r="Y760"/>
      <c r="Z760"/>
      <c r="AA760"/>
      <c r="AB760"/>
      <c r="AC760"/>
      <c r="AD760"/>
      <c r="AE760"/>
      <c r="AF760"/>
      <c r="AG760"/>
      <c r="AH760"/>
      <c r="AI760"/>
      <c r="AJ760"/>
      <c r="AK760"/>
      <c r="AL760"/>
      <c r="AM760"/>
      <c r="AN760"/>
      <c r="AO760"/>
      <c r="AP760"/>
      <c r="AQ760"/>
    </row>
    <row r="761" spans="1:43" s="10" customFormat="1" ht="15.75" customHeight="1" x14ac:dyDescent="0.25">
      <c r="A761" s="55" t="e">
        <f t="shared" si="139"/>
        <v>#REF!</v>
      </c>
      <c r="B761" s="79">
        <v>44463</v>
      </c>
      <c r="C761" s="330" t="s">
        <v>2226</v>
      </c>
      <c r="D761" s="330"/>
      <c r="E761" s="330"/>
      <c r="F761" s="33" t="s">
        <v>2295</v>
      </c>
      <c r="G761" s="334" t="s">
        <v>1761</v>
      </c>
      <c r="H761" s="45">
        <v>350000</v>
      </c>
      <c r="I761" s="377" t="s">
        <v>2294</v>
      </c>
      <c r="J761" s="301">
        <v>44496</v>
      </c>
      <c r="K761" s="460">
        <f t="shared" si="136"/>
        <v>350000</v>
      </c>
      <c r="L761" s="460"/>
      <c r="M761" s="459"/>
      <c r="N761" s="459"/>
      <c r="O761" s="459"/>
      <c r="P761" s="459">
        <v>350000</v>
      </c>
      <c r="Q761" s="28">
        <f t="shared" si="137"/>
        <v>0</v>
      </c>
      <c r="R761" s="199"/>
      <c r="S761" s="197">
        <v>44498</v>
      </c>
      <c r="T761" s="199">
        <v>14</v>
      </c>
      <c r="U761" s="24">
        <f t="shared" si="138"/>
        <v>44510</v>
      </c>
      <c r="V761"/>
      <c r="W761"/>
      <c r="X761"/>
      <c r="Y761"/>
      <c r="Z761"/>
      <c r="AA761"/>
      <c r="AB761"/>
      <c r="AC761"/>
      <c r="AD761"/>
      <c r="AE761"/>
      <c r="AF761"/>
      <c r="AG761"/>
      <c r="AH761"/>
      <c r="AI761"/>
      <c r="AJ761"/>
      <c r="AK761"/>
      <c r="AL761"/>
      <c r="AM761"/>
      <c r="AN761"/>
      <c r="AO761"/>
      <c r="AP761"/>
      <c r="AQ761"/>
    </row>
    <row r="762" spans="1:43" s="10" customFormat="1" ht="15.75" customHeight="1" x14ac:dyDescent="0.25">
      <c r="A762" s="55" t="e">
        <f t="shared" si="139"/>
        <v>#REF!</v>
      </c>
      <c r="B762" s="470">
        <v>44466</v>
      </c>
      <c r="C762" s="448" t="s">
        <v>2272</v>
      </c>
      <c r="D762" s="332"/>
      <c r="E762" s="58"/>
      <c r="F762" s="123" t="s">
        <v>2273</v>
      </c>
      <c r="G762" s="334" t="s">
        <v>2274</v>
      </c>
      <c r="H762" s="45"/>
      <c r="I762" s="380"/>
      <c r="J762" s="507"/>
      <c r="K762" s="460"/>
      <c r="L762" s="460"/>
      <c r="M762" s="459"/>
      <c r="N762" s="459"/>
      <c r="O762" s="459"/>
      <c r="P762" s="459"/>
      <c r="Q762" s="28">
        <f t="shared" si="137"/>
        <v>0</v>
      </c>
      <c r="R762" s="197"/>
      <c r="S762" s="197"/>
      <c r="T762" s="199">
        <v>14</v>
      </c>
      <c r="U762" s="24">
        <f t="shared" si="138"/>
        <v>14</v>
      </c>
      <c r="V762"/>
      <c r="W762"/>
      <c r="X762"/>
      <c r="Y762"/>
      <c r="Z762"/>
      <c r="AA762"/>
      <c r="AB762"/>
      <c r="AC762"/>
      <c r="AD762"/>
      <c r="AE762"/>
      <c r="AF762"/>
      <c r="AG762"/>
      <c r="AH762"/>
      <c r="AI762"/>
      <c r="AJ762"/>
      <c r="AK762"/>
      <c r="AL762"/>
      <c r="AM762"/>
      <c r="AN762"/>
      <c r="AO762"/>
      <c r="AP762"/>
      <c r="AQ762"/>
    </row>
    <row r="763" spans="1:43" s="10" customFormat="1" ht="15.75" customHeight="1" x14ac:dyDescent="0.25">
      <c r="A763" s="55" t="e">
        <f t="shared" si="139"/>
        <v>#REF!</v>
      </c>
      <c r="B763" s="470" t="s">
        <v>2141</v>
      </c>
      <c r="C763" s="448" t="s">
        <v>2246</v>
      </c>
      <c r="D763" s="332"/>
      <c r="E763" s="58"/>
      <c r="F763" s="123" t="s">
        <v>933</v>
      </c>
      <c r="G763" s="334" t="s">
        <v>2140</v>
      </c>
      <c r="H763" s="45">
        <v>10873000</v>
      </c>
      <c r="I763" s="380" t="s">
        <v>2245</v>
      </c>
      <c r="J763" s="507">
        <v>44494</v>
      </c>
      <c r="K763" s="460">
        <f t="shared" ref="K763:K773" si="140">H763</f>
        <v>10873000</v>
      </c>
      <c r="L763" s="460"/>
      <c r="M763" s="459"/>
      <c r="N763" s="459"/>
      <c r="O763" s="459"/>
      <c r="P763" s="459">
        <v>10873000</v>
      </c>
      <c r="Q763" s="28">
        <f t="shared" si="137"/>
        <v>0</v>
      </c>
      <c r="R763" s="197"/>
      <c r="S763" s="197">
        <v>44505</v>
      </c>
      <c r="T763" s="2">
        <v>14</v>
      </c>
      <c r="U763" s="24">
        <f t="shared" si="138"/>
        <v>44508</v>
      </c>
      <c r="V763"/>
      <c r="W763"/>
      <c r="X763"/>
      <c r="Y763"/>
      <c r="Z763"/>
      <c r="AA763"/>
      <c r="AB763"/>
      <c r="AC763"/>
      <c r="AD763"/>
      <c r="AE763"/>
      <c r="AF763"/>
      <c r="AG763"/>
      <c r="AH763"/>
      <c r="AI763"/>
      <c r="AJ763"/>
      <c r="AK763"/>
      <c r="AL763"/>
      <c r="AM763"/>
      <c r="AN763"/>
      <c r="AO763"/>
      <c r="AP763"/>
      <c r="AQ763"/>
    </row>
    <row r="764" spans="1:43" s="10" customFormat="1" ht="15.75" customHeight="1" x14ac:dyDescent="0.25">
      <c r="A764" s="55" t="e">
        <f t="shared" si="139"/>
        <v>#REF!</v>
      </c>
      <c r="B764" s="470">
        <v>44447</v>
      </c>
      <c r="C764" s="448" t="s">
        <v>2248</v>
      </c>
      <c r="D764" s="332"/>
      <c r="E764" s="58"/>
      <c r="F764" s="123" t="s">
        <v>933</v>
      </c>
      <c r="G764" s="334" t="s">
        <v>2152</v>
      </c>
      <c r="H764" s="45">
        <v>2012500</v>
      </c>
      <c r="I764" s="380" t="s">
        <v>2247</v>
      </c>
      <c r="J764" s="507">
        <v>44494</v>
      </c>
      <c r="K764" s="460">
        <f t="shared" si="140"/>
        <v>2012500</v>
      </c>
      <c r="L764" s="460"/>
      <c r="M764" s="459"/>
      <c r="N764" s="459"/>
      <c r="O764" s="459"/>
      <c r="P764" s="459">
        <v>2012500</v>
      </c>
      <c r="Q764" s="28">
        <f t="shared" si="137"/>
        <v>0</v>
      </c>
      <c r="R764" s="197"/>
      <c r="S764" s="197">
        <v>44505</v>
      </c>
      <c r="T764" s="2">
        <v>14</v>
      </c>
      <c r="U764" s="24">
        <f t="shared" si="138"/>
        <v>44508</v>
      </c>
      <c r="V764"/>
      <c r="W764"/>
      <c r="X764"/>
      <c r="Y764"/>
      <c r="Z764"/>
      <c r="AA764"/>
      <c r="AB764"/>
      <c r="AC764"/>
      <c r="AD764"/>
      <c r="AE764"/>
      <c r="AF764"/>
      <c r="AG764"/>
      <c r="AH764"/>
      <c r="AI764"/>
      <c r="AJ764"/>
      <c r="AK764"/>
      <c r="AL764"/>
      <c r="AM764"/>
      <c r="AN764"/>
      <c r="AO764"/>
      <c r="AP764"/>
      <c r="AQ764"/>
    </row>
    <row r="765" spans="1:43" s="10" customFormat="1" ht="15.75" customHeight="1" x14ac:dyDescent="0.25">
      <c r="A765" s="55" t="e">
        <f t="shared" si="139"/>
        <v>#REF!</v>
      </c>
      <c r="B765" s="470">
        <v>44447</v>
      </c>
      <c r="C765" s="448" t="s">
        <v>2250</v>
      </c>
      <c r="D765" s="332"/>
      <c r="E765" s="58"/>
      <c r="F765" s="123" t="s">
        <v>933</v>
      </c>
      <c r="G765" s="334" t="s">
        <v>2155</v>
      </c>
      <c r="H765" s="45">
        <v>648000</v>
      </c>
      <c r="I765" s="380" t="s">
        <v>2249</v>
      </c>
      <c r="J765" s="507">
        <v>44494</v>
      </c>
      <c r="K765" s="460">
        <f t="shared" si="140"/>
        <v>648000</v>
      </c>
      <c r="L765" s="460"/>
      <c r="M765" s="459"/>
      <c r="N765" s="459"/>
      <c r="O765" s="459"/>
      <c r="P765" s="459">
        <v>648000</v>
      </c>
      <c r="Q765" s="28">
        <f t="shared" si="137"/>
        <v>0</v>
      </c>
      <c r="R765" s="197"/>
      <c r="S765" s="197">
        <v>44505</v>
      </c>
      <c r="T765" s="2">
        <v>14</v>
      </c>
      <c r="U765" s="24">
        <f t="shared" si="138"/>
        <v>44508</v>
      </c>
      <c r="V765"/>
      <c r="W765"/>
      <c r="X765"/>
      <c r="Y765"/>
      <c r="Z765"/>
      <c r="AA765"/>
      <c r="AB765"/>
      <c r="AC765"/>
      <c r="AD765"/>
      <c r="AE765"/>
      <c r="AF765"/>
      <c r="AG765"/>
      <c r="AH765"/>
      <c r="AI765"/>
      <c r="AJ765"/>
      <c r="AK765"/>
      <c r="AL765"/>
      <c r="AM765"/>
      <c r="AN765"/>
      <c r="AO765"/>
      <c r="AP765"/>
      <c r="AQ765"/>
    </row>
    <row r="766" spans="1:43" s="10" customFormat="1" ht="15.75" customHeight="1" x14ac:dyDescent="0.25">
      <c r="A766" s="55" t="e">
        <f t="shared" si="139"/>
        <v>#REF!</v>
      </c>
      <c r="B766" s="470">
        <v>44447</v>
      </c>
      <c r="C766" s="448" t="s">
        <v>2252</v>
      </c>
      <c r="D766" s="332"/>
      <c r="E766" s="58"/>
      <c r="F766" s="123" t="s">
        <v>933</v>
      </c>
      <c r="G766" s="334" t="s">
        <v>2164</v>
      </c>
      <c r="H766" s="45">
        <v>2516000</v>
      </c>
      <c r="I766" s="380" t="s">
        <v>2251</v>
      </c>
      <c r="J766" s="507">
        <v>44494</v>
      </c>
      <c r="K766" s="460">
        <f t="shared" si="140"/>
        <v>2516000</v>
      </c>
      <c r="L766" s="460"/>
      <c r="M766" s="459"/>
      <c r="N766" s="459"/>
      <c r="O766" s="459"/>
      <c r="P766" s="459">
        <v>2516000</v>
      </c>
      <c r="Q766" s="28">
        <f t="shared" si="137"/>
        <v>0</v>
      </c>
      <c r="R766" s="197"/>
      <c r="S766" s="197">
        <v>44505</v>
      </c>
      <c r="T766" s="2">
        <v>14</v>
      </c>
      <c r="U766" s="24">
        <f t="shared" si="138"/>
        <v>44508</v>
      </c>
      <c r="V766"/>
      <c r="W766"/>
      <c r="X766"/>
      <c r="Y766"/>
      <c r="Z766"/>
      <c r="AA766"/>
      <c r="AB766"/>
      <c r="AC766"/>
      <c r="AD766"/>
      <c r="AE766"/>
      <c r="AF766"/>
      <c r="AG766"/>
      <c r="AH766"/>
      <c r="AI766"/>
      <c r="AJ766"/>
      <c r="AK766"/>
      <c r="AL766"/>
      <c r="AM766"/>
      <c r="AN766"/>
      <c r="AO766"/>
      <c r="AP766"/>
      <c r="AQ766"/>
    </row>
    <row r="767" spans="1:43" s="10" customFormat="1" ht="15.75" customHeight="1" x14ac:dyDescent="0.25">
      <c r="A767" s="55" t="e">
        <f t="shared" si="139"/>
        <v>#REF!</v>
      </c>
      <c r="B767" s="470">
        <v>44447</v>
      </c>
      <c r="C767" s="448" t="s">
        <v>2254</v>
      </c>
      <c r="D767" s="332"/>
      <c r="E767" s="58"/>
      <c r="F767" s="123" t="s">
        <v>933</v>
      </c>
      <c r="G767" s="334" t="s">
        <v>2158</v>
      </c>
      <c r="H767" s="45">
        <v>4874000</v>
      </c>
      <c r="I767" s="380" t="s">
        <v>2253</v>
      </c>
      <c r="J767" s="507">
        <v>44494</v>
      </c>
      <c r="K767" s="460">
        <f t="shared" si="140"/>
        <v>4874000</v>
      </c>
      <c r="L767" s="460"/>
      <c r="M767" s="459"/>
      <c r="N767" s="459"/>
      <c r="O767" s="459"/>
      <c r="P767" s="459">
        <v>4874000</v>
      </c>
      <c r="Q767" s="28">
        <f t="shared" si="137"/>
        <v>0</v>
      </c>
      <c r="R767" s="197"/>
      <c r="S767" s="197">
        <v>44505</v>
      </c>
      <c r="T767" s="2">
        <v>14</v>
      </c>
      <c r="U767" s="24">
        <f t="shared" si="138"/>
        <v>44508</v>
      </c>
      <c r="V767"/>
      <c r="W767"/>
      <c r="X767"/>
      <c r="Y767"/>
      <c r="Z767"/>
      <c r="AA767"/>
      <c r="AB767"/>
      <c r="AC767"/>
      <c r="AD767"/>
      <c r="AE767"/>
      <c r="AF767"/>
      <c r="AG767"/>
      <c r="AH767"/>
      <c r="AI767"/>
      <c r="AJ767"/>
      <c r="AK767"/>
      <c r="AL767"/>
      <c r="AM767"/>
      <c r="AN767"/>
      <c r="AO767"/>
      <c r="AP767"/>
      <c r="AQ767"/>
    </row>
    <row r="768" spans="1:43" s="10" customFormat="1" ht="15" customHeight="1" x14ac:dyDescent="0.25">
      <c r="A768" s="55" t="e">
        <f t="shared" si="139"/>
        <v>#REF!</v>
      </c>
      <c r="B768" s="470">
        <v>44467</v>
      </c>
      <c r="C768" s="448" t="s">
        <v>2238</v>
      </c>
      <c r="D768" s="332"/>
      <c r="E768" s="58"/>
      <c r="F768" s="123" t="s">
        <v>933</v>
      </c>
      <c r="G768" s="334" t="s">
        <v>2237</v>
      </c>
      <c r="H768" s="459">
        <v>13584000</v>
      </c>
      <c r="I768" s="380" t="s">
        <v>2255</v>
      </c>
      <c r="J768" s="507">
        <v>44494</v>
      </c>
      <c r="K768" s="460">
        <f t="shared" si="140"/>
        <v>13584000</v>
      </c>
      <c r="L768" s="460">
        <v>9485860</v>
      </c>
      <c r="M768" s="459">
        <v>4000000</v>
      </c>
      <c r="N768" s="459"/>
      <c r="O768" s="459"/>
      <c r="P768" s="459">
        <v>98140</v>
      </c>
      <c r="Q768" s="28">
        <f t="shared" si="137"/>
        <v>0</v>
      </c>
      <c r="R768" s="197">
        <v>44505</v>
      </c>
      <c r="S768" s="197">
        <v>44540</v>
      </c>
      <c r="T768" s="2">
        <v>14</v>
      </c>
      <c r="U768" s="24">
        <f t="shared" si="138"/>
        <v>44508</v>
      </c>
      <c r="V768"/>
      <c r="W768"/>
      <c r="X768"/>
      <c r="Y768"/>
      <c r="Z768"/>
      <c r="AA768"/>
      <c r="AB768"/>
      <c r="AC768"/>
      <c r="AD768"/>
      <c r="AE768"/>
      <c r="AF768"/>
      <c r="AG768"/>
      <c r="AH768"/>
      <c r="AI768"/>
      <c r="AJ768"/>
      <c r="AK768"/>
      <c r="AL768"/>
      <c r="AM768"/>
      <c r="AN768"/>
      <c r="AO768"/>
      <c r="AP768"/>
      <c r="AQ768"/>
    </row>
    <row r="769" spans="1:43" s="10" customFormat="1" ht="15.75" customHeight="1" x14ac:dyDescent="0.25">
      <c r="A769" s="55" t="e">
        <f t="shared" si="139"/>
        <v>#REF!</v>
      </c>
      <c r="B769" s="470">
        <v>44467</v>
      </c>
      <c r="C769" s="448" t="s">
        <v>2258</v>
      </c>
      <c r="D769" s="332"/>
      <c r="E769" s="58"/>
      <c r="F769" s="123" t="s">
        <v>933</v>
      </c>
      <c r="G769" s="334" t="s">
        <v>2257</v>
      </c>
      <c r="H769" s="45">
        <v>7090000</v>
      </c>
      <c r="I769" s="380" t="s">
        <v>2256</v>
      </c>
      <c r="J769" s="507">
        <v>44494</v>
      </c>
      <c r="K769" s="460">
        <f t="shared" si="140"/>
        <v>7090000</v>
      </c>
      <c r="L769" s="460"/>
      <c r="M769" s="459">
        <v>3500000</v>
      </c>
      <c r="N769" s="459"/>
      <c r="O769" s="459"/>
      <c r="P769" s="459">
        <v>3590000</v>
      </c>
      <c r="Q769" s="28">
        <f t="shared" si="137"/>
        <v>0</v>
      </c>
      <c r="R769" s="197"/>
      <c r="S769" s="197">
        <v>44540</v>
      </c>
      <c r="T769" s="2">
        <v>14</v>
      </c>
      <c r="U769" s="24">
        <f t="shared" si="138"/>
        <v>44508</v>
      </c>
      <c r="V769"/>
      <c r="W769"/>
      <c r="X769"/>
      <c r="Y769"/>
      <c r="Z769"/>
      <c r="AA769"/>
      <c r="AB769"/>
      <c r="AC769"/>
      <c r="AD769"/>
      <c r="AE769"/>
      <c r="AF769"/>
      <c r="AG769"/>
      <c r="AH769"/>
      <c r="AI769"/>
      <c r="AJ769"/>
      <c r="AK769"/>
      <c r="AL769"/>
      <c r="AM769"/>
      <c r="AN769"/>
      <c r="AO769"/>
      <c r="AP769"/>
      <c r="AQ769"/>
    </row>
    <row r="770" spans="1:43" s="10" customFormat="1" ht="15.75" customHeight="1" x14ac:dyDescent="0.25">
      <c r="A770" s="55" t="e">
        <f t="shared" si="139"/>
        <v>#REF!</v>
      </c>
      <c r="B770" s="470">
        <v>44447</v>
      </c>
      <c r="C770" s="448" t="s">
        <v>2378</v>
      </c>
      <c r="D770" s="332"/>
      <c r="E770" s="58"/>
      <c r="F770" s="123" t="s">
        <v>933</v>
      </c>
      <c r="G770" s="334" t="s">
        <v>2158</v>
      </c>
      <c r="H770" s="45">
        <v>3890000</v>
      </c>
      <c r="I770" s="380" t="s">
        <v>2377</v>
      </c>
      <c r="J770" s="507">
        <v>44508</v>
      </c>
      <c r="K770" s="460">
        <f t="shared" si="140"/>
        <v>3890000</v>
      </c>
      <c r="L770" s="460"/>
      <c r="M770" s="459"/>
      <c r="N770" s="459"/>
      <c r="O770" s="459"/>
      <c r="P770" s="459">
        <v>3890000</v>
      </c>
      <c r="Q770" s="28">
        <f t="shared" si="137"/>
        <v>0</v>
      </c>
      <c r="R770" s="197"/>
      <c r="S770" s="197">
        <v>44540</v>
      </c>
      <c r="T770" s="2">
        <v>14</v>
      </c>
      <c r="U770" s="24">
        <f t="shared" si="138"/>
        <v>44522</v>
      </c>
      <c r="V770"/>
      <c r="W770"/>
      <c r="X770"/>
      <c r="Y770"/>
      <c r="Z770"/>
      <c r="AA770"/>
      <c r="AB770"/>
      <c r="AC770"/>
      <c r="AD770"/>
      <c r="AE770"/>
      <c r="AF770"/>
      <c r="AG770"/>
      <c r="AH770"/>
      <c r="AI770"/>
      <c r="AJ770"/>
      <c r="AK770"/>
      <c r="AL770"/>
      <c r="AM770"/>
      <c r="AN770"/>
      <c r="AO770"/>
      <c r="AP770"/>
      <c r="AQ770"/>
    </row>
    <row r="771" spans="1:43" s="10" customFormat="1" ht="15.75" customHeight="1" x14ac:dyDescent="0.25">
      <c r="A771" s="55" t="e">
        <f t="shared" si="139"/>
        <v>#REF!</v>
      </c>
      <c r="B771" s="470">
        <v>44447</v>
      </c>
      <c r="C771" s="448" t="s">
        <v>2380</v>
      </c>
      <c r="D771" s="332"/>
      <c r="E771" s="58"/>
      <c r="F771" s="123" t="s">
        <v>933</v>
      </c>
      <c r="G771" s="334" t="s">
        <v>2164</v>
      </c>
      <c r="H771" s="45">
        <v>9013000</v>
      </c>
      <c r="I771" s="380" t="s">
        <v>2379</v>
      </c>
      <c r="J771" s="507">
        <v>44508</v>
      </c>
      <c r="K771" s="460">
        <f t="shared" si="140"/>
        <v>9013000</v>
      </c>
      <c r="L771" s="460"/>
      <c r="M771" s="459"/>
      <c r="N771" s="459"/>
      <c r="O771" s="459"/>
      <c r="P771" s="459">
        <v>9013000</v>
      </c>
      <c r="Q771" s="28">
        <f t="shared" si="137"/>
        <v>0</v>
      </c>
      <c r="R771" s="197"/>
      <c r="S771" s="197">
        <v>44540</v>
      </c>
      <c r="T771" s="2">
        <v>14</v>
      </c>
      <c r="U771" s="24">
        <f t="shared" si="138"/>
        <v>44522</v>
      </c>
      <c r="V771"/>
      <c r="W771"/>
      <c r="X771"/>
      <c r="Y771"/>
      <c r="Z771"/>
      <c r="AA771"/>
      <c r="AB771"/>
      <c r="AC771"/>
      <c r="AD771"/>
      <c r="AE771"/>
      <c r="AF771"/>
      <c r="AG771"/>
      <c r="AH771"/>
      <c r="AI771"/>
      <c r="AJ771"/>
      <c r="AK771"/>
      <c r="AL771"/>
      <c r="AM771"/>
      <c r="AN771"/>
      <c r="AO771"/>
      <c r="AP771"/>
      <c r="AQ771"/>
    </row>
    <row r="772" spans="1:43" s="10" customFormat="1" ht="15.75" customHeight="1" x14ac:dyDescent="0.25">
      <c r="A772" s="55" t="e">
        <f t="shared" si="139"/>
        <v>#REF!</v>
      </c>
      <c r="B772" s="470">
        <v>44467</v>
      </c>
      <c r="C772" s="448" t="s">
        <v>2382</v>
      </c>
      <c r="D772" s="332"/>
      <c r="E772" s="58"/>
      <c r="F772" s="123" t="s">
        <v>933</v>
      </c>
      <c r="G772" s="334" t="s">
        <v>2257</v>
      </c>
      <c r="H772" s="45">
        <v>2750000</v>
      </c>
      <c r="I772" s="380" t="s">
        <v>2381</v>
      </c>
      <c r="J772" s="507">
        <v>44508</v>
      </c>
      <c r="K772" s="460">
        <f t="shared" si="140"/>
        <v>2750000</v>
      </c>
      <c r="L772" s="460"/>
      <c r="M772" s="459">
        <v>1300000</v>
      </c>
      <c r="N772" s="459"/>
      <c r="O772" s="459"/>
      <c r="P772" s="459">
        <v>1450000</v>
      </c>
      <c r="Q772" s="28">
        <f t="shared" si="137"/>
        <v>0</v>
      </c>
      <c r="R772" s="197"/>
      <c r="S772" s="197">
        <v>44540</v>
      </c>
      <c r="T772" s="2">
        <v>14</v>
      </c>
      <c r="U772" s="24">
        <f t="shared" si="138"/>
        <v>44522</v>
      </c>
      <c r="V772"/>
      <c r="W772"/>
      <c r="X772"/>
      <c r="Y772"/>
      <c r="Z772"/>
      <c r="AA772"/>
      <c r="AB772"/>
      <c r="AC772"/>
      <c r="AD772"/>
      <c r="AE772"/>
      <c r="AF772"/>
      <c r="AG772"/>
      <c r="AH772"/>
      <c r="AI772"/>
      <c r="AJ772"/>
      <c r="AK772"/>
      <c r="AL772"/>
      <c r="AM772"/>
      <c r="AN772"/>
      <c r="AO772"/>
      <c r="AP772"/>
      <c r="AQ772"/>
    </row>
    <row r="773" spans="1:43" s="10" customFormat="1" ht="15.75" customHeight="1" x14ac:dyDescent="0.25">
      <c r="A773" s="55" t="e">
        <f t="shared" si="139"/>
        <v>#REF!</v>
      </c>
      <c r="B773" s="470">
        <v>44467</v>
      </c>
      <c r="C773" s="448" t="s">
        <v>2385</v>
      </c>
      <c r="D773" s="332"/>
      <c r="E773" s="58"/>
      <c r="F773" s="123" t="s">
        <v>933</v>
      </c>
      <c r="G773" s="334" t="s">
        <v>2384</v>
      </c>
      <c r="H773" s="45">
        <v>588000</v>
      </c>
      <c r="I773" s="380" t="s">
        <v>2383</v>
      </c>
      <c r="J773" s="507">
        <v>44508</v>
      </c>
      <c r="K773" s="460">
        <f t="shared" si="140"/>
        <v>588000</v>
      </c>
      <c r="L773" s="460"/>
      <c r="M773" s="459">
        <v>212000</v>
      </c>
      <c r="N773" s="459"/>
      <c r="O773" s="459"/>
      <c r="P773" s="459">
        <v>376000</v>
      </c>
      <c r="Q773" s="28">
        <f t="shared" si="137"/>
        <v>0</v>
      </c>
      <c r="R773" s="197"/>
      <c r="S773" s="197">
        <v>44540</v>
      </c>
      <c r="T773" s="2">
        <v>14</v>
      </c>
      <c r="U773" s="24">
        <f t="shared" si="138"/>
        <v>44522</v>
      </c>
      <c r="V773"/>
      <c r="W773"/>
      <c r="X773"/>
      <c r="Y773"/>
      <c r="Z773"/>
      <c r="AA773"/>
      <c r="AB773"/>
      <c r="AC773"/>
      <c r="AD773"/>
      <c r="AE773"/>
      <c r="AF773"/>
      <c r="AG773"/>
      <c r="AH773"/>
      <c r="AI773"/>
      <c r="AJ773"/>
      <c r="AK773"/>
      <c r="AL773"/>
      <c r="AM773"/>
      <c r="AN773"/>
      <c r="AO773"/>
      <c r="AP773"/>
      <c r="AQ773"/>
    </row>
    <row r="774" spans="1:43" s="10" customFormat="1" ht="32.25" customHeight="1" x14ac:dyDescent="0.25">
      <c r="A774" s="998" t="s">
        <v>1921</v>
      </c>
      <c r="B774" s="998"/>
      <c r="C774" s="998"/>
      <c r="D774" s="998"/>
      <c r="E774" s="998"/>
      <c r="F774" s="998"/>
      <c r="G774" s="998"/>
      <c r="H774" s="998"/>
      <c r="I774" s="473"/>
      <c r="J774" s="495"/>
      <c r="K774" s="473"/>
      <c r="L774" s="473"/>
      <c r="M774" s="473"/>
      <c r="N774" s="473"/>
      <c r="O774" s="473"/>
      <c r="P774" s="473"/>
      <c r="Q774" s="51">
        <f>SUM(Q687:Q773)</f>
        <v>36965749.750000015</v>
      </c>
      <c r="R774" s="479"/>
      <c r="S774" s="479"/>
      <c r="T774" s="479"/>
      <c r="U774" s="24">
        <f t="shared" ref="U774:U826" si="141">J774+T774</f>
        <v>0</v>
      </c>
      <c r="V774"/>
      <c r="W774"/>
      <c r="X774"/>
      <c r="Y774"/>
      <c r="Z774"/>
      <c r="AA774"/>
      <c r="AB774"/>
      <c r="AC774"/>
      <c r="AD774"/>
      <c r="AE774"/>
      <c r="AF774"/>
      <c r="AG774"/>
      <c r="AH774"/>
      <c r="AI774"/>
      <c r="AJ774"/>
      <c r="AK774"/>
      <c r="AL774"/>
      <c r="AM774"/>
      <c r="AN774"/>
      <c r="AO774"/>
      <c r="AP774"/>
      <c r="AQ774"/>
    </row>
    <row r="775" spans="1:43" s="10" customFormat="1" ht="15.75" customHeight="1" x14ac:dyDescent="0.25">
      <c r="A775" s="55">
        <v>1</v>
      </c>
      <c r="B775" s="79">
        <v>44471</v>
      </c>
      <c r="C775" s="602" t="s">
        <v>2099</v>
      </c>
      <c r="D775" s="453"/>
      <c r="E775" s="330" t="s">
        <v>2423</v>
      </c>
      <c r="F775" s="123" t="s">
        <v>2694</v>
      </c>
      <c r="G775" s="126" t="s">
        <v>30</v>
      </c>
      <c r="H775" s="45">
        <v>7000000</v>
      </c>
      <c r="I775" s="377" t="s">
        <v>2097</v>
      </c>
      <c r="J775" s="301">
        <v>44477</v>
      </c>
      <c r="K775" s="460">
        <f t="shared" ref="K775:K795" si="142">H775</f>
        <v>7000000</v>
      </c>
      <c r="L775" s="460">
        <v>3412500</v>
      </c>
      <c r="M775" s="459">
        <v>88987</v>
      </c>
      <c r="N775" s="28">
        <f>K775*1%</f>
        <v>70000</v>
      </c>
      <c r="O775" s="28">
        <f>K775*2%</f>
        <v>140000</v>
      </c>
      <c r="P775" s="459">
        <v>3428513</v>
      </c>
      <c r="Q775" s="28">
        <f t="shared" ref="Q775:Q858" si="143">K775-L775-M775-O775-P775+N775</f>
        <v>0</v>
      </c>
      <c r="R775" s="474">
        <v>44475</v>
      </c>
      <c r="S775" s="474">
        <v>44496</v>
      </c>
      <c r="T775" s="199">
        <v>14</v>
      </c>
      <c r="U775" s="24">
        <f t="shared" si="141"/>
        <v>44491</v>
      </c>
      <c r="V775"/>
      <c r="W775"/>
      <c r="X775"/>
      <c r="Y775"/>
      <c r="Z775"/>
      <c r="AA775"/>
      <c r="AB775"/>
      <c r="AC775"/>
      <c r="AD775"/>
      <c r="AE775"/>
      <c r="AF775"/>
      <c r="AG775"/>
      <c r="AH775"/>
      <c r="AI775"/>
      <c r="AJ775"/>
      <c r="AK775"/>
      <c r="AL775"/>
      <c r="AM775"/>
      <c r="AN775"/>
      <c r="AO775"/>
      <c r="AP775"/>
      <c r="AQ775"/>
    </row>
    <row r="776" spans="1:43" s="10" customFormat="1" ht="15.75" customHeight="1" x14ac:dyDescent="0.25">
      <c r="A776" s="55">
        <f t="shared" ref="A776:A847" si="144">A775+1</f>
        <v>2</v>
      </c>
      <c r="B776" s="79">
        <v>44475</v>
      </c>
      <c r="C776" s="330" t="s">
        <v>2125</v>
      </c>
      <c r="D776" s="330"/>
      <c r="E776" s="330"/>
      <c r="F776" s="69" t="s">
        <v>279</v>
      </c>
      <c r="G776" s="126" t="s">
        <v>417</v>
      </c>
      <c r="H776" s="45">
        <v>1980198</v>
      </c>
      <c r="I776" s="377" t="s">
        <v>2124</v>
      </c>
      <c r="J776" s="301">
        <v>44484</v>
      </c>
      <c r="K776" s="460">
        <f t="shared" si="142"/>
        <v>1980198</v>
      </c>
      <c r="L776" s="460"/>
      <c r="M776" s="459"/>
      <c r="N776" s="28">
        <f t="shared" ref="N776:N777" si="145">K776*1%</f>
        <v>19801.98</v>
      </c>
      <c r="O776" s="28">
        <f t="shared" ref="O776:O777" si="146">K776*2%</f>
        <v>39603.96</v>
      </c>
      <c r="P776" s="459">
        <v>1960396.02</v>
      </c>
      <c r="Q776" s="28">
        <f t="shared" si="143"/>
        <v>0</v>
      </c>
      <c r="R776" s="199"/>
      <c r="S776" s="197">
        <v>44537</v>
      </c>
      <c r="T776" s="199">
        <v>30</v>
      </c>
      <c r="U776" s="24">
        <f t="shared" si="141"/>
        <v>44514</v>
      </c>
      <c r="V776"/>
      <c r="W776"/>
      <c r="X776"/>
      <c r="Y776"/>
      <c r="Z776"/>
      <c r="AA776"/>
      <c r="AB776"/>
      <c r="AC776"/>
      <c r="AD776"/>
      <c r="AE776"/>
      <c r="AF776"/>
      <c r="AG776"/>
      <c r="AH776"/>
      <c r="AI776"/>
      <c r="AJ776"/>
      <c r="AK776"/>
      <c r="AL776"/>
      <c r="AM776"/>
      <c r="AN776"/>
      <c r="AO776"/>
      <c r="AP776"/>
      <c r="AQ776"/>
    </row>
    <row r="777" spans="1:43" s="10" customFormat="1" ht="15.75" customHeight="1" x14ac:dyDescent="0.25">
      <c r="A777" s="55">
        <f t="shared" si="144"/>
        <v>3</v>
      </c>
      <c r="B777" s="79">
        <v>44482</v>
      </c>
      <c r="C777" s="330" t="s">
        <v>2127</v>
      </c>
      <c r="D777" s="330"/>
      <c r="E777" s="330"/>
      <c r="F777" s="69" t="s">
        <v>279</v>
      </c>
      <c r="G777" s="126" t="s">
        <v>417</v>
      </c>
      <c r="H777" s="45">
        <v>1980198</v>
      </c>
      <c r="I777" s="377" t="s">
        <v>2126</v>
      </c>
      <c r="J777" s="301">
        <v>44484</v>
      </c>
      <c r="K777" s="460">
        <f t="shared" si="142"/>
        <v>1980198</v>
      </c>
      <c r="L777" s="460"/>
      <c r="M777" s="459"/>
      <c r="N777" s="28">
        <f t="shared" si="145"/>
        <v>19801.98</v>
      </c>
      <c r="O777" s="28">
        <f t="shared" si="146"/>
        <v>39603.96</v>
      </c>
      <c r="P777" s="459">
        <v>1960396.02</v>
      </c>
      <c r="Q777" s="28">
        <f t="shared" si="143"/>
        <v>0</v>
      </c>
      <c r="R777" s="199"/>
      <c r="S777" s="197">
        <v>44537</v>
      </c>
      <c r="T777" s="199">
        <v>30</v>
      </c>
      <c r="U777" s="24">
        <f t="shared" si="141"/>
        <v>44514</v>
      </c>
      <c r="V777"/>
      <c r="W777"/>
      <c r="X777"/>
      <c r="Y777"/>
      <c r="Z777"/>
      <c r="AA777"/>
      <c r="AB777"/>
      <c r="AC777"/>
      <c r="AD777"/>
      <c r="AE777"/>
      <c r="AF777"/>
      <c r="AG777"/>
      <c r="AH777"/>
      <c r="AI777"/>
      <c r="AJ777"/>
      <c r="AK777"/>
      <c r="AL777"/>
      <c r="AM777"/>
      <c r="AN777"/>
      <c r="AO777"/>
      <c r="AP777"/>
      <c r="AQ777"/>
    </row>
    <row r="778" spans="1:43" s="10" customFormat="1" ht="15.75" customHeight="1" x14ac:dyDescent="0.25">
      <c r="A778" s="55">
        <f t="shared" si="144"/>
        <v>4</v>
      </c>
      <c r="B778" s="79">
        <v>44470</v>
      </c>
      <c r="C778" s="330" t="s">
        <v>2216</v>
      </c>
      <c r="D778" s="330"/>
      <c r="E778" s="330" t="s">
        <v>2427</v>
      </c>
      <c r="F778" s="123" t="s">
        <v>2694</v>
      </c>
      <c r="G778" s="126" t="s">
        <v>2120</v>
      </c>
      <c r="H778" s="45">
        <v>1100000</v>
      </c>
      <c r="I778" s="377" t="s">
        <v>2215</v>
      </c>
      <c r="J778" s="301">
        <v>44485</v>
      </c>
      <c r="K778" s="460">
        <f t="shared" si="142"/>
        <v>1100000</v>
      </c>
      <c r="L778" s="460"/>
      <c r="M778" s="460">
        <v>19058</v>
      </c>
      <c r="N778" s="28">
        <f>(K778-M7014)*1%</f>
        <v>11000</v>
      </c>
      <c r="O778" s="28">
        <f>K778*2%</f>
        <v>22000</v>
      </c>
      <c r="P778" s="460">
        <v>1069942</v>
      </c>
      <c r="Q778" s="28">
        <f t="shared" si="143"/>
        <v>0</v>
      </c>
      <c r="R778" s="743"/>
      <c r="S778" s="474">
        <v>44499</v>
      </c>
      <c r="T778" s="199">
        <v>14</v>
      </c>
      <c r="U778" s="24">
        <f t="shared" si="141"/>
        <v>44499</v>
      </c>
      <c r="V778"/>
      <c r="W778"/>
      <c r="X778"/>
      <c r="Y778"/>
      <c r="Z778"/>
      <c r="AA778"/>
      <c r="AB778"/>
      <c r="AC778"/>
      <c r="AD778"/>
      <c r="AE778"/>
      <c r="AF778"/>
      <c r="AG778"/>
      <c r="AH778"/>
      <c r="AI778"/>
      <c r="AJ778"/>
      <c r="AK778"/>
      <c r="AL778"/>
      <c r="AM778"/>
      <c r="AN778"/>
      <c r="AO778"/>
      <c r="AP778"/>
      <c r="AQ778"/>
    </row>
    <row r="779" spans="1:43" s="10" customFormat="1" ht="15.75" customHeight="1" x14ac:dyDescent="0.25">
      <c r="A779" s="55">
        <f t="shared" si="144"/>
        <v>5</v>
      </c>
      <c r="B779" s="79">
        <v>44470</v>
      </c>
      <c r="C779" s="330" t="s">
        <v>2218</v>
      </c>
      <c r="D779" s="330"/>
      <c r="E779" s="330" t="s">
        <v>2219</v>
      </c>
      <c r="F779" s="123" t="s">
        <v>2694</v>
      </c>
      <c r="G779" s="126" t="s">
        <v>13</v>
      </c>
      <c r="H779" s="45">
        <v>7000000</v>
      </c>
      <c r="I779" s="377" t="s">
        <v>2217</v>
      </c>
      <c r="J779" s="301">
        <v>44485</v>
      </c>
      <c r="K779" s="460">
        <f t="shared" si="142"/>
        <v>7000000</v>
      </c>
      <c r="L779" s="460"/>
      <c r="M779" s="460"/>
      <c r="N779" s="28">
        <f>(K779-M7015)*1%</f>
        <v>70000</v>
      </c>
      <c r="O779" s="28">
        <f t="shared" ref="O779" si="147">(K779-M779)*2%</f>
        <v>140000</v>
      </c>
      <c r="P779" s="460"/>
      <c r="Q779" s="28">
        <f t="shared" si="143"/>
        <v>6930000</v>
      </c>
      <c r="R779" s="743"/>
      <c r="S779" s="474"/>
      <c r="T779" s="199">
        <v>14</v>
      </c>
      <c r="U779" s="24">
        <f t="shared" si="141"/>
        <v>44499</v>
      </c>
      <c r="V779"/>
      <c r="W779"/>
      <c r="X779"/>
      <c r="Y779"/>
      <c r="Z779"/>
      <c r="AA779"/>
      <c r="AB779"/>
      <c r="AC779"/>
      <c r="AD779"/>
      <c r="AE779"/>
      <c r="AF779"/>
      <c r="AG779"/>
      <c r="AH779"/>
      <c r="AI779"/>
      <c r="AJ779"/>
      <c r="AK779"/>
      <c r="AL779"/>
      <c r="AM779"/>
      <c r="AN779"/>
      <c r="AO779"/>
      <c r="AP779"/>
      <c r="AQ779"/>
    </row>
    <row r="780" spans="1:43" s="10" customFormat="1" ht="15.75" customHeight="1" x14ac:dyDescent="0.25">
      <c r="A780" s="55">
        <f t="shared" si="144"/>
        <v>6</v>
      </c>
      <c r="B780" s="56">
        <v>44483</v>
      </c>
      <c r="C780" s="58" t="s">
        <v>2241</v>
      </c>
      <c r="D780" s="58"/>
      <c r="E780" s="58" t="s">
        <v>2242</v>
      </c>
      <c r="F780" s="123" t="s">
        <v>2694</v>
      </c>
      <c r="G780" s="333" t="s">
        <v>2095</v>
      </c>
      <c r="H780" s="45">
        <v>1100000</v>
      </c>
      <c r="I780" s="380" t="s">
        <v>2262</v>
      </c>
      <c r="J780" s="301">
        <v>44492</v>
      </c>
      <c r="K780" s="460">
        <f t="shared" si="142"/>
        <v>1100000</v>
      </c>
      <c r="L780" s="460"/>
      <c r="M780" s="459">
        <f>K780*1.76745%</f>
        <v>19441.95</v>
      </c>
      <c r="N780" s="28">
        <f>K780*1%</f>
        <v>11000</v>
      </c>
      <c r="O780" s="28">
        <f>K780*2%</f>
        <v>22000</v>
      </c>
      <c r="P780" s="459">
        <v>1069558</v>
      </c>
      <c r="Q780" s="28">
        <f t="shared" si="143"/>
        <v>5.0000000046566129E-2</v>
      </c>
      <c r="R780" s="743"/>
      <c r="S780" s="474">
        <v>44508</v>
      </c>
      <c r="T780" s="199">
        <v>14</v>
      </c>
      <c r="U780" s="24">
        <f t="shared" si="141"/>
        <v>44506</v>
      </c>
      <c r="V780"/>
      <c r="W780"/>
      <c r="X780"/>
      <c r="Y780"/>
      <c r="Z780"/>
      <c r="AA780"/>
      <c r="AB780"/>
      <c r="AC780"/>
      <c r="AD780"/>
      <c r="AE780"/>
      <c r="AF780"/>
      <c r="AG780"/>
      <c r="AH780"/>
      <c r="AI780"/>
      <c r="AJ780"/>
      <c r="AK780"/>
      <c r="AL780"/>
      <c r="AM780"/>
      <c r="AN780"/>
      <c r="AO780"/>
      <c r="AP780"/>
      <c r="AQ780"/>
    </row>
    <row r="781" spans="1:43" s="10" customFormat="1" ht="15.75" customHeight="1" x14ac:dyDescent="0.25">
      <c r="A781" s="55">
        <f t="shared" si="144"/>
        <v>7</v>
      </c>
      <c r="B781" s="56">
        <v>44483</v>
      </c>
      <c r="C781" s="58" t="s">
        <v>2265</v>
      </c>
      <c r="D781" s="58"/>
      <c r="E781" s="58" t="s">
        <v>2899</v>
      </c>
      <c r="F781" s="123" t="s">
        <v>2694</v>
      </c>
      <c r="G781" s="126" t="s">
        <v>2264</v>
      </c>
      <c r="H781" s="45">
        <v>900000</v>
      </c>
      <c r="I781" s="380" t="s">
        <v>2263</v>
      </c>
      <c r="J781" s="516">
        <v>44492</v>
      </c>
      <c r="K781" s="460">
        <f t="shared" si="142"/>
        <v>900000</v>
      </c>
      <c r="L781" s="460"/>
      <c r="M781" s="459">
        <v>15907</v>
      </c>
      <c r="N781" s="28">
        <f>(K781-M7017)*1%</f>
        <v>9000</v>
      </c>
      <c r="O781" s="28">
        <f>K781*2%</f>
        <v>18000</v>
      </c>
      <c r="P781" s="459">
        <v>875093</v>
      </c>
      <c r="Q781" s="28">
        <f t="shared" si="143"/>
        <v>0</v>
      </c>
      <c r="R781" s="743"/>
      <c r="S781" s="474">
        <v>44508</v>
      </c>
      <c r="T781" s="199">
        <v>14</v>
      </c>
      <c r="U781" s="24">
        <f t="shared" si="141"/>
        <v>44506</v>
      </c>
      <c r="V781"/>
      <c r="W781"/>
      <c r="X781"/>
      <c r="Y781"/>
      <c r="Z781"/>
      <c r="AA781"/>
      <c r="AB781"/>
      <c r="AC781"/>
      <c r="AD781"/>
      <c r="AE781"/>
      <c r="AF781"/>
      <c r="AG781"/>
      <c r="AH781"/>
      <c r="AI781"/>
      <c r="AJ781"/>
      <c r="AK781"/>
      <c r="AL781"/>
      <c r="AM781"/>
      <c r="AN781"/>
      <c r="AO781"/>
      <c r="AP781"/>
      <c r="AQ781"/>
    </row>
    <row r="782" spans="1:43" s="10" customFormat="1" ht="15.75" customHeight="1" x14ac:dyDescent="0.25">
      <c r="A782" s="55">
        <f t="shared" si="144"/>
        <v>8</v>
      </c>
      <c r="B782" s="56">
        <v>44478</v>
      </c>
      <c r="C782" s="58" t="s">
        <v>2268</v>
      </c>
      <c r="D782" s="58"/>
      <c r="E782" s="58" t="s">
        <v>2267</v>
      </c>
      <c r="F782" s="123" t="s">
        <v>2694</v>
      </c>
      <c r="G782" s="126" t="s">
        <v>2264</v>
      </c>
      <c r="H782" s="45">
        <v>1100000</v>
      </c>
      <c r="I782" s="380" t="s">
        <v>2266</v>
      </c>
      <c r="J782" s="516">
        <v>44492</v>
      </c>
      <c r="K782" s="460">
        <f t="shared" si="142"/>
        <v>1100000</v>
      </c>
      <c r="L782" s="460"/>
      <c r="M782" s="459">
        <v>19443</v>
      </c>
      <c r="N782" s="28">
        <f>K782*1%</f>
        <v>11000</v>
      </c>
      <c r="O782" s="28">
        <f>K782*2%</f>
        <v>22000</v>
      </c>
      <c r="P782" s="459">
        <v>1069557</v>
      </c>
      <c r="Q782" s="28">
        <f t="shared" si="143"/>
        <v>0</v>
      </c>
      <c r="R782" s="743"/>
      <c r="S782" s="474">
        <v>44508</v>
      </c>
      <c r="T782" s="199">
        <v>14</v>
      </c>
      <c r="U782" s="24">
        <f t="shared" si="141"/>
        <v>44506</v>
      </c>
      <c r="V782"/>
      <c r="W782"/>
      <c r="X782"/>
      <c r="Y782"/>
      <c r="Z782"/>
      <c r="AA782"/>
      <c r="AB782"/>
      <c r="AC782"/>
      <c r="AD782"/>
      <c r="AE782"/>
      <c r="AF782"/>
      <c r="AG782"/>
      <c r="AH782"/>
      <c r="AI782"/>
      <c r="AJ782"/>
      <c r="AK782"/>
      <c r="AL782"/>
      <c r="AM782"/>
      <c r="AN782"/>
      <c r="AO782"/>
      <c r="AP782"/>
      <c r="AQ782"/>
    </row>
    <row r="783" spans="1:43" s="10" customFormat="1" ht="15.75" customHeight="1" x14ac:dyDescent="0.25">
      <c r="A783" s="55">
        <f t="shared" si="144"/>
        <v>9</v>
      </c>
      <c r="B783" s="56">
        <v>44485</v>
      </c>
      <c r="C783" s="58" t="s">
        <v>2271</v>
      </c>
      <c r="D783" s="58"/>
      <c r="E783" s="58" t="s">
        <v>2270</v>
      </c>
      <c r="F783" s="123" t="s">
        <v>2694</v>
      </c>
      <c r="G783" s="126" t="s">
        <v>1786</v>
      </c>
      <c r="H783" s="45">
        <v>3300000</v>
      </c>
      <c r="I783" s="380" t="s">
        <v>2269</v>
      </c>
      <c r="J783" s="301">
        <v>44492</v>
      </c>
      <c r="K783" s="460">
        <f t="shared" si="142"/>
        <v>3300000</v>
      </c>
      <c r="L783" s="485">
        <v>1608750</v>
      </c>
      <c r="M783" s="459">
        <f>K783*2.133758%</f>
        <v>70414.013999999996</v>
      </c>
      <c r="N783" s="28">
        <f>K783*1%</f>
        <v>33000</v>
      </c>
      <c r="O783" s="28">
        <f>K783*2%</f>
        <v>66000</v>
      </c>
      <c r="P783" s="459">
        <v>1587835.986</v>
      </c>
      <c r="Q783" s="28">
        <f t="shared" si="143"/>
        <v>0</v>
      </c>
      <c r="R783" s="474">
        <v>44476</v>
      </c>
      <c r="S783" s="474">
        <v>44508</v>
      </c>
      <c r="T783" s="199">
        <v>14</v>
      </c>
      <c r="U783" s="24">
        <f t="shared" si="141"/>
        <v>44506</v>
      </c>
      <c r="V783"/>
      <c r="W783"/>
      <c r="X783"/>
      <c r="Y783"/>
      <c r="Z783"/>
      <c r="AA783"/>
      <c r="AB783"/>
      <c r="AC783"/>
      <c r="AD783"/>
      <c r="AE783"/>
      <c r="AF783"/>
      <c r="AG783"/>
      <c r="AH783"/>
      <c r="AI783"/>
      <c r="AJ783"/>
      <c r="AK783"/>
      <c r="AL783"/>
      <c r="AM783"/>
      <c r="AN783"/>
      <c r="AO783"/>
      <c r="AP783"/>
      <c r="AQ783"/>
    </row>
    <row r="784" spans="1:43" s="10" customFormat="1" ht="15.75" customHeight="1" x14ac:dyDescent="0.25">
      <c r="A784" s="55">
        <f t="shared" si="144"/>
        <v>10</v>
      </c>
      <c r="B784" s="79">
        <v>44483</v>
      </c>
      <c r="C784" s="440"/>
      <c r="D784" s="440"/>
      <c r="E784" s="440"/>
      <c r="F784" s="53" t="s">
        <v>553</v>
      </c>
      <c r="G784" s="33" t="s">
        <v>2308</v>
      </c>
      <c r="H784" s="460">
        <v>6000000</v>
      </c>
      <c r="I784" s="39" t="s">
        <v>2307</v>
      </c>
      <c r="J784" s="79">
        <v>44497</v>
      </c>
      <c r="K784" s="460">
        <f t="shared" si="142"/>
        <v>6000000</v>
      </c>
      <c r="L784" s="460"/>
      <c r="M784" s="460"/>
      <c r="N784" s="28">
        <f t="shared" ref="N784:N785" si="148">K784*1%</f>
        <v>60000</v>
      </c>
      <c r="O784" s="28">
        <f t="shared" ref="O784:O785" si="149">K784*2%</f>
        <v>120000</v>
      </c>
      <c r="P784" s="460">
        <v>5940000</v>
      </c>
      <c r="Q784" s="28">
        <f t="shared" si="143"/>
        <v>0</v>
      </c>
      <c r="R784" s="133"/>
      <c r="S784" s="56">
        <v>44536</v>
      </c>
      <c r="T784" s="199">
        <v>14</v>
      </c>
      <c r="U784" s="24">
        <f t="shared" si="141"/>
        <v>44511</v>
      </c>
      <c r="V784"/>
      <c r="W784"/>
      <c r="X784"/>
      <c r="Y784"/>
      <c r="Z784"/>
      <c r="AA784"/>
      <c r="AB784"/>
      <c r="AC784"/>
      <c r="AD784"/>
      <c r="AE784"/>
      <c r="AF784"/>
      <c r="AG784"/>
      <c r="AH784"/>
      <c r="AI784"/>
      <c r="AJ784"/>
      <c r="AK784"/>
      <c r="AL784"/>
      <c r="AM784"/>
      <c r="AN784"/>
      <c r="AO784"/>
      <c r="AP784"/>
      <c r="AQ784"/>
    </row>
    <row r="785" spans="1:43" s="10" customFormat="1" ht="15.75" customHeight="1" x14ac:dyDescent="0.25">
      <c r="A785" s="55">
        <f t="shared" si="144"/>
        <v>11</v>
      </c>
      <c r="B785" s="79">
        <v>44482</v>
      </c>
      <c r="C785" s="440" t="s">
        <v>2389</v>
      </c>
      <c r="D785" s="440"/>
      <c r="E785" s="440"/>
      <c r="F785" s="123" t="s">
        <v>1741</v>
      </c>
      <c r="G785" s="33" t="s">
        <v>582</v>
      </c>
      <c r="H785" s="460">
        <v>2800000</v>
      </c>
      <c r="I785" s="39" t="s">
        <v>2388</v>
      </c>
      <c r="J785" s="79">
        <v>44501</v>
      </c>
      <c r="K785" s="460">
        <f t="shared" si="142"/>
        <v>2800000</v>
      </c>
      <c r="L785" s="460"/>
      <c r="M785" s="460"/>
      <c r="N785" s="28">
        <f t="shared" si="148"/>
        <v>28000</v>
      </c>
      <c r="O785" s="28">
        <f t="shared" si="149"/>
        <v>56000</v>
      </c>
      <c r="P785" s="460"/>
      <c r="Q785" s="28">
        <f t="shared" si="143"/>
        <v>2772000</v>
      </c>
      <c r="R785" s="133"/>
      <c r="S785" s="133"/>
      <c r="T785" s="199">
        <v>30</v>
      </c>
      <c r="U785" s="24">
        <f t="shared" si="141"/>
        <v>44531</v>
      </c>
      <c r="V785"/>
      <c r="W785"/>
      <c r="X785"/>
      <c r="Y785"/>
      <c r="Z785"/>
      <c r="AA785"/>
      <c r="AB785"/>
      <c r="AC785"/>
      <c r="AD785"/>
      <c r="AE785"/>
      <c r="AF785"/>
      <c r="AG785"/>
      <c r="AH785"/>
      <c r="AI785"/>
      <c r="AJ785"/>
      <c r="AK785"/>
      <c r="AL785"/>
      <c r="AM785"/>
      <c r="AN785"/>
      <c r="AO785"/>
      <c r="AP785"/>
      <c r="AQ785"/>
    </row>
    <row r="786" spans="1:43" s="10" customFormat="1" ht="15.75" customHeight="1" x14ac:dyDescent="0.25">
      <c r="A786" s="55">
        <f t="shared" si="144"/>
        <v>12</v>
      </c>
      <c r="B786" s="79">
        <v>44491</v>
      </c>
      <c r="C786" s="330" t="s">
        <v>2391</v>
      </c>
      <c r="D786" s="330"/>
      <c r="E786" s="330"/>
      <c r="F786" s="69" t="s">
        <v>2457</v>
      </c>
      <c r="G786" s="126" t="s">
        <v>601</v>
      </c>
      <c r="H786" s="45">
        <v>3000000</v>
      </c>
      <c r="I786" s="377" t="s">
        <v>2390</v>
      </c>
      <c r="J786" s="301">
        <v>44501</v>
      </c>
      <c r="K786" s="460">
        <f t="shared" si="142"/>
        <v>3000000</v>
      </c>
      <c r="L786" s="460"/>
      <c r="M786" s="460"/>
      <c r="N786" s="28">
        <f t="shared" ref="N786:N795" si="150">K786*1%</f>
        <v>30000</v>
      </c>
      <c r="O786" s="28">
        <f t="shared" ref="O786:O795" si="151">K786*2%</f>
        <v>60000</v>
      </c>
      <c r="P786" s="460">
        <v>2970000</v>
      </c>
      <c r="Q786" s="28">
        <f t="shared" si="143"/>
        <v>0</v>
      </c>
      <c r="R786" s="199"/>
      <c r="S786" s="197">
        <v>44546</v>
      </c>
      <c r="T786" s="2">
        <v>30</v>
      </c>
      <c r="U786" s="24">
        <f t="shared" si="141"/>
        <v>44531</v>
      </c>
      <c r="V786"/>
      <c r="W786"/>
      <c r="X786"/>
      <c r="Y786"/>
      <c r="Z786"/>
      <c r="AA786"/>
      <c r="AB786"/>
      <c r="AC786"/>
      <c r="AD786"/>
      <c r="AE786"/>
      <c r="AF786"/>
      <c r="AG786"/>
      <c r="AH786"/>
      <c r="AI786"/>
      <c r="AJ786"/>
      <c r="AK786"/>
      <c r="AL786"/>
      <c r="AM786"/>
      <c r="AN786"/>
      <c r="AO786"/>
      <c r="AP786"/>
      <c r="AQ786"/>
    </row>
    <row r="787" spans="1:43" s="10" customFormat="1" ht="15.75" customHeight="1" x14ac:dyDescent="0.25">
      <c r="A787" s="55">
        <f t="shared" si="144"/>
        <v>13</v>
      </c>
      <c r="B787" s="79">
        <v>44483</v>
      </c>
      <c r="C787" s="330" t="s">
        <v>2393</v>
      </c>
      <c r="D787" s="330"/>
      <c r="E787" s="330"/>
      <c r="F787" s="69" t="s">
        <v>279</v>
      </c>
      <c r="G787" s="126" t="s">
        <v>521</v>
      </c>
      <c r="H787" s="45">
        <v>643500</v>
      </c>
      <c r="I787" s="377" t="s">
        <v>2392</v>
      </c>
      <c r="J787" s="301">
        <v>44501</v>
      </c>
      <c r="K787" s="460">
        <f t="shared" si="142"/>
        <v>643500</v>
      </c>
      <c r="L787" s="460"/>
      <c r="M787" s="460"/>
      <c r="N787" s="28">
        <f t="shared" si="150"/>
        <v>6435</v>
      </c>
      <c r="O787" s="28">
        <f t="shared" si="151"/>
        <v>12870</v>
      </c>
      <c r="P787" s="460">
        <f>544986.96+92078</f>
        <v>637064.95999999996</v>
      </c>
      <c r="Q787" s="28">
        <f t="shared" si="143"/>
        <v>4.0000000037252903E-2</v>
      </c>
      <c r="R787" s="199"/>
      <c r="S787" s="197">
        <v>44537</v>
      </c>
      <c r="T787" s="199">
        <v>30</v>
      </c>
      <c r="U787" s="24">
        <f t="shared" si="141"/>
        <v>44531</v>
      </c>
      <c r="V787"/>
      <c r="W787"/>
      <c r="X787"/>
      <c r="Y787"/>
      <c r="Z787"/>
      <c r="AA787"/>
      <c r="AB787"/>
      <c r="AC787"/>
      <c r="AD787"/>
      <c r="AE787"/>
      <c r="AF787"/>
      <c r="AG787"/>
      <c r="AH787"/>
      <c r="AI787"/>
      <c r="AJ787"/>
      <c r="AK787"/>
      <c r="AL787"/>
      <c r="AM787"/>
      <c r="AN787"/>
      <c r="AO787"/>
      <c r="AP787"/>
      <c r="AQ787"/>
    </row>
    <row r="788" spans="1:43" s="607" customFormat="1" ht="15.75" customHeight="1" x14ac:dyDescent="0.25">
      <c r="A788" s="55">
        <f t="shared" si="144"/>
        <v>14</v>
      </c>
      <c r="B788" s="560">
        <v>44440</v>
      </c>
      <c r="C788" s="561" t="s">
        <v>2395</v>
      </c>
      <c r="D788" s="561"/>
      <c r="E788" s="561"/>
      <c r="F788" s="562" t="s">
        <v>1195</v>
      </c>
      <c r="G788" s="563" t="s">
        <v>2277</v>
      </c>
      <c r="H788" s="564">
        <v>151497000</v>
      </c>
      <c r="I788" s="565" t="s">
        <v>2394</v>
      </c>
      <c r="J788" s="566">
        <v>44502</v>
      </c>
      <c r="K788" s="567">
        <f t="shared" si="142"/>
        <v>151497000</v>
      </c>
      <c r="L788" s="567"/>
      <c r="M788" s="567">
        <f>K788*10%</f>
        <v>15149700</v>
      </c>
      <c r="N788" s="568">
        <v>1363473</v>
      </c>
      <c r="O788" s="568">
        <v>2726946</v>
      </c>
      <c r="P788" s="567">
        <v>134983827</v>
      </c>
      <c r="Q788" s="568">
        <f t="shared" si="143"/>
        <v>0</v>
      </c>
      <c r="R788" s="559"/>
      <c r="S788" s="566">
        <v>44522</v>
      </c>
      <c r="T788" s="559">
        <v>14</v>
      </c>
      <c r="U788" s="24">
        <f t="shared" si="141"/>
        <v>44516</v>
      </c>
      <c r="V788" s="538" t="s">
        <v>2597</v>
      </c>
      <c r="W788" s="616">
        <f>K788-M788</f>
        <v>136347300</v>
      </c>
      <c r="X788" s="11"/>
      <c r="Y788" s="11"/>
      <c r="Z788" s="11"/>
      <c r="AA788" s="11"/>
      <c r="AB788" s="11"/>
      <c r="AC788" s="11"/>
      <c r="AD788" s="11"/>
      <c r="AE788" s="11"/>
      <c r="AF788" s="11"/>
      <c r="AG788" s="11"/>
      <c r="AH788" s="11"/>
      <c r="AI788" s="11"/>
      <c r="AJ788" s="11"/>
      <c r="AK788" s="11"/>
      <c r="AL788" s="11"/>
      <c r="AM788" s="11"/>
      <c r="AN788" s="11"/>
      <c r="AO788" s="11"/>
      <c r="AP788" s="11"/>
      <c r="AQ788" s="11"/>
    </row>
    <row r="789" spans="1:43" s="10" customFormat="1" ht="15.75" customHeight="1" x14ac:dyDescent="0.25">
      <c r="A789" s="55">
        <f t="shared" si="144"/>
        <v>15</v>
      </c>
      <c r="B789" s="79">
        <v>44494</v>
      </c>
      <c r="C789" s="330" t="s">
        <v>2398</v>
      </c>
      <c r="D789" s="330"/>
      <c r="E789" s="330" t="s">
        <v>2397</v>
      </c>
      <c r="F789" s="123" t="s">
        <v>2694</v>
      </c>
      <c r="G789" s="126" t="s">
        <v>190</v>
      </c>
      <c r="H789" s="45">
        <v>800000</v>
      </c>
      <c r="I789" s="377" t="s">
        <v>2396</v>
      </c>
      <c r="J789" s="301">
        <v>44504</v>
      </c>
      <c r="K789" s="460">
        <f t="shared" si="142"/>
        <v>800000</v>
      </c>
      <c r="L789" s="460"/>
      <c r="M789" s="460">
        <v>13995</v>
      </c>
      <c r="N789" s="28">
        <f t="shared" si="150"/>
        <v>8000</v>
      </c>
      <c r="O789" s="28">
        <f t="shared" si="151"/>
        <v>16000</v>
      </c>
      <c r="P789" s="460">
        <v>778005</v>
      </c>
      <c r="Q789" s="28">
        <f t="shared" si="143"/>
        <v>0</v>
      </c>
      <c r="R789" s="743"/>
      <c r="S789" s="474">
        <v>44519</v>
      </c>
      <c r="T789" s="199">
        <v>14</v>
      </c>
      <c r="U789" s="24">
        <f t="shared" si="141"/>
        <v>44518</v>
      </c>
      <c r="V789"/>
      <c r="W789"/>
      <c r="X789"/>
      <c r="Y789"/>
      <c r="Z789"/>
      <c r="AA789"/>
      <c r="AB789"/>
      <c r="AC789"/>
      <c r="AD789"/>
      <c r="AE789"/>
      <c r="AF789"/>
      <c r="AG789"/>
      <c r="AH789"/>
      <c r="AI789"/>
      <c r="AJ789"/>
      <c r="AK789"/>
      <c r="AL789"/>
      <c r="AM789"/>
      <c r="AN789"/>
      <c r="AO789"/>
      <c r="AP789"/>
      <c r="AQ789"/>
    </row>
    <row r="790" spans="1:43" s="10" customFormat="1" ht="15.75" customHeight="1" x14ac:dyDescent="0.25">
      <c r="A790" s="55">
        <f t="shared" si="144"/>
        <v>16</v>
      </c>
      <c r="B790" s="79">
        <v>44494</v>
      </c>
      <c r="C790" s="330" t="s">
        <v>2401</v>
      </c>
      <c r="D790" s="330"/>
      <c r="E790" s="330" t="s">
        <v>2400</v>
      </c>
      <c r="F790" s="123" t="s">
        <v>2694</v>
      </c>
      <c r="G790" s="126" t="s">
        <v>2264</v>
      </c>
      <c r="H790" s="45">
        <v>900000</v>
      </c>
      <c r="I790" s="377" t="s">
        <v>2399</v>
      </c>
      <c r="J790" s="301">
        <v>44504</v>
      </c>
      <c r="K790" s="460">
        <f t="shared" si="142"/>
        <v>900000</v>
      </c>
      <c r="L790" s="460"/>
      <c r="M790" s="459">
        <v>15593</v>
      </c>
      <c r="N790" s="28">
        <f t="shared" si="150"/>
        <v>9000</v>
      </c>
      <c r="O790" s="28">
        <f t="shared" si="151"/>
        <v>18000</v>
      </c>
      <c r="P790" s="459">
        <v>875407</v>
      </c>
      <c r="Q790" s="28">
        <f t="shared" si="143"/>
        <v>0</v>
      </c>
      <c r="R790" s="743"/>
      <c r="S790" s="474">
        <v>44519</v>
      </c>
      <c r="T790" s="199">
        <v>14</v>
      </c>
      <c r="U790" s="24">
        <f t="shared" si="141"/>
        <v>44518</v>
      </c>
      <c r="V790"/>
      <c r="W790"/>
      <c r="X790"/>
      <c r="Y790"/>
      <c r="Z790"/>
      <c r="AA790"/>
      <c r="AB790"/>
      <c r="AC790"/>
      <c r="AD790"/>
      <c r="AE790"/>
      <c r="AF790"/>
      <c r="AG790"/>
      <c r="AH790"/>
      <c r="AI790"/>
      <c r="AJ790"/>
      <c r="AK790"/>
      <c r="AL790"/>
      <c r="AM790"/>
      <c r="AN790"/>
      <c r="AO790"/>
      <c r="AP790"/>
      <c r="AQ790"/>
    </row>
    <row r="791" spans="1:43" s="10" customFormat="1" ht="15.75" customHeight="1" x14ac:dyDescent="0.25">
      <c r="A791" s="55">
        <f t="shared" si="144"/>
        <v>17</v>
      </c>
      <c r="B791" s="79">
        <v>44494</v>
      </c>
      <c r="C791" s="330" t="s">
        <v>2405</v>
      </c>
      <c r="D791" s="330"/>
      <c r="E791" s="330" t="s">
        <v>2404</v>
      </c>
      <c r="F791" s="123" t="s">
        <v>2694</v>
      </c>
      <c r="G791" s="126" t="s">
        <v>2403</v>
      </c>
      <c r="H791" s="45">
        <v>800000</v>
      </c>
      <c r="I791" s="377" t="s">
        <v>2402</v>
      </c>
      <c r="J791" s="301">
        <v>44504</v>
      </c>
      <c r="K791" s="460">
        <f t="shared" si="142"/>
        <v>800000</v>
      </c>
      <c r="L791" s="460"/>
      <c r="M791" s="459">
        <v>13860</v>
      </c>
      <c r="N791" s="28">
        <f t="shared" si="150"/>
        <v>8000</v>
      </c>
      <c r="O791" s="28">
        <f t="shared" si="151"/>
        <v>16000</v>
      </c>
      <c r="P791" s="459">
        <v>778140</v>
      </c>
      <c r="Q791" s="28">
        <f t="shared" si="143"/>
        <v>0</v>
      </c>
      <c r="R791" s="743"/>
      <c r="S791" s="474">
        <v>44519</v>
      </c>
      <c r="T791" s="199">
        <v>14</v>
      </c>
      <c r="U791" s="24">
        <f t="shared" si="141"/>
        <v>44518</v>
      </c>
      <c r="V791"/>
      <c r="W791"/>
      <c r="X791"/>
      <c r="Y791"/>
      <c r="Z791"/>
      <c r="AA791"/>
      <c r="AB791"/>
      <c r="AC791"/>
      <c r="AD791"/>
      <c r="AE791"/>
      <c r="AF791"/>
      <c r="AG791"/>
      <c r="AH791"/>
      <c r="AI791"/>
      <c r="AJ791"/>
      <c r="AK791"/>
      <c r="AL791"/>
      <c r="AM791"/>
      <c r="AN791"/>
      <c r="AO791"/>
      <c r="AP791"/>
      <c r="AQ791"/>
    </row>
    <row r="792" spans="1:43" s="10" customFormat="1" ht="15.75" customHeight="1" x14ac:dyDescent="0.25">
      <c r="A792" s="55">
        <f t="shared" si="144"/>
        <v>18</v>
      </c>
      <c r="B792" s="79">
        <v>44484</v>
      </c>
      <c r="C792" s="330" t="s">
        <v>2407</v>
      </c>
      <c r="D792" s="330"/>
      <c r="E792" s="330" t="s">
        <v>2408</v>
      </c>
      <c r="F792" s="123" t="s">
        <v>2694</v>
      </c>
      <c r="G792" s="126" t="s">
        <v>1496</v>
      </c>
      <c r="H792" s="45">
        <v>1500000</v>
      </c>
      <c r="I792" s="377" t="s">
        <v>2406</v>
      </c>
      <c r="J792" s="301">
        <v>44504</v>
      </c>
      <c r="K792" s="460">
        <f t="shared" si="142"/>
        <v>1500000</v>
      </c>
      <c r="L792" s="460">
        <v>731250</v>
      </c>
      <c r="M792" s="459">
        <v>31607</v>
      </c>
      <c r="N792" s="28">
        <f t="shared" si="150"/>
        <v>15000</v>
      </c>
      <c r="O792" s="28">
        <f t="shared" si="151"/>
        <v>30000</v>
      </c>
      <c r="P792" s="459">
        <v>722143</v>
      </c>
      <c r="Q792" s="28">
        <f t="shared" si="143"/>
        <v>0</v>
      </c>
      <c r="R792" s="474">
        <v>44487</v>
      </c>
      <c r="S792" s="474">
        <v>44519</v>
      </c>
      <c r="T792" s="199">
        <v>14</v>
      </c>
      <c r="U792" s="24">
        <f t="shared" si="141"/>
        <v>44518</v>
      </c>
      <c r="V792"/>
      <c r="W792"/>
      <c r="X792"/>
      <c r="Y792"/>
      <c r="Z792"/>
      <c r="AA792"/>
      <c r="AB792"/>
      <c r="AC792"/>
      <c r="AD792"/>
      <c r="AE792"/>
      <c r="AF792"/>
      <c r="AG792"/>
      <c r="AH792"/>
      <c r="AI792"/>
      <c r="AJ792"/>
      <c r="AK792"/>
      <c r="AL792"/>
      <c r="AM792"/>
      <c r="AN792"/>
      <c r="AO792"/>
      <c r="AP792"/>
      <c r="AQ792"/>
    </row>
    <row r="793" spans="1:43" s="10" customFormat="1" ht="15.75" customHeight="1" x14ac:dyDescent="0.25">
      <c r="A793" s="55">
        <f t="shared" si="144"/>
        <v>19</v>
      </c>
      <c r="B793" s="79">
        <v>44484</v>
      </c>
      <c r="C793" s="330" t="s">
        <v>2411</v>
      </c>
      <c r="D793" s="330"/>
      <c r="E793" s="330" t="s">
        <v>2410</v>
      </c>
      <c r="F793" s="123" t="s">
        <v>2694</v>
      </c>
      <c r="G793" s="126" t="s">
        <v>477</v>
      </c>
      <c r="H793" s="45">
        <v>4000000</v>
      </c>
      <c r="I793" s="377" t="s">
        <v>2409</v>
      </c>
      <c r="J793" s="301">
        <v>44504</v>
      </c>
      <c r="K793" s="460">
        <f t="shared" si="142"/>
        <v>4000000</v>
      </c>
      <c r="L793" s="460">
        <v>1950000</v>
      </c>
      <c r="M793" s="459">
        <v>140000</v>
      </c>
      <c r="N793" s="28">
        <f t="shared" si="150"/>
        <v>40000</v>
      </c>
      <c r="O793" s="28">
        <f t="shared" si="151"/>
        <v>80000</v>
      </c>
      <c r="P793" s="459">
        <v>1870000</v>
      </c>
      <c r="Q793" s="28">
        <f>K793-L793-M793+N793-O793-P793</f>
        <v>0</v>
      </c>
      <c r="R793" s="474">
        <v>44487</v>
      </c>
      <c r="S793" s="474">
        <v>44567</v>
      </c>
      <c r="T793" s="199">
        <v>14</v>
      </c>
      <c r="U793" s="24">
        <f t="shared" si="141"/>
        <v>44518</v>
      </c>
      <c r="V793"/>
      <c r="W793"/>
      <c r="X793"/>
      <c r="Y793"/>
      <c r="Z793"/>
      <c r="AA793"/>
      <c r="AB793"/>
      <c r="AC793"/>
      <c r="AD793"/>
      <c r="AE793"/>
      <c r="AF793"/>
      <c r="AG793"/>
      <c r="AH793"/>
      <c r="AI793"/>
      <c r="AJ793"/>
      <c r="AK793"/>
      <c r="AL793"/>
      <c r="AM793"/>
      <c r="AN793"/>
      <c r="AO793"/>
      <c r="AP793"/>
      <c r="AQ793"/>
    </row>
    <row r="794" spans="1:43" s="10" customFormat="1" ht="15.75" customHeight="1" x14ac:dyDescent="0.25">
      <c r="A794" s="55">
        <f t="shared" si="144"/>
        <v>20</v>
      </c>
      <c r="B794" s="79">
        <v>44478</v>
      </c>
      <c r="C794" s="330" t="s">
        <v>2414</v>
      </c>
      <c r="D794" s="330"/>
      <c r="E794" s="330" t="s">
        <v>2415</v>
      </c>
      <c r="F794" s="69" t="s">
        <v>2457</v>
      </c>
      <c r="G794" s="126" t="s">
        <v>2413</v>
      </c>
      <c r="H794" s="45">
        <v>19500000</v>
      </c>
      <c r="I794" s="377" t="s">
        <v>2412</v>
      </c>
      <c r="J794" s="301">
        <v>44508</v>
      </c>
      <c r="K794" s="460">
        <f t="shared" si="142"/>
        <v>19500000</v>
      </c>
      <c r="L794" s="460"/>
      <c r="M794" s="459"/>
      <c r="N794" s="28">
        <f t="shared" si="150"/>
        <v>195000</v>
      </c>
      <c r="O794" s="28">
        <f t="shared" si="151"/>
        <v>390000</v>
      </c>
      <c r="P794" s="459">
        <v>19305000</v>
      </c>
      <c r="Q794" s="28">
        <f t="shared" si="143"/>
        <v>0</v>
      </c>
      <c r="R794" s="199"/>
      <c r="S794" s="197">
        <v>44546</v>
      </c>
      <c r="T794" s="2">
        <v>30</v>
      </c>
      <c r="U794" s="24">
        <f t="shared" si="141"/>
        <v>44538</v>
      </c>
      <c r="V794"/>
      <c r="W794"/>
      <c r="X794"/>
      <c r="Y794"/>
      <c r="Z794"/>
      <c r="AA794"/>
      <c r="AB794"/>
      <c r="AC794"/>
      <c r="AD794"/>
      <c r="AE794"/>
      <c r="AF794"/>
      <c r="AG794"/>
      <c r="AH794"/>
      <c r="AI794"/>
      <c r="AJ794"/>
      <c r="AK794"/>
      <c r="AL794"/>
      <c r="AM794"/>
      <c r="AN794"/>
      <c r="AO794"/>
      <c r="AP794"/>
      <c r="AQ794"/>
    </row>
    <row r="795" spans="1:43" s="10" customFormat="1" ht="15.75" customHeight="1" x14ac:dyDescent="0.25">
      <c r="A795" s="55">
        <f t="shared" si="144"/>
        <v>21</v>
      </c>
      <c r="B795" s="79">
        <v>44495</v>
      </c>
      <c r="C795" s="330" t="s">
        <v>2420</v>
      </c>
      <c r="D795" s="330"/>
      <c r="E795" s="330"/>
      <c r="F795" s="69" t="s">
        <v>2497</v>
      </c>
      <c r="G795" s="126" t="s">
        <v>2419</v>
      </c>
      <c r="H795" s="45">
        <v>2223000</v>
      </c>
      <c r="I795" s="377" t="s">
        <v>2418</v>
      </c>
      <c r="J795" s="301">
        <v>44508</v>
      </c>
      <c r="K795" s="460">
        <f t="shared" si="142"/>
        <v>2223000</v>
      </c>
      <c r="L795" s="460"/>
      <c r="M795" s="818">
        <v>2900</v>
      </c>
      <c r="N795" s="28">
        <f t="shared" si="150"/>
        <v>22230</v>
      </c>
      <c r="O795" s="28">
        <f t="shared" si="151"/>
        <v>44460</v>
      </c>
      <c r="P795" s="459"/>
      <c r="Q795" s="28">
        <f t="shared" si="143"/>
        <v>2197870</v>
      </c>
      <c r="R795" s="199"/>
      <c r="S795" s="197"/>
      <c r="T795" s="199">
        <v>30</v>
      </c>
      <c r="U795" s="24">
        <f t="shared" si="141"/>
        <v>44538</v>
      </c>
      <c r="V795"/>
      <c r="W795"/>
      <c r="X795"/>
      <c r="Y795"/>
      <c r="Z795"/>
      <c r="AA795"/>
      <c r="AB795"/>
      <c r="AC795"/>
      <c r="AD795"/>
      <c r="AE795"/>
      <c r="AF795"/>
      <c r="AG795"/>
      <c r="AH795"/>
      <c r="AI795"/>
      <c r="AJ795"/>
      <c r="AK795"/>
      <c r="AL795"/>
      <c r="AM795"/>
      <c r="AN795"/>
      <c r="AO795"/>
      <c r="AP795"/>
      <c r="AQ795"/>
    </row>
    <row r="796" spans="1:43" s="10" customFormat="1" ht="15.75" customHeight="1" x14ac:dyDescent="0.25">
      <c r="A796" s="55">
        <f t="shared" si="144"/>
        <v>22</v>
      </c>
      <c r="B796" s="79">
        <v>44498</v>
      </c>
      <c r="C796" s="330" t="s">
        <v>2434</v>
      </c>
      <c r="D796" s="330" t="s">
        <v>2803</v>
      </c>
      <c r="E796" s="330" t="s">
        <v>2433</v>
      </c>
      <c r="F796" s="123" t="s">
        <v>2694</v>
      </c>
      <c r="G796" s="126" t="s">
        <v>467</v>
      </c>
      <c r="H796" s="45">
        <v>5800000</v>
      </c>
      <c r="I796" s="377" t="s">
        <v>2432</v>
      </c>
      <c r="J796" s="301">
        <v>44511</v>
      </c>
      <c r="K796" s="460">
        <f t="shared" ref="K796:K812" si="152">H796</f>
        <v>5800000</v>
      </c>
      <c r="L796" s="460"/>
      <c r="M796" s="459"/>
      <c r="N796" s="28">
        <f t="shared" ref="N796:N801" si="153">K796*1%</f>
        <v>58000</v>
      </c>
      <c r="O796" s="28">
        <f t="shared" ref="O796:O801" si="154">K796*2%</f>
        <v>116000</v>
      </c>
      <c r="P796" s="459">
        <v>5742000</v>
      </c>
      <c r="Q796" s="28">
        <f t="shared" si="143"/>
        <v>0</v>
      </c>
      <c r="R796" s="743"/>
      <c r="S796" s="474">
        <v>44525</v>
      </c>
      <c r="T796" s="199">
        <v>14</v>
      </c>
      <c r="U796" s="24">
        <f t="shared" si="141"/>
        <v>44525</v>
      </c>
      <c r="V796" s="5"/>
      <c r="W796"/>
      <c r="X796"/>
      <c r="Y796"/>
      <c r="Z796"/>
      <c r="AA796"/>
      <c r="AB796"/>
      <c r="AC796"/>
      <c r="AD796"/>
      <c r="AE796"/>
      <c r="AF796"/>
      <c r="AG796"/>
      <c r="AH796"/>
      <c r="AI796"/>
      <c r="AJ796"/>
      <c r="AK796"/>
      <c r="AL796"/>
      <c r="AM796"/>
      <c r="AN796"/>
      <c r="AO796"/>
      <c r="AP796"/>
      <c r="AQ796"/>
    </row>
    <row r="797" spans="1:43" s="10" customFormat="1" ht="15.75" customHeight="1" x14ac:dyDescent="0.25">
      <c r="A797" s="55">
        <f t="shared" si="144"/>
        <v>23</v>
      </c>
      <c r="B797" s="79">
        <v>44491</v>
      </c>
      <c r="C797" s="330" t="s">
        <v>2437</v>
      </c>
      <c r="D797" s="330" t="s">
        <v>2798</v>
      </c>
      <c r="E797" s="330" t="s">
        <v>2436</v>
      </c>
      <c r="F797" s="123" t="s">
        <v>2694</v>
      </c>
      <c r="G797" s="126" t="s">
        <v>472</v>
      </c>
      <c r="H797" s="45">
        <v>800000</v>
      </c>
      <c r="I797" s="377" t="s">
        <v>2435</v>
      </c>
      <c r="J797" s="301">
        <v>44511</v>
      </c>
      <c r="K797" s="460">
        <f t="shared" si="152"/>
        <v>800000</v>
      </c>
      <c r="L797" s="460"/>
      <c r="M797" s="460">
        <v>14140</v>
      </c>
      <c r="N797" s="28">
        <f t="shared" si="153"/>
        <v>8000</v>
      </c>
      <c r="O797" s="28">
        <f t="shared" si="154"/>
        <v>16000</v>
      </c>
      <c r="P797" s="460">
        <v>777860</v>
      </c>
      <c r="Q797" s="28">
        <f t="shared" si="143"/>
        <v>0</v>
      </c>
      <c r="R797" s="743"/>
      <c r="S797" s="474">
        <v>44525</v>
      </c>
      <c r="T797" s="199">
        <v>14</v>
      </c>
      <c r="U797" s="24">
        <f t="shared" si="141"/>
        <v>44525</v>
      </c>
      <c r="V797" s="5"/>
      <c r="W797"/>
      <c r="X797"/>
      <c r="Y797"/>
      <c r="Z797"/>
      <c r="AA797"/>
      <c r="AB797"/>
      <c r="AC797"/>
      <c r="AD797"/>
      <c r="AE797"/>
      <c r="AF797"/>
      <c r="AG797"/>
      <c r="AH797"/>
      <c r="AI797"/>
      <c r="AJ797"/>
      <c r="AK797"/>
      <c r="AL797"/>
      <c r="AM797"/>
      <c r="AN797"/>
      <c r="AO797"/>
      <c r="AP797"/>
      <c r="AQ797"/>
    </row>
    <row r="798" spans="1:43" s="10" customFormat="1" ht="15.75" customHeight="1" x14ac:dyDescent="0.25">
      <c r="A798" s="55">
        <f t="shared" si="144"/>
        <v>24</v>
      </c>
      <c r="B798" s="79">
        <v>44500</v>
      </c>
      <c r="C798" s="330" t="s">
        <v>2440</v>
      </c>
      <c r="D798" s="330" t="s">
        <v>2802</v>
      </c>
      <c r="E798" s="330" t="s">
        <v>2439</v>
      </c>
      <c r="F798" s="123" t="s">
        <v>2694</v>
      </c>
      <c r="G798" s="126" t="s">
        <v>472</v>
      </c>
      <c r="H798" s="45">
        <v>1100000</v>
      </c>
      <c r="I798" s="377" t="s">
        <v>2438</v>
      </c>
      <c r="J798" s="301">
        <v>44511</v>
      </c>
      <c r="K798" s="460">
        <f t="shared" si="152"/>
        <v>1100000</v>
      </c>
      <c r="L798" s="460"/>
      <c r="M798" s="460">
        <v>19442</v>
      </c>
      <c r="N798" s="28">
        <f t="shared" si="153"/>
        <v>11000</v>
      </c>
      <c r="O798" s="28">
        <f t="shared" si="154"/>
        <v>22000</v>
      </c>
      <c r="P798" s="460">
        <v>1069558</v>
      </c>
      <c r="Q798" s="28">
        <f t="shared" si="143"/>
        <v>0</v>
      </c>
      <c r="R798" s="743"/>
      <c r="S798" s="474">
        <v>44525</v>
      </c>
      <c r="T798" s="199">
        <v>14</v>
      </c>
      <c r="U798" s="24">
        <f t="shared" si="141"/>
        <v>44525</v>
      </c>
      <c r="V798" s="5"/>
      <c r="W798"/>
      <c r="X798"/>
      <c r="Y798"/>
      <c r="Z798"/>
      <c r="AA798"/>
      <c r="AB798"/>
      <c r="AC798"/>
      <c r="AD798"/>
      <c r="AE798"/>
      <c r="AF798"/>
      <c r="AG798"/>
      <c r="AH798"/>
      <c r="AI798"/>
      <c r="AJ798"/>
      <c r="AK798"/>
      <c r="AL798"/>
      <c r="AM798"/>
      <c r="AN798"/>
      <c r="AO798"/>
      <c r="AP798"/>
      <c r="AQ798"/>
    </row>
    <row r="799" spans="1:43" s="10" customFormat="1" ht="15.75" customHeight="1" x14ac:dyDescent="0.25">
      <c r="A799" s="55">
        <f t="shared" si="144"/>
        <v>25</v>
      </c>
      <c r="B799" s="56">
        <v>44496</v>
      </c>
      <c r="C799" s="58" t="s">
        <v>2443</v>
      </c>
      <c r="D799" s="58" t="s">
        <v>2801</v>
      </c>
      <c r="E799" s="58" t="s">
        <v>2442</v>
      </c>
      <c r="F799" s="123" t="s">
        <v>2694</v>
      </c>
      <c r="G799" s="333" t="s">
        <v>477</v>
      </c>
      <c r="H799" s="45">
        <v>3500000</v>
      </c>
      <c r="I799" s="380" t="s">
        <v>2441</v>
      </c>
      <c r="J799" s="301">
        <v>44511</v>
      </c>
      <c r="K799" s="460">
        <f t="shared" si="152"/>
        <v>3500000</v>
      </c>
      <c r="L799" s="460">
        <v>1683631</v>
      </c>
      <c r="M799" s="459"/>
      <c r="N799" s="28">
        <f t="shared" si="153"/>
        <v>35000</v>
      </c>
      <c r="O799" s="28">
        <f t="shared" si="154"/>
        <v>70000</v>
      </c>
      <c r="P799" s="459"/>
      <c r="Q799" s="28">
        <f t="shared" si="143"/>
        <v>1781369</v>
      </c>
      <c r="R799" s="474">
        <v>44525</v>
      </c>
      <c r="S799" s="474"/>
      <c r="T799" s="199">
        <v>14</v>
      </c>
      <c r="U799" s="24">
        <f t="shared" si="141"/>
        <v>44525</v>
      </c>
      <c r="V799" s="5"/>
      <c r="W799"/>
      <c r="X799"/>
      <c r="Y799"/>
      <c r="Z799"/>
      <c r="AA799"/>
      <c r="AB799"/>
      <c r="AC799"/>
      <c r="AD799"/>
      <c r="AE799"/>
      <c r="AF799"/>
      <c r="AG799"/>
      <c r="AH799"/>
      <c r="AI799"/>
      <c r="AJ799"/>
      <c r="AK799"/>
      <c r="AL799"/>
      <c r="AM799"/>
      <c r="AN799"/>
      <c r="AO799"/>
      <c r="AP799"/>
      <c r="AQ799"/>
    </row>
    <row r="800" spans="1:43" s="10" customFormat="1" ht="15.75" customHeight="1" x14ac:dyDescent="0.25">
      <c r="A800" s="55">
        <f t="shared" si="144"/>
        <v>26</v>
      </c>
      <c r="B800" s="56">
        <v>44495</v>
      </c>
      <c r="C800" s="58" t="s">
        <v>2446</v>
      </c>
      <c r="D800" s="58" t="s">
        <v>2800</v>
      </c>
      <c r="E800" s="58" t="s">
        <v>2445</v>
      </c>
      <c r="F800" s="123" t="s">
        <v>2694</v>
      </c>
      <c r="G800" s="126" t="s">
        <v>467</v>
      </c>
      <c r="H800" s="45">
        <v>5900000</v>
      </c>
      <c r="I800" s="380" t="s">
        <v>2444</v>
      </c>
      <c r="J800" s="301">
        <v>44511</v>
      </c>
      <c r="K800" s="460">
        <f t="shared" si="152"/>
        <v>5900000</v>
      </c>
      <c r="L800" s="460">
        <v>2950000</v>
      </c>
      <c r="M800" s="459"/>
      <c r="N800" s="28">
        <f t="shared" si="153"/>
        <v>59000</v>
      </c>
      <c r="O800" s="28">
        <f t="shared" si="154"/>
        <v>118000</v>
      </c>
      <c r="P800" s="459">
        <v>2891000</v>
      </c>
      <c r="Q800" s="28">
        <f t="shared" si="143"/>
        <v>0</v>
      </c>
      <c r="R800" s="743"/>
      <c r="S800" s="474">
        <v>44525</v>
      </c>
      <c r="T800" s="199">
        <v>14</v>
      </c>
      <c r="U800" s="24">
        <f t="shared" si="141"/>
        <v>44525</v>
      </c>
      <c r="V800" s="5"/>
      <c r="W800"/>
      <c r="X800"/>
      <c r="Y800"/>
      <c r="Z800"/>
      <c r="AA800"/>
      <c r="AB800"/>
      <c r="AC800"/>
      <c r="AD800"/>
      <c r="AE800"/>
      <c r="AF800"/>
      <c r="AG800"/>
      <c r="AH800"/>
      <c r="AI800"/>
      <c r="AJ800"/>
      <c r="AK800"/>
      <c r="AL800"/>
      <c r="AM800"/>
      <c r="AN800"/>
      <c r="AO800"/>
      <c r="AP800"/>
      <c r="AQ800"/>
    </row>
    <row r="801" spans="1:43" s="10" customFormat="1" ht="15.75" customHeight="1" x14ac:dyDescent="0.25">
      <c r="A801" s="55">
        <f t="shared" si="144"/>
        <v>27</v>
      </c>
      <c r="B801" s="56">
        <v>44497</v>
      </c>
      <c r="C801" s="58" t="s">
        <v>2449</v>
      </c>
      <c r="D801" s="58" t="s">
        <v>2799</v>
      </c>
      <c r="E801" s="58" t="s">
        <v>2448</v>
      </c>
      <c r="F801" s="123" t="s">
        <v>2694</v>
      </c>
      <c r="G801" s="126" t="s">
        <v>1099</v>
      </c>
      <c r="H801" s="45">
        <v>850000</v>
      </c>
      <c r="I801" s="380" t="s">
        <v>2447</v>
      </c>
      <c r="J801" s="301">
        <v>44511</v>
      </c>
      <c r="K801" s="460">
        <f t="shared" si="152"/>
        <v>850000</v>
      </c>
      <c r="L801" s="460"/>
      <c r="M801" s="459">
        <v>15024</v>
      </c>
      <c r="N801" s="28">
        <f t="shared" si="153"/>
        <v>8500</v>
      </c>
      <c r="O801" s="28">
        <f t="shared" si="154"/>
        <v>17000</v>
      </c>
      <c r="P801" s="459">
        <v>826476</v>
      </c>
      <c r="Q801" s="28">
        <f t="shared" si="143"/>
        <v>0</v>
      </c>
      <c r="R801" s="743"/>
      <c r="S801" s="474">
        <v>44525</v>
      </c>
      <c r="T801" s="199">
        <v>14</v>
      </c>
      <c r="U801" s="24">
        <f t="shared" si="141"/>
        <v>44525</v>
      </c>
      <c r="V801" s="5"/>
      <c r="W801"/>
      <c r="X801"/>
      <c r="Y801"/>
      <c r="Z801"/>
      <c r="AA801"/>
      <c r="AB801"/>
      <c r="AC801"/>
      <c r="AD801"/>
      <c r="AE801"/>
      <c r="AF801"/>
      <c r="AG801"/>
      <c r="AH801"/>
      <c r="AI801"/>
      <c r="AJ801"/>
      <c r="AK801"/>
      <c r="AL801"/>
      <c r="AM801"/>
      <c r="AN801"/>
      <c r="AO801"/>
      <c r="AP801"/>
      <c r="AQ801"/>
    </row>
    <row r="802" spans="1:43" s="10" customFormat="1" ht="15.75" customHeight="1" x14ac:dyDescent="0.25">
      <c r="A802" s="55">
        <f t="shared" si="144"/>
        <v>28</v>
      </c>
      <c r="B802" s="79">
        <v>44482</v>
      </c>
      <c r="C802" s="330">
        <v>402524</v>
      </c>
      <c r="D802" s="330"/>
      <c r="E802" s="330" t="s">
        <v>2515</v>
      </c>
      <c r="F802" s="69" t="s">
        <v>2457</v>
      </c>
      <c r="G802" s="126" t="s">
        <v>1179</v>
      </c>
      <c r="H802" s="45">
        <v>2200000</v>
      </c>
      <c r="I802" s="377" t="s">
        <v>2514</v>
      </c>
      <c r="J802" s="301">
        <v>44518</v>
      </c>
      <c r="K802" s="526">
        <f t="shared" si="152"/>
        <v>2200000</v>
      </c>
      <c r="L802" s="460"/>
      <c r="M802" s="459"/>
      <c r="N802" s="28">
        <f t="shared" ref="N802" si="155">K802*1%</f>
        <v>22000</v>
      </c>
      <c r="O802" s="28">
        <f t="shared" ref="O802" si="156">K802*2%</f>
        <v>44000</v>
      </c>
      <c r="P802" s="459">
        <v>2178000</v>
      </c>
      <c r="Q802" s="28">
        <f t="shared" si="143"/>
        <v>0</v>
      </c>
      <c r="R802" s="199"/>
      <c r="S802" s="197">
        <v>44588</v>
      </c>
      <c r="T802" s="2">
        <v>30</v>
      </c>
      <c r="U802" s="24">
        <f t="shared" si="141"/>
        <v>44548</v>
      </c>
      <c r="V802"/>
      <c r="W802"/>
      <c r="X802"/>
      <c r="Y802"/>
      <c r="Z802"/>
      <c r="AA802"/>
      <c r="AB802"/>
      <c r="AC802"/>
      <c r="AD802"/>
      <c r="AE802"/>
      <c r="AF802"/>
      <c r="AG802"/>
      <c r="AH802"/>
      <c r="AI802"/>
      <c r="AJ802"/>
      <c r="AK802"/>
      <c r="AL802"/>
      <c r="AM802"/>
      <c r="AN802"/>
      <c r="AO802"/>
      <c r="AP802"/>
      <c r="AQ802"/>
    </row>
    <row r="803" spans="1:43" s="10" customFormat="1" ht="15.75" customHeight="1" x14ac:dyDescent="0.25">
      <c r="A803" s="55">
        <f t="shared" si="144"/>
        <v>29</v>
      </c>
      <c r="B803" s="79">
        <v>44481</v>
      </c>
      <c r="C803" s="330" t="s">
        <v>2516</v>
      </c>
      <c r="D803" s="330" t="s">
        <v>2517</v>
      </c>
      <c r="E803" s="330"/>
      <c r="F803" s="53" t="s">
        <v>553</v>
      </c>
      <c r="G803" s="126" t="s">
        <v>2518</v>
      </c>
      <c r="H803" s="45">
        <v>3400000</v>
      </c>
      <c r="I803" s="377" t="s">
        <v>2519</v>
      </c>
      <c r="J803" s="301">
        <v>44518</v>
      </c>
      <c r="K803" s="719">
        <f t="shared" si="152"/>
        <v>3400000</v>
      </c>
      <c r="L803" s="460"/>
      <c r="M803" s="459"/>
      <c r="N803" s="28">
        <f t="shared" ref="N803" si="157">K803*1%</f>
        <v>34000</v>
      </c>
      <c r="O803" s="28">
        <f t="shared" ref="O803" si="158">K803*2%</f>
        <v>68000</v>
      </c>
      <c r="P803" s="459">
        <v>3366000</v>
      </c>
      <c r="Q803" s="28">
        <f t="shared" si="143"/>
        <v>0</v>
      </c>
      <c r="R803" s="199"/>
      <c r="S803" s="197">
        <v>44547</v>
      </c>
      <c r="T803" s="199">
        <v>14</v>
      </c>
      <c r="U803" s="24">
        <f t="shared" si="141"/>
        <v>44532</v>
      </c>
      <c r="V803"/>
      <c r="W803"/>
      <c r="X803"/>
      <c r="Y803"/>
      <c r="Z803"/>
      <c r="AA803"/>
      <c r="AB803"/>
      <c r="AC803"/>
      <c r="AD803"/>
      <c r="AE803"/>
      <c r="AF803"/>
      <c r="AG803"/>
      <c r="AH803"/>
      <c r="AI803"/>
      <c r="AJ803"/>
      <c r="AK803"/>
      <c r="AL803"/>
      <c r="AM803"/>
      <c r="AN803"/>
      <c r="AO803"/>
      <c r="AP803"/>
      <c r="AQ803"/>
    </row>
    <row r="804" spans="1:43" s="10" customFormat="1" ht="15.75" customHeight="1" x14ac:dyDescent="0.25">
      <c r="A804" s="55">
        <f t="shared" si="144"/>
        <v>30</v>
      </c>
      <c r="B804" s="79">
        <v>44470</v>
      </c>
      <c r="C804" s="330">
        <v>402155</v>
      </c>
      <c r="D804" s="330"/>
      <c r="E804" s="330"/>
      <c r="F804" s="31" t="s">
        <v>1195</v>
      </c>
      <c r="G804" s="126" t="s">
        <v>2677</v>
      </c>
      <c r="H804" s="45">
        <v>101615321.5</v>
      </c>
      <c r="I804" s="377" t="s">
        <v>2676</v>
      </c>
      <c r="J804" s="301">
        <v>44520</v>
      </c>
      <c r="K804" s="526">
        <f t="shared" si="152"/>
        <v>101615321.5</v>
      </c>
      <c r="L804" s="460"/>
      <c r="M804" s="459"/>
      <c r="N804" s="28">
        <f t="shared" ref="N804:N805" si="159">K804*1%</f>
        <v>1016153.215</v>
      </c>
      <c r="O804" s="28">
        <f t="shared" ref="O804:O805" si="160">K804*2%</f>
        <v>2032306.43</v>
      </c>
      <c r="P804" s="459">
        <v>100599168.285</v>
      </c>
      <c r="Q804" s="28">
        <f t="shared" si="143"/>
        <v>-3.6088749766349792E-9</v>
      </c>
      <c r="R804" s="199"/>
      <c r="S804" s="197">
        <v>44536</v>
      </c>
      <c r="T804" s="199">
        <v>14</v>
      </c>
      <c r="U804" s="24">
        <f t="shared" si="141"/>
        <v>44534</v>
      </c>
      <c r="V804"/>
      <c r="W804"/>
      <c r="X804"/>
      <c r="Y804"/>
      <c r="Z804"/>
      <c r="AA804"/>
      <c r="AB804"/>
      <c r="AC804"/>
      <c r="AD804"/>
      <c r="AE804"/>
      <c r="AF804"/>
      <c r="AG804"/>
      <c r="AH804"/>
      <c r="AI804"/>
      <c r="AJ804"/>
      <c r="AK804"/>
      <c r="AL804"/>
      <c r="AM804"/>
      <c r="AN804"/>
      <c r="AO804"/>
      <c r="AP804"/>
      <c r="AQ804"/>
    </row>
    <row r="805" spans="1:43" s="10" customFormat="1" ht="15.75" customHeight="1" x14ac:dyDescent="0.25">
      <c r="A805" s="55">
        <f t="shared" si="144"/>
        <v>31</v>
      </c>
      <c r="B805" s="79">
        <v>44498</v>
      </c>
      <c r="C805" s="609">
        <v>39354</v>
      </c>
      <c r="D805" s="330" t="s">
        <v>2815</v>
      </c>
      <c r="E805" s="330" t="s">
        <v>2695</v>
      </c>
      <c r="F805" s="123" t="s">
        <v>2694</v>
      </c>
      <c r="G805" s="126" t="s">
        <v>2696</v>
      </c>
      <c r="H805" s="45">
        <v>15800000</v>
      </c>
      <c r="I805" s="377" t="s">
        <v>2693</v>
      </c>
      <c r="J805" s="301">
        <v>44524</v>
      </c>
      <c r="K805" s="577">
        <v>15800000</v>
      </c>
      <c r="L805" s="761">
        <v>7215000</v>
      </c>
      <c r="M805" s="459">
        <v>335320</v>
      </c>
      <c r="N805" s="28">
        <f t="shared" si="159"/>
        <v>158000</v>
      </c>
      <c r="O805" s="28">
        <f t="shared" si="160"/>
        <v>316000</v>
      </c>
      <c r="P805" s="459">
        <v>8091680</v>
      </c>
      <c r="Q805" s="28">
        <f t="shared" si="143"/>
        <v>0</v>
      </c>
      <c r="R805" s="474">
        <v>44501</v>
      </c>
      <c r="S805" s="474">
        <v>44539</v>
      </c>
      <c r="T805" s="199">
        <v>30</v>
      </c>
      <c r="U805" s="24">
        <f t="shared" si="141"/>
        <v>44554</v>
      </c>
      <c r="V805"/>
      <c r="W805"/>
      <c r="X805"/>
      <c r="Y805"/>
      <c r="Z805"/>
      <c r="AA805"/>
      <c r="AB805"/>
      <c r="AC805"/>
      <c r="AD805"/>
      <c r="AE805"/>
      <c r="AF805"/>
      <c r="AG805"/>
      <c r="AH805"/>
      <c r="AI805"/>
      <c r="AJ805"/>
      <c r="AK805"/>
      <c r="AL805"/>
      <c r="AM805"/>
      <c r="AN805"/>
      <c r="AO805"/>
      <c r="AP805"/>
      <c r="AQ805"/>
    </row>
    <row r="806" spans="1:43" s="10" customFormat="1" ht="15.75" customHeight="1" x14ac:dyDescent="0.25">
      <c r="A806" s="55">
        <f t="shared" si="144"/>
        <v>32</v>
      </c>
      <c r="B806" s="56">
        <v>44482</v>
      </c>
      <c r="C806" s="58"/>
      <c r="D806" s="58"/>
      <c r="E806" s="58"/>
      <c r="F806" s="123" t="s">
        <v>1195</v>
      </c>
      <c r="G806" s="334" t="s">
        <v>2730</v>
      </c>
      <c r="H806" s="45">
        <v>34800000</v>
      </c>
      <c r="I806" s="380" t="s">
        <v>2729</v>
      </c>
      <c r="J806" s="301">
        <v>44525</v>
      </c>
      <c r="K806" s="577">
        <f t="shared" si="152"/>
        <v>34800000</v>
      </c>
      <c r="L806" s="577"/>
      <c r="M806" s="576"/>
      <c r="N806" s="576">
        <f>K806*1%</f>
        <v>348000</v>
      </c>
      <c r="O806" s="576">
        <f>K806*2%</f>
        <v>696000</v>
      </c>
      <c r="P806" s="576">
        <v>34452000</v>
      </c>
      <c r="Q806" s="28">
        <f t="shared" si="143"/>
        <v>0</v>
      </c>
      <c r="R806" s="199"/>
      <c r="S806" s="197">
        <v>44559</v>
      </c>
      <c r="T806" s="199">
        <v>14</v>
      </c>
      <c r="U806" s="24">
        <f t="shared" si="141"/>
        <v>44539</v>
      </c>
      <c r="V806" s="7"/>
      <c r="W806"/>
      <c r="X806"/>
      <c r="Y806"/>
      <c r="Z806"/>
      <c r="AA806"/>
      <c r="AB806"/>
      <c r="AC806"/>
      <c r="AD806"/>
      <c r="AE806"/>
      <c r="AF806"/>
      <c r="AG806"/>
      <c r="AH806"/>
      <c r="AI806"/>
      <c r="AJ806"/>
      <c r="AK806"/>
      <c r="AL806"/>
      <c r="AM806"/>
      <c r="AN806"/>
      <c r="AO806"/>
      <c r="AP806"/>
      <c r="AQ806"/>
    </row>
    <row r="807" spans="1:43" s="10" customFormat="1" ht="15.75" customHeight="1" x14ac:dyDescent="0.25">
      <c r="A807" s="55">
        <f t="shared" si="144"/>
        <v>33</v>
      </c>
      <c r="B807" s="79">
        <v>44470</v>
      </c>
      <c r="C807" s="609">
        <v>402156</v>
      </c>
      <c r="D807" s="330"/>
      <c r="E807" s="330"/>
      <c r="F807" s="123" t="s">
        <v>1195</v>
      </c>
      <c r="G807" s="126" t="s">
        <v>2734</v>
      </c>
      <c r="H807" s="45">
        <v>431659314</v>
      </c>
      <c r="I807" s="377" t="s">
        <v>2733</v>
      </c>
      <c r="J807" s="301">
        <v>44526</v>
      </c>
      <c r="K807" s="577">
        <f t="shared" si="152"/>
        <v>431659314</v>
      </c>
      <c r="L807" s="577"/>
      <c r="M807" s="576">
        <v>43165931.400000006</v>
      </c>
      <c r="N807" s="28">
        <v>3884933.8260000004</v>
      </c>
      <c r="O807" s="28">
        <v>7769867.6520000007</v>
      </c>
      <c r="P807" s="576">
        <v>384608448.77399999</v>
      </c>
      <c r="Q807" s="28">
        <f>K807-L807-M807-O807-P807+N807</f>
        <v>2.514570951461792E-8</v>
      </c>
      <c r="R807" s="199"/>
      <c r="S807" s="197">
        <v>44546</v>
      </c>
      <c r="T807" s="199">
        <v>14</v>
      </c>
      <c r="U807" s="24">
        <f t="shared" si="141"/>
        <v>44540</v>
      </c>
      <c r="V807"/>
      <c r="W807"/>
      <c r="X807"/>
      <c r="Y807"/>
      <c r="Z807"/>
      <c r="AA807"/>
      <c r="AB807"/>
      <c r="AC807"/>
      <c r="AD807"/>
      <c r="AE807"/>
      <c r="AF807"/>
      <c r="AG807"/>
      <c r="AH807"/>
      <c r="AI807"/>
      <c r="AJ807"/>
      <c r="AK807"/>
      <c r="AL807"/>
      <c r="AM807"/>
      <c r="AN807"/>
      <c r="AO807"/>
      <c r="AP807"/>
      <c r="AQ807"/>
    </row>
    <row r="808" spans="1:43" s="10" customFormat="1" ht="15.75" customHeight="1" x14ac:dyDescent="0.25">
      <c r="A808" s="55">
        <f t="shared" si="144"/>
        <v>34</v>
      </c>
      <c r="B808" s="79">
        <v>44492</v>
      </c>
      <c r="C808" s="330" t="s">
        <v>2796</v>
      </c>
      <c r="D808" s="330" t="s">
        <v>2798</v>
      </c>
      <c r="E808" s="330" t="s">
        <v>2797</v>
      </c>
      <c r="F808" s="123" t="s">
        <v>2694</v>
      </c>
      <c r="G808" s="126" t="s">
        <v>467</v>
      </c>
      <c r="H808" s="45">
        <v>7000000</v>
      </c>
      <c r="I808" s="377" t="s">
        <v>2795</v>
      </c>
      <c r="J808" s="301">
        <v>44511</v>
      </c>
      <c r="K808" s="577">
        <f t="shared" si="152"/>
        <v>7000000</v>
      </c>
      <c r="L808" s="870">
        <v>3412500</v>
      </c>
      <c r="M808" s="576"/>
      <c r="N808" s="28"/>
      <c r="O808" s="28"/>
      <c r="P808" s="576"/>
      <c r="Q808" s="28">
        <f t="shared" si="143"/>
        <v>3587500</v>
      </c>
      <c r="R808" s="474">
        <v>44494</v>
      </c>
      <c r="S808" s="474">
        <v>44525</v>
      </c>
      <c r="T808" s="199">
        <v>14</v>
      </c>
      <c r="U808" s="24">
        <f t="shared" si="141"/>
        <v>44525</v>
      </c>
      <c r="V808"/>
      <c r="W808"/>
      <c r="X808"/>
      <c r="Y808"/>
      <c r="Z808"/>
      <c r="AA808"/>
      <c r="AB808"/>
      <c r="AC808"/>
      <c r="AD808"/>
      <c r="AE808"/>
      <c r="AF808"/>
      <c r="AG808"/>
      <c r="AH808"/>
      <c r="AI808"/>
      <c r="AJ808"/>
      <c r="AK808"/>
      <c r="AL808"/>
      <c r="AM808"/>
      <c r="AN808"/>
      <c r="AO808"/>
      <c r="AP808"/>
      <c r="AQ808"/>
    </row>
    <row r="809" spans="1:43" s="10" customFormat="1" ht="15.75" customHeight="1" x14ac:dyDescent="0.25">
      <c r="A809" s="55">
        <f t="shared" si="144"/>
        <v>35</v>
      </c>
      <c r="B809" s="79">
        <v>44483</v>
      </c>
      <c r="C809" s="609" t="s">
        <v>2241</v>
      </c>
      <c r="D809" s="330"/>
      <c r="E809" s="330" t="s">
        <v>2242</v>
      </c>
      <c r="F809" s="123" t="s">
        <v>2694</v>
      </c>
      <c r="G809" s="126" t="s">
        <v>2806</v>
      </c>
      <c r="H809" s="45">
        <v>1100000</v>
      </c>
      <c r="I809" s="377" t="s">
        <v>2805</v>
      </c>
      <c r="J809" s="301">
        <v>44511</v>
      </c>
      <c r="K809" s="577">
        <f t="shared" si="152"/>
        <v>1100000</v>
      </c>
      <c r="L809" s="577"/>
      <c r="M809" s="576">
        <v>19442</v>
      </c>
      <c r="N809" s="28">
        <f t="shared" ref="N809" si="161">K809*1%</f>
        <v>11000</v>
      </c>
      <c r="O809" s="28">
        <f t="shared" ref="O809" si="162">K809*2%</f>
        <v>22000</v>
      </c>
      <c r="P809" s="869">
        <v>1069558</v>
      </c>
      <c r="Q809" s="28">
        <f t="shared" si="143"/>
        <v>0</v>
      </c>
      <c r="R809" s="743"/>
      <c r="S809" s="474">
        <v>44506</v>
      </c>
      <c r="T809" s="199">
        <v>14</v>
      </c>
      <c r="U809" s="24">
        <f t="shared" si="141"/>
        <v>44525</v>
      </c>
      <c r="V809"/>
      <c r="W809"/>
      <c r="X809"/>
      <c r="Y809"/>
      <c r="Z809"/>
      <c r="AA809"/>
      <c r="AB809"/>
      <c r="AC809"/>
      <c r="AD809"/>
      <c r="AE809"/>
      <c r="AF809"/>
      <c r="AG809"/>
      <c r="AH809"/>
      <c r="AI809"/>
      <c r="AJ809"/>
      <c r="AK809"/>
      <c r="AL809"/>
      <c r="AM809"/>
      <c r="AN809"/>
      <c r="AO809"/>
      <c r="AP809"/>
      <c r="AQ809"/>
    </row>
    <row r="810" spans="1:43" s="10" customFormat="1" ht="15.75" customHeight="1" x14ac:dyDescent="0.25">
      <c r="A810" s="55">
        <f t="shared" si="144"/>
        <v>36</v>
      </c>
      <c r="B810" s="79">
        <v>44487</v>
      </c>
      <c r="C810" s="609" t="s">
        <v>2808</v>
      </c>
      <c r="D810" s="330" t="s">
        <v>2810</v>
      </c>
      <c r="E810" s="330" t="s">
        <v>2809</v>
      </c>
      <c r="F810" s="123" t="s">
        <v>2694</v>
      </c>
      <c r="G810" s="126" t="s">
        <v>2264</v>
      </c>
      <c r="H810" s="45">
        <v>900000</v>
      </c>
      <c r="I810" s="377" t="s">
        <v>2807</v>
      </c>
      <c r="J810" s="301">
        <v>44511</v>
      </c>
      <c r="K810" s="577">
        <f t="shared" si="152"/>
        <v>900000</v>
      </c>
      <c r="L810" s="577"/>
      <c r="M810" s="576">
        <v>15907</v>
      </c>
      <c r="N810" s="28">
        <f>K810*1%</f>
        <v>9000</v>
      </c>
      <c r="O810" s="28">
        <f>K810*2%</f>
        <v>18000</v>
      </c>
      <c r="P810" s="576">
        <v>875093</v>
      </c>
      <c r="Q810" s="28">
        <f t="shared" si="143"/>
        <v>0</v>
      </c>
      <c r="R810" s="743"/>
      <c r="S810" s="474">
        <v>44525</v>
      </c>
      <c r="T810" s="199">
        <v>14</v>
      </c>
      <c r="U810" s="24">
        <f t="shared" si="141"/>
        <v>44525</v>
      </c>
      <c r="V810"/>
      <c r="W810"/>
      <c r="X810"/>
      <c r="Y810"/>
      <c r="Z810"/>
      <c r="AA810"/>
      <c r="AB810"/>
      <c r="AC810"/>
      <c r="AD810"/>
      <c r="AE810"/>
      <c r="AF810"/>
      <c r="AG810"/>
      <c r="AH810"/>
      <c r="AI810"/>
      <c r="AJ810"/>
      <c r="AK810"/>
      <c r="AL810"/>
      <c r="AM810"/>
      <c r="AN810"/>
      <c r="AO810"/>
      <c r="AP810"/>
      <c r="AQ810"/>
    </row>
    <row r="811" spans="1:43" s="10" customFormat="1" ht="15.75" customHeight="1" x14ac:dyDescent="0.25">
      <c r="A811" s="55">
        <f t="shared" si="144"/>
        <v>37</v>
      </c>
      <c r="B811" s="79">
        <v>44490</v>
      </c>
      <c r="C811" s="609" t="s">
        <v>2814</v>
      </c>
      <c r="D811" s="330" t="s">
        <v>2813</v>
      </c>
      <c r="E811" s="330" t="s">
        <v>2812</v>
      </c>
      <c r="F811" s="123" t="s">
        <v>2694</v>
      </c>
      <c r="G811" s="126" t="s">
        <v>147</v>
      </c>
      <c r="H811" s="45">
        <v>1100000</v>
      </c>
      <c r="I811" s="377" t="s">
        <v>2811</v>
      </c>
      <c r="J811" s="301">
        <v>44511</v>
      </c>
      <c r="K811" s="577">
        <f t="shared" si="152"/>
        <v>1100000</v>
      </c>
      <c r="L811" s="577"/>
      <c r="M811" s="576">
        <v>19442</v>
      </c>
      <c r="N811" s="28">
        <f>K811*1%</f>
        <v>11000</v>
      </c>
      <c r="O811" s="28">
        <f>K811*2%</f>
        <v>22000</v>
      </c>
      <c r="P811" s="576">
        <v>1069558</v>
      </c>
      <c r="Q811" s="28">
        <f t="shared" si="143"/>
        <v>0</v>
      </c>
      <c r="R811" s="743"/>
      <c r="S811" s="474">
        <v>44525</v>
      </c>
      <c r="T811" s="199">
        <v>14</v>
      </c>
      <c r="U811" s="24">
        <f t="shared" si="141"/>
        <v>44525</v>
      </c>
      <c r="V811"/>
      <c r="W811"/>
      <c r="X811"/>
      <c r="Y811"/>
      <c r="Z811"/>
      <c r="AA811"/>
      <c r="AB811"/>
      <c r="AC811"/>
      <c r="AD811"/>
      <c r="AE811"/>
      <c r="AF811"/>
      <c r="AG811"/>
      <c r="AH811"/>
      <c r="AI811"/>
      <c r="AJ811"/>
      <c r="AK811"/>
      <c r="AL811"/>
      <c r="AM811"/>
      <c r="AN811"/>
      <c r="AO811"/>
      <c r="AP811"/>
      <c r="AQ811"/>
    </row>
    <row r="812" spans="1:43" s="10" customFormat="1" ht="15.75" customHeight="1" x14ac:dyDescent="0.25">
      <c r="A812" s="55">
        <f t="shared" si="144"/>
        <v>38</v>
      </c>
      <c r="B812" s="79">
        <v>44497</v>
      </c>
      <c r="C812" s="609" t="s">
        <v>2827</v>
      </c>
      <c r="D812" s="330" t="s">
        <v>2826</v>
      </c>
      <c r="E812" s="330"/>
      <c r="F812" s="33" t="s">
        <v>2825</v>
      </c>
      <c r="G812" s="126" t="s">
        <v>2828</v>
      </c>
      <c r="H812" s="45">
        <v>1048500</v>
      </c>
      <c r="I812" s="377" t="s">
        <v>2824</v>
      </c>
      <c r="J812" s="301">
        <v>44511</v>
      </c>
      <c r="K812" s="577">
        <f t="shared" si="152"/>
        <v>1048500</v>
      </c>
      <c r="L812" s="577"/>
      <c r="M812" s="576"/>
      <c r="N812" s="28">
        <f t="shared" ref="N812" si="163">K812*1%</f>
        <v>10485</v>
      </c>
      <c r="O812" s="28">
        <f t="shared" ref="O812" si="164">K812*2%</f>
        <v>20970</v>
      </c>
      <c r="P812" s="576"/>
      <c r="Q812" s="28">
        <f t="shared" si="143"/>
        <v>1038015</v>
      </c>
      <c r="R812" s="199"/>
      <c r="S812" s="197"/>
      <c r="T812" s="199">
        <v>30</v>
      </c>
      <c r="U812" s="24">
        <f t="shared" si="141"/>
        <v>44541</v>
      </c>
      <c r="V812"/>
      <c r="W812"/>
      <c r="X812"/>
      <c r="Y812"/>
      <c r="Z812"/>
      <c r="AA812"/>
      <c r="AB812"/>
      <c r="AC812"/>
      <c r="AD812"/>
      <c r="AE812"/>
      <c r="AF812"/>
      <c r="AG812"/>
      <c r="AH812"/>
      <c r="AI812"/>
      <c r="AJ812"/>
      <c r="AK812"/>
      <c r="AL812"/>
      <c r="AM812"/>
      <c r="AN812"/>
      <c r="AO812"/>
      <c r="AP812"/>
      <c r="AQ812"/>
    </row>
    <row r="813" spans="1:43" s="10" customFormat="1" ht="15.75" customHeight="1" x14ac:dyDescent="0.25">
      <c r="A813" s="55">
        <f t="shared" si="144"/>
        <v>39</v>
      </c>
      <c r="B813" s="470">
        <v>44478</v>
      </c>
      <c r="C813" s="58" t="s">
        <v>2456</v>
      </c>
      <c r="D813" s="635" t="s">
        <v>2830</v>
      </c>
      <c r="E813" s="58"/>
      <c r="F813" s="69" t="s">
        <v>2457</v>
      </c>
      <c r="G813" s="334" t="s">
        <v>2278</v>
      </c>
      <c r="H813" s="45">
        <f>19000000+19000000</f>
        <v>38000000</v>
      </c>
      <c r="I813" s="380" t="s">
        <v>2829</v>
      </c>
      <c r="J813" s="514">
        <v>44532</v>
      </c>
      <c r="K813" s="460">
        <f>H813</f>
        <v>38000000</v>
      </c>
      <c r="L813" s="460"/>
      <c r="M813" s="459"/>
      <c r="N813" s="28">
        <f t="shared" ref="N813:N814" si="165">K813*1%</f>
        <v>380000</v>
      </c>
      <c r="O813" s="28">
        <f t="shared" ref="O813:O814" si="166">K813*2%</f>
        <v>760000</v>
      </c>
      <c r="P813" s="459">
        <v>37620000</v>
      </c>
      <c r="Q813" s="28">
        <f t="shared" si="143"/>
        <v>0</v>
      </c>
      <c r="R813" s="199"/>
      <c r="S813" s="197">
        <v>44595</v>
      </c>
      <c r="T813" s="2">
        <v>30</v>
      </c>
      <c r="U813" s="24">
        <f t="shared" si="141"/>
        <v>44562</v>
      </c>
      <c r="V813"/>
      <c r="W813"/>
      <c r="X813"/>
      <c r="Y813"/>
      <c r="Z813"/>
      <c r="AA813"/>
      <c r="AB813"/>
      <c r="AC813"/>
      <c r="AD813"/>
      <c r="AE813"/>
      <c r="AF813"/>
      <c r="AG813"/>
      <c r="AH813"/>
      <c r="AI813"/>
      <c r="AJ813"/>
      <c r="AK813"/>
      <c r="AL813"/>
      <c r="AM813"/>
      <c r="AN813"/>
      <c r="AO813"/>
      <c r="AP813"/>
      <c r="AQ813"/>
    </row>
    <row r="814" spans="1:43" s="607" customFormat="1" ht="15.75" customHeight="1" x14ac:dyDescent="0.25">
      <c r="A814" s="55">
        <f t="shared" si="144"/>
        <v>40</v>
      </c>
      <c r="B814" s="633">
        <v>44482</v>
      </c>
      <c r="C814" s="330" t="s">
        <v>2458</v>
      </c>
      <c r="D814" s="330"/>
      <c r="E814" s="330"/>
      <c r="F814" s="33" t="s">
        <v>1741</v>
      </c>
      <c r="G814" s="404" t="s">
        <v>2832</v>
      </c>
      <c r="H814" s="45">
        <f>17000000+9000000</f>
        <v>26000000</v>
      </c>
      <c r="I814" s="634" t="s">
        <v>2831</v>
      </c>
      <c r="J814" s="514">
        <v>44532</v>
      </c>
      <c r="K814" s="621">
        <f t="shared" ref="K814:K815" si="167">H814</f>
        <v>26000000</v>
      </c>
      <c r="L814" s="621"/>
      <c r="M814" s="621"/>
      <c r="N814" s="28">
        <f t="shared" si="165"/>
        <v>260000</v>
      </c>
      <c r="O814" s="28">
        <f t="shared" si="166"/>
        <v>520000</v>
      </c>
      <c r="P814" s="621"/>
      <c r="Q814" s="28">
        <f t="shared" si="143"/>
        <v>25740000</v>
      </c>
      <c r="R814" s="55"/>
      <c r="S814" s="55"/>
      <c r="T814" s="199">
        <v>30</v>
      </c>
      <c r="U814" s="24">
        <f t="shared" si="141"/>
        <v>44562</v>
      </c>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row>
    <row r="815" spans="1:43" s="607" customFormat="1" ht="15.75" customHeight="1" x14ac:dyDescent="0.25">
      <c r="A815" s="55">
        <f t="shared" si="144"/>
        <v>41</v>
      </c>
      <c r="B815" s="633">
        <v>44487</v>
      </c>
      <c r="C815" s="330">
        <v>402548</v>
      </c>
      <c r="D815" s="330"/>
      <c r="E815" s="330"/>
      <c r="F815" s="33" t="s">
        <v>1195</v>
      </c>
      <c r="G815" s="404" t="s">
        <v>2903</v>
      </c>
      <c r="H815" s="45">
        <v>14685061.999999998</v>
      </c>
      <c r="I815" s="378" t="s">
        <v>2902</v>
      </c>
      <c r="J815" s="514">
        <v>44536</v>
      </c>
      <c r="K815" s="703">
        <f t="shared" si="167"/>
        <v>14685061.999999998</v>
      </c>
      <c r="L815" s="703"/>
      <c r="M815" s="703">
        <v>1468506.2</v>
      </c>
      <c r="N815" s="28">
        <v>132165.55799999999</v>
      </c>
      <c r="O815" s="28">
        <v>264331.11599999998</v>
      </c>
      <c r="P815" s="703">
        <v>13084390.241999999</v>
      </c>
      <c r="Q815" s="28">
        <f t="shared" si="143"/>
        <v>0</v>
      </c>
      <c r="R815" s="55"/>
      <c r="S815" s="301">
        <v>44565</v>
      </c>
      <c r="T815" s="199">
        <v>14</v>
      </c>
      <c r="U815" s="24">
        <f t="shared" si="141"/>
        <v>44550</v>
      </c>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row>
    <row r="816" spans="1:43" s="10" customFormat="1" ht="15.75" customHeight="1" x14ac:dyDescent="0.25">
      <c r="A816" s="55">
        <f t="shared" si="144"/>
        <v>42</v>
      </c>
      <c r="B816" s="470">
        <v>44487</v>
      </c>
      <c r="C816" s="448">
        <v>402241</v>
      </c>
      <c r="D816" s="448"/>
      <c r="E816" s="58"/>
      <c r="F816" s="33" t="s">
        <v>1195</v>
      </c>
      <c r="G816" s="123" t="s">
        <v>3052</v>
      </c>
      <c r="H816" s="45">
        <v>9233109.75</v>
      </c>
      <c r="I816" s="380" t="s">
        <v>3051</v>
      </c>
      <c r="J816" s="514">
        <v>44541</v>
      </c>
      <c r="K816" s="719">
        <f t="shared" ref="K816:K825" si="168">H816</f>
        <v>9233109.75</v>
      </c>
      <c r="L816" s="719"/>
      <c r="M816" s="718">
        <v>923310.97500000009</v>
      </c>
      <c r="N816" s="718">
        <v>83097.98775</v>
      </c>
      <c r="O816" s="718">
        <v>166195.9755</v>
      </c>
      <c r="P816" s="718">
        <v>8226700.787250001</v>
      </c>
      <c r="Q816" s="28">
        <f t="shared" si="143"/>
        <v>-3.2014213502407074E-10</v>
      </c>
      <c r="R816" s="199"/>
      <c r="S816" s="197">
        <v>44564</v>
      </c>
      <c r="T816" s="199">
        <v>14</v>
      </c>
      <c r="U816" s="24">
        <f t="shared" si="141"/>
        <v>44555</v>
      </c>
      <c r="V816"/>
      <c r="W816"/>
      <c r="X816"/>
      <c r="Y816"/>
      <c r="Z816"/>
      <c r="AA816"/>
      <c r="AB816"/>
      <c r="AC816"/>
      <c r="AD816"/>
      <c r="AE816"/>
      <c r="AF816"/>
      <c r="AG816"/>
      <c r="AH816"/>
      <c r="AI816"/>
      <c r="AJ816"/>
      <c r="AK816"/>
      <c r="AL816"/>
      <c r="AM816"/>
      <c r="AN816"/>
      <c r="AO816"/>
      <c r="AP816"/>
      <c r="AQ816"/>
    </row>
    <row r="817" spans="1:43" s="10" customFormat="1" ht="15.75" customHeight="1" x14ac:dyDescent="0.25">
      <c r="A817" s="55">
        <f t="shared" si="144"/>
        <v>43</v>
      </c>
      <c r="B817" s="470">
        <v>44487</v>
      </c>
      <c r="C817" s="448">
        <v>402240</v>
      </c>
      <c r="D817" s="448"/>
      <c r="E817" s="58"/>
      <c r="F817" s="33" t="s">
        <v>1195</v>
      </c>
      <c r="G817" s="123" t="s">
        <v>3065</v>
      </c>
      <c r="H817" s="45">
        <v>49981860.25</v>
      </c>
      <c r="I817" s="380" t="s">
        <v>3064</v>
      </c>
      <c r="J817" s="514">
        <v>44546</v>
      </c>
      <c r="K817" s="719">
        <f t="shared" si="168"/>
        <v>49981860.25</v>
      </c>
      <c r="L817" s="719"/>
      <c r="M817" s="718">
        <v>4998186.0250000004</v>
      </c>
      <c r="N817" s="718">
        <v>449836.74225000001</v>
      </c>
      <c r="O817" s="718">
        <v>899673.48450000002</v>
      </c>
      <c r="P817" s="718">
        <v>44533837.482750006</v>
      </c>
      <c r="Q817" s="28">
        <f t="shared" si="143"/>
        <v>-2.9103830456733704E-9</v>
      </c>
      <c r="R817" s="199"/>
      <c r="S817" s="197">
        <v>44565</v>
      </c>
      <c r="T817" s="199">
        <v>14</v>
      </c>
      <c r="U817" s="24">
        <f t="shared" si="141"/>
        <v>44560</v>
      </c>
      <c r="V817"/>
      <c r="W817"/>
      <c r="X817"/>
      <c r="Y817"/>
      <c r="Z817"/>
      <c r="AA817"/>
      <c r="AB817"/>
      <c r="AC817"/>
      <c r="AD817"/>
      <c r="AE817"/>
      <c r="AF817"/>
      <c r="AG817"/>
      <c r="AH817"/>
      <c r="AI817"/>
      <c r="AJ817"/>
      <c r="AK817"/>
      <c r="AL817"/>
      <c r="AM817"/>
      <c r="AN817"/>
      <c r="AO817"/>
      <c r="AP817"/>
      <c r="AQ817"/>
    </row>
    <row r="818" spans="1:43" s="10" customFormat="1" ht="15.75" customHeight="1" x14ac:dyDescent="0.25">
      <c r="A818" s="55">
        <f t="shared" si="144"/>
        <v>44</v>
      </c>
      <c r="B818" s="470">
        <v>44487</v>
      </c>
      <c r="C818" s="448">
        <v>402242</v>
      </c>
      <c r="D818" s="448"/>
      <c r="E818" s="58"/>
      <c r="F818" s="123" t="s">
        <v>1195</v>
      </c>
      <c r="G818" s="123" t="s">
        <v>3125</v>
      </c>
      <c r="H818" s="45">
        <v>15232637</v>
      </c>
      <c r="I818" s="380" t="s">
        <v>3124</v>
      </c>
      <c r="J818" s="514">
        <v>44547</v>
      </c>
      <c r="K818" s="719">
        <f t="shared" si="168"/>
        <v>15232637</v>
      </c>
      <c r="L818" s="719"/>
      <c r="M818" s="718">
        <v>1523263.7000000002</v>
      </c>
      <c r="N818" s="718">
        <v>137093.73300000001</v>
      </c>
      <c r="O818" s="718">
        <v>274187.46600000001</v>
      </c>
      <c r="P818" s="718">
        <v>13572279.567000002</v>
      </c>
      <c r="Q818" s="28">
        <f>K818-L818-M818-O818-P818+N818</f>
        <v>-9.3132257461547852E-10</v>
      </c>
      <c r="R818" s="199"/>
      <c r="S818" s="197">
        <v>44566</v>
      </c>
      <c r="T818" s="199">
        <v>14</v>
      </c>
      <c r="U818" s="24">
        <f t="shared" si="141"/>
        <v>44561</v>
      </c>
      <c r="V818"/>
      <c r="W818"/>
      <c r="X818"/>
      <c r="Y818"/>
      <c r="Z818"/>
      <c r="AA818"/>
      <c r="AB818"/>
      <c r="AC818"/>
      <c r="AD818"/>
      <c r="AE818"/>
      <c r="AF818"/>
      <c r="AG818"/>
      <c r="AH818"/>
      <c r="AI818"/>
      <c r="AJ818"/>
      <c r="AK818"/>
      <c r="AL818"/>
      <c r="AM818"/>
      <c r="AN818"/>
      <c r="AO818"/>
      <c r="AP818"/>
      <c r="AQ818"/>
    </row>
    <row r="819" spans="1:43" s="10" customFormat="1" ht="15.75" customHeight="1" x14ac:dyDescent="0.25">
      <c r="A819" s="55">
        <f t="shared" si="144"/>
        <v>45</v>
      </c>
      <c r="B819" s="470">
        <v>44499</v>
      </c>
      <c r="C819" s="448" t="s">
        <v>3154</v>
      </c>
      <c r="D819" s="448"/>
      <c r="E819" s="58"/>
      <c r="F819" s="69" t="s">
        <v>1195</v>
      </c>
      <c r="G819" s="334" t="s">
        <v>3153</v>
      </c>
      <c r="H819" s="45">
        <v>15780000</v>
      </c>
      <c r="I819" s="380" t="s">
        <v>3152</v>
      </c>
      <c r="J819" s="514">
        <v>44554</v>
      </c>
      <c r="K819" s="747">
        <f t="shared" si="168"/>
        <v>15780000</v>
      </c>
      <c r="L819" s="747"/>
      <c r="M819" s="746">
        <v>1578000</v>
      </c>
      <c r="N819" s="28">
        <v>142020</v>
      </c>
      <c r="O819" s="28">
        <v>284040</v>
      </c>
      <c r="P819" s="746">
        <v>14059980</v>
      </c>
      <c r="Q819" s="28">
        <f>K819-L819-M819-O819-P819+N819</f>
        <v>0</v>
      </c>
      <c r="R819" s="199"/>
      <c r="S819" s="197">
        <v>44638</v>
      </c>
      <c r="T819" s="199">
        <v>14</v>
      </c>
      <c r="U819" s="24">
        <f t="shared" si="141"/>
        <v>44568</v>
      </c>
      <c r="V819"/>
      <c r="W819"/>
      <c r="X819"/>
      <c r="Y819"/>
      <c r="Z819"/>
      <c r="AA819"/>
      <c r="AB819"/>
      <c r="AC819"/>
      <c r="AD819"/>
      <c r="AE819"/>
      <c r="AF819"/>
      <c r="AG819"/>
      <c r="AH819"/>
      <c r="AI819"/>
      <c r="AJ819"/>
      <c r="AK819"/>
      <c r="AL819"/>
      <c r="AM819"/>
      <c r="AN819"/>
      <c r="AO819"/>
      <c r="AP819"/>
      <c r="AQ819"/>
    </row>
    <row r="820" spans="1:43" s="10" customFormat="1" ht="15.75" customHeight="1" x14ac:dyDescent="0.25">
      <c r="A820" s="55">
        <f t="shared" si="144"/>
        <v>46</v>
      </c>
      <c r="B820" s="470">
        <v>44495</v>
      </c>
      <c r="C820" s="448">
        <v>402549</v>
      </c>
      <c r="D820" s="448"/>
      <c r="E820" s="58"/>
      <c r="F820" s="69" t="s">
        <v>1195</v>
      </c>
      <c r="G820" s="334" t="s">
        <v>3158</v>
      </c>
      <c r="H820" s="45">
        <v>1900000</v>
      </c>
      <c r="I820" s="380" t="s">
        <v>3157</v>
      </c>
      <c r="J820" s="514">
        <v>44557</v>
      </c>
      <c r="K820" s="747">
        <f t="shared" si="168"/>
        <v>1900000</v>
      </c>
      <c r="L820" s="747"/>
      <c r="M820" s="746">
        <v>190000</v>
      </c>
      <c r="N820" s="28">
        <v>17100</v>
      </c>
      <c r="O820" s="28">
        <v>34200</v>
      </c>
      <c r="P820" s="746">
        <v>1692900</v>
      </c>
      <c r="Q820" s="28">
        <f t="shared" ref="Q820:Q824" si="169">K820-L820-M820-O820-P820+N820</f>
        <v>0</v>
      </c>
      <c r="R820" s="199"/>
      <c r="S820" s="197">
        <v>44588</v>
      </c>
      <c r="T820" s="199">
        <v>14</v>
      </c>
      <c r="U820" s="24">
        <f t="shared" si="141"/>
        <v>44571</v>
      </c>
      <c r="V820"/>
      <c r="W820"/>
      <c r="X820"/>
      <c r="Y820"/>
      <c r="Z820"/>
      <c r="AA820"/>
      <c r="AB820"/>
      <c r="AC820"/>
      <c r="AD820"/>
      <c r="AE820"/>
      <c r="AF820"/>
      <c r="AG820"/>
      <c r="AH820"/>
      <c r="AI820"/>
      <c r="AJ820"/>
      <c r="AK820"/>
      <c r="AL820"/>
      <c r="AM820"/>
      <c r="AN820"/>
      <c r="AO820"/>
      <c r="AP820"/>
      <c r="AQ820"/>
    </row>
    <row r="821" spans="1:43" s="10" customFormat="1" ht="15.75" customHeight="1" x14ac:dyDescent="0.25">
      <c r="A821" s="55"/>
      <c r="B821" s="633">
        <v>44495</v>
      </c>
      <c r="C821" s="755">
        <v>402547</v>
      </c>
      <c r="D821" s="756"/>
      <c r="E821" s="330"/>
      <c r="F821" s="33" t="s">
        <v>1195</v>
      </c>
      <c r="G821" s="792" t="s">
        <v>3449</v>
      </c>
      <c r="H821" s="45">
        <v>3225992</v>
      </c>
      <c r="I821" s="377" t="s">
        <v>3448</v>
      </c>
      <c r="J821" s="774">
        <v>44580</v>
      </c>
      <c r="K821" s="790">
        <f>H821</f>
        <v>3225992</v>
      </c>
      <c r="L821" s="790"/>
      <c r="M821" s="790">
        <v>322599.2</v>
      </c>
      <c r="N821" s="28">
        <v>29033.928</v>
      </c>
      <c r="O821" s="28">
        <v>58067.856</v>
      </c>
      <c r="P821" s="790">
        <v>2874358.8719999995</v>
      </c>
      <c r="Q821" s="28">
        <f t="shared" si="169"/>
        <v>1.6007106751203537E-10</v>
      </c>
      <c r="R821" s="301"/>
      <c r="S821" s="301">
        <v>44230</v>
      </c>
      <c r="T821" s="199">
        <v>14</v>
      </c>
      <c r="U821" s="24">
        <f t="shared" ref="U821:U822" si="170">J821+T821</f>
        <v>44594</v>
      </c>
      <c r="V821" s="5"/>
      <c r="W821"/>
      <c r="X821"/>
      <c r="Y821"/>
      <c r="Z821"/>
      <c r="AA821"/>
      <c r="AB821"/>
      <c r="AC821"/>
      <c r="AD821"/>
      <c r="AE821"/>
      <c r="AF821"/>
      <c r="AG821"/>
      <c r="AH821"/>
      <c r="AI821"/>
      <c r="AJ821"/>
      <c r="AK821"/>
      <c r="AL821"/>
      <c r="AM821"/>
      <c r="AN821"/>
      <c r="AO821"/>
      <c r="AP821"/>
      <c r="AQ821"/>
    </row>
    <row r="822" spans="1:43" s="10" customFormat="1" ht="15.75" customHeight="1" x14ac:dyDescent="0.25">
      <c r="A822" s="55"/>
      <c r="B822" s="633">
        <v>44487</v>
      </c>
      <c r="C822" s="755">
        <v>402546</v>
      </c>
      <c r="D822" s="756"/>
      <c r="E822" s="330"/>
      <c r="F822" s="33" t="s">
        <v>1195</v>
      </c>
      <c r="G822" s="404" t="s">
        <v>3451</v>
      </c>
      <c r="H822" s="45">
        <v>2715480.0000000005</v>
      </c>
      <c r="I822" s="377" t="s">
        <v>3450</v>
      </c>
      <c r="J822" s="774">
        <v>44580</v>
      </c>
      <c r="K822" s="790">
        <f>H822</f>
        <v>2715480.0000000005</v>
      </c>
      <c r="L822" s="790"/>
      <c r="M822" s="790">
        <v>271548.00000000006</v>
      </c>
      <c r="N822" s="28">
        <v>24439.320000000007</v>
      </c>
      <c r="O822" s="28">
        <v>48878.640000000014</v>
      </c>
      <c r="P822" s="790">
        <v>2419492.6800000002</v>
      </c>
      <c r="Q822" s="28">
        <f t="shared" si="169"/>
        <v>1.7462298274040222E-10</v>
      </c>
      <c r="R822" s="301"/>
      <c r="S822" s="301">
        <v>44230</v>
      </c>
      <c r="T822" s="199">
        <v>14</v>
      </c>
      <c r="U822" s="24">
        <f t="shared" si="170"/>
        <v>44594</v>
      </c>
      <c r="V822" s="5"/>
      <c r="W822"/>
      <c r="X822"/>
      <c r="Y822"/>
      <c r="Z822"/>
      <c r="AA822"/>
      <c r="AB822"/>
      <c r="AC822"/>
      <c r="AD822"/>
      <c r="AE822"/>
      <c r="AF822"/>
      <c r="AG822"/>
      <c r="AH822"/>
      <c r="AI822"/>
      <c r="AJ822"/>
      <c r="AK822"/>
      <c r="AL822"/>
      <c r="AM822"/>
      <c r="AN822"/>
      <c r="AO822"/>
      <c r="AP822"/>
      <c r="AQ822"/>
    </row>
    <row r="823" spans="1:43" s="10" customFormat="1" ht="15.75" customHeight="1" x14ac:dyDescent="0.25">
      <c r="A823" s="263">
        <f>A820+1</f>
        <v>47</v>
      </c>
      <c r="B823" s="570">
        <v>44487</v>
      </c>
      <c r="C823" s="631">
        <v>402546</v>
      </c>
      <c r="D823" s="448"/>
      <c r="E823" s="58"/>
      <c r="F823" s="265" t="s">
        <v>1195</v>
      </c>
      <c r="G823" s="572" t="s">
        <v>3160</v>
      </c>
      <c r="H823" s="45">
        <v>5226872</v>
      </c>
      <c r="I823" s="384" t="s">
        <v>3159</v>
      </c>
      <c r="J823" s="499">
        <v>44557</v>
      </c>
      <c r="K823" s="270">
        <f t="shared" si="168"/>
        <v>5226872</v>
      </c>
      <c r="L823" s="270"/>
      <c r="M823" s="270" t="s">
        <v>3415</v>
      </c>
      <c r="N823" s="417"/>
      <c r="O823" s="417"/>
      <c r="P823" s="270"/>
      <c r="Q823" s="28">
        <v>0</v>
      </c>
      <c r="R823" s="263"/>
      <c r="S823" s="268"/>
      <c r="T823" s="263">
        <v>14</v>
      </c>
      <c r="U823" s="510">
        <f t="shared" si="141"/>
        <v>44571</v>
      </c>
      <c r="V823"/>
      <c r="W823"/>
      <c r="X823"/>
      <c r="Y823"/>
      <c r="Z823"/>
      <c r="AA823"/>
      <c r="AB823"/>
      <c r="AC823"/>
      <c r="AD823"/>
      <c r="AE823"/>
      <c r="AF823"/>
      <c r="AG823"/>
      <c r="AH823"/>
      <c r="AI823"/>
      <c r="AJ823"/>
      <c r="AK823"/>
      <c r="AL823"/>
      <c r="AM823"/>
      <c r="AN823"/>
      <c r="AO823"/>
      <c r="AP823"/>
      <c r="AQ823"/>
    </row>
    <row r="824" spans="1:43" s="10" customFormat="1" ht="15.75" customHeight="1" x14ac:dyDescent="0.25">
      <c r="A824" s="55">
        <f t="shared" si="144"/>
        <v>48</v>
      </c>
      <c r="B824" s="470">
        <v>44495</v>
      </c>
      <c r="C824" s="448">
        <v>402429</v>
      </c>
      <c r="D824" s="448"/>
      <c r="E824" s="58"/>
      <c r="F824" s="69" t="s">
        <v>1195</v>
      </c>
      <c r="G824" s="334" t="s">
        <v>3162</v>
      </c>
      <c r="H824" s="45">
        <v>4311832</v>
      </c>
      <c r="I824" s="380" t="s">
        <v>3161</v>
      </c>
      <c r="J824" s="514">
        <v>44557</v>
      </c>
      <c r="K824" s="747">
        <f t="shared" si="168"/>
        <v>4311832</v>
      </c>
      <c r="L824" s="747"/>
      <c r="M824" s="746">
        <v>431183.2</v>
      </c>
      <c r="N824" s="28">
        <v>38806.487999999998</v>
      </c>
      <c r="O824" s="28">
        <v>77612.975999999995</v>
      </c>
      <c r="P824" s="746">
        <v>3841842</v>
      </c>
      <c r="Q824" s="28">
        <f t="shared" si="169"/>
        <v>0.31200000001990702</v>
      </c>
      <c r="R824" s="199"/>
      <c r="S824" s="197">
        <v>44587</v>
      </c>
      <c r="T824" s="199">
        <v>14</v>
      </c>
      <c r="U824" s="24">
        <f t="shared" si="141"/>
        <v>44571</v>
      </c>
      <c r="V824"/>
      <c r="W824"/>
      <c r="X824"/>
      <c r="Y824"/>
      <c r="Z824"/>
      <c r="AA824"/>
      <c r="AB824"/>
      <c r="AC824"/>
      <c r="AD824"/>
      <c r="AE824"/>
      <c r="AF824"/>
      <c r="AG824"/>
      <c r="AH824"/>
      <c r="AI824"/>
      <c r="AJ824"/>
      <c r="AK824"/>
      <c r="AL824"/>
      <c r="AM824"/>
      <c r="AN824"/>
      <c r="AO824"/>
      <c r="AP824"/>
      <c r="AQ824"/>
    </row>
    <row r="825" spans="1:43" s="10" customFormat="1" ht="15.75" customHeight="1" x14ac:dyDescent="0.25">
      <c r="A825" s="55">
        <f t="shared" si="144"/>
        <v>49</v>
      </c>
      <c r="B825" s="470">
        <v>44481</v>
      </c>
      <c r="C825" s="448" t="s">
        <v>3303</v>
      </c>
      <c r="D825" s="448"/>
      <c r="E825" s="58" t="s">
        <v>3304</v>
      </c>
      <c r="F825" s="123" t="s">
        <v>2694</v>
      </c>
      <c r="G825" s="334" t="s">
        <v>32</v>
      </c>
      <c r="H825" s="45">
        <v>1000000</v>
      </c>
      <c r="I825" s="380" t="s">
        <v>3305</v>
      </c>
      <c r="J825" s="514">
        <v>44485</v>
      </c>
      <c r="K825" s="759">
        <f t="shared" si="168"/>
        <v>1000000</v>
      </c>
      <c r="L825" s="759"/>
      <c r="M825" s="758">
        <v>17325</v>
      </c>
      <c r="N825" s="28">
        <f>K825*1%</f>
        <v>10000</v>
      </c>
      <c r="O825" s="28">
        <f>K825*2%</f>
        <v>20000</v>
      </c>
      <c r="P825" s="758">
        <v>972675</v>
      </c>
      <c r="Q825" s="28">
        <f t="shared" si="143"/>
        <v>0</v>
      </c>
      <c r="R825" s="199"/>
      <c r="S825" s="197">
        <v>44539</v>
      </c>
      <c r="T825" s="199">
        <v>14</v>
      </c>
      <c r="U825" s="24">
        <f t="shared" si="141"/>
        <v>44499</v>
      </c>
      <c r="V825"/>
      <c r="W825"/>
      <c r="X825"/>
      <c r="Y825"/>
      <c r="Z825"/>
      <c r="AA825"/>
      <c r="AB825"/>
      <c r="AC825"/>
      <c r="AD825"/>
      <c r="AE825"/>
      <c r="AF825"/>
      <c r="AG825"/>
      <c r="AH825"/>
      <c r="AI825"/>
      <c r="AJ825"/>
      <c r="AK825"/>
      <c r="AL825"/>
      <c r="AM825"/>
      <c r="AN825"/>
      <c r="AO825"/>
      <c r="AP825"/>
      <c r="AQ825"/>
    </row>
    <row r="826" spans="1:43" s="10" customFormat="1" ht="15.75" customHeight="1" x14ac:dyDescent="0.25">
      <c r="A826" s="55">
        <f t="shared" si="144"/>
        <v>50</v>
      </c>
      <c r="B826" s="56">
        <v>44471</v>
      </c>
      <c r="C826" s="58" t="s">
        <v>2099</v>
      </c>
      <c r="D826" s="58"/>
      <c r="E826" s="58" t="s">
        <v>2098</v>
      </c>
      <c r="F826" s="123" t="s">
        <v>2694</v>
      </c>
      <c r="G826" s="334" t="s">
        <v>30</v>
      </c>
      <c r="H826" s="45">
        <v>350000</v>
      </c>
      <c r="I826" s="380" t="s">
        <v>2143</v>
      </c>
      <c r="J826" s="301">
        <v>44477</v>
      </c>
      <c r="K826" s="460">
        <f t="shared" ref="K826:K854" si="171">H826</f>
        <v>350000</v>
      </c>
      <c r="L826" s="460"/>
      <c r="M826" s="459"/>
      <c r="N826" s="459"/>
      <c r="O826" s="459"/>
      <c r="P826" s="459"/>
      <c r="Q826" s="28">
        <f t="shared" si="143"/>
        <v>350000</v>
      </c>
      <c r="R826" s="743"/>
      <c r="S826" s="474"/>
      <c r="T826" s="199">
        <v>14</v>
      </c>
      <c r="U826" s="24">
        <f t="shared" si="141"/>
        <v>44491</v>
      </c>
      <c r="V826"/>
      <c r="W826"/>
      <c r="X826"/>
      <c r="Y826"/>
      <c r="Z826"/>
      <c r="AA826"/>
      <c r="AB826"/>
      <c r="AC826"/>
      <c r="AD826"/>
      <c r="AE826"/>
      <c r="AF826"/>
      <c r="AG826"/>
      <c r="AH826"/>
      <c r="AI826"/>
      <c r="AJ826"/>
      <c r="AK826"/>
      <c r="AL826"/>
      <c r="AM826"/>
      <c r="AN826"/>
      <c r="AO826"/>
      <c r="AP826"/>
      <c r="AQ826"/>
    </row>
    <row r="827" spans="1:43" s="10" customFormat="1" ht="15.75" customHeight="1" x14ac:dyDescent="0.25">
      <c r="A827" s="55">
        <f t="shared" si="144"/>
        <v>51</v>
      </c>
      <c r="B827" s="56">
        <v>44479</v>
      </c>
      <c r="C827" s="58" t="s">
        <v>2146</v>
      </c>
      <c r="D827" s="58"/>
      <c r="E827" s="58"/>
      <c r="F827" s="123" t="s">
        <v>2790</v>
      </c>
      <c r="G827" s="334" t="s">
        <v>2145</v>
      </c>
      <c r="H827" s="45">
        <v>1749000</v>
      </c>
      <c r="I827" s="380" t="s">
        <v>2144</v>
      </c>
      <c r="J827" s="301">
        <v>44482</v>
      </c>
      <c r="K827" s="460">
        <f t="shared" si="171"/>
        <v>1749000</v>
      </c>
      <c r="L827" s="460"/>
      <c r="M827" s="459">
        <v>249000</v>
      </c>
      <c r="N827" s="459"/>
      <c r="O827" s="459"/>
      <c r="P827" s="459">
        <v>1500000</v>
      </c>
      <c r="Q827" s="28">
        <f t="shared" si="143"/>
        <v>0</v>
      </c>
      <c r="R827" s="856" t="s">
        <v>2738</v>
      </c>
      <c r="S827" s="480"/>
      <c r="T827" s="199">
        <v>14</v>
      </c>
      <c r="U827" s="24">
        <f t="shared" ref="U827:U870" si="172">J827+T827</f>
        <v>44496</v>
      </c>
      <c r="V827" s="490" t="s">
        <v>2737</v>
      </c>
      <c r="W827"/>
      <c r="X827"/>
      <c r="Y827"/>
      <c r="Z827"/>
      <c r="AA827"/>
      <c r="AB827"/>
      <c r="AC827"/>
      <c r="AD827"/>
      <c r="AE827"/>
      <c r="AF827"/>
      <c r="AG827"/>
      <c r="AH827"/>
      <c r="AI827"/>
      <c r="AJ827"/>
      <c r="AK827"/>
      <c r="AL827"/>
      <c r="AM827"/>
      <c r="AN827"/>
      <c r="AO827"/>
      <c r="AP827"/>
      <c r="AQ827"/>
    </row>
    <row r="828" spans="1:43" s="10" customFormat="1" ht="15.75" customHeight="1" x14ac:dyDescent="0.25">
      <c r="A828" s="55">
        <f t="shared" si="144"/>
        <v>52</v>
      </c>
      <c r="B828" s="470">
        <v>44482</v>
      </c>
      <c r="C828" s="58" t="s">
        <v>2148</v>
      </c>
      <c r="D828" s="58"/>
      <c r="E828" s="58"/>
      <c r="F828" s="123" t="s">
        <v>2147</v>
      </c>
      <c r="G828" s="333" t="s">
        <v>161</v>
      </c>
      <c r="H828" s="45">
        <v>1250000</v>
      </c>
      <c r="I828" s="380" t="s">
        <v>2149</v>
      </c>
      <c r="J828" s="507">
        <v>44482</v>
      </c>
      <c r="K828" s="460">
        <f t="shared" si="171"/>
        <v>1250000</v>
      </c>
      <c r="L828" s="460"/>
      <c r="M828" s="459"/>
      <c r="N828" s="459"/>
      <c r="O828" s="459"/>
      <c r="P828" s="459">
        <v>1250000</v>
      </c>
      <c r="Q828" s="28">
        <f t="shared" si="143"/>
        <v>0</v>
      </c>
      <c r="R828" s="199"/>
      <c r="S828" s="197">
        <v>44539</v>
      </c>
      <c r="T828" s="199">
        <v>30</v>
      </c>
      <c r="U828" s="24">
        <f t="shared" si="172"/>
        <v>44512</v>
      </c>
      <c r="V828" t="s">
        <v>2150</v>
      </c>
      <c r="W828"/>
      <c r="X828"/>
      <c r="Y828"/>
      <c r="Z828"/>
      <c r="AA828"/>
      <c r="AB828"/>
      <c r="AC828"/>
      <c r="AD828"/>
      <c r="AE828"/>
      <c r="AF828"/>
      <c r="AG828"/>
      <c r="AH828"/>
      <c r="AI828"/>
      <c r="AJ828"/>
      <c r="AK828"/>
      <c r="AL828"/>
      <c r="AM828"/>
      <c r="AN828"/>
      <c r="AO828"/>
      <c r="AP828"/>
      <c r="AQ828"/>
    </row>
    <row r="829" spans="1:43" s="10" customFormat="1" ht="15.75" customHeight="1" x14ac:dyDescent="0.25">
      <c r="A829" s="55">
        <f t="shared" si="144"/>
        <v>53</v>
      </c>
      <c r="B829" s="470">
        <v>44475</v>
      </c>
      <c r="C829" s="448" t="s">
        <v>2174</v>
      </c>
      <c r="D829" s="332"/>
      <c r="E829" s="58"/>
      <c r="F829" s="123" t="s">
        <v>1112</v>
      </c>
      <c r="G829" s="334" t="s">
        <v>653</v>
      </c>
      <c r="H829" s="45">
        <v>3500000</v>
      </c>
      <c r="I829" s="380" t="s">
        <v>2171</v>
      </c>
      <c r="J829" s="507">
        <v>44484</v>
      </c>
      <c r="K829" s="460">
        <f t="shared" si="171"/>
        <v>3500000</v>
      </c>
      <c r="L829" s="460">
        <v>2193500</v>
      </c>
      <c r="M829" s="459">
        <v>6500</v>
      </c>
      <c r="N829" s="459"/>
      <c r="O829" s="459"/>
      <c r="P829" s="459">
        <v>1300000</v>
      </c>
      <c r="Q829" s="28">
        <f t="shared" si="143"/>
        <v>0</v>
      </c>
      <c r="R829" s="197">
        <v>44476</v>
      </c>
      <c r="S829" s="197">
        <v>44533</v>
      </c>
      <c r="T829" s="199">
        <v>14</v>
      </c>
      <c r="U829" s="24">
        <f t="shared" si="172"/>
        <v>44498</v>
      </c>
      <c r="V829" t="s">
        <v>2229</v>
      </c>
      <c r="W829"/>
      <c r="X829"/>
      <c r="Y829"/>
      <c r="Z829"/>
      <c r="AA829"/>
      <c r="AB829"/>
      <c r="AC829"/>
      <c r="AD829"/>
      <c r="AE829"/>
      <c r="AF829"/>
      <c r="AG829"/>
      <c r="AH829"/>
      <c r="AI829"/>
      <c r="AJ829"/>
      <c r="AK829"/>
      <c r="AL829"/>
      <c r="AM829"/>
      <c r="AN829"/>
      <c r="AO829"/>
      <c r="AP829"/>
      <c r="AQ829"/>
    </row>
    <row r="830" spans="1:43" s="10" customFormat="1" ht="15.75" customHeight="1" x14ac:dyDescent="0.25">
      <c r="A830" s="55">
        <f t="shared" si="144"/>
        <v>54</v>
      </c>
      <c r="B830" s="470">
        <v>44473</v>
      </c>
      <c r="C830" s="448" t="s">
        <v>2085</v>
      </c>
      <c r="D830" s="332"/>
      <c r="E830" s="58"/>
      <c r="F830" s="123" t="s">
        <v>1949</v>
      </c>
      <c r="G830" s="334" t="s">
        <v>1833</v>
      </c>
      <c r="H830" s="45">
        <v>5400000</v>
      </c>
      <c r="I830" s="380" t="s">
        <v>2084</v>
      </c>
      <c r="J830" s="507">
        <v>44484</v>
      </c>
      <c r="K830" s="460">
        <f t="shared" si="171"/>
        <v>5400000</v>
      </c>
      <c r="L830" s="460"/>
      <c r="M830" s="459"/>
      <c r="N830" s="459"/>
      <c r="O830" s="459"/>
      <c r="P830" s="459">
        <v>5400000</v>
      </c>
      <c r="Q830" s="28">
        <f t="shared" si="143"/>
        <v>0</v>
      </c>
      <c r="R830" s="197"/>
      <c r="S830" s="197">
        <v>44446</v>
      </c>
      <c r="T830" s="199">
        <v>30</v>
      </c>
      <c r="U830" s="24">
        <f t="shared" si="172"/>
        <v>44514</v>
      </c>
      <c r="V830"/>
      <c r="W830"/>
      <c r="X830"/>
      <c r="Y830"/>
      <c r="Z830"/>
      <c r="AA830"/>
      <c r="AB830"/>
      <c r="AC830"/>
      <c r="AD830"/>
      <c r="AE830"/>
      <c r="AF830"/>
      <c r="AG830"/>
      <c r="AH830"/>
      <c r="AI830"/>
      <c r="AJ830"/>
      <c r="AK830"/>
      <c r="AL830"/>
      <c r="AM830"/>
      <c r="AN830"/>
      <c r="AO830"/>
      <c r="AP830"/>
      <c r="AQ830"/>
    </row>
    <row r="831" spans="1:43" s="10" customFormat="1" ht="15.75" customHeight="1" x14ac:dyDescent="0.25">
      <c r="A831" s="55">
        <f t="shared" si="144"/>
        <v>55</v>
      </c>
      <c r="B831" s="470">
        <v>44487</v>
      </c>
      <c r="C831" s="448" t="s">
        <v>2176</v>
      </c>
      <c r="D831" s="332"/>
      <c r="E831" s="58"/>
      <c r="F831" s="123" t="s">
        <v>2177</v>
      </c>
      <c r="G831" s="334" t="s">
        <v>521</v>
      </c>
      <c r="H831" s="45">
        <v>890000</v>
      </c>
      <c r="I831" s="380" t="s">
        <v>2175</v>
      </c>
      <c r="J831" s="507">
        <v>44487</v>
      </c>
      <c r="K831" s="460">
        <f t="shared" si="171"/>
        <v>890000</v>
      </c>
      <c r="L831" s="460"/>
      <c r="M831" s="459"/>
      <c r="N831" s="459"/>
      <c r="O831" s="459"/>
      <c r="P831" s="459">
        <v>890000</v>
      </c>
      <c r="Q831" s="28">
        <f t="shared" si="143"/>
        <v>0</v>
      </c>
      <c r="R831" s="197"/>
      <c r="S831" s="197">
        <v>44457</v>
      </c>
      <c r="T831" s="199">
        <v>14</v>
      </c>
      <c r="U831" s="24">
        <f t="shared" si="172"/>
        <v>44501</v>
      </c>
      <c r="V831" t="s">
        <v>2186</v>
      </c>
      <c r="W831"/>
      <c r="X831"/>
      <c r="Y831"/>
      <c r="Z831"/>
      <c r="AA831"/>
      <c r="AB831"/>
      <c r="AC831"/>
      <c r="AD831"/>
      <c r="AE831"/>
      <c r="AF831"/>
      <c r="AG831"/>
      <c r="AH831"/>
      <c r="AI831"/>
      <c r="AJ831"/>
      <c r="AK831"/>
      <c r="AL831"/>
      <c r="AM831"/>
      <c r="AN831"/>
      <c r="AO831"/>
      <c r="AP831"/>
      <c r="AQ831"/>
    </row>
    <row r="832" spans="1:43" s="10" customFormat="1" ht="15.75" customHeight="1" x14ac:dyDescent="0.25">
      <c r="A832" s="55">
        <f t="shared" si="144"/>
        <v>56</v>
      </c>
      <c r="B832" s="470">
        <v>44487</v>
      </c>
      <c r="C832" s="448" t="s">
        <v>2180</v>
      </c>
      <c r="D832" s="332"/>
      <c r="E832" s="58"/>
      <c r="F832" s="123" t="s">
        <v>2179</v>
      </c>
      <c r="G832" s="334" t="s">
        <v>988</v>
      </c>
      <c r="H832" s="45">
        <v>24000000</v>
      </c>
      <c r="I832" s="380" t="s">
        <v>2178</v>
      </c>
      <c r="J832" s="507">
        <v>44487</v>
      </c>
      <c r="K832" s="460">
        <f t="shared" si="171"/>
        <v>24000000</v>
      </c>
      <c r="L832" s="460"/>
      <c r="M832" s="459"/>
      <c r="N832" s="459"/>
      <c r="O832" s="459"/>
      <c r="P832" s="459">
        <v>24000000</v>
      </c>
      <c r="Q832" s="28">
        <f t="shared" si="143"/>
        <v>0</v>
      </c>
      <c r="R832" s="197"/>
      <c r="S832" s="197">
        <v>44488</v>
      </c>
      <c r="T832" s="199">
        <v>14</v>
      </c>
      <c r="U832" s="24">
        <f t="shared" si="172"/>
        <v>44501</v>
      </c>
      <c r="V832" t="s">
        <v>2185</v>
      </c>
      <c r="W832"/>
      <c r="X832"/>
      <c r="Y832"/>
      <c r="Z832"/>
      <c r="AA832"/>
      <c r="AB832"/>
      <c r="AC832"/>
      <c r="AD832"/>
      <c r="AE832"/>
      <c r="AF832"/>
      <c r="AG832"/>
      <c r="AH832"/>
      <c r="AI832"/>
      <c r="AJ832"/>
      <c r="AK832"/>
      <c r="AL832"/>
      <c r="AM832"/>
      <c r="AN832"/>
      <c r="AO832"/>
      <c r="AP832"/>
      <c r="AQ832"/>
    </row>
    <row r="833" spans="1:43" s="10" customFormat="1" ht="15.75" customHeight="1" x14ac:dyDescent="0.25">
      <c r="A833" s="55">
        <f t="shared" si="144"/>
        <v>57</v>
      </c>
      <c r="B833" s="470">
        <v>44487</v>
      </c>
      <c r="C833" s="448" t="s">
        <v>2184</v>
      </c>
      <c r="D833" s="332"/>
      <c r="E833" s="58"/>
      <c r="F833" s="123" t="s">
        <v>2182</v>
      </c>
      <c r="G833" s="334" t="s">
        <v>2183</v>
      </c>
      <c r="H833" s="45">
        <v>1600000</v>
      </c>
      <c r="I833" s="380" t="s">
        <v>2181</v>
      </c>
      <c r="J833" s="507">
        <v>44487</v>
      </c>
      <c r="K833" s="460">
        <f t="shared" si="171"/>
        <v>1600000</v>
      </c>
      <c r="L833" s="460"/>
      <c r="M833" s="459"/>
      <c r="N833" s="459"/>
      <c r="O833" s="459"/>
      <c r="P833" s="459">
        <v>1600000</v>
      </c>
      <c r="Q833" s="28">
        <f t="shared" si="143"/>
        <v>0</v>
      </c>
      <c r="R833" s="197"/>
      <c r="S833" s="197">
        <v>44491</v>
      </c>
      <c r="T833" s="199">
        <v>14</v>
      </c>
      <c r="U833" s="24">
        <f t="shared" si="172"/>
        <v>44501</v>
      </c>
      <c r="V833" t="s">
        <v>2185</v>
      </c>
      <c r="W833"/>
      <c r="X833"/>
      <c r="Y833"/>
      <c r="Z833"/>
      <c r="AA833"/>
      <c r="AB833"/>
      <c r="AC833"/>
      <c r="AD833"/>
      <c r="AE833"/>
      <c r="AF833"/>
      <c r="AG833"/>
      <c r="AH833"/>
      <c r="AI833"/>
      <c r="AJ833"/>
      <c r="AK833"/>
      <c r="AL833"/>
      <c r="AM833"/>
      <c r="AN833"/>
      <c r="AO833"/>
      <c r="AP833"/>
      <c r="AQ833"/>
    </row>
    <row r="834" spans="1:43" s="10" customFormat="1" ht="15.75" customHeight="1" x14ac:dyDescent="0.25">
      <c r="A834" s="55">
        <f t="shared" si="144"/>
        <v>58</v>
      </c>
      <c r="B834" s="470">
        <v>44480</v>
      </c>
      <c r="C834" s="448" t="s">
        <v>2197</v>
      </c>
      <c r="D834" s="332"/>
      <c r="E834" s="58"/>
      <c r="F834" s="123" t="s">
        <v>2196</v>
      </c>
      <c r="G834" s="334" t="s">
        <v>201</v>
      </c>
      <c r="H834" s="45">
        <v>9000000</v>
      </c>
      <c r="I834" s="380" t="s">
        <v>2195</v>
      </c>
      <c r="J834" s="507">
        <v>44488</v>
      </c>
      <c r="K834" s="460">
        <f t="shared" si="171"/>
        <v>9000000</v>
      </c>
      <c r="L834" s="460"/>
      <c r="M834" s="459"/>
      <c r="N834" s="459"/>
      <c r="O834" s="459"/>
      <c r="P834" s="459">
        <v>9000000</v>
      </c>
      <c r="Q834" s="28">
        <f t="shared" si="143"/>
        <v>0</v>
      </c>
      <c r="R834" s="669" t="s">
        <v>2422</v>
      </c>
      <c r="S834" s="197"/>
      <c r="T834" s="199">
        <v>14</v>
      </c>
      <c r="U834" s="24">
        <f t="shared" si="172"/>
        <v>44502</v>
      </c>
      <c r="V834" t="s">
        <v>2198</v>
      </c>
      <c r="W834"/>
      <c r="X834"/>
      <c r="Y834"/>
      <c r="Z834"/>
      <c r="AA834"/>
      <c r="AB834"/>
      <c r="AC834"/>
      <c r="AD834"/>
      <c r="AE834"/>
      <c r="AF834"/>
      <c r="AG834"/>
      <c r="AH834"/>
      <c r="AI834"/>
      <c r="AJ834"/>
      <c r="AK834"/>
      <c r="AL834"/>
      <c r="AM834"/>
      <c r="AN834"/>
      <c r="AO834"/>
      <c r="AP834"/>
      <c r="AQ834"/>
    </row>
    <row r="835" spans="1:43" s="10" customFormat="1" ht="15.75" customHeight="1" x14ac:dyDescent="0.25">
      <c r="A835" s="55">
        <f t="shared" si="144"/>
        <v>59</v>
      </c>
      <c r="B835" s="56">
        <v>44487</v>
      </c>
      <c r="C835" s="58" t="s">
        <v>2199</v>
      </c>
      <c r="D835" s="58"/>
      <c r="E835" s="58"/>
      <c r="F835" s="334" t="s">
        <v>2755</v>
      </c>
      <c r="G835" s="333" t="s">
        <v>467</v>
      </c>
      <c r="H835" s="45">
        <v>390000</v>
      </c>
      <c r="I835" s="380" t="s">
        <v>2200</v>
      </c>
      <c r="J835" s="507">
        <v>44488</v>
      </c>
      <c r="K835" s="460">
        <f t="shared" si="171"/>
        <v>390000</v>
      </c>
      <c r="L835" s="460"/>
      <c r="M835" s="459"/>
      <c r="N835" s="459"/>
      <c r="O835" s="459"/>
      <c r="P835" s="459">
        <v>390000</v>
      </c>
      <c r="Q835" s="28">
        <f t="shared" si="143"/>
        <v>0</v>
      </c>
      <c r="R835" s="199"/>
      <c r="S835" s="197">
        <v>44488</v>
      </c>
      <c r="T835" s="199">
        <v>14</v>
      </c>
      <c r="U835" s="24">
        <f t="shared" si="172"/>
        <v>44502</v>
      </c>
      <c r="V835"/>
      <c r="W835"/>
      <c r="X835"/>
      <c r="Y835"/>
      <c r="Z835"/>
      <c r="AA835"/>
      <c r="AB835"/>
      <c r="AC835"/>
      <c r="AD835"/>
      <c r="AE835"/>
      <c r="AF835"/>
      <c r="AG835"/>
      <c r="AH835"/>
      <c r="AI835"/>
      <c r="AJ835"/>
      <c r="AK835"/>
      <c r="AL835"/>
      <c r="AM835"/>
      <c r="AN835"/>
      <c r="AO835"/>
      <c r="AP835"/>
      <c r="AQ835"/>
    </row>
    <row r="836" spans="1:43" s="10" customFormat="1" ht="15.75" customHeight="1" x14ac:dyDescent="0.25">
      <c r="A836" s="55">
        <f t="shared" si="144"/>
        <v>60</v>
      </c>
      <c r="B836" s="470">
        <v>44491</v>
      </c>
      <c r="C836" s="448" t="s">
        <v>2240</v>
      </c>
      <c r="D836" s="332"/>
      <c r="E836" s="58"/>
      <c r="F836" s="123" t="s">
        <v>2239</v>
      </c>
      <c r="G836" s="334" t="s">
        <v>988</v>
      </c>
      <c r="H836" s="45">
        <v>693500</v>
      </c>
      <c r="I836" s="380" t="s">
        <v>2235</v>
      </c>
      <c r="J836" s="507">
        <v>44491</v>
      </c>
      <c r="K836" s="460">
        <f t="shared" si="171"/>
        <v>693500</v>
      </c>
      <c r="L836" s="460"/>
      <c r="M836" s="459"/>
      <c r="N836" s="459"/>
      <c r="O836" s="459"/>
      <c r="P836" s="459">
        <v>693500</v>
      </c>
      <c r="Q836" s="28">
        <f t="shared" si="143"/>
        <v>0</v>
      </c>
      <c r="R836" s="197"/>
      <c r="S836" s="197">
        <v>44491</v>
      </c>
      <c r="T836" s="199">
        <v>14</v>
      </c>
      <c r="U836" s="24">
        <f t="shared" si="172"/>
        <v>44505</v>
      </c>
      <c r="V836"/>
      <c r="W836"/>
      <c r="X836"/>
      <c r="Y836"/>
      <c r="Z836"/>
      <c r="AA836"/>
      <c r="AB836"/>
      <c r="AC836"/>
      <c r="AD836"/>
      <c r="AE836"/>
      <c r="AF836"/>
      <c r="AG836"/>
      <c r="AH836"/>
      <c r="AI836"/>
      <c r="AJ836"/>
      <c r="AK836"/>
      <c r="AL836"/>
      <c r="AM836"/>
      <c r="AN836"/>
      <c r="AO836"/>
      <c r="AP836"/>
      <c r="AQ836"/>
    </row>
    <row r="837" spans="1:43" s="10" customFormat="1" ht="15.75" customHeight="1" x14ac:dyDescent="0.25">
      <c r="A837" s="55">
        <f t="shared" si="144"/>
        <v>61</v>
      </c>
      <c r="B837" s="470">
        <v>44484</v>
      </c>
      <c r="C837" s="448" t="s">
        <v>2241</v>
      </c>
      <c r="D837" s="332"/>
      <c r="E837" s="58" t="s">
        <v>2242</v>
      </c>
      <c r="F837" s="123" t="s">
        <v>2694</v>
      </c>
      <c r="G837" s="334" t="s">
        <v>2243</v>
      </c>
      <c r="H837" s="45">
        <v>80000</v>
      </c>
      <c r="I837" s="380" t="s">
        <v>2236</v>
      </c>
      <c r="J837" s="507">
        <v>44492</v>
      </c>
      <c r="K837" s="460">
        <f t="shared" si="171"/>
        <v>80000</v>
      </c>
      <c r="L837" s="460"/>
      <c r="M837" s="459"/>
      <c r="N837" s="459"/>
      <c r="O837" s="459"/>
      <c r="P837" s="459"/>
      <c r="Q837" s="28">
        <f t="shared" si="143"/>
        <v>80000</v>
      </c>
      <c r="R837" s="474"/>
      <c r="S837" s="474"/>
      <c r="T837" s="199">
        <v>14</v>
      </c>
      <c r="U837" s="24">
        <f t="shared" si="172"/>
        <v>44506</v>
      </c>
      <c r="V837"/>
      <c r="W837"/>
      <c r="X837"/>
      <c r="Y837"/>
      <c r="Z837"/>
      <c r="AA837"/>
      <c r="AB837"/>
      <c r="AC837"/>
      <c r="AD837"/>
      <c r="AE837"/>
      <c r="AF837"/>
      <c r="AG837"/>
      <c r="AH837"/>
      <c r="AI837"/>
      <c r="AJ837"/>
      <c r="AK837"/>
      <c r="AL837"/>
      <c r="AM837"/>
      <c r="AN837"/>
      <c r="AO837"/>
      <c r="AP837"/>
      <c r="AQ837"/>
    </row>
    <row r="838" spans="1:43" s="10" customFormat="1" ht="15.75" customHeight="1" x14ac:dyDescent="0.25">
      <c r="A838" s="55">
        <f t="shared" si="144"/>
        <v>62</v>
      </c>
      <c r="B838" s="79">
        <v>44485</v>
      </c>
      <c r="C838" s="330" t="s">
        <v>2244</v>
      </c>
      <c r="D838" s="330"/>
      <c r="E838" s="330"/>
      <c r="F838" s="31" t="s">
        <v>242</v>
      </c>
      <c r="G838" s="126" t="s">
        <v>839</v>
      </c>
      <c r="H838" s="45">
        <v>1300000</v>
      </c>
      <c r="I838" s="377" t="s">
        <v>2421</v>
      </c>
      <c r="J838" s="301">
        <v>44487</v>
      </c>
      <c r="K838" s="569">
        <f t="shared" si="171"/>
        <v>1300000</v>
      </c>
      <c r="L838" s="460"/>
      <c r="M838" s="459"/>
      <c r="N838" s="459"/>
      <c r="O838" s="459"/>
      <c r="P838" s="459">
        <v>1300000</v>
      </c>
      <c r="Q838" s="28">
        <f t="shared" si="143"/>
        <v>0</v>
      </c>
      <c r="R838" s="199"/>
      <c r="S838" s="197">
        <v>44488</v>
      </c>
      <c r="T838" s="199">
        <v>14</v>
      </c>
      <c r="U838" s="24">
        <f t="shared" si="172"/>
        <v>44501</v>
      </c>
      <c r="V838"/>
      <c r="W838"/>
      <c r="X838"/>
      <c r="Y838"/>
      <c r="Z838"/>
      <c r="AA838"/>
      <c r="AB838"/>
      <c r="AC838"/>
      <c r="AD838"/>
      <c r="AE838"/>
      <c r="AF838"/>
      <c r="AG838"/>
      <c r="AH838"/>
      <c r="AI838"/>
      <c r="AJ838"/>
      <c r="AK838"/>
      <c r="AL838"/>
      <c r="AM838"/>
      <c r="AN838"/>
      <c r="AO838"/>
      <c r="AP838"/>
      <c r="AQ838"/>
    </row>
    <row r="839" spans="1:43" s="10" customFormat="1" ht="15.75" customHeight="1" x14ac:dyDescent="0.25">
      <c r="A839" s="55">
        <f t="shared" si="144"/>
        <v>63</v>
      </c>
      <c r="B839" s="79">
        <v>44494</v>
      </c>
      <c r="C839" s="330"/>
      <c r="D839" s="330"/>
      <c r="E839" s="330" t="s">
        <v>2290</v>
      </c>
      <c r="F839" s="33" t="s">
        <v>2288</v>
      </c>
      <c r="G839" s="126" t="s">
        <v>2289</v>
      </c>
      <c r="H839" s="45">
        <v>13000000</v>
      </c>
      <c r="I839" s="377" t="s">
        <v>2287</v>
      </c>
      <c r="J839" s="301">
        <v>44495</v>
      </c>
      <c r="K839" s="460">
        <f t="shared" si="171"/>
        <v>13000000</v>
      </c>
      <c r="L839" s="460"/>
      <c r="M839" s="459">
        <v>1500000</v>
      </c>
      <c r="N839" s="28"/>
      <c r="O839" s="28"/>
      <c r="P839" s="459">
        <v>11500000</v>
      </c>
      <c r="Q839" s="28">
        <f t="shared" si="143"/>
        <v>0</v>
      </c>
      <c r="R839" s="199"/>
      <c r="S839" s="197">
        <v>44498</v>
      </c>
      <c r="T839" s="199">
        <v>14</v>
      </c>
      <c r="U839" s="24">
        <f t="shared" si="172"/>
        <v>44509</v>
      </c>
      <c r="V839"/>
      <c r="W839"/>
      <c r="X839"/>
      <c r="Y839"/>
      <c r="Z839"/>
      <c r="AA839"/>
      <c r="AB839"/>
      <c r="AC839"/>
      <c r="AD839"/>
      <c r="AE839"/>
      <c r="AF839"/>
      <c r="AG839"/>
      <c r="AH839"/>
      <c r="AI839"/>
      <c r="AJ839"/>
      <c r="AK839"/>
      <c r="AL839"/>
      <c r="AM839"/>
      <c r="AN839"/>
      <c r="AO839"/>
      <c r="AP839"/>
      <c r="AQ839"/>
    </row>
    <row r="840" spans="1:43" s="10" customFormat="1" ht="15.75" customHeight="1" x14ac:dyDescent="0.25">
      <c r="A840" s="55">
        <f t="shared" si="144"/>
        <v>64</v>
      </c>
      <c r="B840" s="79">
        <v>44480</v>
      </c>
      <c r="C840" s="330" t="s">
        <v>2292</v>
      </c>
      <c r="D840" s="330"/>
      <c r="E840" s="330"/>
      <c r="F840" s="31" t="s">
        <v>242</v>
      </c>
      <c r="G840" s="404" t="s">
        <v>2293</v>
      </c>
      <c r="H840" s="45">
        <v>5450000</v>
      </c>
      <c r="I840" s="377" t="s">
        <v>2291</v>
      </c>
      <c r="J840" s="301">
        <v>44496</v>
      </c>
      <c r="K840" s="460">
        <f t="shared" si="171"/>
        <v>5450000</v>
      </c>
      <c r="L840" s="460"/>
      <c r="M840" s="459"/>
      <c r="N840" s="459"/>
      <c r="O840" s="459"/>
      <c r="P840" s="459">
        <v>5450000</v>
      </c>
      <c r="Q840" s="28">
        <f t="shared" si="143"/>
        <v>0</v>
      </c>
      <c r="R840" s="199"/>
      <c r="S840" s="197">
        <v>44510</v>
      </c>
      <c r="T840" s="199">
        <v>14</v>
      </c>
      <c r="U840" s="24">
        <f t="shared" si="172"/>
        <v>44510</v>
      </c>
      <c r="V840"/>
      <c r="W840"/>
      <c r="X840"/>
      <c r="Y840"/>
      <c r="Z840"/>
      <c r="AA840"/>
      <c r="AB840"/>
      <c r="AC840"/>
      <c r="AD840"/>
      <c r="AE840"/>
      <c r="AF840"/>
      <c r="AG840"/>
      <c r="AH840"/>
      <c r="AI840"/>
      <c r="AJ840"/>
      <c r="AK840"/>
      <c r="AL840"/>
      <c r="AM840"/>
      <c r="AN840"/>
      <c r="AO840"/>
      <c r="AP840"/>
      <c r="AQ840"/>
    </row>
    <row r="841" spans="1:43" s="10" customFormat="1" ht="15.75" customHeight="1" x14ac:dyDescent="0.25">
      <c r="A841" s="55">
        <f t="shared" si="144"/>
        <v>65</v>
      </c>
      <c r="B841" s="79">
        <v>44482</v>
      </c>
      <c r="C841" s="330" t="s">
        <v>2298</v>
      </c>
      <c r="D841" s="330"/>
      <c r="E841" s="330"/>
      <c r="F841" s="110" t="s">
        <v>260</v>
      </c>
      <c r="G841" s="404" t="s">
        <v>2297</v>
      </c>
      <c r="H841" s="45">
        <v>2500000</v>
      </c>
      <c r="I841" s="377" t="s">
        <v>2296</v>
      </c>
      <c r="J841" s="301">
        <v>44496</v>
      </c>
      <c r="K841" s="460">
        <f t="shared" si="171"/>
        <v>2500000</v>
      </c>
      <c r="L841" s="460"/>
      <c r="M841" s="459"/>
      <c r="N841" s="459"/>
      <c r="O841" s="459"/>
      <c r="P841" s="459"/>
      <c r="Q841" s="28">
        <f t="shared" si="143"/>
        <v>2500000</v>
      </c>
      <c r="R841" s="199"/>
      <c r="S841" s="197"/>
      <c r="T841" s="199">
        <v>30</v>
      </c>
      <c r="U841" s="24">
        <f t="shared" si="172"/>
        <v>44526</v>
      </c>
      <c r="V841"/>
      <c r="W841"/>
      <c r="X841"/>
      <c r="Y841"/>
      <c r="Z841"/>
      <c r="AA841"/>
      <c r="AB841"/>
      <c r="AC841"/>
      <c r="AD841"/>
      <c r="AE841"/>
      <c r="AF841"/>
      <c r="AG841"/>
      <c r="AH841"/>
      <c r="AI841"/>
      <c r="AJ841"/>
      <c r="AK841"/>
      <c r="AL841"/>
      <c r="AM841"/>
      <c r="AN841"/>
      <c r="AO841"/>
      <c r="AP841"/>
      <c r="AQ841"/>
    </row>
    <row r="842" spans="1:43" s="10" customFormat="1" ht="15.75" customHeight="1" x14ac:dyDescent="0.25">
      <c r="A842" s="55">
        <f t="shared" si="144"/>
        <v>66</v>
      </c>
      <c r="B842" s="79">
        <v>44497</v>
      </c>
      <c r="C842" s="330" t="s">
        <v>2301</v>
      </c>
      <c r="D842" s="330"/>
      <c r="E842" s="330"/>
      <c r="F842" s="33" t="s">
        <v>2300</v>
      </c>
      <c r="G842" s="404" t="s">
        <v>2302</v>
      </c>
      <c r="H842" s="45">
        <v>500000</v>
      </c>
      <c r="I842" s="377" t="s">
        <v>2299</v>
      </c>
      <c r="J842" s="301">
        <v>44498</v>
      </c>
      <c r="K842" s="460">
        <f t="shared" si="171"/>
        <v>500000</v>
      </c>
      <c r="L842" s="460"/>
      <c r="M842" s="459"/>
      <c r="N842" s="459"/>
      <c r="O842" s="459"/>
      <c r="P842" s="459">
        <v>500000</v>
      </c>
      <c r="Q842" s="28">
        <f t="shared" si="143"/>
        <v>0</v>
      </c>
      <c r="R842" s="199"/>
      <c r="S842" s="197">
        <v>44498</v>
      </c>
      <c r="T842" s="199">
        <v>14</v>
      </c>
      <c r="U842" s="24">
        <f t="shared" si="172"/>
        <v>44512</v>
      </c>
      <c r="V842"/>
      <c r="W842"/>
      <c r="X842"/>
      <c r="Y842"/>
      <c r="Z842"/>
      <c r="AA842"/>
      <c r="AB842"/>
      <c r="AC842"/>
      <c r="AD842"/>
      <c r="AE842"/>
      <c r="AF842"/>
      <c r="AG842"/>
      <c r="AH842"/>
      <c r="AI842"/>
      <c r="AJ842"/>
      <c r="AK842"/>
      <c r="AL842"/>
      <c r="AM842"/>
      <c r="AN842"/>
      <c r="AO842"/>
      <c r="AP842"/>
      <c r="AQ842"/>
    </row>
    <row r="843" spans="1:43" s="10" customFormat="1" ht="15.75" customHeight="1" x14ac:dyDescent="0.25">
      <c r="A843" s="55">
        <f t="shared" si="144"/>
        <v>67</v>
      </c>
      <c r="B843" s="56">
        <v>44498</v>
      </c>
      <c r="C843" s="58" t="s">
        <v>2309</v>
      </c>
      <c r="D843" s="58"/>
      <c r="E843" s="58"/>
      <c r="F843" s="112" t="s">
        <v>2310</v>
      </c>
      <c r="G843" s="334" t="s">
        <v>521</v>
      </c>
      <c r="H843" s="45">
        <v>450000</v>
      </c>
      <c r="I843" s="380" t="s">
        <v>2311</v>
      </c>
      <c r="J843" s="301">
        <v>44498</v>
      </c>
      <c r="K843" s="460">
        <f t="shared" si="171"/>
        <v>450000</v>
      </c>
      <c r="L843" s="460"/>
      <c r="M843" s="459"/>
      <c r="N843" s="459"/>
      <c r="O843" s="459"/>
      <c r="P843" s="459">
        <v>450000</v>
      </c>
      <c r="Q843" s="28">
        <f t="shared" si="143"/>
        <v>0</v>
      </c>
      <c r="R843" s="199"/>
      <c r="S843" s="197">
        <v>44499</v>
      </c>
      <c r="T843" s="199">
        <v>14</v>
      </c>
      <c r="U843" s="24">
        <f t="shared" si="172"/>
        <v>44512</v>
      </c>
      <c r="V843"/>
      <c r="W843"/>
      <c r="X843"/>
      <c r="Y843"/>
      <c r="Z843"/>
      <c r="AA843"/>
      <c r="AB843"/>
      <c r="AC843"/>
      <c r="AD843"/>
      <c r="AE843"/>
      <c r="AF843"/>
      <c r="AG843"/>
      <c r="AH843"/>
      <c r="AI843"/>
      <c r="AJ843"/>
      <c r="AK843"/>
      <c r="AL843"/>
      <c r="AM843"/>
      <c r="AN843"/>
      <c r="AO843"/>
      <c r="AP843"/>
      <c r="AQ843"/>
    </row>
    <row r="844" spans="1:43" s="10" customFormat="1" ht="15.75" customHeight="1" x14ac:dyDescent="0.25">
      <c r="A844" s="55">
        <f t="shared" si="144"/>
        <v>68</v>
      </c>
      <c r="B844" s="470">
        <v>44482</v>
      </c>
      <c r="C844" s="58" t="s">
        <v>2313</v>
      </c>
      <c r="D844" s="58"/>
      <c r="E844" s="58"/>
      <c r="F844" s="123" t="s">
        <v>1329</v>
      </c>
      <c r="G844" s="333" t="s">
        <v>1033</v>
      </c>
      <c r="H844" s="45">
        <v>4300000</v>
      </c>
      <c r="I844" s="380" t="s">
        <v>2312</v>
      </c>
      <c r="J844" s="514">
        <v>44498</v>
      </c>
      <c r="K844" s="460">
        <f t="shared" si="171"/>
        <v>4300000</v>
      </c>
      <c r="L844" s="460"/>
      <c r="M844" s="459"/>
      <c r="N844" s="459"/>
      <c r="O844" s="459"/>
      <c r="P844" s="459">
        <v>4300000</v>
      </c>
      <c r="Q844" s="28">
        <f t="shared" si="143"/>
        <v>0</v>
      </c>
      <c r="R844" s="199"/>
      <c r="S844" s="197">
        <v>44511</v>
      </c>
      <c r="T844" s="199">
        <v>14</v>
      </c>
      <c r="U844" s="24">
        <f t="shared" si="172"/>
        <v>44512</v>
      </c>
      <c r="V844"/>
      <c r="W844"/>
      <c r="X844"/>
      <c r="Y844"/>
      <c r="Z844"/>
      <c r="AA844"/>
      <c r="AB844"/>
      <c r="AC844"/>
      <c r="AD844"/>
      <c r="AE844"/>
      <c r="AF844"/>
      <c r="AG844"/>
      <c r="AH844"/>
      <c r="AI844"/>
      <c r="AJ844"/>
      <c r="AK844"/>
      <c r="AL844"/>
      <c r="AM844"/>
      <c r="AN844"/>
      <c r="AO844"/>
      <c r="AP844"/>
      <c r="AQ844"/>
    </row>
    <row r="845" spans="1:43" s="10" customFormat="1" ht="15.75" customHeight="1" x14ac:dyDescent="0.25">
      <c r="A845" s="55">
        <f t="shared" si="144"/>
        <v>69</v>
      </c>
      <c r="B845" s="470">
        <v>44499</v>
      </c>
      <c r="C845" s="448" t="s">
        <v>2316</v>
      </c>
      <c r="D845" s="332"/>
      <c r="E845" s="58"/>
      <c r="F845" s="123" t="s">
        <v>2315</v>
      </c>
      <c r="G845" s="334" t="s">
        <v>2264</v>
      </c>
      <c r="H845" s="45">
        <v>1800000</v>
      </c>
      <c r="I845" s="380" t="s">
        <v>2314</v>
      </c>
      <c r="J845" s="507">
        <v>44499</v>
      </c>
      <c r="K845" s="460">
        <f t="shared" si="171"/>
        <v>1800000</v>
      </c>
      <c r="L845" s="460"/>
      <c r="M845" s="459"/>
      <c r="N845" s="459"/>
      <c r="O845" s="459"/>
      <c r="P845" s="459">
        <v>1800000</v>
      </c>
      <c r="Q845" s="28">
        <f t="shared" si="143"/>
        <v>0</v>
      </c>
      <c r="R845" s="199"/>
      <c r="S845" s="197">
        <v>44499</v>
      </c>
      <c r="T845" s="199">
        <v>14</v>
      </c>
      <c r="U845" s="24">
        <f t="shared" si="172"/>
        <v>44513</v>
      </c>
      <c r="V845"/>
      <c r="W845"/>
      <c r="X845"/>
      <c r="Y845"/>
      <c r="Z845"/>
      <c r="AA845"/>
      <c r="AB845"/>
      <c r="AC845"/>
      <c r="AD845"/>
      <c r="AE845"/>
      <c r="AF845"/>
      <c r="AG845"/>
      <c r="AH845"/>
      <c r="AI845"/>
      <c r="AJ845"/>
      <c r="AK845"/>
      <c r="AL845"/>
      <c r="AM845"/>
      <c r="AN845"/>
      <c r="AO845"/>
      <c r="AP845"/>
      <c r="AQ845"/>
    </row>
    <row r="846" spans="1:43" s="10" customFormat="1" ht="15.75" customHeight="1" x14ac:dyDescent="0.25">
      <c r="A846" s="55">
        <f t="shared" si="144"/>
        <v>70</v>
      </c>
      <c r="B846" s="470">
        <v>44477</v>
      </c>
      <c r="C846" s="448" t="s">
        <v>2323</v>
      </c>
      <c r="D846" s="332"/>
      <c r="E846" s="58"/>
      <c r="F846" s="123" t="s">
        <v>933</v>
      </c>
      <c r="G846" s="334" t="s">
        <v>27</v>
      </c>
      <c r="H846" s="45">
        <v>1250000</v>
      </c>
      <c r="I846" s="380" t="s">
        <v>2322</v>
      </c>
      <c r="J846" s="507">
        <v>44500</v>
      </c>
      <c r="K846" s="460">
        <f t="shared" si="171"/>
        <v>1250000</v>
      </c>
      <c r="L846" s="460"/>
      <c r="M846" s="459"/>
      <c r="N846" s="459"/>
      <c r="O846" s="459"/>
      <c r="P846" s="459">
        <v>1250000</v>
      </c>
      <c r="Q846" s="28">
        <f t="shared" si="143"/>
        <v>0</v>
      </c>
      <c r="R846" s="199"/>
      <c r="S846" s="197">
        <v>44540</v>
      </c>
      <c r="T846" s="2">
        <v>14</v>
      </c>
      <c r="U846" s="24">
        <f t="shared" si="172"/>
        <v>44514</v>
      </c>
      <c r="V846"/>
      <c r="W846"/>
      <c r="X846"/>
      <c r="Y846"/>
      <c r="Z846"/>
      <c r="AA846"/>
      <c r="AB846"/>
      <c r="AC846"/>
      <c r="AD846"/>
      <c r="AE846"/>
      <c r="AF846"/>
      <c r="AG846"/>
      <c r="AH846"/>
      <c r="AI846"/>
      <c r="AJ846"/>
      <c r="AK846"/>
      <c r="AL846"/>
      <c r="AM846"/>
      <c r="AN846"/>
      <c r="AO846"/>
      <c r="AP846"/>
      <c r="AQ846"/>
    </row>
    <row r="847" spans="1:43" s="10" customFormat="1" ht="15.75" customHeight="1" x14ac:dyDescent="0.25">
      <c r="A847" s="55">
        <f t="shared" si="144"/>
        <v>71</v>
      </c>
      <c r="B847" s="470">
        <v>44489</v>
      </c>
      <c r="C847" s="448" t="s">
        <v>2325</v>
      </c>
      <c r="D847" s="332"/>
      <c r="E847" s="58"/>
      <c r="F847" s="123" t="s">
        <v>2324</v>
      </c>
      <c r="G847" s="334" t="s">
        <v>1920</v>
      </c>
      <c r="H847" s="45">
        <v>4000000</v>
      </c>
      <c r="I847" s="380" t="s">
        <v>2326</v>
      </c>
      <c r="J847" s="507">
        <v>44501</v>
      </c>
      <c r="K847" s="460">
        <f t="shared" si="171"/>
        <v>4000000</v>
      </c>
      <c r="L847" s="460"/>
      <c r="M847" s="459"/>
      <c r="N847" s="459"/>
      <c r="O847" s="459"/>
      <c r="P847" s="459">
        <v>4000000</v>
      </c>
      <c r="Q847" s="28">
        <f t="shared" si="143"/>
        <v>0</v>
      </c>
      <c r="R847" s="858" t="s">
        <v>2332</v>
      </c>
      <c r="S847" s="855"/>
      <c r="T847" s="199">
        <v>14</v>
      </c>
      <c r="U847" s="24">
        <f t="shared" si="172"/>
        <v>44515</v>
      </c>
      <c r="V847" s="490" t="s">
        <v>2333</v>
      </c>
      <c r="W847"/>
      <c r="X847"/>
      <c r="Y847"/>
      <c r="Z847"/>
      <c r="AA847"/>
      <c r="AB847"/>
      <c r="AC847"/>
      <c r="AD847"/>
      <c r="AE847"/>
      <c r="AF847"/>
      <c r="AG847"/>
      <c r="AH847"/>
      <c r="AI847"/>
      <c r="AJ847"/>
      <c r="AK847"/>
      <c r="AL847"/>
      <c r="AM847"/>
      <c r="AN847"/>
      <c r="AO847"/>
      <c r="AP847"/>
      <c r="AQ847"/>
    </row>
    <row r="848" spans="1:43" s="10" customFormat="1" ht="15.75" customHeight="1" x14ac:dyDescent="0.25">
      <c r="A848" s="55">
        <f t="shared" ref="A848:A880" si="173">A847+1</f>
        <v>72</v>
      </c>
      <c r="B848" s="470">
        <v>44474</v>
      </c>
      <c r="C848" s="448" t="s">
        <v>2327</v>
      </c>
      <c r="D848" s="332"/>
      <c r="E848" s="58"/>
      <c r="F848" s="123" t="s">
        <v>2328</v>
      </c>
      <c r="G848" s="334" t="s">
        <v>2330</v>
      </c>
      <c r="H848" s="45">
        <v>2431000</v>
      </c>
      <c r="I848" s="380" t="s">
        <v>2329</v>
      </c>
      <c r="J848" s="507">
        <v>44501</v>
      </c>
      <c r="K848" s="460">
        <f t="shared" si="171"/>
        <v>2431000</v>
      </c>
      <c r="L848" s="460"/>
      <c r="M848" s="459"/>
      <c r="N848" s="459"/>
      <c r="O848" s="459"/>
      <c r="P848" s="459">
        <v>2431000</v>
      </c>
      <c r="Q848" s="28">
        <f t="shared" si="143"/>
        <v>0</v>
      </c>
      <c r="R848" s="199"/>
      <c r="S848" s="197">
        <v>44506</v>
      </c>
      <c r="T848" s="199">
        <v>14</v>
      </c>
      <c r="U848" s="24">
        <f t="shared" si="172"/>
        <v>44515</v>
      </c>
      <c r="V848" t="s">
        <v>2331</v>
      </c>
      <c r="W848"/>
      <c r="X848"/>
      <c r="Y848"/>
      <c r="Z848"/>
      <c r="AA848"/>
      <c r="AB848"/>
      <c r="AC848"/>
      <c r="AD848"/>
      <c r="AE848"/>
      <c r="AF848"/>
      <c r="AG848"/>
      <c r="AH848"/>
      <c r="AI848"/>
      <c r="AJ848"/>
      <c r="AK848"/>
      <c r="AL848"/>
      <c r="AM848"/>
      <c r="AN848"/>
      <c r="AO848"/>
      <c r="AP848"/>
      <c r="AQ848"/>
    </row>
    <row r="849" spans="1:43" s="10" customFormat="1" ht="15.75" customHeight="1" x14ac:dyDescent="0.25">
      <c r="A849" s="55">
        <f t="shared" si="173"/>
        <v>73</v>
      </c>
      <c r="B849" s="470">
        <v>44497</v>
      </c>
      <c r="C849" s="448" t="s">
        <v>2336</v>
      </c>
      <c r="D849" s="332"/>
      <c r="E849" s="58"/>
      <c r="F849" s="123" t="s">
        <v>2334</v>
      </c>
      <c r="G849" s="334" t="s">
        <v>163</v>
      </c>
      <c r="H849" s="45">
        <v>3000000</v>
      </c>
      <c r="I849" s="380" t="s">
        <v>2335</v>
      </c>
      <c r="J849" s="507">
        <v>44501</v>
      </c>
      <c r="K849" s="460">
        <f t="shared" si="171"/>
        <v>3000000</v>
      </c>
      <c r="L849" s="460"/>
      <c r="M849" s="459"/>
      <c r="N849" s="459"/>
      <c r="O849" s="459"/>
      <c r="P849" s="459">
        <v>3000000</v>
      </c>
      <c r="Q849" s="28">
        <f t="shared" si="143"/>
        <v>0</v>
      </c>
      <c r="R849" s="199"/>
      <c r="S849" s="197">
        <v>44503</v>
      </c>
      <c r="T849" s="199">
        <v>14</v>
      </c>
      <c r="U849" s="24">
        <f t="shared" si="172"/>
        <v>44515</v>
      </c>
      <c r="V849"/>
      <c r="W849"/>
      <c r="X849"/>
      <c r="Y849"/>
      <c r="Z849"/>
      <c r="AA849"/>
      <c r="AB849"/>
      <c r="AC849"/>
      <c r="AD849"/>
      <c r="AE849"/>
      <c r="AF849"/>
      <c r="AG849"/>
      <c r="AH849"/>
      <c r="AI849"/>
      <c r="AJ849"/>
      <c r="AK849"/>
      <c r="AL849"/>
      <c r="AM849"/>
      <c r="AN849"/>
      <c r="AO849"/>
      <c r="AP849"/>
      <c r="AQ849"/>
    </row>
    <row r="850" spans="1:43" s="10" customFormat="1" ht="15.75" customHeight="1" x14ac:dyDescent="0.25">
      <c r="A850" s="55">
        <f t="shared" si="173"/>
        <v>74</v>
      </c>
      <c r="B850" s="470">
        <v>44481</v>
      </c>
      <c r="C850" s="448" t="s">
        <v>2338</v>
      </c>
      <c r="D850" s="332"/>
      <c r="E850" s="58"/>
      <c r="F850" s="31" t="s">
        <v>242</v>
      </c>
      <c r="G850" s="334" t="s">
        <v>521</v>
      </c>
      <c r="H850" s="45">
        <v>4081000</v>
      </c>
      <c r="I850" s="380" t="s">
        <v>2337</v>
      </c>
      <c r="J850" s="507">
        <v>44501</v>
      </c>
      <c r="K850" s="460">
        <f t="shared" si="171"/>
        <v>4081000</v>
      </c>
      <c r="L850" s="460"/>
      <c r="M850" s="459"/>
      <c r="N850" s="459"/>
      <c r="O850" s="459"/>
      <c r="P850" s="459">
        <v>4081000</v>
      </c>
      <c r="Q850" s="28">
        <f t="shared" si="143"/>
        <v>0</v>
      </c>
      <c r="R850" s="199"/>
      <c r="S850" s="197">
        <v>44511</v>
      </c>
      <c r="T850" s="199">
        <v>14</v>
      </c>
      <c r="U850" s="24">
        <f t="shared" si="172"/>
        <v>44515</v>
      </c>
      <c r="V850"/>
      <c r="W850"/>
      <c r="X850"/>
      <c r="Y850"/>
      <c r="Z850"/>
      <c r="AA850"/>
      <c r="AB850"/>
      <c r="AC850"/>
      <c r="AD850"/>
      <c r="AE850"/>
      <c r="AF850"/>
      <c r="AG850"/>
      <c r="AH850"/>
      <c r="AI850"/>
      <c r="AJ850"/>
      <c r="AK850"/>
      <c r="AL850"/>
      <c r="AM850"/>
      <c r="AN850"/>
      <c r="AO850"/>
      <c r="AP850"/>
      <c r="AQ850"/>
    </row>
    <row r="851" spans="1:43" s="10" customFormat="1" ht="15.75" customHeight="1" x14ac:dyDescent="0.25">
      <c r="A851" s="55">
        <f t="shared" si="173"/>
        <v>75</v>
      </c>
      <c r="B851" s="470">
        <v>44491</v>
      </c>
      <c r="C851" s="448" t="s">
        <v>2340</v>
      </c>
      <c r="D851" s="332"/>
      <c r="E851" s="58"/>
      <c r="F851" s="123" t="s">
        <v>1975</v>
      </c>
      <c r="G851" s="334" t="s">
        <v>653</v>
      </c>
      <c r="H851" s="45">
        <v>2000000</v>
      </c>
      <c r="I851" s="380" t="s">
        <v>2339</v>
      </c>
      <c r="J851" s="507">
        <v>44501</v>
      </c>
      <c r="K851" s="460">
        <f t="shared" si="171"/>
        <v>2000000</v>
      </c>
      <c r="L851" s="460">
        <v>1800000</v>
      </c>
      <c r="M851" s="459"/>
      <c r="N851" s="459"/>
      <c r="O851" s="459"/>
      <c r="P851" s="459">
        <v>200000</v>
      </c>
      <c r="Q851" s="28">
        <f t="shared" si="143"/>
        <v>0</v>
      </c>
      <c r="R851" s="858" t="s">
        <v>2332</v>
      </c>
      <c r="S851" s="860">
        <v>44559</v>
      </c>
      <c r="T851" s="199">
        <v>14</v>
      </c>
      <c r="U851" s="24">
        <f t="shared" si="172"/>
        <v>44515</v>
      </c>
      <c r="V851"/>
      <c r="W851"/>
      <c r="X851"/>
      <c r="Y851"/>
      <c r="Z851"/>
      <c r="AA851"/>
      <c r="AB851"/>
      <c r="AC851"/>
      <c r="AD851"/>
      <c r="AE851"/>
      <c r="AF851"/>
      <c r="AG851"/>
      <c r="AH851"/>
      <c r="AI851"/>
      <c r="AJ851"/>
      <c r="AK851"/>
      <c r="AL851"/>
      <c r="AM851"/>
      <c r="AN851"/>
      <c r="AO851"/>
      <c r="AP851"/>
      <c r="AQ851"/>
    </row>
    <row r="852" spans="1:43" s="10" customFormat="1" ht="15.75" customHeight="1" x14ac:dyDescent="0.25">
      <c r="A852" s="55">
        <f t="shared" si="173"/>
        <v>76</v>
      </c>
      <c r="B852" s="470">
        <v>44496</v>
      </c>
      <c r="C852" s="448"/>
      <c r="D852" s="332"/>
      <c r="E852" s="58"/>
      <c r="F852" s="123" t="s">
        <v>1023</v>
      </c>
      <c r="G852" s="334" t="s">
        <v>1819</v>
      </c>
      <c r="H852" s="45">
        <v>2650000</v>
      </c>
      <c r="I852" s="380" t="s">
        <v>2341</v>
      </c>
      <c r="J852" s="507">
        <v>44501</v>
      </c>
      <c r="K852" s="460">
        <f t="shared" si="171"/>
        <v>2650000</v>
      </c>
      <c r="L852" s="460"/>
      <c r="M852" s="459"/>
      <c r="N852" s="459"/>
      <c r="O852" s="459"/>
      <c r="P852" s="459">
        <v>2650000</v>
      </c>
      <c r="Q852" s="28">
        <f t="shared" si="143"/>
        <v>0</v>
      </c>
      <c r="R852" s="199"/>
      <c r="S852" s="197">
        <v>44502</v>
      </c>
      <c r="T852" s="199">
        <v>14</v>
      </c>
      <c r="U852" s="24">
        <f t="shared" si="172"/>
        <v>44515</v>
      </c>
      <c r="V852"/>
      <c r="W852"/>
      <c r="X852"/>
      <c r="Y852"/>
      <c r="Z852"/>
      <c r="AA852"/>
      <c r="AB852"/>
      <c r="AC852"/>
      <c r="AD852"/>
      <c r="AE852"/>
      <c r="AF852"/>
      <c r="AG852"/>
      <c r="AH852"/>
      <c r="AI852"/>
      <c r="AJ852"/>
      <c r="AK852"/>
      <c r="AL852"/>
      <c r="AM852"/>
      <c r="AN852"/>
      <c r="AO852"/>
      <c r="AP852"/>
      <c r="AQ852"/>
    </row>
    <row r="853" spans="1:43" s="10" customFormat="1" ht="15.75" customHeight="1" x14ac:dyDescent="0.25">
      <c r="A853" s="55">
        <f t="shared" si="173"/>
        <v>77</v>
      </c>
      <c r="B853" s="470">
        <v>44499</v>
      </c>
      <c r="C853" s="448" t="s">
        <v>2347</v>
      </c>
      <c r="D853" s="332"/>
      <c r="E853" s="58"/>
      <c r="F853" s="123" t="s">
        <v>2346</v>
      </c>
      <c r="G853" s="334" t="s">
        <v>458</v>
      </c>
      <c r="H853" s="45">
        <v>800000</v>
      </c>
      <c r="I853" s="380" t="s">
        <v>2345</v>
      </c>
      <c r="J853" s="507">
        <v>44502</v>
      </c>
      <c r="K853" s="460">
        <f t="shared" si="171"/>
        <v>800000</v>
      </c>
      <c r="L853" s="460"/>
      <c r="M853" s="459"/>
      <c r="N853" s="459"/>
      <c r="O853" s="459"/>
      <c r="P853" s="459">
        <v>800000</v>
      </c>
      <c r="Q853" s="28">
        <f t="shared" si="143"/>
        <v>0</v>
      </c>
      <c r="R853" s="199"/>
      <c r="S853" s="197">
        <v>44502</v>
      </c>
      <c r="T853" s="199">
        <v>14</v>
      </c>
      <c r="U853" s="24">
        <f t="shared" si="172"/>
        <v>44516</v>
      </c>
      <c r="V853"/>
      <c r="W853"/>
      <c r="X853"/>
      <c r="Y853"/>
      <c r="Z853"/>
      <c r="AA853"/>
      <c r="AB853"/>
      <c r="AC853"/>
      <c r="AD853"/>
      <c r="AE853"/>
      <c r="AF853"/>
      <c r="AG853"/>
      <c r="AH853"/>
      <c r="AI853"/>
      <c r="AJ853"/>
      <c r="AK853"/>
      <c r="AL853"/>
      <c r="AM853"/>
      <c r="AN853"/>
      <c r="AO853"/>
      <c r="AP853"/>
      <c r="AQ853"/>
    </row>
    <row r="854" spans="1:43" s="10" customFormat="1" ht="15.75" customHeight="1" x14ac:dyDescent="0.25">
      <c r="A854" s="55">
        <f t="shared" si="173"/>
        <v>78</v>
      </c>
      <c r="B854" s="470">
        <v>44500</v>
      </c>
      <c r="C854" s="448"/>
      <c r="D854" s="332"/>
      <c r="E854" s="58"/>
      <c r="F854" s="123" t="s">
        <v>2349</v>
      </c>
      <c r="G854" s="334" t="s">
        <v>653</v>
      </c>
      <c r="H854" s="45">
        <v>6000000</v>
      </c>
      <c r="I854" s="380" t="s">
        <v>2348</v>
      </c>
      <c r="J854" s="507">
        <v>44502</v>
      </c>
      <c r="K854" s="460">
        <f t="shared" si="171"/>
        <v>6000000</v>
      </c>
      <c r="L854" s="460">
        <v>4150000</v>
      </c>
      <c r="M854" s="459"/>
      <c r="N854" s="459"/>
      <c r="O854" s="459"/>
      <c r="P854" s="459">
        <v>1850000</v>
      </c>
      <c r="Q854" s="28">
        <f t="shared" si="143"/>
        <v>0</v>
      </c>
      <c r="R854" s="197">
        <v>44500</v>
      </c>
      <c r="S854" s="197">
        <v>44506</v>
      </c>
      <c r="T854" s="199">
        <v>14</v>
      </c>
      <c r="U854" s="24">
        <f t="shared" si="172"/>
        <v>44516</v>
      </c>
      <c r="V854"/>
      <c r="W854"/>
      <c r="X854"/>
      <c r="Y854"/>
      <c r="Z854"/>
      <c r="AA854"/>
      <c r="AB854"/>
      <c r="AC854"/>
      <c r="AD854"/>
      <c r="AE854"/>
      <c r="AF854"/>
      <c r="AG854"/>
      <c r="AH854"/>
      <c r="AI854"/>
      <c r="AJ854"/>
      <c r="AK854"/>
      <c r="AL854"/>
      <c r="AM854"/>
      <c r="AN854"/>
      <c r="AO854"/>
      <c r="AP854"/>
      <c r="AQ854"/>
    </row>
    <row r="855" spans="1:43" s="10" customFormat="1" ht="15.75" customHeight="1" x14ac:dyDescent="0.25">
      <c r="A855" s="55">
        <f t="shared" si="173"/>
        <v>79</v>
      </c>
      <c r="B855" s="470">
        <v>44484</v>
      </c>
      <c r="C855" s="448"/>
      <c r="D855" s="332"/>
      <c r="E855" s="58"/>
      <c r="F855" s="123" t="s">
        <v>1840</v>
      </c>
      <c r="G855" s="334" t="s">
        <v>136</v>
      </c>
      <c r="H855" s="630">
        <v>29000000</v>
      </c>
      <c r="I855" s="380" t="s">
        <v>2354</v>
      </c>
      <c r="J855" s="507">
        <v>44502</v>
      </c>
      <c r="K855" s="460">
        <v>29000000</v>
      </c>
      <c r="L855" s="460"/>
      <c r="M855" s="459"/>
      <c r="N855" s="459"/>
      <c r="O855" s="459"/>
      <c r="P855" s="459">
        <v>29000000</v>
      </c>
      <c r="Q855" s="28">
        <f t="shared" si="143"/>
        <v>0</v>
      </c>
      <c r="R855" s="199"/>
      <c r="S855" s="197">
        <v>44537</v>
      </c>
      <c r="T855" s="199">
        <v>30</v>
      </c>
      <c r="U855" s="24">
        <f t="shared" si="172"/>
        <v>44532</v>
      </c>
      <c r="V855" t="s">
        <v>2355</v>
      </c>
      <c r="W855"/>
      <c r="X855"/>
      <c r="Y855"/>
      <c r="Z855"/>
      <c r="AA855"/>
      <c r="AB855"/>
      <c r="AC855"/>
      <c r="AD855"/>
      <c r="AE855"/>
      <c r="AF855"/>
      <c r="AG855"/>
      <c r="AH855"/>
      <c r="AI855"/>
      <c r="AJ855"/>
      <c r="AK855"/>
      <c r="AL855"/>
      <c r="AM855"/>
      <c r="AN855"/>
      <c r="AO855"/>
      <c r="AP855"/>
      <c r="AQ855"/>
    </row>
    <row r="856" spans="1:43" s="10" customFormat="1" ht="15.75" customHeight="1" x14ac:dyDescent="0.25">
      <c r="A856" s="55">
        <f t="shared" si="173"/>
        <v>80</v>
      </c>
      <c r="B856" s="470">
        <v>44482</v>
      </c>
      <c r="C856" s="448"/>
      <c r="D856" s="332"/>
      <c r="E856" s="58"/>
      <c r="F856" s="123" t="s">
        <v>1840</v>
      </c>
      <c r="G856" s="334" t="s">
        <v>2357</v>
      </c>
      <c r="H856" s="569">
        <f>21000000</f>
        <v>21000000</v>
      </c>
      <c r="I856" s="711" t="s">
        <v>2356</v>
      </c>
      <c r="J856" s="507">
        <v>44502</v>
      </c>
      <c r="K856" s="460">
        <v>6000000</v>
      </c>
      <c r="L856" s="460"/>
      <c r="M856" s="459"/>
      <c r="N856" s="459"/>
      <c r="O856" s="459"/>
      <c r="P856" s="459">
        <v>6000000</v>
      </c>
      <c r="Q856" s="28">
        <f t="shared" si="143"/>
        <v>0</v>
      </c>
      <c r="R856" s="199"/>
      <c r="S856" s="197">
        <v>44519</v>
      </c>
      <c r="T856" s="199">
        <v>30</v>
      </c>
      <c r="U856" s="24">
        <f t="shared" si="172"/>
        <v>44532</v>
      </c>
      <c r="V856" s="997" t="s">
        <v>2605</v>
      </c>
      <c r="W856"/>
      <c r="X856"/>
      <c r="Y856"/>
      <c r="Z856"/>
      <c r="AA856"/>
      <c r="AB856"/>
      <c r="AC856"/>
      <c r="AD856"/>
      <c r="AE856"/>
      <c r="AF856"/>
      <c r="AG856"/>
      <c r="AH856"/>
      <c r="AI856"/>
      <c r="AJ856"/>
      <c r="AK856"/>
      <c r="AL856"/>
      <c r="AM856"/>
      <c r="AN856"/>
      <c r="AO856"/>
      <c r="AP856"/>
      <c r="AQ856"/>
    </row>
    <row r="857" spans="1:43" s="10" customFormat="1" ht="15.75" customHeight="1" x14ac:dyDescent="0.25">
      <c r="A857" s="55">
        <f t="shared" si="173"/>
        <v>81</v>
      </c>
      <c r="B857" s="470">
        <v>44487</v>
      </c>
      <c r="C857" s="448"/>
      <c r="D857" s="332"/>
      <c r="E857" s="58"/>
      <c r="F857" s="123" t="s">
        <v>1840</v>
      </c>
      <c r="G857" s="334" t="s">
        <v>2359</v>
      </c>
      <c r="H857" s="569">
        <f>30000000+44000000</f>
        <v>74000000</v>
      </c>
      <c r="I857" s="711" t="s">
        <v>2358</v>
      </c>
      <c r="J857" s="507">
        <v>44502</v>
      </c>
      <c r="K857" s="460">
        <v>12000000</v>
      </c>
      <c r="L857" s="460"/>
      <c r="M857" s="459"/>
      <c r="N857" s="459"/>
      <c r="O857" s="459"/>
      <c r="P857" s="459">
        <v>12000000</v>
      </c>
      <c r="Q857" s="28">
        <f t="shared" si="143"/>
        <v>0</v>
      </c>
      <c r="R857" s="199"/>
      <c r="S857" s="197">
        <v>44519</v>
      </c>
      <c r="T857" s="199">
        <v>30</v>
      </c>
      <c r="U857" s="24">
        <f t="shared" si="172"/>
        <v>44532</v>
      </c>
      <c r="V857" s="997"/>
      <c r="W857"/>
      <c r="X857"/>
      <c r="Y857"/>
      <c r="Z857"/>
      <c r="AA857"/>
      <c r="AB857"/>
      <c r="AC857"/>
      <c r="AD857"/>
      <c r="AE857"/>
      <c r="AF857"/>
      <c r="AG857"/>
      <c r="AH857"/>
      <c r="AI857"/>
      <c r="AJ857"/>
      <c r="AK857"/>
      <c r="AL857"/>
      <c r="AM857"/>
      <c r="AN857"/>
      <c r="AO857"/>
      <c r="AP857"/>
      <c r="AQ857"/>
    </row>
    <row r="858" spans="1:43" s="10" customFormat="1" ht="15.75" customHeight="1" x14ac:dyDescent="0.25">
      <c r="A858" s="55">
        <f t="shared" si="173"/>
        <v>82</v>
      </c>
      <c r="B858" s="470">
        <v>44474</v>
      </c>
      <c r="C858" s="448"/>
      <c r="D858" s="332"/>
      <c r="E858" s="58"/>
      <c r="F858" s="123" t="s">
        <v>1840</v>
      </c>
      <c r="G858" s="334" t="s">
        <v>2361</v>
      </c>
      <c r="H858" s="569">
        <f>30000000+36000000+16000000+25000000</f>
        <v>107000000</v>
      </c>
      <c r="I858" s="711" t="s">
        <v>2360</v>
      </c>
      <c r="J858" s="507">
        <v>44502</v>
      </c>
      <c r="K858" s="460">
        <v>41000000</v>
      </c>
      <c r="L858" s="460"/>
      <c r="M858" s="459">
        <f>K858-41000000</f>
        <v>0</v>
      </c>
      <c r="N858" s="459"/>
      <c r="O858" s="459"/>
      <c r="P858" s="459">
        <v>41000000</v>
      </c>
      <c r="Q858" s="28">
        <f t="shared" si="143"/>
        <v>0</v>
      </c>
      <c r="R858" s="199"/>
      <c r="S858" s="197">
        <v>44519</v>
      </c>
      <c r="T858" s="199">
        <v>30</v>
      </c>
      <c r="U858" s="24">
        <f t="shared" si="172"/>
        <v>44532</v>
      </c>
      <c r="V858" s="997"/>
      <c r="W858"/>
      <c r="X858"/>
      <c r="Y858"/>
      <c r="Z858"/>
      <c r="AA858"/>
      <c r="AB858"/>
      <c r="AC858"/>
      <c r="AD858"/>
      <c r="AE858"/>
      <c r="AF858"/>
      <c r="AG858"/>
      <c r="AH858"/>
      <c r="AI858"/>
      <c r="AJ858"/>
      <c r="AK858"/>
      <c r="AL858"/>
      <c r="AM858"/>
      <c r="AN858"/>
      <c r="AO858"/>
      <c r="AP858"/>
      <c r="AQ858"/>
    </row>
    <row r="859" spans="1:43" s="10" customFormat="1" ht="15.75" customHeight="1" x14ac:dyDescent="0.25">
      <c r="A859" s="55">
        <f t="shared" si="173"/>
        <v>83</v>
      </c>
      <c r="B859" s="470">
        <v>44475</v>
      </c>
      <c r="C859" s="448">
        <v>401482</v>
      </c>
      <c r="D859" s="448"/>
      <c r="E859" s="58"/>
      <c r="F859" s="123" t="s">
        <v>933</v>
      </c>
      <c r="G859" s="334" t="s">
        <v>749</v>
      </c>
      <c r="H859" s="45">
        <v>2520000</v>
      </c>
      <c r="I859" s="380" t="s">
        <v>2386</v>
      </c>
      <c r="J859" s="507">
        <v>44508</v>
      </c>
      <c r="K859" s="460">
        <f>H859</f>
        <v>2520000</v>
      </c>
      <c r="L859" s="460"/>
      <c r="M859" s="459"/>
      <c r="N859" s="459"/>
      <c r="O859" s="459"/>
      <c r="P859" s="459">
        <v>2520000</v>
      </c>
      <c r="Q859" s="28">
        <f t="shared" ref="Q859:Q864" si="174">K859-L859-M859-O859-P859+N859</f>
        <v>0</v>
      </c>
      <c r="R859" s="197"/>
      <c r="S859" s="197">
        <v>44540</v>
      </c>
      <c r="T859" s="2">
        <v>14</v>
      </c>
      <c r="U859" s="24">
        <f t="shared" si="172"/>
        <v>44522</v>
      </c>
      <c r="V859"/>
      <c r="W859"/>
      <c r="X859"/>
      <c r="Y859"/>
      <c r="Z859"/>
      <c r="AA859"/>
      <c r="AB859"/>
      <c r="AC859"/>
      <c r="AD859"/>
      <c r="AE859"/>
      <c r="AF859"/>
      <c r="AG859"/>
      <c r="AH859"/>
      <c r="AI859"/>
      <c r="AJ859"/>
      <c r="AK859"/>
      <c r="AL859"/>
      <c r="AM859"/>
      <c r="AN859"/>
      <c r="AO859"/>
      <c r="AP859"/>
      <c r="AQ859"/>
    </row>
    <row r="860" spans="1:43" s="10" customFormat="1" ht="15.75" customHeight="1" x14ac:dyDescent="0.25">
      <c r="A860" s="55">
        <f t="shared" si="173"/>
        <v>84</v>
      </c>
      <c r="B860" s="470">
        <v>44499</v>
      </c>
      <c r="C860" s="58" t="s">
        <v>2454</v>
      </c>
      <c r="D860" s="58"/>
      <c r="E860" s="58"/>
      <c r="F860" s="123" t="s">
        <v>933</v>
      </c>
      <c r="G860" s="334" t="s">
        <v>2453</v>
      </c>
      <c r="H860" s="45">
        <v>2390000</v>
      </c>
      <c r="I860" s="380" t="s">
        <v>2452</v>
      </c>
      <c r="J860" s="507">
        <v>44509</v>
      </c>
      <c r="K860" s="460">
        <f>H860</f>
        <v>2390000</v>
      </c>
      <c r="L860" s="460"/>
      <c r="M860" s="459"/>
      <c r="N860" s="459"/>
      <c r="O860" s="459"/>
      <c r="P860" s="459">
        <v>2390000</v>
      </c>
      <c r="Q860" s="28">
        <f t="shared" si="174"/>
        <v>0</v>
      </c>
      <c r="R860" s="197"/>
      <c r="S860" s="197">
        <v>44540</v>
      </c>
      <c r="T860" s="2">
        <v>14</v>
      </c>
      <c r="U860" s="24">
        <f t="shared" si="172"/>
        <v>44523</v>
      </c>
      <c r="V860" s="5"/>
      <c r="W860"/>
      <c r="X860"/>
      <c r="Y860"/>
      <c r="Z860"/>
      <c r="AA860"/>
      <c r="AB860"/>
      <c r="AC860"/>
      <c r="AD860"/>
      <c r="AE860"/>
      <c r="AF860"/>
      <c r="AG860"/>
      <c r="AH860"/>
      <c r="AI860"/>
      <c r="AJ860"/>
      <c r="AK860"/>
      <c r="AL860"/>
      <c r="AM860"/>
      <c r="AN860"/>
      <c r="AO860"/>
      <c r="AP860"/>
      <c r="AQ860"/>
    </row>
    <row r="861" spans="1:43" s="10" customFormat="1" ht="15.75" customHeight="1" x14ac:dyDescent="0.25">
      <c r="A861" s="55">
        <f t="shared" si="173"/>
        <v>85</v>
      </c>
      <c r="B861" s="470">
        <v>44496</v>
      </c>
      <c r="C861" s="58" t="s">
        <v>2466</v>
      </c>
      <c r="D861" s="58"/>
      <c r="E861" s="58"/>
      <c r="F861" s="123" t="s">
        <v>933</v>
      </c>
      <c r="G861" s="334" t="s">
        <v>2453</v>
      </c>
      <c r="H861" s="45">
        <v>3899100</v>
      </c>
      <c r="I861" s="380" t="s">
        <v>2465</v>
      </c>
      <c r="J861" s="507">
        <v>44512</v>
      </c>
      <c r="K861" s="494">
        <f t="shared" ref="K861:K870" si="175">H861</f>
        <v>3899100</v>
      </c>
      <c r="L861" s="494"/>
      <c r="M861" s="493"/>
      <c r="N861" s="493"/>
      <c r="O861" s="493"/>
      <c r="P861" s="493">
        <v>3899100</v>
      </c>
      <c r="Q861" s="28">
        <f t="shared" si="174"/>
        <v>0</v>
      </c>
      <c r="R861" s="197"/>
      <c r="S861" s="197">
        <v>44540</v>
      </c>
      <c r="T861" s="2">
        <v>14</v>
      </c>
      <c r="U861" s="24">
        <f t="shared" si="172"/>
        <v>44526</v>
      </c>
      <c r="V861" s="7"/>
      <c r="W861"/>
      <c r="X861"/>
      <c r="Y861"/>
      <c r="Z861"/>
      <c r="AA861"/>
      <c r="AB861"/>
      <c r="AC861"/>
      <c r="AD861"/>
      <c r="AE861"/>
      <c r="AF861"/>
      <c r="AG861"/>
      <c r="AH861"/>
      <c r="AI861"/>
      <c r="AJ861"/>
      <c r="AK861"/>
      <c r="AL861"/>
      <c r="AM861"/>
      <c r="AN861"/>
      <c r="AO861"/>
      <c r="AP861"/>
      <c r="AQ861"/>
    </row>
    <row r="862" spans="1:43" s="10" customFormat="1" ht="15.75" customHeight="1" x14ac:dyDescent="0.25">
      <c r="A862" s="55">
        <f t="shared" si="173"/>
        <v>86</v>
      </c>
      <c r="B862" s="470">
        <v>44504</v>
      </c>
      <c r="C862" s="58">
        <v>402457</v>
      </c>
      <c r="D862" s="58"/>
      <c r="E862" s="58"/>
      <c r="F862" s="123" t="s">
        <v>933</v>
      </c>
      <c r="G862" s="334" t="s">
        <v>2468</v>
      </c>
      <c r="H862" s="45">
        <v>530000</v>
      </c>
      <c r="I862" s="380" t="s">
        <v>2467</v>
      </c>
      <c r="J862" s="507">
        <v>44512</v>
      </c>
      <c r="K862" s="494">
        <f t="shared" si="175"/>
        <v>530000</v>
      </c>
      <c r="L862" s="494"/>
      <c r="M862" s="493"/>
      <c r="N862" s="493"/>
      <c r="O862" s="493"/>
      <c r="P862" s="493">
        <v>530000</v>
      </c>
      <c r="Q862" s="28">
        <f t="shared" si="174"/>
        <v>0</v>
      </c>
      <c r="R862" s="197"/>
      <c r="S862" s="197">
        <v>44540</v>
      </c>
      <c r="T862" s="2">
        <v>14</v>
      </c>
      <c r="U862" s="24">
        <f t="shared" si="172"/>
        <v>44526</v>
      </c>
      <c r="V862" s="7"/>
      <c r="W862"/>
      <c r="X862"/>
      <c r="Y862"/>
      <c r="Z862"/>
      <c r="AA862"/>
      <c r="AB862"/>
      <c r="AC862"/>
      <c r="AD862"/>
      <c r="AE862"/>
      <c r="AF862"/>
      <c r="AG862"/>
      <c r="AH862"/>
      <c r="AI862"/>
      <c r="AJ862"/>
      <c r="AK862"/>
      <c r="AL862"/>
      <c r="AM862"/>
      <c r="AN862"/>
      <c r="AO862"/>
      <c r="AP862"/>
      <c r="AQ862"/>
    </row>
    <row r="863" spans="1:43" s="10" customFormat="1" ht="15.75" customHeight="1" x14ac:dyDescent="0.25">
      <c r="A863" s="55">
        <f t="shared" si="173"/>
        <v>87</v>
      </c>
      <c r="B863" s="470">
        <v>44496</v>
      </c>
      <c r="C863" s="58">
        <v>404080</v>
      </c>
      <c r="D863" s="58"/>
      <c r="E863" s="58"/>
      <c r="F863" s="123" t="s">
        <v>1840</v>
      </c>
      <c r="G863" s="334" t="s">
        <v>477</v>
      </c>
      <c r="H863" s="45">
        <v>500000</v>
      </c>
      <c r="I863" s="380" t="s">
        <v>2477</v>
      </c>
      <c r="J863" s="507">
        <v>44515</v>
      </c>
      <c r="K863" s="494">
        <f t="shared" si="175"/>
        <v>500000</v>
      </c>
      <c r="L863" s="494"/>
      <c r="M863" s="493"/>
      <c r="N863" s="493"/>
      <c r="O863" s="493"/>
      <c r="P863" s="618">
        <v>500000</v>
      </c>
      <c r="Q863" s="28">
        <f t="shared" si="174"/>
        <v>0</v>
      </c>
      <c r="R863" s="197"/>
      <c r="S863" s="197">
        <v>44537</v>
      </c>
      <c r="T863" s="199">
        <v>30</v>
      </c>
      <c r="U863" s="24">
        <f t="shared" si="172"/>
        <v>44545</v>
      </c>
      <c r="V863" s="7"/>
      <c r="W863"/>
      <c r="X863"/>
      <c r="Y863"/>
      <c r="Z863"/>
      <c r="AA863"/>
      <c r="AB863"/>
      <c r="AC863"/>
      <c r="AD863"/>
      <c r="AE863"/>
      <c r="AF863"/>
      <c r="AG863"/>
      <c r="AH863"/>
      <c r="AI863"/>
      <c r="AJ863"/>
      <c r="AK863"/>
      <c r="AL863"/>
      <c r="AM863"/>
      <c r="AN863"/>
      <c r="AO863"/>
      <c r="AP863"/>
      <c r="AQ863"/>
    </row>
    <row r="864" spans="1:43" s="10" customFormat="1" ht="15.75" customHeight="1" x14ac:dyDescent="0.25">
      <c r="A864" s="55">
        <f t="shared" si="173"/>
        <v>88</v>
      </c>
      <c r="B864" s="470">
        <v>44496</v>
      </c>
      <c r="C864" s="58">
        <v>404079</v>
      </c>
      <c r="D864" s="58"/>
      <c r="E864" s="58"/>
      <c r="F864" s="123" t="s">
        <v>1840</v>
      </c>
      <c r="G864" s="334" t="s">
        <v>2479</v>
      </c>
      <c r="H864" s="45">
        <v>500000</v>
      </c>
      <c r="I864" s="380" t="s">
        <v>2478</v>
      </c>
      <c r="J864" s="507">
        <v>44515</v>
      </c>
      <c r="K864" s="494">
        <f t="shared" si="175"/>
        <v>500000</v>
      </c>
      <c r="L864" s="494"/>
      <c r="M864" s="493"/>
      <c r="N864" s="493"/>
      <c r="O864" s="493"/>
      <c r="P864" s="618">
        <v>500000</v>
      </c>
      <c r="Q864" s="28">
        <f t="shared" si="174"/>
        <v>0</v>
      </c>
      <c r="R864" s="197"/>
      <c r="S864" s="197">
        <v>44537</v>
      </c>
      <c r="T864" s="199">
        <v>30</v>
      </c>
      <c r="U864" s="24">
        <f t="shared" si="172"/>
        <v>44545</v>
      </c>
      <c r="V864" s="7"/>
      <c r="W864"/>
      <c r="X864"/>
      <c r="Y864"/>
      <c r="Z864"/>
      <c r="AA864"/>
      <c r="AB864"/>
      <c r="AC864"/>
      <c r="AD864"/>
      <c r="AE864"/>
      <c r="AF864"/>
      <c r="AG864"/>
      <c r="AH864"/>
      <c r="AI864"/>
      <c r="AJ864"/>
      <c r="AK864"/>
      <c r="AL864"/>
      <c r="AM864"/>
      <c r="AN864"/>
      <c r="AO864"/>
      <c r="AP864"/>
      <c r="AQ864"/>
    </row>
    <row r="865" spans="1:43" s="10" customFormat="1" ht="15.75" customHeight="1" x14ac:dyDescent="0.25">
      <c r="A865" s="55">
        <f t="shared" si="173"/>
        <v>89</v>
      </c>
      <c r="B865" s="570">
        <v>44494</v>
      </c>
      <c r="C865" s="264">
        <v>403620</v>
      </c>
      <c r="D865" s="264"/>
      <c r="E865" s="264"/>
      <c r="F865" s="571" t="s">
        <v>1840</v>
      </c>
      <c r="G865" s="572" t="s">
        <v>2481</v>
      </c>
      <c r="H865" s="267"/>
      <c r="I865" s="384" t="s">
        <v>2480</v>
      </c>
      <c r="J865" s="517">
        <v>44515</v>
      </c>
      <c r="K865" s="573" t="s">
        <v>2600</v>
      </c>
      <c r="L865" s="270"/>
      <c r="M865" s="270"/>
      <c r="N865" s="270"/>
      <c r="O865" s="270"/>
      <c r="P865" s="270" t="s">
        <v>2601</v>
      </c>
      <c r="Q865" s="417"/>
      <c r="R865" s="268"/>
      <c r="S865" s="268"/>
      <c r="T865" s="263">
        <v>30</v>
      </c>
      <c r="U865" s="24">
        <f t="shared" si="172"/>
        <v>44545</v>
      </c>
      <c r="V865" s="7"/>
      <c r="W865"/>
      <c r="X865"/>
      <c r="Y865"/>
      <c r="Z865"/>
      <c r="AA865"/>
      <c r="AB865"/>
      <c r="AC865"/>
      <c r="AD865"/>
      <c r="AE865"/>
      <c r="AF865"/>
      <c r="AG865"/>
      <c r="AH865"/>
      <c r="AI865"/>
      <c r="AJ865"/>
      <c r="AK865"/>
      <c r="AL865"/>
      <c r="AM865"/>
      <c r="AN865"/>
      <c r="AO865"/>
      <c r="AP865"/>
      <c r="AQ865"/>
    </row>
    <row r="866" spans="1:43" s="10" customFormat="1" ht="15.75" customHeight="1" x14ac:dyDescent="0.25">
      <c r="A866" s="55">
        <f t="shared" si="173"/>
        <v>90</v>
      </c>
      <c r="B866" s="470">
        <v>44496</v>
      </c>
      <c r="C866" s="58">
        <v>404051</v>
      </c>
      <c r="D866" s="58"/>
      <c r="E866" s="58"/>
      <c r="F866" s="123" t="s">
        <v>1840</v>
      </c>
      <c r="G866" s="334" t="s">
        <v>2602</v>
      </c>
      <c r="H866" s="45">
        <v>18000000</v>
      </c>
      <c r="I866" s="380" t="s">
        <v>2482</v>
      </c>
      <c r="J866" s="507">
        <v>44515</v>
      </c>
      <c r="K866" s="494">
        <f t="shared" si="175"/>
        <v>18000000</v>
      </c>
      <c r="L866" s="494"/>
      <c r="M866" s="493"/>
      <c r="N866" s="493"/>
      <c r="O866" s="493"/>
      <c r="P866" s="493"/>
      <c r="Q866" s="28">
        <f t="shared" ref="Q866:Q869" si="176">K866-L866-M866-O866-P866+N866</f>
        <v>18000000</v>
      </c>
      <c r="R866" s="197"/>
      <c r="S866" s="197"/>
      <c r="T866" s="199">
        <v>30</v>
      </c>
      <c r="U866" s="24">
        <f t="shared" si="172"/>
        <v>44545</v>
      </c>
      <c r="V866" s="7"/>
      <c r="W866"/>
      <c r="X866"/>
      <c r="Y866"/>
      <c r="Z866"/>
      <c r="AA866"/>
      <c r="AB866"/>
      <c r="AC866"/>
      <c r="AD866"/>
      <c r="AE866"/>
      <c r="AF866"/>
      <c r="AG866"/>
      <c r="AH866"/>
      <c r="AI866"/>
      <c r="AJ866"/>
      <c r="AK866"/>
      <c r="AL866"/>
      <c r="AM866"/>
      <c r="AN866"/>
      <c r="AO866"/>
      <c r="AP866"/>
      <c r="AQ866"/>
    </row>
    <row r="867" spans="1:43" s="10" customFormat="1" ht="15.75" customHeight="1" x14ac:dyDescent="0.25">
      <c r="A867" s="55">
        <f t="shared" si="173"/>
        <v>91</v>
      </c>
      <c r="B867" s="470">
        <v>44499</v>
      </c>
      <c r="C867" s="603" t="s">
        <v>2486</v>
      </c>
      <c r="D867" s="523"/>
      <c r="E867" s="58"/>
      <c r="F867" s="123" t="s">
        <v>1840</v>
      </c>
      <c r="G867" s="334" t="s">
        <v>2603</v>
      </c>
      <c r="H867" s="45">
        <v>17000000</v>
      </c>
      <c r="I867" s="380" t="s">
        <v>2483</v>
      </c>
      <c r="J867" s="507">
        <v>44515</v>
      </c>
      <c r="K867" s="494">
        <f t="shared" si="175"/>
        <v>17000000</v>
      </c>
      <c r="L867" s="494"/>
      <c r="M867" s="493"/>
      <c r="N867" s="493"/>
      <c r="O867" s="493"/>
      <c r="P867" s="493">
        <v>17000000</v>
      </c>
      <c r="Q867" s="28">
        <f t="shared" si="176"/>
        <v>0</v>
      </c>
      <c r="R867" s="199"/>
      <c r="S867" s="197">
        <v>44537</v>
      </c>
      <c r="T867" s="199">
        <v>30</v>
      </c>
      <c r="U867" s="24">
        <f t="shared" si="172"/>
        <v>44545</v>
      </c>
      <c r="V867" s="7"/>
      <c r="W867"/>
      <c r="X867"/>
      <c r="Y867"/>
      <c r="Z867"/>
      <c r="AA867"/>
      <c r="AB867"/>
      <c r="AC867"/>
      <c r="AD867"/>
      <c r="AE867"/>
      <c r="AF867"/>
      <c r="AG867"/>
      <c r="AH867"/>
      <c r="AI867"/>
      <c r="AJ867"/>
      <c r="AK867"/>
      <c r="AL867"/>
      <c r="AM867"/>
      <c r="AN867"/>
      <c r="AO867"/>
      <c r="AP867"/>
      <c r="AQ867"/>
    </row>
    <row r="868" spans="1:43" s="10" customFormat="1" ht="15.75" customHeight="1" x14ac:dyDescent="0.25">
      <c r="A868" s="55">
        <f t="shared" si="173"/>
        <v>92</v>
      </c>
      <c r="B868" s="470">
        <v>44495</v>
      </c>
      <c r="C868" s="58">
        <v>404082</v>
      </c>
      <c r="D868" s="58"/>
      <c r="E868" s="58"/>
      <c r="F868" s="123" t="s">
        <v>1840</v>
      </c>
      <c r="G868" s="334" t="s">
        <v>2485</v>
      </c>
      <c r="H868" s="45">
        <v>15000000</v>
      </c>
      <c r="I868" s="380" t="s">
        <v>2484</v>
      </c>
      <c r="J868" s="507">
        <v>44515</v>
      </c>
      <c r="K868" s="494">
        <f t="shared" si="175"/>
        <v>15000000</v>
      </c>
      <c r="L868" s="494">
        <v>12000000</v>
      </c>
      <c r="M868" s="493"/>
      <c r="N868" s="493"/>
      <c r="O868" s="493"/>
      <c r="P868" s="493"/>
      <c r="Q868" s="28">
        <f t="shared" si="176"/>
        <v>3000000</v>
      </c>
      <c r="R868" s="480">
        <v>44537</v>
      </c>
      <c r="S868" s="480" t="s">
        <v>2885</v>
      </c>
      <c r="T868" s="199">
        <v>30</v>
      </c>
      <c r="U868" s="24">
        <f t="shared" si="172"/>
        <v>44545</v>
      </c>
      <c r="V868" s="7"/>
      <c r="W868"/>
      <c r="X868"/>
      <c r="Y868"/>
      <c r="Z868"/>
      <c r="AA868"/>
      <c r="AB868"/>
      <c r="AC868"/>
      <c r="AD868"/>
      <c r="AE868"/>
      <c r="AF868"/>
      <c r="AG868"/>
      <c r="AH868"/>
      <c r="AI868"/>
      <c r="AJ868"/>
      <c r="AK868"/>
      <c r="AL868"/>
      <c r="AM868"/>
      <c r="AN868"/>
      <c r="AO868"/>
      <c r="AP868"/>
      <c r="AQ868"/>
    </row>
    <row r="869" spans="1:43" s="10" customFormat="1" ht="15.75" customHeight="1" x14ac:dyDescent="0.25">
      <c r="A869" s="55">
        <f t="shared" si="173"/>
        <v>93</v>
      </c>
      <c r="B869" s="470">
        <v>44490</v>
      </c>
      <c r="C869" s="58">
        <v>403807</v>
      </c>
      <c r="D869" s="58"/>
      <c r="E869" s="58"/>
      <c r="F869" s="123" t="s">
        <v>1840</v>
      </c>
      <c r="G869" s="524" t="s">
        <v>2488</v>
      </c>
      <c r="H869" s="45">
        <v>15000000</v>
      </c>
      <c r="I869" s="380" t="s">
        <v>2487</v>
      </c>
      <c r="J869" s="507">
        <v>44515</v>
      </c>
      <c r="K869" s="494">
        <f t="shared" si="175"/>
        <v>15000000</v>
      </c>
      <c r="L869" s="494"/>
      <c r="M869" s="493"/>
      <c r="N869" s="493"/>
      <c r="O869" s="493"/>
      <c r="P869" s="493"/>
      <c r="Q869" s="28">
        <f t="shared" si="176"/>
        <v>15000000</v>
      </c>
      <c r="R869" s="197"/>
      <c r="S869" s="197"/>
      <c r="T869" s="199">
        <v>30</v>
      </c>
      <c r="U869" s="24">
        <f t="shared" si="172"/>
        <v>44545</v>
      </c>
      <c r="V869" s="7"/>
      <c r="W869"/>
      <c r="X869"/>
      <c r="Y869"/>
      <c r="Z869"/>
      <c r="AA869"/>
      <c r="AB869"/>
      <c r="AC869"/>
      <c r="AD869"/>
      <c r="AE869"/>
      <c r="AF869"/>
      <c r="AG869"/>
      <c r="AH869"/>
      <c r="AI869"/>
      <c r="AJ869"/>
      <c r="AK869"/>
      <c r="AL869"/>
      <c r="AM869"/>
      <c r="AN869"/>
      <c r="AO869"/>
      <c r="AP869"/>
      <c r="AQ869"/>
    </row>
    <row r="870" spans="1:43" s="10" customFormat="1" ht="15.75" customHeight="1" x14ac:dyDescent="0.25">
      <c r="A870" s="55">
        <f t="shared" si="173"/>
        <v>94</v>
      </c>
      <c r="B870" s="570">
        <v>44490</v>
      </c>
      <c r="C870" s="264">
        <v>403803</v>
      </c>
      <c r="D870" s="264"/>
      <c r="E870" s="264"/>
      <c r="F870" s="571" t="s">
        <v>1840</v>
      </c>
      <c r="G870" s="574"/>
      <c r="H870" s="267"/>
      <c r="I870" s="384" t="s">
        <v>2489</v>
      </c>
      <c r="J870" s="517">
        <v>44515</v>
      </c>
      <c r="K870" s="270">
        <f t="shared" si="175"/>
        <v>0</v>
      </c>
      <c r="L870" s="270"/>
      <c r="M870" s="270"/>
      <c r="N870" s="270"/>
      <c r="O870" s="270"/>
      <c r="P870" s="270" t="s">
        <v>2601</v>
      </c>
      <c r="Q870" s="417"/>
      <c r="R870" s="268"/>
      <c r="S870" s="268"/>
      <c r="T870" s="263">
        <v>30</v>
      </c>
      <c r="U870" s="24">
        <f t="shared" si="172"/>
        <v>44545</v>
      </c>
      <c r="V870" s="7"/>
      <c r="W870"/>
      <c r="X870"/>
      <c r="Y870"/>
      <c r="Z870"/>
      <c r="AA870"/>
      <c r="AB870"/>
      <c r="AC870"/>
      <c r="AD870"/>
      <c r="AE870"/>
      <c r="AF870"/>
      <c r="AG870"/>
      <c r="AH870"/>
      <c r="AI870"/>
      <c r="AJ870"/>
      <c r="AK870"/>
      <c r="AL870"/>
      <c r="AM870"/>
      <c r="AN870"/>
      <c r="AO870"/>
      <c r="AP870"/>
      <c r="AQ870"/>
    </row>
    <row r="871" spans="1:43" s="10" customFormat="1" ht="15.75" customHeight="1" x14ac:dyDescent="0.25">
      <c r="A871" s="55">
        <f t="shared" si="173"/>
        <v>95</v>
      </c>
      <c r="B871" s="570">
        <v>44482</v>
      </c>
      <c r="C871" s="264" t="s">
        <v>2458</v>
      </c>
      <c r="D871" s="264"/>
      <c r="E871" s="264"/>
      <c r="F871" s="571" t="s">
        <v>1744</v>
      </c>
      <c r="G871" s="572" t="s">
        <v>2460</v>
      </c>
      <c r="H871" s="267">
        <v>17000000</v>
      </c>
      <c r="I871" s="626" t="s">
        <v>2510</v>
      </c>
      <c r="J871" s="517">
        <v>44518</v>
      </c>
      <c r="K871" s="270" t="s">
        <v>2793</v>
      </c>
      <c r="L871" s="270"/>
      <c r="M871" s="270"/>
      <c r="N871" s="417"/>
      <c r="O871" s="417"/>
      <c r="P871" s="270"/>
      <c r="Q871" s="417"/>
      <c r="R871" s="263"/>
      <c r="S871" s="263"/>
      <c r="T871" s="263"/>
      <c r="U871" s="510" t="s">
        <v>2794</v>
      </c>
      <c r="V871"/>
      <c r="W871"/>
      <c r="X871"/>
      <c r="Y871"/>
      <c r="Z871"/>
      <c r="AA871"/>
      <c r="AB871"/>
      <c r="AC871"/>
      <c r="AD871"/>
      <c r="AE871"/>
      <c r="AF871"/>
      <c r="AG871"/>
      <c r="AH871"/>
      <c r="AI871"/>
      <c r="AJ871"/>
      <c r="AK871"/>
      <c r="AL871"/>
      <c r="AM871"/>
      <c r="AN871"/>
      <c r="AO871"/>
      <c r="AP871"/>
      <c r="AQ871"/>
    </row>
    <row r="872" spans="1:43" s="10" customFormat="1" ht="15.75" customHeight="1" x14ac:dyDescent="0.25">
      <c r="A872" s="55">
        <f t="shared" si="173"/>
        <v>96</v>
      </c>
      <c r="B872" s="570">
        <v>44482</v>
      </c>
      <c r="C872" s="264" t="s">
        <v>2459</v>
      </c>
      <c r="D872" s="264"/>
      <c r="E872" s="264"/>
      <c r="F872" s="571" t="s">
        <v>1744</v>
      </c>
      <c r="G872" s="572" t="s">
        <v>2461</v>
      </c>
      <c r="H872" s="267">
        <v>9000000</v>
      </c>
      <c r="I872" s="626" t="s">
        <v>2510</v>
      </c>
      <c r="J872" s="517">
        <v>44518</v>
      </c>
      <c r="K872" s="270" t="s">
        <v>2793</v>
      </c>
      <c r="L872" s="270"/>
      <c r="M872" s="270"/>
      <c r="N872" s="417"/>
      <c r="O872" s="417"/>
      <c r="P872" s="270"/>
      <c r="Q872" s="417"/>
      <c r="R872" s="263"/>
      <c r="S872" s="263"/>
      <c r="T872" s="263"/>
      <c r="U872" s="510" t="s">
        <v>2794</v>
      </c>
      <c r="V872"/>
      <c r="W872"/>
      <c r="X872"/>
      <c r="Y872"/>
      <c r="Z872"/>
      <c r="AA872"/>
      <c r="AB872"/>
      <c r="AC872"/>
      <c r="AD872"/>
      <c r="AE872"/>
      <c r="AF872"/>
      <c r="AG872"/>
      <c r="AH872"/>
      <c r="AI872"/>
      <c r="AJ872"/>
      <c r="AK872"/>
      <c r="AL872"/>
      <c r="AM872"/>
      <c r="AN872"/>
      <c r="AO872"/>
      <c r="AP872"/>
      <c r="AQ872"/>
    </row>
    <row r="873" spans="1:43" s="10" customFormat="1" ht="15.75" customHeight="1" x14ac:dyDescent="0.25">
      <c r="A873" s="55">
        <f t="shared" si="173"/>
        <v>97</v>
      </c>
      <c r="B873" s="570">
        <v>44494</v>
      </c>
      <c r="C873" s="631" t="s">
        <v>2646</v>
      </c>
      <c r="D873" s="632" t="s">
        <v>2646</v>
      </c>
      <c r="E873" s="264"/>
      <c r="F873" s="571" t="s">
        <v>2647</v>
      </c>
      <c r="G873" s="572" t="s">
        <v>2648</v>
      </c>
      <c r="H873" s="267">
        <v>3140000</v>
      </c>
      <c r="I873" s="384" t="s">
        <v>2645</v>
      </c>
      <c r="J873" s="517">
        <v>44524</v>
      </c>
      <c r="K873" s="270">
        <f t="shared" ref="K873:K880" si="177">H873</f>
        <v>3140000</v>
      </c>
      <c r="L873" s="270"/>
      <c r="M873" s="270"/>
      <c r="N873" s="270"/>
      <c r="O873" s="270"/>
      <c r="P873" s="270">
        <v>3140000</v>
      </c>
      <c r="Q873" s="417">
        <f>K873-L873-M873-O873-P873+N873</f>
        <v>0</v>
      </c>
      <c r="R873" s="266" t="s">
        <v>2650</v>
      </c>
      <c r="S873" s="268"/>
      <c r="T873" s="263"/>
      <c r="U873" s="24">
        <f t="shared" ref="U873:U880" si="178">J873+T873</f>
        <v>44524</v>
      </c>
      <c r="V873" s="272" t="s">
        <v>2649</v>
      </c>
      <c r="W873"/>
      <c r="X873"/>
      <c r="Y873"/>
      <c r="Z873"/>
      <c r="AA873"/>
      <c r="AB873"/>
      <c r="AC873"/>
      <c r="AD873"/>
      <c r="AE873"/>
      <c r="AF873"/>
      <c r="AG873"/>
      <c r="AH873"/>
      <c r="AI873"/>
      <c r="AJ873"/>
      <c r="AK873"/>
      <c r="AL873"/>
      <c r="AM873"/>
      <c r="AN873"/>
      <c r="AO873"/>
      <c r="AP873"/>
      <c r="AQ873"/>
    </row>
    <row r="874" spans="1:43" s="10" customFormat="1" ht="15.75" customHeight="1" x14ac:dyDescent="0.25">
      <c r="A874" s="55">
        <f t="shared" si="173"/>
        <v>98</v>
      </c>
      <c r="B874" s="470">
        <v>44499</v>
      </c>
      <c r="C874" s="448">
        <v>403852</v>
      </c>
      <c r="D874" s="332"/>
      <c r="E874" s="58"/>
      <c r="F874" s="123" t="s">
        <v>2328</v>
      </c>
      <c r="G874" s="334" t="s">
        <v>2652</v>
      </c>
      <c r="H874" s="45">
        <v>500000</v>
      </c>
      <c r="I874" s="380" t="s">
        <v>2651</v>
      </c>
      <c r="J874" s="507">
        <v>44524</v>
      </c>
      <c r="K874" s="577">
        <f t="shared" si="177"/>
        <v>500000</v>
      </c>
      <c r="L874" s="460"/>
      <c r="M874" s="459"/>
      <c r="N874" s="459"/>
      <c r="O874" s="459"/>
      <c r="P874" s="459">
        <v>500000</v>
      </c>
      <c r="Q874" s="28">
        <f>K874-L874-M874-O874-P874+N874</f>
        <v>0</v>
      </c>
      <c r="R874" s="199"/>
      <c r="S874" s="197">
        <v>44525</v>
      </c>
      <c r="T874" s="199">
        <v>14</v>
      </c>
      <c r="U874" s="24">
        <f t="shared" si="178"/>
        <v>44538</v>
      </c>
      <c r="V874" s="5" t="s">
        <v>2653</v>
      </c>
      <c r="W874"/>
      <c r="X874"/>
      <c r="Y874"/>
      <c r="Z874"/>
      <c r="AA874"/>
      <c r="AB874"/>
      <c r="AC874"/>
      <c r="AD874"/>
      <c r="AE874"/>
      <c r="AF874"/>
      <c r="AG874"/>
      <c r="AH874"/>
      <c r="AI874"/>
      <c r="AJ874"/>
      <c r="AK874"/>
      <c r="AL874"/>
      <c r="AM874"/>
      <c r="AN874"/>
      <c r="AO874"/>
      <c r="AP874"/>
      <c r="AQ874"/>
    </row>
    <row r="875" spans="1:43" s="10" customFormat="1" ht="15.75" customHeight="1" x14ac:dyDescent="0.25">
      <c r="A875" s="55">
        <f t="shared" si="173"/>
        <v>99</v>
      </c>
      <c r="B875" s="470">
        <v>44496</v>
      </c>
      <c r="C875" s="448" t="s">
        <v>2668</v>
      </c>
      <c r="D875" s="332"/>
      <c r="E875" s="58"/>
      <c r="F875" s="123" t="s">
        <v>933</v>
      </c>
      <c r="G875" s="334" t="s">
        <v>2667</v>
      </c>
      <c r="H875" s="45">
        <v>183000</v>
      </c>
      <c r="I875" s="380" t="s">
        <v>2666</v>
      </c>
      <c r="J875" s="507">
        <v>44526</v>
      </c>
      <c r="K875" s="577">
        <f t="shared" si="177"/>
        <v>183000</v>
      </c>
      <c r="L875" s="460"/>
      <c r="M875" s="459"/>
      <c r="N875" s="459"/>
      <c r="O875" s="459"/>
      <c r="P875" s="459">
        <v>183000</v>
      </c>
      <c r="Q875" s="28">
        <f t="shared" ref="Q875" si="179">K875-L875-M875-O875-P875+N875</f>
        <v>0</v>
      </c>
      <c r="R875" s="199"/>
      <c r="S875" s="197">
        <v>44540</v>
      </c>
      <c r="T875" s="2">
        <v>14</v>
      </c>
      <c r="U875" s="24">
        <f t="shared" si="178"/>
        <v>44540</v>
      </c>
      <c r="V875" s="5"/>
      <c r="W875"/>
      <c r="X875"/>
      <c r="Y875"/>
      <c r="Z875"/>
      <c r="AA875"/>
      <c r="AB875"/>
      <c r="AC875"/>
      <c r="AD875"/>
      <c r="AE875"/>
      <c r="AF875"/>
      <c r="AG875"/>
      <c r="AH875"/>
      <c r="AI875"/>
      <c r="AJ875"/>
      <c r="AK875"/>
      <c r="AL875"/>
      <c r="AM875"/>
      <c r="AN875"/>
      <c r="AO875"/>
      <c r="AP875"/>
      <c r="AQ875"/>
    </row>
    <row r="876" spans="1:43" s="10" customFormat="1" ht="15.75" customHeight="1" x14ac:dyDescent="0.25">
      <c r="A876" s="55">
        <f t="shared" si="173"/>
        <v>100</v>
      </c>
      <c r="B876" s="583">
        <v>44488</v>
      </c>
      <c r="C876" s="448" t="s">
        <v>2638</v>
      </c>
      <c r="D876" s="332" t="s">
        <v>2637</v>
      </c>
      <c r="E876" s="58"/>
      <c r="F876" s="123" t="s">
        <v>2640</v>
      </c>
      <c r="G876" s="334" t="s">
        <v>2639</v>
      </c>
      <c r="H876" s="45">
        <v>2340000</v>
      </c>
      <c r="I876" s="380" t="s">
        <v>2636</v>
      </c>
      <c r="J876" s="507">
        <v>44522</v>
      </c>
      <c r="K876" s="577">
        <f t="shared" si="177"/>
        <v>2340000</v>
      </c>
      <c r="L876" s="460"/>
      <c r="M876" s="459">
        <v>1800</v>
      </c>
      <c r="N876" s="459"/>
      <c r="O876" s="459"/>
      <c r="P876" s="459">
        <v>2338200</v>
      </c>
      <c r="Q876" s="28">
        <f>K876-L876-M876-O876-P876+N876</f>
        <v>0</v>
      </c>
      <c r="R876" s="199"/>
      <c r="S876" s="197">
        <v>44533</v>
      </c>
      <c r="T876" s="2">
        <v>14</v>
      </c>
      <c r="U876" s="24">
        <f t="shared" si="178"/>
        <v>44536</v>
      </c>
      <c r="V876" s="5"/>
      <c r="W876"/>
      <c r="X876"/>
      <c r="Y876"/>
      <c r="Z876"/>
      <c r="AA876"/>
      <c r="AB876"/>
      <c r="AC876"/>
      <c r="AD876"/>
      <c r="AE876"/>
      <c r="AF876"/>
      <c r="AG876"/>
      <c r="AH876"/>
      <c r="AI876"/>
      <c r="AJ876"/>
      <c r="AK876"/>
      <c r="AL876"/>
      <c r="AM876"/>
      <c r="AN876"/>
      <c r="AO876"/>
      <c r="AP876"/>
      <c r="AQ876"/>
    </row>
    <row r="877" spans="1:43" s="10" customFormat="1" ht="15.75" customHeight="1" x14ac:dyDescent="0.25">
      <c r="A877" s="55">
        <f t="shared" si="173"/>
        <v>101</v>
      </c>
      <c r="B877" s="56">
        <v>44499</v>
      </c>
      <c r="C877" s="58" t="s">
        <v>2462</v>
      </c>
      <c r="D877" s="58"/>
      <c r="E877" s="58"/>
      <c r="F877" s="123" t="s">
        <v>1949</v>
      </c>
      <c r="G877" s="334" t="s">
        <v>2876</v>
      </c>
      <c r="H877" s="45">
        <v>18000000</v>
      </c>
      <c r="I877" s="380" t="s">
        <v>2988</v>
      </c>
      <c r="J877" s="301">
        <v>44545</v>
      </c>
      <c r="K877" s="719">
        <f t="shared" si="177"/>
        <v>18000000</v>
      </c>
      <c r="L877" s="719"/>
      <c r="M877" s="718"/>
      <c r="N877" s="28"/>
      <c r="O877" s="28"/>
      <c r="P877" s="718">
        <v>18000000</v>
      </c>
      <c r="Q877" s="28">
        <f>K877-L877-M877-O877-P877+N877</f>
        <v>0</v>
      </c>
      <c r="R877" s="199"/>
      <c r="S877" s="197">
        <v>44460</v>
      </c>
      <c r="T877" s="199">
        <v>30</v>
      </c>
      <c r="U877" s="24">
        <f t="shared" si="178"/>
        <v>44575</v>
      </c>
      <c r="V877" s="7"/>
      <c r="W877"/>
      <c r="X877"/>
      <c r="Y877"/>
      <c r="Z877"/>
      <c r="AA877"/>
      <c r="AB877"/>
      <c r="AC877"/>
      <c r="AD877"/>
      <c r="AE877"/>
      <c r="AF877"/>
      <c r="AG877"/>
      <c r="AH877"/>
      <c r="AI877"/>
      <c r="AJ877"/>
      <c r="AK877"/>
      <c r="AL877"/>
      <c r="AM877"/>
      <c r="AN877"/>
      <c r="AO877"/>
      <c r="AP877"/>
      <c r="AQ877"/>
    </row>
    <row r="878" spans="1:43" s="10" customFormat="1" ht="15.75" customHeight="1" x14ac:dyDescent="0.25">
      <c r="A878" s="55">
        <f t="shared" si="173"/>
        <v>102</v>
      </c>
      <c r="B878" s="79">
        <v>44500</v>
      </c>
      <c r="C878" s="440">
        <v>404099</v>
      </c>
      <c r="D878" s="440" t="s">
        <v>2959</v>
      </c>
      <c r="E878" s="330"/>
      <c r="F878" s="69" t="s">
        <v>2958</v>
      </c>
      <c r="G878" s="126" t="s">
        <v>500</v>
      </c>
      <c r="H878" s="45">
        <v>2000000</v>
      </c>
      <c r="I878" s="377" t="s">
        <v>2957</v>
      </c>
      <c r="J878" s="301">
        <v>44539</v>
      </c>
      <c r="K878" s="719">
        <f t="shared" si="177"/>
        <v>2000000</v>
      </c>
      <c r="L878" s="719"/>
      <c r="M878" s="719">
        <v>632000</v>
      </c>
      <c r="N878" s="28"/>
      <c r="O878" s="28"/>
      <c r="P878" s="719">
        <v>1368000</v>
      </c>
      <c r="Q878" s="28">
        <f>K878-L878-M878-O878-P878+N878</f>
        <v>0</v>
      </c>
      <c r="R878" s="126"/>
      <c r="S878" s="197">
        <v>44554</v>
      </c>
      <c r="T878" s="199">
        <v>14</v>
      </c>
      <c r="U878" s="24">
        <f t="shared" si="178"/>
        <v>44553</v>
      </c>
      <c r="V878" s="5"/>
      <c r="W878"/>
      <c r="X878"/>
      <c r="Y878"/>
      <c r="Z878"/>
      <c r="AA878"/>
      <c r="AB878"/>
      <c r="AC878"/>
      <c r="AD878"/>
      <c r="AE878"/>
      <c r="AF878"/>
      <c r="AG878"/>
      <c r="AH878"/>
      <c r="AI878"/>
      <c r="AJ878"/>
      <c r="AK878"/>
      <c r="AL878"/>
      <c r="AM878"/>
      <c r="AN878"/>
      <c r="AO878"/>
      <c r="AP878"/>
      <c r="AQ878"/>
    </row>
    <row r="879" spans="1:43" s="10" customFormat="1" ht="15.75" customHeight="1" x14ac:dyDescent="0.25">
      <c r="A879" s="55">
        <f t="shared" si="173"/>
        <v>103</v>
      </c>
      <c r="B879" s="79">
        <v>44496</v>
      </c>
      <c r="C879" s="440" t="s">
        <v>3530</v>
      </c>
      <c r="D879" s="440"/>
      <c r="E879" s="330"/>
      <c r="F879" s="69" t="s">
        <v>933</v>
      </c>
      <c r="G879" s="126" t="s">
        <v>3528</v>
      </c>
      <c r="H879" s="45">
        <v>680000</v>
      </c>
      <c r="I879" s="377" t="s">
        <v>3524</v>
      </c>
      <c r="J879" s="301">
        <v>44587</v>
      </c>
      <c r="K879" s="814">
        <f t="shared" si="177"/>
        <v>680000</v>
      </c>
      <c r="L879" s="814"/>
      <c r="M879" s="814"/>
      <c r="N879" s="28"/>
      <c r="O879" s="28"/>
      <c r="P879" s="814">
        <v>680000</v>
      </c>
      <c r="Q879" s="28">
        <f t="shared" ref="Q879" si="180">K879-L879-M879-O879-P879+N879</f>
        <v>0</v>
      </c>
      <c r="R879" s="126"/>
      <c r="S879" s="197">
        <v>44587</v>
      </c>
      <c r="T879" s="199"/>
      <c r="U879" s="24"/>
      <c r="V879" s="5"/>
      <c r="W879"/>
      <c r="X879"/>
      <c r="Y879"/>
      <c r="Z879"/>
      <c r="AA879"/>
      <c r="AB879"/>
      <c r="AC879"/>
      <c r="AD879"/>
      <c r="AE879"/>
      <c r="AF879"/>
      <c r="AG879"/>
      <c r="AH879"/>
      <c r="AI879"/>
      <c r="AJ879"/>
      <c r="AK879"/>
      <c r="AL879"/>
      <c r="AM879"/>
      <c r="AN879"/>
      <c r="AO879"/>
      <c r="AP879"/>
      <c r="AQ879"/>
    </row>
    <row r="880" spans="1:43" s="10" customFormat="1" ht="15.75" customHeight="1" x14ac:dyDescent="0.25">
      <c r="A880" s="55">
        <f t="shared" si="173"/>
        <v>104</v>
      </c>
      <c r="B880" s="470">
        <v>44500</v>
      </c>
      <c r="C880" s="448" t="s">
        <v>2746</v>
      </c>
      <c r="D880" s="332" t="s">
        <v>2747</v>
      </c>
      <c r="E880" s="58"/>
      <c r="F880" s="123" t="s">
        <v>2790</v>
      </c>
      <c r="G880" s="334" t="s">
        <v>2145</v>
      </c>
      <c r="H880" s="45">
        <v>1749000</v>
      </c>
      <c r="I880" s="380" t="s">
        <v>2744</v>
      </c>
      <c r="J880" s="507">
        <v>44530</v>
      </c>
      <c r="K880" s="814">
        <f t="shared" si="177"/>
        <v>1749000</v>
      </c>
      <c r="L880" s="460"/>
      <c r="M880" s="459"/>
      <c r="N880" s="459"/>
      <c r="O880" s="459"/>
      <c r="P880" s="459">
        <v>1749000</v>
      </c>
      <c r="Q880" s="28">
        <f>K880-L880-M880-O880-P880+N880</f>
        <v>0</v>
      </c>
      <c r="R880" s="199"/>
      <c r="S880" s="197">
        <v>44534</v>
      </c>
      <c r="T880" s="199">
        <v>14</v>
      </c>
      <c r="U880" s="24">
        <f t="shared" si="178"/>
        <v>44544</v>
      </c>
      <c r="V880" s="5" t="s">
        <v>2745</v>
      </c>
      <c r="W880"/>
      <c r="X880"/>
      <c r="Y880"/>
      <c r="Z880"/>
      <c r="AA880"/>
      <c r="AB880"/>
      <c r="AC880"/>
      <c r="AD880"/>
      <c r="AE880"/>
      <c r="AF880"/>
      <c r="AG880"/>
      <c r="AH880"/>
      <c r="AI880"/>
      <c r="AJ880"/>
      <c r="AK880"/>
      <c r="AL880"/>
      <c r="AM880"/>
      <c r="AN880"/>
      <c r="AO880"/>
      <c r="AP880"/>
      <c r="AQ880"/>
    </row>
    <row r="881" spans="1:43" s="10" customFormat="1" ht="32.25" customHeight="1" x14ac:dyDescent="0.25">
      <c r="A881" s="966" t="s">
        <v>2086</v>
      </c>
      <c r="B881" s="975"/>
      <c r="C881" s="975"/>
      <c r="D881" s="975"/>
      <c r="E881" s="975"/>
      <c r="F881" s="975"/>
      <c r="G881" s="976"/>
      <c r="H881" s="661"/>
      <c r="I881" s="473"/>
      <c r="J881" s="495"/>
      <c r="K881" s="473"/>
      <c r="L881" s="473"/>
      <c r="M881" s="473"/>
      <c r="N881" s="473"/>
      <c r="O881" s="473"/>
      <c r="P881" s="473"/>
      <c r="Q881" s="51">
        <f>SUM(Q775:Q880)</f>
        <v>82976754.40200001</v>
      </c>
      <c r="R881" s="479"/>
      <c r="S881" s="479"/>
      <c r="T881" s="479"/>
      <c r="U881" s="24"/>
      <c r="V881"/>
      <c r="W881"/>
      <c r="X881"/>
      <c r="Y881"/>
      <c r="Z881"/>
      <c r="AA881"/>
      <c r="AB881"/>
      <c r="AC881"/>
      <c r="AD881"/>
      <c r="AE881"/>
      <c r="AF881"/>
      <c r="AG881"/>
      <c r="AH881"/>
      <c r="AI881"/>
      <c r="AJ881"/>
      <c r="AK881"/>
      <c r="AL881"/>
      <c r="AM881"/>
      <c r="AN881"/>
      <c r="AO881"/>
      <c r="AP881"/>
      <c r="AQ881"/>
    </row>
    <row r="882" spans="1:43" s="10" customFormat="1" ht="15.75" customHeight="1" x14ac:dyDescent="0.25">
      <c r="A882" s="55">
        <v>1</v>
      </c>
      <c r="B882" s="79">
        <v>44504</v>
      </c>
      <c r="C882" s="602" t="s">
        <v>2417</v>
      </c>
      <c r="D882" s="453"/>
      <c r="E882" s="330"/>
      <c r="F882" s="53" t="s">
        <v>553</v>
      </c>
      <c r="G882" s="126" t="s">
        <v>715</v>
      </c>
      <c r="H882" s="45">
        <v>9300000</v>
      </c>
      <c r="I882" s="377" t="s">
        <v>2416</v>
      </c>
      <c r="J882" s="301">
        <v>44508</v>
      </c>
      <c r="K882" s="460">
        <f t="shared" ref="K882:K887" si="181">H882</f>
        <v>9300000</v>
      </c>
      <c r="L882" s="460"/>
      <c r="M882" s="459"/>
      <c r="N882" s="28">
        <f t="shared" ref="N882:N886" si="182">K882*1%</f>
        <v>93000</v>
      </c>
      <c r="O882" s="28">
        <f t="shared" ref="O882:O886" si="183">K882*2%</f>
        <v>186000</v>
      </c>
      <c r="P882" s="459">
        <v>9207000</v>
      </c>
      <c r="Q882" s="28">
        <f t="shared" ref="Q882:Q969" si="184">K882-L882-M882-O882-P882+N882</f>
        <v>0</v>
      </c>
      <c r="R882" s="199"/>
      <c r="S882" s="56">
        <v>44536</v>
      </c>
      <c r="T882" s="199">
        <v>14</v>
      </c>
      <c r="U882" s="24">
        <f t="shared" ref="U882:U947" si="185">J882+T882</f>
        <v>44522</v>
      </c>
      <c r="V882" s="5"/>
      <c r="W882"/>
      <c r="X882"/>
      <c r="Y882"/>
      <c r="Z882"/>
      <c r="AA882"/>
      <c r="AB882"/>
      <c r="AC882"/>
      <c r="AD882"/>
      <c r="AE882"/>
      <c r="AF882"/>
      <c r="AG882"/>
      <c r="AH882"/>
      <c r="AI882"/>
      <c r="AJ882"/>
      <c r="AK882"/>
      <c r="AL882"/>
      <c r="AM882"/>
      <c r="AN882"/>
      <c r="AO882"/>
      <c r="AP882"/>
      <c r="AQ882"/>
    </row>
    <row r="883" spans="1:43" s="10" customFormat="1" ht="15.75" customHeight="1" x14ac:dyDescent="0.25">
      <c r="A883" s="55">
        <f>A882+1</f>
        <v>2</v>
      </c>
      <c r="B883" s="79">
        <v>44505</v>
      </c>
      <c r="C883" s="330" t="s">
        <v>2430</v>
      </c>
      <c r="D883" s="330" t="s">
        <v>2804</v>
      </c>
      <c r="E883" s="330" t="s">
        <v>2431</v>
      </c>
      <c r="F883" s="123" t="s">
        <v>2694</v>
      </c>
      <c r="G883" s="126" t="s">
        <v>147</v>
      </c>
      <c r="H883" s="45">
        <v>850000</v>
      </c>
      <c r="I883" s="377" t="s">
        <v>2429</v>
      </c>
      <c r="J883" s="301">
        <v>44511</v>
      </c>
      <c r="K883" s="460">
        <f t="shared" si="181"/>
        <v>850000</v>
      </c>
      <c r="L883" s="460"/>
      <c r="M883" s="459">
        <v>15024</v>
      </c>
      <c r="N883" s="28">
        <f t="shared" si="182"/>
        <v>8500</v>
      </c>
      <c r="O883" s="28">
        <f t="shared" si="183"/>
        <v>17000</v>
      </c>
      <c r="P883" s="459">
        <v>826476</v>
      </c>
      <c r="Q883" s="28">
        <f t="shared" si="184"/>
        <v>0</v>
      </c>
      <c r="R883" s="743"/>
      <c r="S883" s="474">
        <v>44525</v>
      </c>
      <c r="T883" s="199">
        <v>14</v>
      </c>
      <c r="U883" s="24">
        <f t="shared" si="185"/>
        <v>44525</v>
      </c>
      <c r="V883" s="5"/>
      <c r="W883"/>
      <c r="X883"/>
      <c r="Y883"/>
      <c r="Z883"/>
      <c r="AA883"/>
      <c r="AB883"/>
      <c r="AC883"/>
      <c r="AD883"/>
      <c r="AE883"/>
      <c r="AF883"/>
      <c r="AG883"/>
      <c r="AH883"/>
      <c r="AI883"/>
      <c r="AJ883"/>
      <c r="AK883"/>
      <c r="AL883"/>
      <c r="AM883"/>
      <c r="AN883"/>
      <c r="AO883"/>
      <c r="AP883"/>
      <c r="AQ883"/>
    </row>
    <row r="884" spans="1:43" s="10" customFormat="1" ht="15.75" customHeight="1" x14ac:dyDescent="0.25">
      <c r="A884" s="55">
        <f t="shared" ref="A884:A934" si="186">A883+1</f>
        <v>3</v>
      </c>
      <c r="B884" s="56">
        <v>44504</v>
      </c>
      <c r="C884" s="58" t="s">
        <v>2491</v>
      </c>
      <c r="D884" s="58"/>
      <c r="E884" s="58"/>
      <c r="F884" s="69" t="s">
        <v>279</v>
      </c>
      <c r="G884" s="126" t="s">
        <v>417</v>
      </c>
      <c r="H884" s="45">
        <v>1980198</v>
      </c>
      <c r="I884" s="380" t="s">
        <v>2490</v>
      </c>
      <c r="J884" s="301">
        <v>44512</v>
      </c>
      <c r="K884" s="460">
        <f t="shared" si="181"/>
        <v>1980198</v>
      </c>
      <c r="L884" s="460"/>
      <c r="M884" s="459"/>
      <c r="N884" s="28">
        <f t="shared" si="182"/>
        <v>19801.98</v>
      </c>
      <c r="O884" s="28">
        <f t="shared" si="183"/>
        <v>39603.96</v>
      </c>
      <c r="P884" s="459">
        <v>1960396.02</v>
      </c>
      <c r="Q884" s="28">
        <f t="shared" si="184"/>
        <v>0</v>
      </c>
      <c r="R884" s="199"/>
      <c r="S884" s="197">
        <v>44553</v>
      </c>
      <c r="T884" s="199">
        <v>30</v>
      </c>
      <c r="U884" s="24">
        <f t="shared" si="185"/>
        <v>44542</v>
      </c>
      <c r="V884" s="5"/>
      <c r="W884"/>
      <c r="X884"/>
      <c r="Y884"/>
      <c r="Z884"/>
      <c r="AA884"/>
      <c r="AB884"/>
      <c r="AC884"/>
      <c r="AD884"/>
      <c r="AE884"/>
      <c r="AF884"/>
      <c r="AG884"/>
      <c r="AH884"/>
      <c r="AI884"/>
      <c r="AJ884"/>
      <c r="AK884"/>
      <c r="AL884"/>
      <c r="AM884"/>
      <c r="AN884"/>
      <c r="AO884"/>
      <c r="AP884"/>
      <c r="AQ884"/>
    </row>
    <row r="885" spans="1:43" s="10" customFormat="1" ht="15.75" customHeight="1" x14ac:dyDescent="0.25">
      <c r="A885" s="55">
        <f t="shared" si="186"/>
        <v>4</v>
      </c>
      <c r="B885" s="79">
        <v>44504</v>
      </c>
      <c r="C885" s="440">
        <v>402272</v>
      </c>
      <c r="D885" s="440"/>
      <c r="E885" s="440"/>
      <c r="F885" s="69" t="s">
        <v>279</v>
      </c>
      <c r="G885" s="33" t="s">
        <v>417</v>
      </c>
      <c r="H885" s="460">
        <v>1881188</v>
      </c>
      <c r="I885" s="39" t="s">
        <v>2492</v>
      </c>
      <c r="J885" s="79">
        <v>44512</v>
      </c>
      <c r="K885" s="460">
        <f t="shared" si="181"/>
        <v>1881188</v>
      </c>
      <c r="L885" s="460"/>
      <c r="M885" s="460"/>
      <c r="N885" s="28">
        <f t="shared" si="182"/>
        <v>18811.88</v>
      </c>
      <c r="O885" s="28">
        <f t="shared" si="183"/>
        <v>37623.760000000002</v>
      </c>
      <c r="P885" s="460">
        <v>1862376.1199999999</v>
      </c>
      <c r="Q885" s="28">
        <f>K885-L885-M885-O885-P885+N885</f>
        <v>1.127773430198431E-10</v>
      </c>
      <c r="R885" s="133"/>
      <c r="S885" s="197">
        <v>44553</v>
      </c>
      <c r="T885" s="199">
        <v>30</v>
      </c>
      <c r="U885" s="24">
        <f t="shared" si="185"/>
        <v>44542</v>
      </c>
      <c r="V885" s="5"/>
      <c r="W885"/>
      <c r="X885"/>
      <c r="Y885"/>
      <c r="Z885"/>
      <c r="AA885"/>
      <c r="AB885"/>
      <c r="AC885"/>
      <c r="AD885"/>
      <c r="AE885"/>
      <c r="AF885"/>
      <c r="AG885"/>
      <c r="AH885"/>
      <c r="AI885"/>
      <c r="AJ885"/>
      <c r="AK885"/>
      <c r="AL885"/>
      <c r="AM885"/>
      <c r="AN885"/>
      <c r="AO885"/>
      <c r="AP885"/>
      <c r="AQ885"/>
    </row>
    <row r="886" spans="1:43" s="10" customFormat="1" ht="15.75" customHeight="1" x14ac:dyDescent="0.25">
      <c r="A886" s="55">
        <f t="shared" si="186"/>
        <v>5</v>
      </c>
      <c r="B886" s="79">
        <v>44508</v>
      </c>
      <c r="C886" s="440">
        <v>402594</v>
      </c>
      <c r="D886" s="440"/>
      <c r="E886" s="440"/>
      <c r="F886" s="69" t="s">
        <v>279</v>
      </c>
      <c r="G886" s="33" t="s">
        <v>417</v>
      </c>
      <c r="H886" s="460">
        <v>1980198</v>
      </c>
      <c r="I886" s="39" t="s">
        <v>2493</v>
      </c>
      <c r="J886" s="79">
        <v>44512</v>
      </c>
      <c r="K886" s="460">
        <f t="shared" si="181"/>
        <v>1980198</v>
      </c>
      <c r="L886" s="460"/>
      <c r="M886" s="460"/>
      <c r="N886" s="28">
        <f t="shared" si="182"/>
        <v>19801.98</v>
      </c>
      <c r="O886" s="28">
        <f t="shared" si="183"/>
        <v>39603.96</v>
      </c>
      <c r="P886" s="460">
        <v>1960396.02</v>
      </c>
      <c r="Q886" s="28">
        <f t="shared" si="184"/>
        <v>0</v>
      </c>
      <c r="R886" s="133"/>
      <c r="S886" s="197">
        <v>44553</v>
      </c>
      <c r="T886" s="199">
        <v>30</v>
      </c>
      <c r="U886" s="24">
        <f t="shared" si="185"/>
        <v>44542</v>
      </c>
      <c r="V886" s="5"/>
      <c r="W886"/>
      <c r="X886"/>
      <c r="Y886"/>
      <c r="Z886"/>
      <c r="AA886"/>
      <c r="AB886"/>
      <c r="AC886"/>
      <c r="AD886"/>
      <c r="AE886"/>
      <c r="AF886"/>
      <c r="AG886"/>
      <c r="AH886"/>
      <c r="AI886"/>
      <c r="AJ886"/>
      <c r="AK886"/>
      <c r="AL886"/>
      <c r="AM886"/>
      <c r="AN886"/>
      <c r="AO886"/>
      <c r="AP886"/>
      <c r="AQ886"/>
    </row>
    <row r="887" spans="1:43" s="10" customFormat="1" ht="15.75" customHeight="1" x14ac:dyDescent="0.25">
      <c r="A887" s="55">
        <f t="shared" si="186"/>
        <v>6</v>
      </c>
      <c r="B887" s="79">
        <v>44511</v>
      </c>
      <c r="C887" s="330"/>
      <c r="D887" s="330"/>
      <c r="E887" s="330" t="s">
        <v>2496</v>
      </c>
      <c r="F887" s="69" t="s">
        <v>2457</v>
      </c>
      <c r="G887" s="126" t="s">
        <v>146</v>
      </c>
      <c r="H887" s="45">
        <v>3000000</v>
      </c>
      <c r="I887" s="377" t="s">
        <v>2494</v>
      </c>
      <c r="J887" s="301">
        <v>44516</v>
      </c>
      <c r="K887" s="526">
        <f t="shared" si="181"/>
        <v>3000000</v>
      </c>
      <c r="L887" s="460"/>
      <c r="M887" s="460"/>
      <c r="N887" s="28">
        <f t="shared" ref="N887" si="187">K887*1%</f>
        <v>30000</v>
      </c>
      <c r="O887" s="28">
        <f t="shared" ref="O887" si="188">K887*2%</f>
        <v>60000</v>
      </c>
      <c r="P887" s="460">
        <v>2970000</v>
      </c>
      <c r="Q887" s="28">
        <f t="shared" si="184"/>
        <v>0</v>
      </c>
      <c r="R887" s="199"/>
      <c r="S887" s="197">
        <v>44588</v>
      </c>
      <c r="T887" s="2">
        <v>30</v>
      </c>
      <c r="U887" s="24">
        <f t="shared" si="185"/>
        <v>44546</v>
      </c>
      <c r="V887" s="5"/>
      <c r="W887"/>
      <c r="X887"/>
      <c r="Y887"/>
      <c r="Z887"/>
      <c r="AA887"/>
      <c r="AB887"/>
      <c r="AC887"/>
      <c r="AD887"/>
      <c r="AE887"/>
      <c r="AF887"/>
      <c r="AG887"/>
      <c r="AH887"/>
      <c r="AI887"/>
      <c r="AJ887"/>
      <c r="AK887"/>
      <c r="AL887"/>
      <c r="AM887"/>
      <c r="AN887"/>
      <c r="AO887"/>
      <c r="AP887"/>
      <c r="AQ887"/>
    </row>
    <row r="888" spans="1:43" s="10" customFormat="1" ht="15.75" customHeight="1" x14ac:dyDescent="0.25">
      <c r="A888" s="55">
        <f t="shared" si="186"/>
        <v>7</v>
      </c>
      <c r="B888" s="79">
        <v>44504</v>
      </c>
      <c r="C888" s="609" t="s">
        <v>2699</v>
      </c>
      <c r="D888" s="330" t="s">
        <v>2816</v>
      </c>
      <c r="E888" s="330" t="s">
        <v>2698</v>
      </c>
      <c r="F888" s="123" t="s">
        <v>2694</v>
      </c>
      <c r="G888" s="126" t="s">
        <v>2264</v>
      </c>
      <c r="H888" s="45">
        <v>900000</v>
      </c>
      <c r="I888" s="377" t="s">
        <v>2697</v>
      </c>
      <c r="J888" s="301">
        <v>44524</v>
      </c>
      <c r="K888" s="577">
        <f>H888</f>
        <v>900000</v>
      </c>
      <c r="L888" s="577">
        <v>438750</v>
      </c>
      <c r="M888" s="576">
        <v>19316</v>
      </c>
      <c r="N888" s="28">
        <f t="shared" ref="N888:N898" si="189">K888*1%</f>
        <v>9000</v>
      </c>
      <c r="O888" s="28">
        <f t="shared" ref="O888:O898" si="190">K888*2%</f>
        <v>18000</v>
      </c>
      <c r="P888" s="576">
        <v>432934</v>
      </c>
      <c r="Q888" s="28">
        <f t="shared" si="184"/>
        <v>0</v>
      </c>
      <c r="R888" s="474">
        <v>44510</v>
      </c>
      <c r="S888" s="474">
        <v>44538</v>
      </c>
      <c r="T888" s="199">
        <v>14</v>
      </c>
      <c r="U888" s="24">
        <f t="shared" si="185"/>
        <v>44538</v>
      </c>
      <c r="V888"/>
      <c r="W888"/>
      <c r="X888"/>
      <c r="Y888"/>
      <c r="Z888"/>
      <c r="AA888"/>
      <c r="AB888"/>
      <c r="AC888"/>
      <c r="AD888"/>
      <c r="AE888"/>
      <c r="AF888"/>
      <c r="AG888"/>
      <c r="AH888"/>
      <c r="AI888"/>
      <c r="AJ888"/>
      <c r="AK888"/>
      <c r="AL888"/>
      <c r="AM888"/>
      <c r="AN888"/>
      <c r="AO888"/>
      <c r="AP888"/>
      <c r="AQ888"/>
    </row>
    <row r="889" spans="1:43" s="10" customFormat="1" ht="15.75" customHeight="1" x14ac:dyDescent="0.25">
      <c r="A889" s="55">
        <f t="shared" si="186"/>
        <v>8</v>
      </c>
      <c r="B889" s="79">
        <v>44508</v>
      </c>
      <c r="C889" s="330"/>
      <c r="D889" s="330" t="s">
        <v>2817</v>
      </c>
      <c r="E889" s="330" t="s">
        <v>2702</v>
      </c>
      <c r="F889" s="123" t="s">
        <v>2694</v>
      </c>
      <c r="G889" s="126" t="s">
        <v>2701</v>
      </c>
      <c r="H889" s="45">
        <v>1100000</v>
      </c>
      <c r="I889" s="377" t="s">
        <v>2700</v>
      </c>
      <c r="J889" s="301">
        <v>44524</v>
      </c>
      <c r="K889" s="577">
        <f t="shared" ref="K889:K905" si="191">H889</f>
        <v>1100000</v>
      </c>
      <c r="L889" s="460"/>
      <c r="M889" s="460">
        <v>19442</v>
      </c>
      <c r="N889" s="28">
        <f t="shared" si="189"/>
        <v>11000</v>
      </c>
      <c r="O889" s="28">
        <f t="shared" si="190"/>
        <v>22000</v>
      </c>
      <c r="P889" s="460">
        <v>1069558</v>
      </c>
      <c r="Q889" s="28">
        <f t="shared" si="184"/>
        <v>0</v>
      </c>
      <c r="R889" s="743"/>
      <c r="S889" s="474">
        <v>44538</v>
      </c>
      <c r="T889" s="199">
        <v>14</v>
      </c>
      <c r="U889" s="24">
        <f t="shared" si="185"/>
        <v>44538</v>
      </c>
      <c r="V889" s="5"/>
      <c r="W889"/>
      <c r="X889"/>
      <c r="Y889"/>
      <c r="Z889"/>
      <c r="AA889"/>
      <c r="AB889"/>
      <c r="AC889"/>
      <c r="AD889"/>
      <c r="AE889"/>
      <c r="AF889"/>
      <c r="AG889"/>
      <c r="AH889"/>
      <c r="AI889"/>
      <c r="AJ889"/>
      <c r="AK889"/>
      <c r="AL889"/>
      <c r="AM889"/>
      <c r="AN889"/>
      <c r="AO889"/>
      <c r="AP889"/>
      <c r="AQ889"/>
    </row>
    <row r="890" spans="1:43" s="10" customFormat="1" ht="15.75" customHeight="1" x14ac:dyDescent="0.25">
      <c r="A890" s="55">
        <f t="shared" si="186"/>
        <v>9</v>
      </c>
      <c r="B890" s="79">
        <v>44512</v>
      </c>
      <c r="C890" s="330" t="s">
        <v>2706</v>
      </c>
      <c r="D890" s="330" t="s">
        <v>2818</v>
      </c>
      <c r="E890" s="330" t="s">
        <v>2705</v>
      </c>
      <c r="F890" s="123" t="s">
        <v>2694</v>
      </c>
      <c r="G890" s="126" t="s">
        <v>2704</v>
      </c>
      <c r="H890" s="45">
        <v>800000</v>
      </c>
      <c r="I890" s="377" t="s">
        <v>2703</v>
      </c>
      <c r="J890" s="301">
        <v>44524</v>
      </c>
      <c r="K890" s="577">
        <f t="shared" si="191"/>
        <v>800000</v>
      </c>
      <c r="L890" s="460"/>
      <c r="M890" s="460">
        <v>14140</v>
      </c>
      <c r="N890" s="28">
        <f t="shared" si="189"/>
        <v>8000</v>
      </c>
      <c r="O890" s="28">
        <f t="shared" si="190"/>
        <v>16000</v>
      </c>
      <c r="P890" s="460">
        <v>777860</v>
      </c>
      <c r="Q890" s="28">
        <f t="shared" si="184"/>
        <v>0</v>
      </c>
      <c r="R890" s="743"/>
      <c r="S890" s="474">
        <v>44538</v>
      </c>
      <c r="T890" s="199">
        <v>14</v>
      </c>
      <c r="U890" s="24">
        <f t="shared" si="185"/>
        <v>44538</v>
      </c>
      <c r="V890" s="5"/>
      <c r="W890"/>
      <c r="X890"/>
      <c r="Y890"/>
      <c r="Z890"/>
      <c r="AA890"/>
      <c r="AB890"/>
      <c r="AC890"/>
      <c r="AD890"/>
      <c r="AE890"/>
      <c r="AF890"/>
      <c r="AG890"/>
      <c r="AH890"/>
      <c r="AI890"/>
      <c r="AJ890"/>
      <c r="AK890"/>
      <c r="AL890"/>
      <c r="AM890"/>
      <c r="AN890"/>
      <c r="AO890"/>
      <c r="AP890"/>
      <c r="AQ890"/>
    </row>
    <row r="891" spans="1:43" s="10" customFormat="1" ht="15.75" customHeight="1" x14ac:dyDescent="0.25">
      <c r="A891" s="55">
        <f t="shared" si="186"/>
        <v>10</v>
      </c>
      <c r="B891" s="79">
        <v>44510</v>
      </c>
      <c r="C891" s="330" t="s">
        <v>2710</v>
      </c>
      <c r="D891" s="330" t="s">
        <v>2819</v>
      </c>
      <c r="E891" s="330" t="s">
        <v>2709</v>
      </c>
      <c r="F891" s="123" t="s">
        <v>2694</v>
      </c>
      <c r="G891" s="126" t="s">
        <v>2708</v>
      </c>
      <c r="H891" s="45">
        <v>800000</v>
      </c>
      <c r="I891" s="377" t="s">
        <v>2707</v>
      </c>
      <c r="J891" s="301">
        <v>44524</v>
      </c>
      <c r="K891" s="577">
        <f t="shared" si="191"/>
        <v>800000</v>
      </c>
      <c r="L891" s="460"/>
      <c r="M891" s="460">
        <v>14140</v>
      </c>
      <c r="N891" s="28">
        <f t="shared" si="189"/>
        <v>8000</v>
      </c>
      <c r="O891" s="28">
        <f t="shared" si="190"/>
        <v>16000</v>
      </c>
      <c r="P891" s="460">
        <v>777860</v>
      </c>
      <c r="Q891" s="28">
        <f t="shared" si="184"/>
        <v>0</v>
      </c>
      <c r="R891" s="743"/>
      <c r="S891" s="474">
        <v>44538</v>
      </c>
      <c r="T891" s="199">
        <v>14</v>
      </c>
      <c r="U891" s="24">
        <f t="shared" si="185"/>
        <v>44538</v>
      </c>
      <c r="V891" s="5"/>
      <c r="W891"/>
      <c r="X891"/>
      <c r="Y891"/>
      <c r="Z891"/>
      <c r="AA891"/>
      <c r="AB891"/>
      <c r="AC891"/>
      <c r="AD891"/>
      <c r="AE891"/>
      <c r="AF891"/>
      <c r="AG891"/>
      <c r="AH891"/>
      <c r="AI891"/>
      <c r="AJ891"/>
      <c r="AK891"/>
      <c r="AL891"/>
      <c r="AM891"/>
      <c r="AN891"/>
      <c r="AO891"/>
      <c r="AP891"/>
      <c r="AQ891"/>
    </row>
    <row r="892" spans="1:43" s="10" customFormat="1" ht="15.75" customHeight="1" x14ac:dyDescent="0.25">
      <c r="A892" s="55">
        <f t="shared" si="186"/>
        <v>11</v>
      </c>
      <c r="B892" s="79">
        <v>44517</v>
      </c>
      <c r="C892" s="330" t="s">
        <v>2714</v>
      </c>
      <c r="D892" s="330" t="s">
        <v>2820</v>
      </c>
      <c r="E892" s="330" t="s">
        <v>2713</v>
      </c>
      <c r="F892" s="123" t="s">
        <v>2694</v>
      </c>
      <c r="G892" s="126" t="s">
        <v>2712</v>
      </c>
      <c r="H892" s="45">
        <v>800000</v>
      </c>
      <c r="I892" s="377" t="s">
        <v>2711</v>
      </c>
      <c r="J892" s="301">
        <v>44524</v>
      </c>
      <c r="K892" s="577">
        <f t="shared" si="191"/>
        <v>800000</v>
      </c>
      <c r="L892" s="460"/>
      <c r="M892" s="459">
        <v>26140</v>
      </c>
      <c r="N892" s="28">
        <f t="shared" si="189"/>
        <v>8000</v>
      </c>
      <c r="O892" s="28">
        <f t="shared" si="190"/>
        <v>16000</v>
      </c>
      <c r="P892" s="459">
        <v>765860</v>
      </c>
      <c r="Q892" s="28">
        <f t="shared" si="184"/>
        <v>0</v>
      </c>
      <c r="R892" s="743"/>
      <c r="S892" s="474">
        <v>44538</v>
      </c>
      <c r="T892" s="199">
        <v>14</v>
      </c>
      <c r="U892" s="24">
        <f t="shared" si="185"/>
        <v>44538</v>
      </c>
      <c r="V892" s="5"/>
      <c r="W892"/>
      <c r="X892"/>
      <c r="Y892"/>
      <c r="Z892"/>
      <c r="AA892"/>
      <c r="AB892"/>
      <c r="AC892"/>
      <c r="AD892"/>
      <c r="AE892"/>
      <c r="AF892"/>
      <c r="AG892"/>
      <c r="AH892"/>
      <c r="AI892"/>
      <c r="AJ892"/>
      <c r="AK892"/>
      <c r="AL892"/>
      <c r="AM892"/>
      <c r="AN892"/>
      <c r="AO892"/>
      <c r="AP892"/>
      <c r="AQ892"/>
    </row>
    <row r="893" spans="1:43" s="10" customFormat="1" ht="15.75" customHeight="1" x14ac:dyDescent="0.25">
      <c r="A893" s="55">
        <f t="shared" si="186"/>
        <v>12</v>
      </c>
      <c r="B893" s="56">
        <v>44518</v>
      </c>
      <c r="C893" s="58" t="s">
        <v>2717</v>
      </c>
      <c r="D893" s="58" t="s">
        <v>2821</v>
      </c>
      <c r="E893" s="58" t="s">
        <v>2716</v>
      </c>
      <c r="F893" s="123" t="s">
        <v>2694</v>
      </c>
      <c r="G893" s="334" t="s">
        <v>1548</v>
      </c>
      <c r="H893" s="45">
        <v>800000</v>
      </c>
      <c r="I893" s="380" t="s">
        <v>2715</v>
      </c>
      <c r="J893" s="301">
        <v>44524</v>
      </c>
      <c r="K893" s="577">
        <f t="shared" si="191"/>
        <v>800000</v>
      </c>
      <c r="L893" s="460"/>
      <c r="M893" s="459">
        <v>26140</v>
      </c>
      <c r="N893" s="28">
        <f t="shared" si="189"/>
        <v>8000</v>
      </c>
      <c r="O893" s="28">
        <f t="shared" si="190"/>
        <v>16000</v>
      </c>
      <c r="P893" s="459">
        <v>765860</v>
      </c>
      <c r="Q893" s="28">
        <f t="shared" si="184"/>
        <v>0</v>
      </c>
      <c r="R893" s="743"/>
      <c r="S893" s="474">
        <v>44538</v>
      </c>
      <c r="T893" s="199">
        <v>14</v>
      </c>
      <c r="U893" s="24">
        <f t="shared" si="185"/>
        <v>44538</v>
      </c>
      <c r="V893" s="5"/>
      <c r="W893"/>
      <c r="X893"/>
      <c r="Y893"/>
      <c r="Z893"/>
      <c r="AA893"/>
      <c r="AB893"/>
      <c r="AC893"/>
      <c r="AD893"/>
      <c r="AE893"/>
      <c r="AF893"/>
      <c r="AG893"/>
      <c r="AH893"/>
      <c r="AI893"/>
      <c r="AJ893"/>
      <c r="AK893"/>
      <c r="AL893"/>
      <c r="AM893"/>
      <c r="AN893"/>
      <c r="AO893"/>
      <c r="AP893"/>
      <c r="AQ893"/>
    </row>
    <row r="894" spans="1:43" s="10" customFormat="1" ht="15.75" customHeight="1" x14ac:dyDescent="0.25">
      <c r="A894" s="55">
        <f t="shared" si="186"/>
        <v>13</v>
      </c>
      <c r="B894" s="56">
        <v>44517</v>
      </c>
      <c r="C894" s="58" t="s">
        <v>2720</v>
      </c>
      <c r="D894" s="58" t="s">
        <v>2822</v>
      </c>
      <c r="E894" s="58" t="s">
        <v>2719</v>
      </c>
      <c r="F894" s="123" t="s">
        <v>2694</v>
      </c>
      <c r="G894" s="334" t="s">
        <v>2704</v>
      </c>
      <c r="H894" s="45">
        <v>900000</v>
      </c>
      <c r="I894" s="380" t="s">
        <v>2718</v>
      </c>
      <c r="J894" s="301">
        <v>44524</v>
      </c>
      <c r="K894" s="577">
        <f t="shared" si="191"/>
        <v>900000</v>
      </c>
      <c r="L894" s="577"/>
      <c r="M894" s="576">
        <v>27907</v>
      </c>
      <c r="N894" s="28">
        <f t="shared" si="189"/>
        <v>9000</v>
      </c>
      <c r="O894" s="28">
        <f t="shared" si="190"/>
        <v>18000</v>
      </c>
      <c r="P894" s="576">
        <v>863093</v>
      </c>
      <c r="Q894" s="28">
        <f t="shared" si="184"/>
        <v>0</v>
      </c>
      <c r="R894" s="743"/>
      <c r="S894" s="474">
        <v>44538</v>
      </c>
      <c r="T894" s="199">
        <v>14</v>
      </c>
      <c r="U894" s="24">
        <f t="shared" si="185"/>
        <v>44538</v>
      </c>
      <c r="V894" s="7"/>
      <c r="W894"/>
      <c r="X894"/>
      <c r="Y894"/>
      <c r="Z894"/>
      <c r="AA894"/>
      <c r="AB894"/>
      <c r="AC894"/>
      <c r="AD894"/>
      <c r="AE894"/>
      <c r="AF894"/>
      <c r="AG894"/>
      <c r="AH894"/>
      <c r="AI894"/>
      <c r="AJ894"/>
      <c r="AK894"/>
      <c r="AL894"/>
      <c r="AM894"/>
      <c r="AN894"/>
      <c r="AO894"/>
      <c r="AP894"/>
      <c r="AQ894"/>
    </row>
    <row r="895" spans="1:43" s="10" customFormat="1" ht="15.75" customHeight="1" x14ac:dyDescent="0.25">
      <c r="A895" s="55">
        <f t="shared" si="186"/>
        <v>14</v>
      </c>
      <c r="B895" s="56">
        <v>44516</v>
      </c>
      <c r="C895" s="58" t="s">
        <v>2722</v>
      </c>
      <c r="D895" s="58" t="s">
        <v>2823</v>
      </c>
      <c r="E895" s="58" t="s">
        <v>3301</v>
      </c>
      <c r="F895" s="123" t="s">
        <v>2694</v>
      </c>
      <c r="G895" s="334" t="s">
        <v>2264</v>
      </c>
      <c r="H895" s="45">
        <v>1400000</v>
      </c>
      <c r="I895" s="380" t="s">
        <v>2721</v>
      </c>
      <c r="J895" s="301">
        <v>44524</v>
      </c>
      <c r="K895" s="577">
        <f t="shared" si="191"/>
        <v>1400000</v>
      </c>
      <c r="L895" s="577"/>
      <c r="M895" s="576">
        <v>44745</v>
      </c>
      <c r="N895" s="28">
        <f t="shared" si="189"/>
        <v>14000</v>
      </c>
      <c r="O895" s="28">
        <f t="shared" si="190"/>
        <v>28000</v>
      </c>
      <c r="P895" s="576">
        <v>1341255</v>
      </c>
      <c r="Q895" s="28">
        <f t="shared" si="184"/>
        <v>0</v>
      </c>
      <c r="R895" s="743"/>
      <c r="S895" s="474">
        <v>44538</v>
      </c>
      <c r="T895" s="199">
        <v>14</v>
      </c>
      <c r="U895" s="24">
        <f t="shared" si="185"/>
        <v>44538</v>
      </c>
      <c r="V895" s="7"/>
      <c r="W895"/>
      <c r="X895"/>
      <c r="Y895"/>
      <c r="Z895"/>
      <c r="AA895"/>
      <c r="AB895"/>
      <c r="AC895"/>
      <c r="AD895"/>
      <c r="AE895"/>
      <c r="AF895"/>
      <c r="AG895"/>
      <c r="AH895"/>
      <c r="AI895"/>
      <c r="AJ895"/>
      <c r="AK895"/>
      <c r="AL895"/>
      <c r="AM895"/>
      <c r="AN895"/>
      <c r="AO895"/>
      <c r="AP895"/>
      <c r="AQ895"/>
    </row>
    <row r="896" spans="1:43" s="10" customFormat="1" ht="15.75" customHeight="1" x14ac:dyDescent="0.25">
      <c r="A896" s="55">
        <f t="shared" si="186"/>
        <v>15</v>
      </c>
      <c r="B896" s="56">
        <v>44523</v>
      </c>
      <c r="C896" s="58">
        <v>403467</v>
      </c>
      <c r="D896" s="58"/>
      <c r="E896" s="58"/>
      <c r="F896" s="69" t="s">
        <v>279</v>
      </c>
      <c r="G896" s="334" t="s">
        <v>417</v>
      </c>
      <c r="H896" s="45">
        <v>1980198</v>
      </c>
      <c r="I896" s="380" t="s">
        <v>2723</v>
      </c>
      <c r="J896" s="301">
        <v>44525</v>
      </c>
      <c r="K896" s="577">
        <f t="shared" si="191"/>
        <v>1980198</v>
      </c>
      <c r="L896" s="577"/>
      <c r="M896" s="576"/>
      <c r="N896" s="28">
        <f t="shared" si="189"/>
        <v>19801.98</v>
      </c>
      <c r="O896" s="28">
        <f t="shared" si="190"/>
        <v>39603.96</v>
      </c>
      <c r="P896" s="576">
        <v>1960396.02</v>
      </c>
      <c r="Q896" s="28">
        <f t="shared" si="184"/>
        <v>0</v>
      </c>
      <c r="R896" s="199"/>
      <c r="S896" s="197">
        <v>44553</v>
      </c>
      <c r="T896" s="199">
        <v>30</v>
      </c>
      <c r="U896" s="24">
        <f t="shared" si="185"/>
        <v>44555</v>
      </c>
      <c r="V896" s="7"/>
      <c r="W896"/>
      <c r="X896"/>
      <c r="Y896"/>
      <c r="Z896"/>
      <c r="AA896"/>
      <c r="AB896"/>
      <c r="AC896"/>
      <c r="AD896"/>
      <c r="AE896"/>
      <c r="AF896"/>
      <c r="AG896"/>
      <c r="AH896"/>
      <c r="AI896"/>
      <c r="AJ896"/>
      <c r="AK896"/>
      <c r="AL896"/>
      <c r="AM896"/>
      <c r="AN896"/>
      <c r="AO896"/>
      <c r="AP896"/>
      <c r="AQ896"/>
    </row>
    <row r="897" spans="1:43" s="10" customFormat="1" ht="15.75" customHeight="1" x14ac:dyDescent="0.25">
      <c r="A897" s="55">
        <f t="shared" si="186"/>
        <v>16</v>
      </c>
      <c r="B897" s="56">
        <v>44517</v>
      </c>
      <c r="C897" s="58">
        <v>402275</v>
      </c>
      <c r="D897" s="58"/>
      <c r="E897" s="58"/>
      <c r="F897" s="69" t="s">
        <v>279</v>
      </c>
      <c r="G897" s="334" t="s">
        <v>417</v>
      </c>
      <c r="H897" s="45">
        <v>1980198</v>
      </c>
      <c r="I897" s="380" t="s">
        <v>2724</v>
      </c>
      <c r="J897" s="301">
        <v>44525</v>
      </c>
      <c r="K897" s="577">
        <f t="shared" si="191"/>
        <v>1980198</v>
      </c>
      <c r="L897" s="577"/>
      <c r="M897" s="576"/>
      <c r="N897" s="28">
        <f t="shared" si="189"/>
        <v>19801.98</v>
      </c>
      <c r="O897" s="28">
        <f t="shared" si="190"/>
        <v>39603.96</v>
      </c>
      <c r="P897" s="576">
        <v>1960396.02</v>
      </c>
      <c r="Q897" s="28">
        <f t="shared" si="184"/>
        <v>0</v>
      </c>
      <c r="R897" s="199"/>
      <c r="S897" s="197">
        <v>44553</v>
      </c>
      <c r="T897" s="199">
        <v>30</v>
      </c>
      <c r="U897" s="24">
        <f t="shared" si="185"/>
        <v>44555</v>
      </c>
      <c r="V897" s="7"/>
      <c r="W897"/>
      <c r="X897"/>
      <c r="Y897"/>
      <c r="Z897"/>
      <c r="AA897"/>
      <c r="AB897"/>
      <c r="AC897"/>
      <c r="AD897"/>
      <c r="AE897"/>
      <c r="AF897"/>
      <c r="AG897"/>
      <c r="AH897"/>
      <c r="AI897"/>
      <c r="AJ897"/>
      <c r="AK897"/>
      <c r="AL897"/>
      <c r="AM897"/>
      <c r="AN897"/>
      <c r="AO897"/>
      <c r="AP897"/>
      <c r="AQ897"/>
    </row>
    <row r="898" spans="1:43" s="10" customFormat="1" ht="15.75" customHeight="1" x14ac:dyDescent="0.25">
      <c r="A898" s="55">
        <f t="shared" si="186"/>
        <v>17</v>
      </c>
      <c r="B898" s="56">
        <v>44519</v>
      </c>
      <c r="C898" s="58">
        <v>402277</v>
      </c>
      <c r="D898" s="58"/>
      <c r="E898" s="58"/>
      <c r="F898" s="69" t="s">
        <v>279</v>
      </c>
      <c r="G898" s="334" t="s">
        <v>417</v>
      </c>
      <c r="H898" s="45">
        <v>1881188</v>
      </c>
      <c r="I898" s="380" t="s">
        <v>2725</v>
      </c>
      <c r="J898" s="301">
        <v>44525</v>
      </c>
      <c r="K898" s="577">
        <f t="shared" si="191"/>
        <v>1881188</v>
      </c>
      <c r="L898" s="577"/>
      <c r="M898" s="576"/>
      <c r="N898" s="28">
        <f t="shared" si="189"/>
        <v>18811.88</v>
      </c>
      <c r="O898" s="28">
        <f t="shared" si="190"/>
        <v>37623.760000000002</v>
      </c>
      <c r="P898" s="576">
        <v>1862376.1199999999</v>
      </c>
      <c r="Q898" s="28">
        <f t="shared" si="184"/>
        <v>1.127773430198431E-10</v>
      </c>
      <c r="R898" s="199"/>
      <c r="S898" s="197">
        <v>44553</v>
      </c>
      <c r="T898" s="199">
        <v>30</v>
      </c>
      <c r="U898" s="24">
        <f t="shared" si="185"/>
        <v>44555</v>
      </c>
      <c r="V898" s="7"/>
      <c r="W898"/>
      <c r="X898"/>
      <c r="Y898"/>
      <c r="Z898"/>
      <c r="AA898"/>
      <c r="AB898"/>
      <c r="AC898"/>
      <c r="AD898"/>
      <c r="AE898"/>
      <c r="AF898"/>
      <c r="AG898"/>
      <c r="AH898"/>
      <c r="AI898"/>
      <c r="AJ898"/>
      <c r="AK898"/>
      <c r="AL898"/>
      <c r="AM898"/>
      <c r="AN898"/>
      <c r="AO898"/>
      <c r="AP898"/>
      <c r="AQ898"/>
    </row>
    <row r="899" spans="1:43" s="10" customFormat="1" ht="15.75" customHeight="1" x14ac:dyDescent="0.25">
      <c r="A899" s="55">
        <f t="shared" si="186"/>
        <v>18</v>
      </c>
      <c r="B899" s="56">
        <v>44520</v>
      </c>
      <c r="C899" s="58">
        <v>403669</v>
      </c>
      <c r="D899" s="58" t="s">
        <v>2728</v>
      </c>
      <c r="E899" s="58"/>
      <c r="F899" s="53" t="s">
        <v>553</v>
      </c>
      <c r="G899" s="334" t="s">
        <v>2727</v>
      </c>
      <c r="H899" s="45">
        <v>5600000</v>
      </c>
      <c r="I899" s="380" t="s">
        <v>2726</v>
      </c>
      <c r="J899" s="301">
        <v>44525</v>
      </c>
      <c r="K899" s="577">
        <f t="shared" si="191"/>
        <v>5600000</v>
      </c>
      <c r="L899" s="577"/>
      <c r="M899" s="576"/>
      <c r="N899" s="28">
        <f t="shared" ref="N899" si="192">K899*1%</f>
        <v>56000</v>
      </c>
      <c r="O899" s="28">
        <f t="shared" ref="O899" si="193">K899*2%</f>
        <v>112000</v>
      </c>
      <c r="P899" s="582">
        <v>5544000</v>
      </c>
      <c r="Q899" s="28">
        <f t="shared" si="184"/>
        <v>0</v>
      </c>
      <c r="R899" s="199"/>
      <c r="S899" s="197">
        <v>44547</v>
      </c>
      <c r="T899" s="199">
        <v>14</v>
      </c>
      <c r="U899" s="24">
        <f t="shared" si="185"/>
        <v>44539</v>
      </c>
      <c r="V899" s="7"/>
      <c r="W899"/>
      <c r="X899"/>
      <c r="Y899"/>
      <c r="Z899"/>
      <c r="AA899"/>
      <c r="AB899"/>
      <c r="AC899"/>
      <c r="AD899"/>
      <c r="AE899"/>
      <c r="AF899"/>
      <c r="AG899"/>
      <c r="AH899"/>
      <c r="AI899"/>
      <c r="AJ899"/>
      <c r="AK899"/>
      <c r="AL899"/>
      <c r="AM899"/>
      <c r="AN899"/>
      <c r="AO899"/>
      <c r="AP899"/>
      <c r="AQ899"/>
    </row>
    <row r="900" spans="1:43" s="10" customFormat="1" ht="15.75" customHeight="1" x14ac:dyDescent="0.25">
      <c r="A900" s="55">
        <f t="shared" si="186"/>
        <v>19</v>
      </c>
      <c r="B900" s="56">
        <v>44506</v>
      </c>
      <c r="C900" s="58"/>
      <c r="D900" s="58"/>
      <c r="E900" s="58"/>
      <c r="F900" s="123" t="s">
        <v>1195</v>
      </c>
      <c r="G900" s="334" t="s">
        <v>2732</v>
      </c>
      <c r="H900" s="45">
        <v>56150000</v>
      </c>
      <c r="I900" s="380" t="s">
        <v>2731</v>
      </c>
      <c r="J900" s="301">
        <v>44525</v>
      </c>
      <c r="K900" s="577">
        <f t="shared" si="191"/>
        <v>56150000</v>
      </c>
      <c r="L900" s="577"/>
      <c r="M900" s="576"/>
      <c r="N900" s="28">
        <f t="shared" ref="N900:N905" si="194">H900*1%</f>
        <v>561500</v>
      </c>
      <c r="O900" s="28">
        <f t="shared" ref="O900:O905" si="195">K900*2%</f>
        <v>1123000</v>
      </c>
      <c r="P900" s="576">
        <v>55588500</v>
      </c>
      <c r="Q900" s="28">
        <f>K900-L900-M900-O900-P900+N900</f>
        <v>0</v>
      </c>
      <c r="R900" s="199"/>
      <c r="S900" s="197">
        <v>44559</v>
      </c>
      <c r="T900" s="199">
        <v>14</v>
      </c>
      <c r="U900" s="24">
        <f t="shared" si="185"/>
        <v>44539</v>
      </c>
      <c r="V900" s="7"/>
      <c r="W900"/>
      <c r="X900"/>
      <c r="Y900"/>
      <c r="Z900"/>
      <c r="AA900"/>
      <c r="AB900"/>
      <c r="AC900"/>
      <c r="AD900"/>
      <c r="AE900"/>
      <c r="AF900"/>
      <c r="AG900"/>
      <c r="AH900"/>
      <c r="AI900"/>
      <c r="AJ900"/>
      <c r="AK900"/>
      <c r="AL900"/>
      <c r="AM900"/>
      <c r="AN900"/>
      <c r="AO900"/>
      <c r="AP900"/>
      <c r="AQ900"/>
    </row>
    <row r="901" spans="1:43" s="10" customFormat="1" ht="15.75" customHeight="1" x14ac:dyDescent="0.25">
      <c r="A901" s="55">
        <f t="shared" si="186"/>
        <v>20</v>
      </c>
      <c r="B901" s="56">
        <v>44510</v>
      </c>
      <c r="C901" s="58"/>
      <c r="D901" s="58"/>
      <c r="E901" s="58"/>
      <c r="F901" s="123" t="s">
        <v>2736</v>
      </c>
      <c r="G901" s="334" t="s">
        <v>190</v>
      </c>
      <c r="H901" s="45">
        <v>177155515</v>
      </c>
      <c r="I901" s="380" t="s">
        <v>2735</v>
      </c>
      <c r="J901" s="301">
        <v>44527</v>
      </c>
      <c r="K901" s="577">
        <f t="shared" si="191"/>
        <v>177155515</v>
      </c>
      <c r="L901" s="577"/>
      <c r="M901" s="576">
        <v>3221008.8499999885</v>
      </c>
      <c r="N901" s="28">
        <f t="shared" si="194"/>
        <v>1771555.1500000001</v>
      </c>
      <c r="O901" s="28">
        <f t="shared" si="195"/>
        <v>3543110.3000000003</v>
      </c>
      <c r="P901" s="576">
        <v>172162951</v>
      </c>
      <c r="Q901" s="28">
        <f t="shared" si="184"/>
        <v>-5.8207660913467407E-9</v>
      </c>
      <c r="R901" s="199"/>
      <c r="S901" s="197"/>
      <c r="T901" s="199">
        <v>30</v>
      </c>
      <c r="U901" s="24">
        <f t="shared" si="185"/>
        <v>44557</v>
      </c>
      <c r="V901" s="7"/>
      <c r="W901"/>
      <c r="X901"/>
      <c r="Y901"/>
      <c r="Z901"/>
      <c r="AA901"/>
      <c r="AB901"/>
      <c r="AC901"/>
      <c r="AD901"/>
      <c r="AE901"/>
      <c r="AF901"/>
      <c r="AG901"/>
      <c r="AH901"/>
      <c r="AI901"/>
      <c r="AJ901"/>
      <c r="AK901"/>
      <c r="AL901"/>
      <c r="AM901"/>
      <c r="AN901"/>
      <c r="AO901"/>
      <c r="AP901"/>
      <c r="AQ901"/>
    </row>
    <row r="902" spans="1:43" s="10" customFormat="1" ht="15.75" customHeight="1" x14ac:dyDescent="0.25">
      <c r="A902" s="55">
        <f t="shared" si="186"/>
        <v>21</v>
      </c>
      <c r="B902" s="56">
        <v>44501</v>
      </c>
      <c r="C902" s="58"/>
      <c r="D902" s="58"/>
      <c r="E902" s="58"/>
      <c r="F902" s="123" t="s">
        <v>1195</v>
      </c>
      <c r="G902" s="334" t="s">
        <v>2898</v>
      </c>
      <c r="H902" s="45">
        <v>98576877</v>
      </c>
      <c r="I902" s="380" t="s">
        <v>2897</v>
      </c>
      <c r="J902" s="301">
        <v>44536</v>
      </c>
      <c r="K902" s="577">
        <f t="shared" si="191"/>
        <v>98576877</v>
      </c>
      <c r="L902" s="577"/>
      <c r="M902" s="576"/>
      <c r="N902" s="28">
        <f t="shared" si="194"/>
        <v>985768.77</v>
      </c>
      <c r="O902" s="28">
        <f t="shared" si="195"/>
        <v>1971537.54</v>
      </c>
      <c r="P902" s="576">
        <v>97591108.229999989</v>
      </c>
      <c r="Q902" s="28">
        <f>K902-L902-M902-O902-P902+N902</f>
        <v>4.1909515857696533E-9</v>
      </c>
      <c r="R902" s="199"/>
      <c r="S902" s="197">
        <v>44557</v>
      </c>
      <c r="T902" s="199">
        <v>14</v>
      </c>
      <c r="U902" s="24">
        <f t="shared" si="185"/>
        <v>44550</v>
      </c>
      <c r="V902" s="7"/>
      <c r="W902"/>
      <c r="X902"/>
      <c r="Y902"/>
      <c r="Z902"/>
      <c r="AA902"/>
      <c r="AB902"/>
      <c r="AC902"/>
      <c r="AD902"/>
      <c r="AE902"/>
      <c r="AF902"/>
      <c r="AG902"/>
      <c r="AH902"/>
      <c r="AI902"/>
      <c r="AJ902"/>
      <c r="AK902"/>
      <c r="AL902"/>
      <c r="AM902"/>
      <c r="AN902"/>
      <c r="AO902"/>
      <c r="AP902"/>
      <c r="AQ902"/>
    </row>
    <row r="903" spans="1:43" s="10" customFormat="1" ht="15.75" customHeight="1" x14ac:dyDescent="0.25">
      <c r="A903" s="55">
        <f t="shared" si="186"/>
        <v>22</v>
      </c>
      <c r="B903" s="56">
        <v>44512</v>
      </c>
      <c r="C903" s="58" t="s">
        <v>2906</v>
      </c>
      <c r="D903" s="58" t="s">
        <v>2907</v>
      </c>
      <c r="E903" s="58" t="s">
        <v>2905</v>
      </c>
      <c r="F903" s="123" t="s">
        <v>2694</v>
      </c>
      <c r="G903" s="334" t="s">
        <v>2704</v>
      </c>
      <c r="H903" s="45">
        <v>900000</v>
      </c>
      <c r="I903" s="380" t="s">
        <v>2904</v>
      </c>
      <c r="J903" s="301">
        <v>44539</v>
      </c>
      <c r="K903" s="577">
        <f t="shared" si="191"/>
        <v>900000</v>
      </c>
      <c r="L903" s="577"/>
      <c r="M903" s="576">
        <v>27592</v>
      </c>
      <c r="N903" s="28">
        <f t="shared" si="194"/>
        <v>9000</v>
      </c>
      <c r="O903" s="28">
        <f t="shared" si="195"/>
        <v>18000</v>
      </c>
      <c r="P903" s="576">
        <v>863408</v>
      </c>
      <c r="Q903" s="28">
        <f t="shared" si="184"/>
        <v>0</v>
      </c>
      <c r="R903" s="743"/>
      <c r="S903" s="474">
        <v>44558</v>
      </c>
      <c r="T903" s="199">
        <v>14</v>
      </c>
      <c r="U903" s="24">
        <f t="shared" si="185"/>
        <v>44553</v>
      </c>
      <c r="V903" s="7"/>
      <c r="W903"/>
      <c r="X903"/>
      <c r="Y903"/>
      <c r="Z903"/>
      <c r="AA903"/>
      <c r="AB903"/>
      <c r="AC903"/>
      <c r="AD903"/>
      <c r="AE903"/>
      <c r="AF903"/>
      <c r="AG903"/>
      <c r="AH903"/>
      <c r="AI903"/>
      <c r="AJ903"/>
      <c r="AK903"/>
      <c r="AL903"/>
      <c r="AM903"/>
      <c r="AN903"/>
      <c r="AO903"/>
      <c r="AP903"/>
      <c r="AQ903"/>
    </row>
    <row r="904" spans="1:43" s="10" customFormat="1" ht="15.75" customHeight="1" x14ac:dyDescent="0.25">
      <c r="A904" s="55">
        <f t="shared" si="186"/>
        <v>23</v>
      </c>
      <c r="B904" s="56">
        <v>44513</v>
      </c>
      <c r="C904" s="58" t="s">
        <v>2909</v>
      </c>
      <c r="D904" s="58" t="s">
        <v>2910</v>
      </c>
      <c r="E904" s="58" t="s">
        <v>2911</v>
      </c>
      <c r="F904" s="123" t="s">
        <v>2694</v>
      </c>
      <c r="G904" s="334" t="s">
        <v>582</v>
      </c>
      <c r="H904" s="45">
        <v>3200000</v>
      </c>
      <c r="I904" s="380" t="s">
        <v>2908</v>
      </c>
      <c r="J904" s="301">
        <v>44539</v>
      </c>
      <c r="K904" s="577">
        <f t="shared" si="191"/>
        <v>3200000</v>
      </c>
      <c r="L904" s="577"/>
      <c r="M904" s="576"/>
      <c r="N904" s="28">
        <f t="shared" si="194"/>
        <v>32000</v>
      </c>
      <c r="O904" s="28">
        <f t="shared" si="195"/>
        <v>64000</v>
      </c>
      <c r="P904" s="576"/>
      <c r="Q904" s="28">
        <f t="shared" si="184"/>
        <v>3168000</v>
      </c>
      <c r="R904" s="743"/>
      <c r="S904" s="474"/>
      <c r="T904" s="199">
        <v>14</v>
      </c>
      <c r="U904" s="24">
        <f t="shared" si="185"/>
        <v>44553</v>
      </c>
      <c r="V904" s="7"/>
      <c r="W904"/>
      <c r="X904"/>
      <c r="Y904"/>
      <c r="Z904"/>
      <c r="AA904"/>
      <c r="AB904"/>
      <c r="AC904"/>
      <c r="AD904"/>
      <c r="AE904"/>
      <c r="AF904"/>
      <c r="AG904"/>
      <c r="AH904"/>
      <c r="AI904"/>
      <c r="AJ904"/>
      <c r="AK904"/>
      <c r="AL904"/>
      <c r="AM904"/>
      <c r="AN904"/>
      <c r="AO904"/>
      <c r="AP904"/>
      <c r="AQ904"/>
    </row>
    <row r="905" spans="1:43" s="10" customFormat="1" ht="15.75" customHeight="1" x14ac:dyDescent="0.25">
      <c r="A905" s="55">
        <f t="shared" si="186"/>
        <v>24</v>
      </c>
      <c r="B905" s="56">
        <v>44521</v>
      </c>
      <c r="C905" s="58" t="s">
        <v>2913</v>
      </c>
      <c r="D905" s="58" t="s">
        <v>2914</v>
      </c>
      <c r="E905" s="58" t="s">
        <v>2915</v>
      </c>
      <c r="F905" s="123" t="s">
        <v>2694</v>
      </c>
      <c r="G905" s="334" t="s">
        <v>2005</v>
      </c>
      <c r="H905" s="45">
        <v>1500000</v>
      </c>
      <c r="I905" s="380" t="s">
        <v>2912</v>
      </c>
      <c r="J905" s="301">
        <v>44539</v>
      </c>
      <c r="K905" s="577">
        <f t="shared" si="191"/>
        <v>1500000</v>
      </c>
      <c r="L905" s="577"/>
      <c r="M905" s="576">
        <v>45987</v>
      </c>
      <c r="N905" s="28">
        <f t="shared" si="194"/>
        <v>15000</v>
      </c>
      <c r="O905" s="28">
        <f t="shared" si="195"/>
        <v>30000</v>
      </c>
      <c r="P905" s="576">
        <v>1439013</v>
      </c>
      <c r="Q905" s="28">
        <f t="shared" si="184"/>
        <v>0</v>
      </c>
      <c r="R905" s="743"/>
      <c r="S905" s="474">
        <v>44554</v>
      </c>
      <c r="T905" s="199">
        <v>14</v>
      </c>
      <c r="U905" s="24">
        <f t="shared" si="185"/>
        <v>44553</v>
      </c>
      <c r="V905" s="7"/>
      <c r="W905"/>
      <c r="X905"/>
      <c r="Y905"/>
      <c r="Z905"/>
      <c r="AA905"/>
      <c r="AB905"/>
      <c r="AC905"/>
      <c r="AD905"/>
      <c r="AE905"/>
      <c r="AF905"/>
      <c r="AG905"/>
      <c r="AH905"/>
      <c r="AI905"/>
      <c r="AJ905"/>
      <c r="AK905"/>
      <c r="AL905"/>
      <c r="AM905"/>
      <c r="AN905"/>
      <c r="AO905"/>
      <c r="AP905"/>
      <c r="AQ905"/>
    </row>
    <row r="906" spans="1:43" s="10" customFormat="1" ht="15.75" customHeight="1" x14ac:dyDescent="0.25">
      <c r="A906" s="55">
        <f t="shared" si="186"/>
        <v>25</v>
      </c>
      <c r="B906" s="470">
        <v>44523</v>
      </c>
      <c r="C906" s="448" t="s">
        <v>2995</v>
      </c>
      <c r="D906" s="448">
        <v>406</v>
      </c>
      <c r="E906" s="58" t="s">
        <v>2994</v>
      </c>
      <c r="F906" s="123" t="s">
        <v>2694</v>
      </c>
      <c r="G906" s="334" t="s">
        <v>2993</v>
      </c>
      <c r="H906" s="45">
        <v>1500000</v>
      </c>
      <c r="I906" s="380" t="s">
        <v>2992</v>
      </c>
      <c r="J906" s="507">
        <v>44541</v>
      </c>
      <c r="K906" s="719">
        <f t="shared" ref="K906:K921" si="196">H906</f>
        <v>1500000</v>
      </c>
      <c r="L906" s="719"/>
      <c r="M906" s="718">
        <v>46250</v>
      </c>
      <c r="N906" s="718">
        <f>K906*1%</f>
        <v>15000</v>
      </c>
      <c r="O906" s="718">
        <f>K906*2%</f>
        <v>30000</v>
      </c>
      <c r="P906" s="718">
        <v>1438750</v>
      </c>
      <c r="Q906" s="28">
        <f t="shared" ref="Q906:Q917" si="197">K906-L906-M906-O906-P906+N906</f>
        <v>0</v>
      </c>
      <c r="R906" s="743"/>
      <c r="S906" s="474">
        <v>44554</v>
      </c>
      <c r="T906" s="199">
        <v>14</v>
      </c>
      <c r="U906" s="24">
        <f t="shared" si="185"/>
        <v>44555</v>
      </c>
      <c r="V906"/>
      <c r="W906"/>
      <c r="X906"/>
      <c r="Y906"/>
      <c r="Z906"/>
      <c r="AA906"/>
      <c r="AB906"/>
      <c r="AC906"/>
      <c r="AD906"/>
      <c r="AE906"/>
      <c r="AF906"/>
      <c r="AG906"/>
      <c r="AH906"/>
      <c r="AI906"/>
      <c r="AJ906"/>
      <c r="AK906"/>
      <c r="AL906"/>
      <c r="AM906"/>
      <c r="AN906"/>
      <c r="AO906"/>
      <c r="AP906"/>
      <c r="AQ906"/>
    </row>
    <row r="907" spans="1:43" s="10" customFormat="1" ht="15.75" customHeight="1" x14ac:dyDescent="0.25">
      <c r="A907" s="55">
        <f t="shared" si="186"/>
        <v>26</v>
      </c>
      <c r="B907" s="470">
        <v>44510</v>
      </c>
      <c r="C907" s="448" t="s">
        <v>2998</v>
      </c>
      <c r="D907" s="448">
        <v>257</v>
      </c>
      <c r="E907" s="58" t="s">
        <v>2997</v>
      </c>
      <c r="F907" s="123" t="s">
        <v>2694</v>
      </c>
      <c r="G907" s="334" t="s">
        <v>417</v>
      </c>
      <c r="H907" s="45">
        <v>1700000</v>
      </c>
      <c r="I907" s="380" t="s">
        <v>2996</v>
      </c>
      <c r="J907" s="507">
        <v>44541</v>
      </c>
      <c r="K907" s="719">
        <f t="shared" si="196"/>
        <v>1700000</v>
      </c>
      <c r="L907" s="719">
        <v>818061</v>
      </c>
      <c r="M907" s="718"/>
      <c r="N907" s="718">
        <f>K907*1%</f>
        <v>17000</v>
      </c>
      <c r="O907" s="718">
        <f>K907*2%</f>
        <v>34000</v>
      </c>
      <c r="P907" s="718"/>
      <c r="Q907" s="28">
        <f t="shared" si="197"/>
        <v>864939</v>
      </c>
      <c r="R907" s="474">
        <v>44554</v>
      </c>
      <c r="S907" s="474"/>
      <c r="T907" s="199">
        <v>14</v>
      </c>
      <c r="U907" s="24">
        <f t="shared" si="185"/>
        <v>44555</v>
      </c>
      <c r="V907"/>
      <c r="W907"/>
      <c r="X907"/>
      <c r="Y907"/>
      <c r="Z907"/>
      <c r="AA907"/>
      <c r="AB907"/>
      <c r="AC907"/>
      <c r="AD907"/>
      <c r="AE907"/>
      <c r="AF907"/>
      <c r="AG907"/>
      <c r="AH907"/>
      <c r="AI907"/>
      <c r="AJ907"/>
      <c r="AK907"/>
      <c r="AL907"/>
      <c r="AM907"/>
      <c r="AN907"/>
      <c r="AO907"/>
      <c r="AP907"/>
      <c r="AQ907"/>
    </row>
    <row r="908" spans="1:43" s="10" customFormat="1" ht="15.75" customHeight="1" x14ac:dyDescent="0.25">
      <c r="A908" s="55">
        <f t="shared" si="186"/>
        <v>27</v>
      </c>
      <c r="B908" s="470">
        <v>44525</v>
      </c>
      <c r="C908" s="448" t="s">
        <v>3002</v>
      </c>
      <c r="D908" s="448">
        <v>432</v>
      </c>
      <c r="E908" s="58" t="s">
        <v>3001</v>
      </c>
      <c r="F908" s="123" t="s">
        <v>2694</v>
      </c>
      <c r="G908" s="334" t="s">
        <v>3000</v>
      </c>
      <c r="H908" s="45">
        <v>1100000</v>
      </c>
      <c r="I908" s="380" t="s">
        <v>2999</v>
      </c>
      <c r="J908" s="507">
        <v>44541</v>
      </c>
      <c r="K908" s="719">
        <f t="shared" si="196"/>
        <v>1100000</v>
      </c>
      <c r="L908" s="719"/>
      <c r="M908" s="718">
        <v>39057</v>
      </c>
      <c r="N908" s="718">
        <f>K908*1%</f>
        <v>11000</v>
      </c>
      <c r="O908" s="718">
        <f>K908*2%</f>
        <v>22000</v>
      </c>
      <c r="P908" s="718">
        <v>1049943</v>
      </c>
      <c r="Q908" s="28">
        <f t="shared" si="197"/>
        <v>0</v>
      </c>
      <c r="R908" s="167"/>
      <c r="S908" s="474">
        <v>44554</v>
      </c>
      <c r="T908" s="199">
        <v>14</v>
      </c>
      <c r="U908" s="24">
        <f t="shared" si="185"/>
        <v>44555</v>
      </c>
      <c r="V908"/>
      <c r="W908"/>
      <c r="X908"/>
      <c r="Y908"/>
      <c r="Z908"/>
      <c r="AA908"/>
      <c r="AB908"/>
      <c r="AC908"/>
      <c r="AD908"/>
      <c r="AE908"/>
      <c r="AF908"/>
      <c r="AG908"/>
      <c r="AH908"/>
      <c r="AI908"/>
      <c r="AJ908"/>
      <c r="AK908"/>
      <c r="AL908"/>
      <c r="AM908"/>
      <c r="AN908"/>
      <c r="AO908"/>
      <c r="AP908"/>
      <c r="AQ908"/>
    </row>
    <row r="909" spans="1:43" s="10" customFormat="1" ht="15.75" customHeight="1" x14ac:dyDescent="0.25">
      <c r="A909" s="55">
        <f t="shared" si="186"/>
        <v>28</v>
      </c>
      <c r="B909" s="470">
        <v>44519</v>
      </c>
      <c r="C909" s="448" t="s">
        <v>3005</v>
      </c>
      <c r="D909" s="448">
        <v>395</v>
      </c>
      <c r="E909" s="58" t="s">
        <v>3004</v>
      </c>
      <c r="F909" s="123" t="s">
        <v>2694</v>
      </c>
      <c r="G909" s="334" t="s">
        <v>417</v>
      </c>
      <c r="H909" s="45">
        <v>1500000</v>
      </c>
      <c r="I909" s="380" t="s">
        <v>3003</v>
      </c>
      <c r="J909" s="514">
        <v>44541</v>
      </c>
      <c r="K909" s="719">
        <f t="shared" si="196"/>
        <v>1500000</v>
      </c>
      <c r="L909" s="719"/>
      <c r="M909" s="718">
        <v>45987</v>
      </c>
      <c r="N909" s="718">
        <f>K909*1%</f>
        <v>15000</v>
      </c>
      <c r="O909" s="718">
        <f>K909*2%</f>
        <v>30000</v>
      </c>
      <c r="P909" s="718">
        <v>1439013</v>
      </c>
      <c r="Q909" s="28">
        <f t="shared" si="197"/>
        <v>0</v>
      </c>
      <c r="R909" s="743"/>
      <c r="S909" s="474">
        <v>44554</v>
      </c>
      <c r="T909" s="199">
        <v>14</v>
      </c>
      <c r="U909" s="24">
        <f t="shared" si="185"/>
        <v>44555</v>
      </c>
      <c r="V909"/>
      <c r="W909"/>
      <c r="X909"/>
      <c r="Y909"/>
      <c r="Z909"/>
      <c r="AA909"/>
      <c r="AB909"/>
      <c r="AC909"/>
      <c r="AD909"/>
      <c r="AE909"/>
      <c r="AF909"/>
      <c r="AG909"/>
      <c r="AH909"/>
      <c r="AI909"/>
      <c r="AJ909"/>
      <c r="AK909"/>
      <c r="AL909"/>
      <c r="AM909"/>
      <c r="AN909"/>
      <c r="AO909"/>
      <c r="AP909"/>
      <c r="AQ909"/>
    </row>
    <row r="910" spans="1:43" s="10" customFormat="1" ht="15.75" customHeight="1" x14ac:dyDescent="0.25">
      <c r="A910" s="55">
        <f t="shared" si="186"/>
        <v>29</v>
      </c>
      <c r="B910" s="470">
        <v>44526</v>
      </c>
      <c r="C910" s="448" t="s">
        <v>3008</v>
      </c>
      <c r="D910" s="448">
        <v>447</v>
      </c>
      <c r="E910" s="58" t="s">
        <v>3007</v>
      </c>
      <c r="F910" s="123" t="s">
        <v>2694</v>
      </c>
      <c r="G910" s="334" t="s">
        <v>582</v>
      </c>
      <c r="H910" s="45">
        <v>3000000</v>
      </c>
      <c r="I910" s="380" t="s">
        <v>3006</v>
      </c>
      <c r="J910" s="514">
        <v>44541</v>
      </c>
      <c r="K910" s="719">
        <f t="shared" si="196"/>
        <v>3000000</v>
      </c>
      <c r="L910" s="719"/>
      <c r="M910" s="718"/>
      <c r="N910" s="718"/>
      <c r="O910" s="718"/>
      <c r="P910" s="718"/>
      <c r="Q910" s="28">
        <f t="shared" si="197"/>
        <v>3000000</v>
      </c>
      <c r="R910" s="474"/>
      <c r="S910" s="474"/>
      <c r="T910" s="199">
        <v>14</v>
      </c>
      <c r="U910" s="24">
        <f t="shared" si="185"/>
        <v>44555</v>
      </c>
      <c r="V910"/>
      <c r="W910"/>
      <c r="X910"/>
      <c r="Y910"/>
      <c r="Z910"/>
      <c r="AA910"/>
      <c r="AB910"/>
      <c r="AC910"/>
      <c r="AD910"/>
      <c r="AE910"/>
      <c r="AF910"/>
      <c r="AG910"/>
      <c r="AH910"/>
      <c r="AI910"/>
      <c r="AJ910"/>
      <c r="AK910"/>
      <c r="AL910"/>
      <c r="AM910"/>
      <c r="AN910"/>
      <c r="AO910"/>
      <c r="AP910"/>
      <c r="AQ910"/>
    </row>
    <row r="911" spans="1:43" s="10" customFormat="1" ht="15.75" customHeight="1" x14ac:dyDescent="0.25">
      <c r="A911" s="55">
        <f t="shared" si="186"/>
        <v>30</v>
      </c>
      <c r="B911" s="470">
        <v>44526</v>
      </c>
      <c r="C911" s="448" t="s">
        <v>3011</v>
      </c>
      <c r="D911" s="448">
        <v>446</v>
      </c>
      <c r="E911" s="58" t="s">
        <v>3010</v>
      </c>
      <c r="F911" s="123" t="s">
        <v>2694</v>
      </c>
      <c r="G911" s="334" t="s">
        <v>582</v>
      </c>
      <c r="H911" s="45">
        <v>3900000</v>
      </c>
      <c r="I911" s="380" t="s">
        <v>3009</v>
      </c>
      <c r="J911" s="514">
        <v>44541</v>
      </c>
      <c r="K911" s="719">
        <f t="shared" si="196"/>
        <v>3900000</v>
      </c>
      <c r="L911" s="870">
        <v>1871250</v>
      </c>
      <c r="M911" s="718">
        <v>112875</v>
      </c>
      <c r="N911" s="718">
        <f t="shared" ref="N911:N916" si="198">K911*1%</f>
        <v>39000</v>
      </c>
      <c r="O911" s="718">
        <f t="shared" ref="O911:O916" si="199">K911*2%</f>
        <v>78000</v>
      </c>
      <c r="P911" s="870">
        <v>1876875</v>
      </c>
      <c r="Q911" s="28">
        <f t="shared" si="197"/>
        <v>0</v>
      </c>
      <c r="R911" s="474">
        <v>44529</v>
      </c>
      <c r="S911" s="474">
        <v>44554</v>
      </c>
      <c r="T911" s="199">
        <v>14</v>
      </c>
      <c r="U911" s="24">
        <f t="shared" si="185"/>
        <v>44555</v>
      </c>
      <c r="V911"/>
      <c r="W911"/>
      <c r="X911"/>
      <c r="Y911"/>
      <c r="Z911"/>
      <c r="AA911"/>
      <c r="AB911"/>
      <c r="AC911"/>
      <c r="AD911"/>
      <c r="AE911"/>
      <c r="AF911"/>
      <c r="AG911"/>
      <c r="AH911"/>
      <c r="AI911"/>
      <c r="AJ911"/>
      <c r="AK911"/>
      <c r="AL911"/>
      <c r="AM911"/>
      <c r="AN911"/>
      <c r="AO911"/>
      <c r="AP911"/>
      <c r="AQ911"/>
    </row>
    <row r="912" spans="1:43" s="10" customFormat="1" ht="15.75" customHeight="1" x14ac:dyDescent="0.25">
      <c r="A912" s="55">
        <f t="shared" si="186"/>
        <v>31</v>
      </c>
      <c r="B912" s="470">
        <v>44528</v>
      </c>
      <c r="C912" s="448" t="s">
        <v>3014</v>
      </c>
      <c r="D912" s="448">
        <v>476</v>
      </c>
      <c r="E912" s="58" t="s">
        <v>3013</v>
      </c>
      <c r="F912" s="123" t="s">
        <v>2694</v>
      </c>
      <c r="G912" s="334" t="s">
        <v>2264</v>
      </c>
      <c r="H912" s="45">
        <v>750000</v>
      </c>
      <c r="I912" s="380" t="s">
        <v>3012</v>
      </c>
      <c r="J912" s="514">
        <v>44541</v>
      </c>
      <c r="K912" s="719">
        <f t="shared" si="196"/>
        <v>750000</v>
      </c>
      <c r="L912" s="719"/>
      <c r="M912" s="718">
        <v>24994</v>
      </c>
      <c r="N912" s="718">
        <f t="shared" si="198"/>
        <v>7500</v>
      </c>
      <c r="O912" s="718">
        <f t="shared" si="199"/>
        <v>15000</v>
      </c>
      <c r="P912" s="718">
        <v>717506</v>
      </c>
      <c r="Q912" s="28">
        <f t="shared" si="197"/>
        <v>0</v>
      </c>
      <c r="R912" s="743"/>
      <c r="S912" s="474">
        <v>44554</v>
      </c>
      <c r="T912" s="199">
        <v>14</v>
      </c>
      <c r="U912" s="24">
        <f t="shared" si="185"/>
        <v>44555</v>
      </c>
      <c r="V912"/>
      <c r="W912"/>
      <c r="X912"/>
      <c r="Y912"/>
      <c r="Z912"/>
      <c r="AA912"/>
      <c r="AB912"/>
      <c r="AC912"/>
      <c r="AD912"/>
      <c r="AE912"/>
      <c r="AF912"/>
      <c r="AG912"/>
      <c r="AH912"/>
      <c r="AI912"/>
      <c r="AJ912"/>
      <c r="AK912"/>
      <c r="AL912"/>
      <c r="AM912"/>
      <c r="AN912"/>
      <c r="AO912"/>
      <c r="AP912"/>
      <c r="AQ912"/>
    </row>
    <row r="913" spans="1:43" s="10" customFormat="1" ht="15.75" customHeight="1" x14ac:dyDescent="0.25">
      <c r="A913" s="55">
        <f t="shared" si="186"/>
        <v>32</v>
      </c>
      <c r="B913" s="470">
        <v>44525</v>
      </c>
      <c r="C913" s="448" t="s">
        <v>3017</v>
      </c>
      <c r="D913" s="448">
        <v>431</v>
      </c>
      <c r="E913" s="58" t="s">
        <v>3016</v>
      </c>
      <c r="F913" s="123" t="s">
        <v>2694</v>
      </c>
      <c r="G913" s="334" t="s">
        <v>2264</v>
      </c>
      <c r="H913" s="45">
        <v>900000</v>
      </c>
      <c r="I913" s="380" t="s">
        <v>3015</v>
      </c>
      <c r="J913" s="514">
        <v>44541</v>
      </c>
      <c r="K913" s="719">
        <f t="shared" si="196"/>
        <v>900000</v>
      </c>
      <c r="L913" s="719"/>
      <c r="M913" s="718">
        <v>27592</v>
      </c>
      <c r="N913" s="718">
        <f t="shared" si="198"/>
        <v>9000</v>
      </c>
      <c r="O913" s="718">
        <f t="shared" si="199"/>
        <v>18000</v>
      </c>
      <c r="P913" s="718">
        <v>863408</v>
      </c>
      <c r="Q913" s="28">
        <f t="shared" si="197"/>
        <v>0</v>
      </c>
      <c r="R913" s="743"/>
      <c r="S913" s="474">
        <v>44554</v>
      </c>
      <c r="T913" s="199">
        <v>14</v>
      </c>
      <c r="U913" s="24">
        <f t="shared" si="185"/>
        <v>44555</v>
      </c>
      <c r="V913"/>
      <c r="W913"/>
      <c r="X913"/>
      <c r="Y913"/>
      <c r="Z913"/>
      <c r="AA913"/>
      <c r="AB913"/>
      <c r="AC913"/>
      <c r="AD913"/>
      <c r="AE913"/>
      <c r="AF913"/>
      <c r="AG913"/>
      <c r="AH913"/>
      <c r="AI913"/>
      <c r="AJ913"/>
      <c r="AK913"/>
      <c r="AL913"/>
      <c r="AM913"/>
      <c r="AN913"/>
      <c r="AO913"/>
      <c r="AP913"/>
      <c r="AQ913"/>
    </row>
    <row r="914" spans="1:43" s="10" customFormat="1" ht="15.75" customHeight="1" x14ac:dyDescent="0.25">
      <c r="A914" s="55">
        <f t="shared" si="186"/>
        <v>33</v>
      </c>
      <c r="B914" s="470">
        <v>44526</v>
      </c>
      <c r="C914" s="448" t="s">
        <v>3020</v>
      </c>
      <c r="D914" s="448">
        <v>445</v>
      </c>
      <c r="E914" s="58" t="s">
        <v>3019</v>
      </c>
      <c r="F914" s="123" t="s">
        <v>2694</v>
      </c>
      <c r="G914" s="334" t="s">
        <v>417</v>
      </c>
      <c r="H914" s="45">
        <v>1300000</v>
      </c>
      <c r="I914" s="380" t="s">
        <v>3018</v>
      </c>
      <c r="J914" s="514">
        <v>44541</v>
      </c>
      <c r="K914" s="719">
        <f t="shared" si="196"/>
        <v>1300000</v>
      </c>
      <c r="L914" s="719"/>
      <c r="M914" s="718">
        <v>42977</v>
      </c>
      <c r="N914" s="718">
        <f t="shared" si="198"/>
        <v>13000</v>
      </c>
      <c r="O914" s="718">
        <f t="shared" si="199"/>
        <v>26000</v>
      </c>
      <c r="P914" s="718">
        <v>1244023</v>
      </c>
      <c r="Q914" s="28">
        <f t="shared" si="197"/>
        <v>0</v>
      </c>
      <c r="R914" s="167"/>
      <c r="S914" s="474">
        <v>44554</v>
      </c>
      <c r="T914" s="199">
        <v>14</v>
      </c>
      <c r="U914" s="24">
        <f t="shared" si="185"/>
        <v>44555</v>
      </c>
      <c r="V914"/>
      <c r="W914"/>
      <c r="X914"/>
      <c r="Y914"/>
      <c r="Z914"/>
      <c r="AA914"/>
      <c r="AB914"/>
      <c r="AC914"/>
      <c r="AD914"/>
      <c r="AE914"/>
      <c r="AF914"/>
      <c r="AG914"/>
      <c r="AH914"/>
      <c r="AI914"/>
      <c r="AJ914"/>
      <c r="AK914"/>
      <c r="AL914"/>
      <c r="AM914"/>
      <c r="AN914"/>
      <c r="AO914"/>
      <c r="AP914"/>
      <c r="AQ914"/>
    </row>
    <row r="915" spans="1:43" s="10" customFormat="1" ht="15.75" customHeight="1" x14ac:dyDescent="0.25">
      <c r="A915" s="55">
        <f t="shared" si="186"/>
        <v>34</v>
      </c>
      <c r="B915" s="470">
        <v>44530</v>
      </c>
      <c r="C915" s="448" t="s">
        <v>3024</v>
      </c>
      <c r="D915" s="448">
        <v>498</v>
      </c>
      <c r="E915" s="58" t="s">
        <v>3023</v>
      </c>
      <c r="F915" s="123" t="s">
        <v>2694</v>
      </c>
      <c r="G915" s="334" t="s">
        <v>3022</v>
      </c>
      <c r="H915" s="45">
        <v>800000</v>
      </c>
      <c r="I915" s="380" t="s">
        <v>3021</v>
      </c>
      <c r="J915" s="514">
        <v>44541</v>
      </c>
      <c r="K915" s="719">
        <f t="shared" si="196"/>
        <v>800000</v>
      </c>
      <c r="L915" s="719"/>
      <c r="M915" s="718">
        <v>25860</v>
      </c>
      <c r="N915" s="718">
        <f t="shared" si="198"/>
        <v>8000</v>
      </c>
      <c r="O915" s="718">
        <f t="shared" si="199"/>
        <v>16000</v>
      </c>
      <c r="P915" s="718">
        <v>766140</v>
      </c>
      <c r="Q915" s="28">
        <f t="shared" si="197"/>
        <v>0</v>
      </c>
      <c r="R915" s="743"/>
      <c r="S915" s="474">
        <v>44554</v>
      </c>
      <c r="T915" s="199">
        <v>14</v>
      </c>
      <c r="U915" s="24">
        <f t="shared" si="185"/>
        <v>44555</v>
      </c>
      <c r="V915"/>
      <c r="W915"/>
      <c r="X915"/>
      <c r="Y915"/>
      <c r="Z915"/>
      <c r="AA915"/>
      <c r="AB915"/>
      <c r="AC915"/>
      <c r="AD915"/>
      <c r="AE915"/>
      <c r="AF915"/>
      <c r="AG915"/>
      <c r="AH915"/>
      <c r="AI915"/>
      <c r="AJ915"/>
      <c r="AK915"/>
      <c r="AL915"/>
      <c r="AM915"/>
      <c r="AN915"/>
      <c r="AO915"/>
      <c r="AP915"/>
      <c r="AQ915"/>
    </row>
    <row r="916" spans="1:43" s="10" customFormat="1" ht="15.75" customHeight="1" x14ac:dyDescent="0.25">
      <c r="A916" s="55">
        <f t="shared" si="186"/>
        <v>35</v>
      </c>
      <c r="B916" s="470">
        <v>44530</v>
      </c>
      <c r="C916" s="448" t="s">
        <v>3032</v>
      </c>
      <c r="D916" s="448">
        <v>499</v>
      </c>
      <c r="E916" s="58" t="s">
        <v>3031</v>
      </c>
      <c r="F916" s="123" t="s">
        <v>2694</v>
      </c>
      <c r="G916" s="334" t="s">
        <v>3030</v>
      </c>
      <c r="H916" s="45">
        <v>750000</v>
      </c>
      <c r="I916" s="380" t="s">
        <v>3029</v>
      </c>
      <c r="J916" s="514">
        <v>44541</v>
      </c>
      <c r="K916" s="719">
        <f t="shared" si="196"/>
        <v>750000</v>
      </c>
      <c r="L916" s="719"/>
      <c r="M916" s="718">
        <v>25256</v>
      </c>
      <c r="N916" s="718">
        <f t="shared" si="198"/>
        <v>7500</v>
      </c>
      <c r="O916" s="718">
        <f t="shared" si="199"/>
        <v>15000</v>
      </c>
      <c r="P916" s="718">
        <v>717244</v>
      </c>
      <c r="Q916" s="28">
        <f t="shared" si="197"/>
        <v>0</v>
      </c>
      <c r="R916" s="743"/>
      <c r="S916" s="474">
        <v>44554</v>
      </c>
      <c r="T916" s="199">
        <v>14</v>
      </c>
      <c r="U916" s="24">
        <f t="shared" si="185"/>
        <v>44555</v>
      </c>
      <c r="V916"/>
      <c r="W916"/>
      <c r="X916"/>
      <c r="Y916"/>
      <c r="Z916"/>
      <c r="AA916"/>
      <c r="AB916"/>
      <c r="AC916"/>
      <c r="AD916"/>
      <c r="AE916"/>
      <c r="AF916"/>
      <c r="AG916"/>
      <c r="AH916"/>
      <c r="AI916"/>
      <c r="AJ916"/>
      <c r="AK916"/>
      <c r="AL916"/>
      <c r="AM916"/>
      <c r="AN916"/>
      <c r="AO916"/>
      <c r="AP916"/>
      <c r="AQ916"/>
    </row>
    <row r="917" spans="1:43" s="10" customFormat="1" ht="15.75" customHeight="1" x14ac:dyDescent="0.25">
      <c r="A917" s="55">
        <f t="shared" si="186"/>
        <v>36</v>
      </c>
      <c r="B917" s="470">
        <v>44527</v>
      </c>
      <c r="C917" s="448" t="s">
        <v>3039</v>
      </c>
      <c r="D917" s="448">
        <v>453</v>
      </c>
      <c r="E917" s="58" t="s">
        <v>3038</v>
      </c>
      <c r="F917" s="123" t="s">
        <v>2694</v>
      </c>
      <c r="G917" s="334" t="s">
        <v>3037</v>
      </c>
      <c r="H917" s="45">
        <v>7000000</v>
      </c>
      <c r="I917" s="380" t="s">
        <v>3036</v>
      </c>
      <c r="J917" s="514">
        <v>44541</v>
      </c>
      <c r="K917" s="719">
        <f t="shared" si="196"/>
        <v>7000000</v>
      </c>
      <c r="L917" s="719">
        <v>3500000</v>
      </c>
      <c r="M917" s="718"/>
      <c r="N917" s="718"/>
      <c r="O917" s="718"/>
      <c r="P917" s="718"/>
      <c r="Q917" s="28">
        <f t="shared" si="197"/>
        <v>3500000</v>
      </c>
      <c r="R917" s="474">
        <v>44557</v>
      </c>
      <c r="S917" s="474"/>
      <c r="T917" s="199">
        <v>14</v>
      </c>
      <c r="U917" s="24">
        <f t="shared" si="185"/>
        <v>44555</v>
      </c>
      <c r="V917"/>
      <c r="W917"/>
      <c r="X917"/>
      <c r="Y917"/>
      <c r="Z917"/>
      <c r="AA917"/>
      <c r="AB917"/>
      <c r="AC917"/>
      <c r="AD917"/>
      <c r="AE917"/>
      <c r="AF917"/>
      <c r="AG917"/>
      <c r="AH917"/>
      <c r="AI917"/>
      <c r="AJ917"/>
      <c r="AK917"/>
      <c r="AL917"/>
      <c r="AM917"/>
      <c r="AN917"/>
      <c r="AO917"/>
      <c r="AP917"/>
      <c r="AQ917"/>
    </row>
    <row r="918" spans="1:43" s="10" customFormat="1" ht="15.75" customHeight="1" x14ac:dyDescent="0.25">
      <c r="A918" s="55">
        <f t="shared" si="186"/>
        <v>37</v>
      </c>
      <c r="B918" s="470">
        <v>44514</v>
      </c>
      <c r="C918" s="448"/>
      <c r="D918" s="448"/>
      <c r="E918" s="58" t="s">
        <v>3048</v>
      </c>
      <c r="F918" s="123" t="s">
        <v>2694</v>
      </c>
      <c r="G918" s="334" t="s">
        <v>3047</v>
      </c>
      <c r="H918" s="45">
        <v>1350000</v>
      </c>
      <c r="I918" s="380" t="s">
        <v>3046</v>
      </c>
      <c r="J918" s="514">
        <v>44541</v>
      </c>
      <c r="K918" s="719">
        <f t="shared" si="196"/>
        <v>1350000</v>
      </c>
      <c r="L918" s="719"/>
      <c r="M918" s="718">
        <v>23861</v>
      </c>
      <c r="N918" s="718">
        <f>K918*1%</f>
        <v>13500</v>
      </c>
      <c r="O918" s="718">
        <f>K918*2%</f>
        <v>27000</v>
      </c>
      <c r="P918" s="718">
        <v>1312639</v>
      </c>
      <c r="Q918" s="28">
        <f>K918-L918-M918-O918-P918+N918</f>
        <v>0</v>
      </c>
      <c r="R918" s="743"/>
      <c r="S918" s="474">
        <v>44554</v>
      </c>
      <c r="T918" s="199">
        <v>14</v>
      </c>
      <c r="U918" s="24">
        <f t="shared" si="185"/>
        <v>44555</v>
      </c>
      <c r="V918"/>
      <c r="W918"/>
      <c r="X918"/>
      <c r="Y918"/>
      <c r="Z918"/>
      <c r="AA918"/>
      <c r="AB918"/>
      <c r="AC918"/>
      <c r="AD918"/>
      <c r="AE918"/>
      <c r="AF918"/>
      <c r="AG918"/>
      <c r="AH918"/>
      <c r="AI918"/>
      <c r="AJ918"/>
      <c r="AK918"/>
      <c r="AL918"/>
      <c r="AM918"/>
      <c r="AN918"/>
      <c r="AO918"/>
      <c r="AP918"/>
      <c r="AQ918"/>
    </row>
    <row r="919" spans="1:43" s="10" customFormat="1" ht="15.75" customHeight="1" x14ac:dyDescent="0.25">
      <c r="A919" s="55">
        <f t="shared" si="186"/>
        <v>38</v>
      </c>
      <c r="B919" s="470">
        <v>44501</v>
      </c>
      <c r="C919" s="448">
        <v>403950</v>
      </c>
      <c r="D919" s="448"/>
      <c r="E919" s="58"/>
      <c r="F919" s="123" t="s">
        <v>1195</v>
      </c>
      <c r="G919" s="334" t="s">
        <v>3050</v>
      </c>
      <c r="H919" s="45">
        <v>256155811.31250003</v>
      </c>
      <c r="I919" s="380" t="s">
        <v>3049</v>
      </c>
      <c r="J919" s="514">
        <v>44541</v>
      </c>
      <c r="K919" s="719">
        <f t="shared" si="196"/>
        <v>256155811.31250003</v>
      </c>
      <c r="L919" s="719"/>
      <c r="M919" s="718">
        <v>25615581.131250005</v>
      </c>
      <c r="N919" s="718">
        <v>2305402.3018125002</v>
      </c>
      <c r="O919" s="718">
        <v>4610804.6036250005</v>
      </c>
      <c r="P919" s="718">
        <v>228234827.87943754</v>
      </c>
      <c r="Q919" s="28">
        <f>K919-L919-M919-O919-P919+N919</f>
        <v>0</v>
      </c>
      <c r="R919" s="199"/>
      <c r="S919" s="197">
        <v>44566</v>
      </c>
      <c r="T919" s="199">
        <v>14</v>
      </c>
      <c r="U919" s="24">
        <f t="shared" si="185"/>
        <v>44555</v>
      </c>
      <c r="V919"/>
      <c r="W919"/>
      <c r="X919"/>
      <c r="Y919"/>
      <c r="Z919"/>
      <c r="AA919"/>
      <c r="AB919"/>
      <c r="AC919"/>
      <c r="AD919"/>
      <c r="AE919"/>
      <c r="AF919"/>
      <c r="AG919"/>
      <c r="AH919"/>
      <c r="AI919"/>
      <c r="AJ919"/>
      <c r="AK919"/>
      <c r="AL919"/>
      <c r="AM919"/>
      <c r="AN919"/>
      <c r="AO919"/>
      <c r="AP919"/>
      <c r="AQ919"/>
    </row>
    <row r="920" spans="1:43" s="10" customFormat="1" ht="15.75" customHeight="1" x14ac:dyDescent="0.25">
      <c r="A920" s="55">
        <f t="shared" si="186"/>
        <v>39</v>
      </c>
      <c r="B920" s="470">
        <v>44526</v>
      </c>
      <c r="C920" s="448">
        <v>403675</v>
      </c>
      <c r="D920" s="448" t="s">
        <v>3054</v>
      </c>
      <c r="E920" s="58"/>
      <c r="F920" s="69" t="s">
        <v>279</v>
      </c>
      <c r="G920" s="334" t="s">
        <v>417</v>
      </c>
      <c r="H920" s="45">
        <v>2079208</v>
      </c>
      <c r="I920" s="380" t="s">
        <v>3053</v>
      </c>
      <c r="J920" s="514">
        <v>44543</v>
      </c>
      <c r="K920" s="719">
        <f t="shared" si="196"/>
        <v>2079208</v>
      </c>
      <c r="L920" s="719"/>
      <c r="M920" s="718"/>
      <c r="N920" s="28">
        <f t="shared" ref="N920:N921" si="200">K920*1%</f>
        <v>20792.080000000002</v>
      </c>
      <c r="O920" s="28">
        <f t="shared" ref="O920:O921" si="201">K920*2%</f>
        <v>41584.160000000003</v>
      </c>
      <c r="P920" s="718">
        <v>2058415.9200000002</v>
      </c>
      <c r="Q920" s="28">
        <f t="shared" si="184"/>
        <v>-7.2759576141834259E-11</v>
      </c>
      <c r="R920" s="199"/>
      <c r="S920" s="197">
        <v>44572</v>
      </c>
      <c r="T920" s="199">
        <v>30</v>
      </c>
      <c r="U920" s="24">
        <f t="shared" si="185"/>
        <v>44573</v>
      </c>
      <c r="V920"/>
      <c r="W920"/>
      <c r="X920"/>
      <c r="Y920"/>
      <c r="Z920"/>
      <c r="AA920"/>
      <c r="AB920"/>
      <c r="AC920"/>
      <c r="AD920"/>
      <c r="AE920"/>
      <c r="AF920"/>
      <c r="AG920"/>
      <c r="AH920"/>
      <c r="AI920"/>
      <c r="AJ920"/>
      <c r="AK920"/>
      <c r="AL920"/>
      <c r="AM920"/>
      <c r="AN920"/>
      <c r="AO920"/>
      <c r="AP920"/>
      <c r="AQ920"/>
    </row>
    <row r="921" spans="1:43" s="10" customFormat="1" ht="15.75" customHeight="1" x14ac:dyDescent="0.25">
      <c r="A921" s="55">
        <f t="shared" si="186"/>
        <v>40</v>
      </c>
      <c r="B921" s="470">
        <v>44513</v>
      </c>
      <c r="C921" s="448">
        <v>403472</v>
      </c>
      <c r="D921" s="448" t="s">
        <v>3062</v>
      </c>
      <c r="E921" s="58"/>
      <c r="F921" s="69" t="s">
        <v>279</v>
      </c>
      <c r="G921" s="334" t="s">
        <v>1252</v>
      </c>
      <c r="H921" s="45">
        <v>1188119</v>
      </c>
      <c r="I921" s="380" t="s">
        <v>3063</v>
      </c>
      <c r="J921" s="514">
        <v>44545</v>
      </c>
      <c r="K921" s="719">
        <f t="shared" si="196"/>
        <v>1188119</v>
      </c>
      <c r="L921" s="719"/>
      <c r="M921" s="718"/>
      <c r="N921" s="28">
        <f t="shared" si="200"/>
        <v>11881.19</v>
      </c>
      <c r="O921" s="28">
        <f t="shared" si="201"/>
        <v>23762.38</v>
      </c>
      <c r="P921" s="718">
        <v>1176237.81</v>
      </c>
      <c r="Q921" s="28">
        <f t="shared" si="184"/>
        <v>5.6388671509921551E-11</v>
      </c>
      <c r="R921" s="199"/>
      <c r="S921" s="197">
        <v>44572</v>
      </c>
      <c r="T921" s="199">
        <v>30</v>
      </c>
      <c r="U921" s="24">
        <f t="shared" si="185"/>
        <v>44575</v>
      </c>
      <c r="V921"/>
      <c r="W921"/>
      <c r="X921"/>
      <c r="Y921"/>
      <c r="Z921"/>
      <c r="AA921"/>
      <c r="AB921"/>
      <c r="AC921"/>
      <c r="AD921"/>
      <c r="AE921"/>
      <c r="AF921"/>
      <c r="AG921"/>
      <c r="AH921"/>
      <c r="AI921"/>
      <c r="AJ921"/>
      <c r="AK921"/>
      <c r="AL921"/>
      <c r="AM921"/>
      <c r="AN921"/>
      <c r="AO921"/>
      <c r="AP921"/>
      <c r="AQ921"/>
    </row>
    <row r="922" spans="1:43" s="10" customFormat="1" ht="15.75" customHeight="1" x14ac:dyDescent="0.25">
      <c r="A922" s="55">
        <f t="shared" si="186"/>
        <v>41</v>
      </c>
      <c r="B922" s="470">
        <v>44516</v>
      </c>
      <c r="C922" s="448">
        <v>403213</v>
      </c>
      <c r="D922" s="448"/>
      <c r="E922" s="58"/>
      <c r="F922" s="123" t="s">
        <v>1195</v>
      </c>
      <c r="G922" s="123" t="s">
        <v>3127</v>
      </c>
      <c r="H922" s="45">
        <v>234061700.8125</v>
      </c>
      <c r="I922" s="380" t="s">
        <v>3126</v>
      </c>
      <c r="J922" s="514">
        <v>44547</v>
      </c>
      <c r="K922" s="735">
        <f>H922</f>
        <v>234061700.8125</v>
      </c>
      <c r="L922" s="719"/>
      <c r="M922" s="718">
        <v>23406170.081250001</v>
      </c>
      <c r="N922" s="718">
        <v>2106555.3073124997</v>
      </c>
      <c r="O922" s="718">
        <v>4213110.6146249995</v>
      </c>
      <c r="P922" s="718">
        <v>208548975.42393747</v>
      </c>
      <c r="Q922" s="28">
        <f t="shared" si="184"/>
        <v>1.1175870895385742E-8</v>
      </c>
      <c r="R922" s="199"/>
      <c r="S922" s="197">
        <v>44564</v>
      </c>
      <c r="T922" s="199">
        <v>14</v>
      </c>
      <c r="U922" s="24">
        <f t="shared" si="185"/>
        <v>44561</v>
      </c>
      <c r="V922"/>
      <c r="W922"/>
      <c r="X922"/>
      <c r="Y922"/>
      <c r="Z922"/>
      <c r="AA922"/>
      <c r="AB922"/>
      <c r="AC922"/>
      <c r="AD922"/>
      <c r="AE922"/>
      <c r="AF922"/>
      <c r="AG922"/>
      <c r="AH922"/>
      <c r="AI922"/>
      <c r="AJ922"/>
      <c r="AK922"/>
      <c r="AL922"/>
      <c r="AM922"/>
      <c r="AN922"/>
      <c r="AO922"/>
      <c r="AP922"/>
      <c r="AQ922"/>
    </row>
    <row r="923" spans="1:43" s="10" customFormat="1" ht="15.75" customHeight="1" x14ac:dyDescent="0.25">
      <c r="A923" s="55">
        <f t="shared" si="186"/>
        <v>42</v>
      </c>
      <c r="B923" s="470">
        <v>44521</v>
      </c>
      <c r="C923" s="448">
        <v>404033</v>
      </c>
      <c r="D923" s="448"/>
      <c r="E923" s="58"/>
      <c r="F923" s="123" t="s">
        <v>1195</v>
      </c>
      <c r="G923" s="123" t="s">
        <v>3129</v>
      </c>
      <c r="H923" s="45">
        <v>48825971.25</v>
      </c>
      <c r="I923" s="380" t="s">
        <v>3128</v>
      </c>
      <c r="J923" s="514">
        <v>44551</v>
      </c>
      <c r="K923" s="735">
        <f>H923</f>
        <v>48825971.25</v>
      </c>
      <c r="L923" s="719"/>
      <c r="M923" s="718"/>
      <c r="N923" s="718">
        <v>488259.71250000002</v>
      </c>
      <c r="O923" s="718">
        <v>976519.42500000005</v>
      </c>
      <c r="P923" s="718">
        <v>48337711.537500001</v>
      </c>
      <c r="Q923" s="28">
        <f t="shared" si="184"/>
        <v>1.5133991837501526E-9</v>
      </c>
      <c r="R923" s="199"/>
      <c r="S923" s="197">
        <v>44573</v>
      </c>
      <c r="T923" s="199">
        <v>14</v>
      </c>
      <c r="U923" s="24">
        <f t="shared" si="185"/>
        <v>44565</v>
      </c>
      <c r="V923"/>
      <c r="W923"/>
      <c r="X923"/>
      <c r="Y923"/>
      <c r="Z923"/>
      <c r="AA923"/>
      <c r="AB923"/>
      <c r="AC923"/>
      <c r="AD923"/>
      <c r="AE923"/>
      <c r="AF923"/>
      <c r="AG923"/>
      <c r="AH923"/>
      <c r="AI923"/>
      <c r="AJ923"/>
      <c r="AK923"/>
      <c r="AL923"/>
      <c r="AM923"/>
      <c r="AN923"/>
      <c r="AO923"/>
      <c r="AP923"/>
      <c r="AQ923"/>
    </row>
    <row r="924" spans="1:43" s="10" customFormat="1" ht="15.75" customHeight="1" x14ac:dyDescent="0.25">
      <c r="A924" s="55">
        <f t="shared" si="186"/>
        <v>43</v>
      </c>
      <c r="B924" s="470">
        <v>44501</v>
      </c>
      <c r="C924" s="448">
        <v>402444</v>
      </c>
      <c r="D924" s="448"/>
      <c r="E924" s="58"/>
      <c r="F924" s="123" t="s">
        <v>1195</v>
      </c>
      <c r="G924" s="123" t="s">
        <v>3131</v>
      </c>
      <c r="H924" s="45">
        <v>21586925.5</v>
      </c>
      <c r="I924" s="380" t="s">
        <v>3130</v>
      </c>
      <c r="J924" s="514">
        <v>44551</v>
      </c>
      <c r="K924" s="735">
        <f>H924</f>
        <v>21586925.5</v>
      </c>
      <c r="L924" s="719"/>
      <c r="M924" s="718">
        <v>2158692.5500000003</v>
      </c>
      <c r="N924" s="718">
        <v>194282.32949999999</v>
      </c>
      <c r="O924" s="718">
        <v>388564.65899999999</v>
      </c>
      <c r="P924" s="718">
        <v>19233950.620500002</v>
      </c>
      <c r="Q924" s="28">
        <f t="shared" si="184"/>
        <v>-9.3132257461547852E-10</v>
      </c>
      <c r="R924" s="199"/>
      <c r="S924" s="197">
        <v>44573</v>
      </c>
      <c r="T924" s="199">
        <v>14</v>
      </c>
      <c r="U924" s="24">
        <f t="shared" si="185"/>
        <v>44565</v>
      </c>
      <c r="V924"/>
      <c r="W924"/>
      <c r="X924"/>
      <c r="Y924"/>
      <c r="Z924"/>
      <c r="AA924"/>
      <c r="AB924"/>
      <c r="AC924"/>
      <c r="AD924"/>
      <c r="AE924"/>
      <c r="AF924"/>
      <c r="AG924"/>
      <c r="AH924"/>
      <c r="AI924"/>
      <c r="AJ924"/>
      <c r="AK924"/>
      <c r="AL924"/>
      <c r="AM924"/>
      <c r="AN924"/>
      <c r="AO924"/>
      <c r="AP924"/>
      <c r="AQ924"/>
    </row>
    <row r="925" spans="1:43" s="10" customFormat="1" ht="15.75" customHeight="1" x14ac:dyDescent="0.25">
      <c r="A925" s="55">
        <f t="shared" si="186"/>
        <v>44</v>
      </c>
      <c r="B925" s="470">
        <v>44503</v>
      </c>
      <c r="C925" s="448">
        <v>402321</v>
      </c>
      <c r="D925" s="448"/>
      <c r="E925" s="58"/>
      <c r="F925" s="69" t="s">
        <v>1195</v>
      </c>
      <c r="G925" s="334" t="s">
        <v>3156</v>
      </c>
      <c r="H925" s="45">
        <v>30110580.5</v>
      </c>
      <c r="I925" s="380" t="s">
        <v>3155</v>
      </c>
      <c r="J925" s="514">
        <v>44554</v>
      </c>
      <c r="K925" s="747">
        <f>H925</f>
        <v>30110580.5</v>
      </c>
      <c r="L925" s="747"/>
      <c r="M925" s="746">
        <v>3011058.0500000003</v>
      </c>
      <c r="N925" s="28">
        <v>270995.22450000001</v>
      </c>
      <c r="O925" s="28">
        <v>541990.44900000002</v>
      </c>
      <c r="P925" s="746">
        <v>26828527.225499999</v>
      </c>
      <c r="Q925" s="28">
        <f t="shared" si="184"/>
        <v>-4.6566128730773926E-10</v>
      </c>
      <c r="R925" s="199"/>
      <c r="S925" s="197">
        <v>44573</v>
      </c>
      <c r="T925" s="199">
        <v>14</v>
      </c>
      <c r="U925" s="24">
        <f t="shared" si="185"/>
        <v>44568</v>
      </c>
      <c r="V925"/>
      <c r="W925"/>
      <c r="X925"/>
      <c r="Y925"/>
      <c r="Z925"/>
      <c r="AA925"/>
      <c r="AB925"/>
      <c r="AC925"/>
      <c r="AD925"/>
      <c r="AE925"/>
      <c r="AF925"/>
      <c r="AG925"/>
      <c r="AH925"/>
      <c r="AI925"/>
      <c r="AJ925"/>
      <c r="AK925"/>
      <c r="AL925"/>
      <c r="AM925"/>
      <c r="AN925"/>
      <c r="AO925"/>
      <c r="AP925"/>
      <c r="AQ925"/>
    </row>
    <row r="926" spans="1:43" s="10" customFormat="1" ht="15.75" customHeight="1" x14ac:dyDescent="0.25">
      <c r="A926" s="55">
        <f t="shared" si="186"/>
        <v>45</v>
      </c>
      <c r="B926" s="633">
        <v>44519</v>
      </c>
      <c r="C926" s="755">
        <v>403891</v>
      </c>
      <c r="D926" s="755"/>
      <c r="E926" s="330"/>
      <c r="F926" s="33" t="s">
        <v>1195</v>
      </c>
      <c r="G926" s="404" t="s">
        <v>3537</v>
      </c>
      <c r="H926" s="45">
        <v>10788337</v>
      </c>
      <c r="I926" s="377" t="s">
        <v>3319</v>
      </c>
      <c r="J926" s="772">
        <v>44207</v>
      </c>
      <c r="K926" s="763">
        <f>H926</f>
        <v>10788337</v>
      </c>
      <c r="L926" s="763"/>
      <c r="M926" s="763">
        <v>1078833.7</v>
      </c>
      <c r="N926" s="763">
        <v>97095.03300000001</v>
      </c>
      <c r="O926" s="763">
        <v>194190.06600000002</v>
      </c>
      <c r="P926" s="763">
        <v>9612408.2670000009</v>
      </c>
      <c r="Q926" s="28">
        <f t="shared" si="184"/>
        <v>1.8917489796876907E-10</v>
      </c>
      <c r="R926" s="753"/>
      <c r="S926" s="773">
        <v>44595</v>
      </c>
      <c r="T926" s="199">
        <v>14</v>
      </c>
      <c r="U926" s="24">
        <f t="shared" si="185"/>
        <v>44221</v>
      </c>
      <c r="V926"/>
      <c r="W926"/>
      <c r="X926"/>
      <c r="Y926"/>
      <c r="Z926"/>
      <c r="AA926"/>
      <c r="AB926"/>
      <c r="AC926"/>
      <c r="AD926"/>
      <c r="AE926"/>
      <c r="AF926"/>
      <c r="AG926"/>
      <c r="AH926"/>
      <c r="AI926"/>
      <c r="AJ926"/>
      <c r="AK926"/>
      <c r="AL926"/>
      <c r="AM926"/>
      <c r="AN926"/>
      <c r="AO926"/>
      <c r="AP926"/>
      <c r="AQ926"/>
    </row>
    <row r="927" spans="1:43" s="10" customFormat="1" ht="15.75" customHeight="1" x14ac:dyDescent="0.25">
      <c r="A927" s="55">
        <f>A926+1</f>
        <v>46</v>
      </c>
      <c r="B927" s="633">
        <v>44501</v>
      </c>
      <c r="C927" s="755">
        <v>402445</v>
      </c>
      <c r="D927" s="755"/>
      <c r="E927" s="330"/>
      <c r="F927" s="33" t="s">
        <v>1195</v>
      </c>
      <c r="G927" s="792" t="s">
        <v>3410</v>
      </c>
      <c r="H927" s="45">
        <v>7630744.5</v>
      </c>
      <c r="I927" s="377" t="s">
        <v>3409</v>
      </c>
      <c r="J927" s="772">
        <v>44578</v>
      </c>
      <c r="K927" s="790">
        <f t="shared" ref="K927:K928" si="202">H927</f>
        <v>7630744.5</v>
      </c>
      <c r="L927" s="790"/>
      <c r="M927" s="790">
        <v>763074.45000000007</v>
      </c>
      <c r="N927" s="790">
        <v>68676.700500000006</v>
      </c>
      <c r="O927" s="790">
        <v>137353.40100000001</v>
      </c>
      <c r="P927" s="790">
        <v>6798993.3495000005</v>
      </c>
      <c r="Q927" s="28">
        <f t="shared" si="184"/>
        <v>-2.6193447411060333E-10</v>
      </c>
      <c r="R927" s="753"/>
      <c r="S927" s="773">
        <v>44602</v>
      </c>
      <c r="T927" s="199">
        <v>14</v>
      </c>
      <c r="U927" s="24">
        <f t="shared" si="185"/>
        <v>44592</v>
      </c>
      <c r="V927"/>
      <c r="W927"/>
      <c r="X927"/>
      <c r="Y927"/>
      <c r="Z927"/>
      <c r="AA927"/>
      <c r="AB927"/>
      <c r="AC927"/>
      <c r="AD927"/>
      <c r="AE927"/>
      <c r="AF927"/>
      <c r="AG927"/>
      <c r="AH927"/>
      <c r="AI927"/>
      <c r="AJ927"/>
      <c r="AK927"/>
      <c r="AL927"/>
      <c r="AM927"/>
      <c r="AN927"/>
      <c r="AO927"/>
      <c r="AP927"/>
      <c r="AQ927"/>
    </row>
    <row r="928" spans="1:43" s="10" customFormat="1" ht="15.75" customHeight="1" x14ac:dyDescent="0.25">
      <c r="A928" s="55">
        <f t="shared" si="186"/>
        <v>47</v>
      </c>
      <c r="B928" s="633">
        <v>44504</v>
      </c>
      <c r="C928" s="755">
        <v>402330</v>
      </c>
      <c r="D928" s="755"/>
      <c r="E928" s="330"/>
      <c r="F928" s="33" t="s">
        <v>1195</v>
      </c>
      <c r="G928" s="404" t="s">
        <v>3412</v>
      </c>
      <c r="H928" s="45">
        <v>4660250</v>
      </c>
      <c r="I928" s="377" t="s">
        <v>3411</v>
      </c>
      <c r="J928" s="772">
        <v>44578</v>
      </c>
      <c r="K928" s="790">
        <f t="shared" si="202"/>
        <v>4660250</v>
      </c>
      <c r="L928" s="790"/>
      <c r="M928" s="790">
        <v>466025</v>
      </c>
      <c r="N928" s="790">
        <v>41942.25</v>
      </c>
      <c r="O928" s="790">
        <v>83884.5</v>
      </c>
      <c r="P928" s="790">
        <v>4152282.75</v>
      </c>
      <c r="Q928" s="28">
        <f t="shared" si="184"/>
        <v>0</v>
      </c>
      <c r="R928" s="753"/>
      <c r="S928" s="773">
        <v>44589</v>
      </c>
      <c r="T928" s="199">
        <v>14</v>
      </c>
      <c r="U928" s="24">
        <f t="shared" si="185"/>
        <v>44592</v>
      </c>
      <c r="V928"/>
      <c r="W928"/>
      <c r="X928"/>
      <c r="Y928"/>
      <c r="Z928"/>
      <c r="AA928"/>
      <c r="AB928"/>
      <c r="AC928"/>
      <c r="AD928"/>
      <c r="AE928"/>
      <c r="AF928"/>
      <c r="AG928"/>
      <c r="AH928"/>
      <c r="AI928"/>
      <c r="AJ928"/>
      <c r="AK928"/>
      <c r="AL928"/>
      <c r="AM928"/>
      <c r="AN928"/>
      <c r="AO928"/>
      <c r="AP928"/>
      <c r="AQ928"/>
    </row>
    <row r="929" spans="1:43" s="10" customFormat="1" ht="15.75" customHeight="1" x14ac:dyDescent="0.25">
      <c r="A929" s="55">
        <f t="shared" si="186"/>
        <v>48</v>
      </c>
      <c r="B929" s="633">
        <v>44518</v>
      </c>
      <c r="C929" s="755">
        <v>403887</v>
      </c>
      <c r="D929" s="756"/>
      <c r="E929" s="330"/>
      <c r="F929" s="33" t="s">
        <v>1195</v>
      </c>
      <c r="G929" s="404" t="s">
        <v>3494</v>
      </c>
      <c r="H929" s="45">
        <v>1200000</v>
      </c>
      <c r="I929" s="377" t="s">
        <v>3493</v>
      </c>
      <c r="J929" s="774">
        <v>44581</v>
      </c>
      <c r="K929" s="812">
        <f>H929</f>
        <v>1200000</v>
      </c>
      <c r="L929" s="812"/>
      <c r="M929" s="812">
        <v>120000</v>
      </c>
      <c r="N929" s="28">
        <v>10800</v>
      </c>
      <c r="O929" s="28">
        <v>21600</v>
      </c>
      <c r="P929" s="812">
        <v>1069200</v>
      </c>
      <c r="Q929" s="28">
        <f t="shared" si="184"/>
        <v>0</v>
      </c>
      <c r="R929" s="301"/>
      <c r="S929" s="301">
        <v>44608</v>
      </c>
      <c r="T929" s="199">
        <v>14</v>
      </c>
      <c r="U929" s="24">
        <f t="shared" ref="U929" si="203">J929+T929</f>
        <v>44595</v>
      </c>
      <c r="V929" s="5"/>
      <c r="W929"/>
      <c r="X929"/>
      <c r="Y929"/>
      <c r="Z929"/>
      <c r="AA929"/>
      <c r="AB929"/>
      <c r="AC929"/>
      <c r="AD929"/>
      <c r="AE929"/>
      <c r="AF929"/>
      <c r="AG929"/>
      <c r="AH929"/>
      <c r="AI929"/>
      <c r="AJ929"/>
      <c r="AK929"/>
      <c r="AL929"/>
      <c r="AM929"/>
      <c r="AN929"/>
      <c r="AO929"/>
      <c r="AP929"/>
      <c r="AQ929"/>
    </row>
    <row r="930" spans="1:43" s="10" customFormat="1" ht="15.75" customHeight="1" x14ac:dyDescent="0.25">
      <c r="A930" s="55"/>
      <c r="B930" s="633">
        <v>44517</v>
      </c>
      <c r="C930" s="755">
        <v>403880</v>
      </c>
      <c r="D930" s="756"/>
      <c r="E930" s="330"/>
      <c r="F930" s="33" t="s">
        <v>1195</v>
      </c>
      <c r="G930" s="404" t="s">
        <v>3591</v>
      </c>
      <c r="H930" s="45">
        <v>9502360</v>
      </c>
      <c r="I930" s="377" t="s">
        <v>3590</v>
      </c>
      <c r="J930" s="774">
        <v>44596</v>
      </c>
      <c r="K930" s="821">
        <f>H930</f>
        <v>9502360</v>
      </c>
      <c r="L930" s="821"/>
      <c r="M930" s="821">
        <v>950236</v>
      </c>
      <c r="N930" s="28">
        <v>85521.24</v>
      </c>
      <c r="O930" s="28">
        <v>171042.48</v>
      </c>
      <c r="P930" s="821">
        <v>8466602.7599999998</v>
      </c>
      <c r="Q930" s="28">
        <f t="shared" si="184"/>
        <v>-2.1827872842550278E-10</v>
      </c>
      <c r="R930" s="301"/>
      <c r="S930" s="301">
        <v>44613</v>
      </c>
      <c r="T930" s="199">
        <v>14</v>
      </c>
      <c r="U930" s="24">
        <f t="shared" ref="U930" si="204">J930+T930</f>
        <v>44610</v>
      </c>
      <c r="V930" s="5"/>
      <c r="W930"/>
      <c r="X930"/>
      <c r="Y930"/>
      <c r="Z930"/>
      <c r="AA930"/>
      <c r="AB930"/>
      <c r="AC930"/>
      <c r="AD930"/>
      <c r="AE930"/>
      <c r="AF930"/>
      <c r="AG930"/>
      <c r="AH930"/>
      <c r="AI930"/>
      <c r="AJ930"/>
      <c r="AK930"/>
      <c r="AL930"/>
      <c r="AM930"/>
      <c r="AN930"/>
      <c r="AO930"/>
      <c r="AP930"/>
      <c r="AQ930"/>
    </row>
    <row r="931" spans="1:43" s="10" customFormat="1" ht="15.75" customHeight="1" x14ac:dyDescent="0.25">
      <c r="A931" s="55">
        <f>A929+1</f>
        <v>49</v>
      </c>
      <c r="B931" s="470">
        <v>44502</v>
      </c>
      <c r="C931" s="448" t="s">
        <v>2344</v>
      </c>
      <c r="D931" s="332"/>
      <c r="E931" s="58"/>
      <c r="F931" s="123" t="s">
        <v>2343</v>
      </c>
      <c r="G931" s="334" t="s">
        <v>161</v>
      </c>
      <c r="H931" s="45">
        <v>850000</v>
      </c>
      <c r="I931" s="380" t="s">
        <v>2342</v>
      </c>
      <c r="J931" s="507">
        <v>44502</v>
      </c>
      <c r="K931" s="460">
        <f t="shared" ref="K931:K989" si="205">H931</f>
        <v>850000</v>
      </c>
      <c r="L931" s="460"/>
      <c r="M931" s="459"/>
      <c r="N931" s="459"/>
      <c r="O931" s="459"/>
      <c r="P931" s="459">
        <v>850000</v>
      </c>
      <c r="Q931" s="28">
        <f t="shared" si="184"/>
        <v>0</v>
      </c>
      <c r="R931" s="199"/>
      <c r="S931" s="197">
        <v>44503</v>
      </c>
      <c r="T931" s="199">
        <v>14</v>
      </c>
      <c r="U931" s="24">
        <f t="shared" si="185"/>
        <v>44516</v>
      </c>
      <c r="V931"/>
      <c r="W931"/>
      <c r="X931"/>
      <c r="Y931"/>
      <c r="Z931"/>
      <c r="AA931"/>
      <c r="AB931"/>
      <c r="AC931"/>
      <c r="AD931"/>
      <c r="AE931"/>
      <c r="AF931"/>
      <c r="AG931"/>
      <c r="AH931"/>
      <c r="AI931"/>
      <c r="AJ931"/>
      <c r="AK931"/>
      <c r="AL931"/>
      <c r="AM931"/>
      <c r="AN931"/>
      <c r="AO931"/>
      <c r="AP931"/>
      <c r="AQ931"/>
    </row>
    <row r="932" spans="1:43" s="10" customFormat="1" ht="15.75" customHeight="1" x14ac:dyDescent="0.25">
      <c r="A932" s="55">
        <f t="shared" si="186"/>
        <v>50</v>
      </c>
      <c r="B932" s="470">
        <v>44502</v>
      </c>
      <c r="C932" s="448"/>
      <c r="D932" s="332"/>
      <c r="E932" s="58"/>
      <c r="F932" s="123" t="s">
        <v>2351</v>
      </c>
      <c r="G932" s="334" t="s">
        <v>1193</v>
      </c>
      <c r="H932" s="45">
        <v>3850000</v>
      </c>
      <c r="I932" s="380" t="s">
        <v>2350</v>
      </c>
      <c r="J932" s="507">
        <v>44502</v>
      </c>
      <c r="K932" s="460">
        <f t="shared" si="205"/>
        <v>3850000</v>
      </c>
      <c r="L932" s="460"/>
      <c r="M932" s="459"/>
      <c r="N932" s="459"/>
      <c r="O932" s="459"/>
      <c r="P932" s="459">
        <v>3850000</v>
      </c>
      <c r="Q932" s="28">
        <f t="shared" si="184"/>
        <v>0</v>
      </c>
      <c r="R932" s="199"/>
      <c r="S932" s="197">
        <v>44502</v>
      </c>
      <c r="T932" s="199">
        <v>14</v>
      </c>
      <c r="U932" s="24">
        <f t="shared" si="185"/>
        <v>44516</v>
      </c>
      <c r="V932"/>
      <c r="W932"/>
      <c r="X932"/>
      <c r="Y932"/>
      <c r="Z932"/>
      <c r="AA932"/>
      <c r="AB932"/>
      <c r="AC932"/>
      <c r="AD932"/>
      <c r="AE932"/>
      <c r="AF932"/>
      <c r="AG932"/>
      <c r="AH932"/>
      <c r="AI932"/>
      <c r="AJ932"/>
      <c r="AK932"/>
      <c r="AL932"/>
      <c r="AM932"/>
      <c r="AN932"/>
      <c r="AO932"/>
      <c r="AP932"/>
      <c r="AQ932"/>
    </row>
    <row r="933" spans="1:43" s="10" customFormat="1" ht="15.75" customHeight="1" x14ac:dyDescent="0.25">
      <c r="A933" s="55">
        <f t="shared" si="186"/>
        <v>51</v>
      </c>
      <c r="B933" s="470">
        <v>44501</v>
      </c>
      <c r="C933" s="448"/>
      <c r="D933" s="332"/>
      <c r="E933" s="58"/>
      <c r="F933" s="123" t="s">
        <v>2353</v>
      </c>
      <c r="G933" s="334" t="s">
        <v>161</v>
      </c>
      <c r="H933" s="45">
        <v>700000</v>
      </c>
      <c r="I933" s="380" t="s">
        <v>2352</v>
      </c>
      <c r="J933" s="507">
        <v>44502</v>
      </c>
      <c r="K933" s="460">
        <f t="shared" si="205"/>
        <v>700000</v>
      </c>
      <c r="L933" s="460"/>
      <c r="M933" s="459"/>
      <c r="N933" s="459"/>
      <c r="O933" s="459"/>
      <c r="P933" s="459">
        <v>700000</v>
      </c>
      <c r="Q933" s="28">
        <f t="shared" si="184"/>
        <v>0</v>
      </c>
      <c r="R933" s="199"/>
      <c r="S933" s="197">
        <v>44502</v>
      </c>
      <c r="T933" s="199">
        <v>14</v>
      </c>
      <c r="U933" s="24">
        <f t="shared" si="185"/>
        <v>44516</v>
      </c>
      <c r="V933"/>
      <c r="W933"/>
      <c r="X933"/>
      <c r="Y933"/>
      <c r="Z933"/>
      <c r="AA933"/>
      <c r="AB933"/>
      <c r="AC933"/>
      <c r="AD933"/>
      <c r="AE933"/>
      <c r="AF933"/>
      <c r="AG933"/>
      <c r="AH933"/>
      <c r="AI933"/>
      <c r="AJ933"/>
      <c r="AK933"/>
      <c r="AL933"/>
      <c r="AM933"/>
      <c r="AN933"/>
      <c r="AO933"/>
      <c r="AP933"/>
      <c r="AQ933"/>
    </row>
    <row r="934" spans="1:43" s="10" customFormat="1" ht="15.75" customHeight="1" x14ac:dyDescent="0.25">
      <c r="A934" s="55">
        <f t="shared" si="186"/>
        <v>52</v>
      </c>
      <c r="B934" s="470">
        <v>44501</v>
      </c>
      <c r="C934" s="448"/>
      <c r="D934" s="332"/>
      <c r="E934" s="58"/>
      <c r="F934" s="334" t="s">
        <v>2363</v>
      </c>
      <c r="G934" s="334" t="s">
        <v>136</v>
      </c>
      <c r="H934" s="45">
        <v>453000</v>
      </c>
      <c r="I934" s="380" t="s">
        <v>2362</v>
      </c>
      <c r="J934" s="514">
        <v>44503</v>
      </c>
      <c r="K934" s="460">
        <f t="shared" si="205"/>
        <v>453000</v>
      </c>
      <c r="L934" s="460"/>
      <c r="M934" s="459"/>
      <c r="N934" s="459"/>
      <c r="O934" s="459"/>
      <c r="P934" s="459">
        <v>453000</v>
      </c>
      <c r="Q934" s="28">
        <f t="shared" si="184"/>
        <v>0</v>
      </c>
      <c r="R934" s="53" t="s">
        <v>2364</v>
      </c>
      <c r="S934" s="199"/>
      <c r="T934" s="199">
        <v>14</v>
      </c>
      <c r="U934" s="24">
        <f t="shared" si="185"/>
        <v>44517</v>
      </c>
      <c r="V934"/>
      <c r="W934"/>
      <c r="X934"/>
      <c r="Y934"/>
      <c r="Z934"/>
      <c r="AA934"/>
      <c r="AB934"/>
      <c r="AC934"/>
      <c r="AD934"/>
      <c r="AE934"/>
      <c r="AF934"/>
      <c r="AG934"/>
      <c r="AH934"/>
      <c r="AI934"/>
      <c r="AJ934"/>
      <c r="AK934"/>
      <c r="AL934"/>
      <c r="AM934"/>
      <c r="AN934"/>
      <c r="AO934"/>
      <c r="AP934"/>
      <c r="AQ934"/>
    </row>
    <row r="935" spans="1:43" s="10" customFormat="1" ht="15.75" customHeight="1" x14ac:dyDescent="0.25">
      <c r="A935" s="55">
        <f t="shared" ref="A935:A951" si="206">A934+1</f>
        <v>53</v>
      </c>
      <c r="B935" s="470">
        <v>44503</v>
      </c>
      <c r="C935" s="448"/>
      <c r="D935" s="332"/>
      <c r="E935" s="58" t="s">
        <v>2366</v>
      </c>
      <c r="F935" s="334" t="s">
        <v>2367</v>
      </c>
      <c r="G935" s="334" t="s">
        <v>155</v>
      </c>
      <c r="H935" s="45">
        <v>1575000</v>
      </c>
      <c r="I935" s="380" t="s">
        <v>2365</v>
      </c>
      <c r="J935" s="514">
        <v>44504</v>
      </c>
      <c r="K935" s="460">
        <f t="shared" si="205"/>
        <v>1575000</v>
      </c>
      <c r="L935" s="460"/>
      <c r="M935" s="459"/>
      <c r="N935" s="459"/>
      <c r="O935" s="459"/>
      <c r="P935" s="459">
        <v>1575000</v>
      </c>
      <c r="Q935" s="28">
        <f t="shared" si="184"/>
        <v>0</v>
      </c>
      <c r="R935" s="199"/>
      <c r="S935" s="197">
        <v>44504</v>
      </c>
      <c r="T935" s="199">
        <v>14</v>
      </c>
      <c r="U935" s="24">
        <f t="shared" si="185"/>
        <v>44518</v>
      </c>
      <c r="V935"/>
      <c r="W935"/>
      <c r="X935"/>
      <c r="Y935"/>
      <c r="Z935"/>
      <c r="AA935"/>
      <c r="AB935"/>
      <c r="AC935"/>
      <c r="AD935"/>
      <c r="AE935"/>
      <c r="AF935"/>
      <c r="AG935"/>
      <c r="AH935"/>
      <c r="AI935"/>
      <c r="AJ935"/>
      <c r="AK935"/>
      <c r="AL935"/>
      <c r="AM935"/>
      <c r="AN935"/>
      <c r="AO935"/>
      <c r="AP935"/>
      <c r="AQ935"/>
    </row>
    <row r="936" spans="1:43" s="10" customFormat="1" ht="15.75" customHeight="1" x14ac:dyDescent="0.25">
      <c r="A936" s="55">
        <f t="shared" si="206"/>
        <v>54</v>
      </c>
      <c r="B936" s="470">
        <v>44503</v>
      </c>
      <c r="C936" s="448"/>
      <c r="D936" s="332"/>
      <c r="E936" s="58" t="s">
        <v>2370</v>
      </c>
      <c r="F936" s="527" t="s">
        <v>2369</v>
      </c>
      <c r="G936" s="334" t="s">
        <v>2371</v>
      </c>
      <c r="H936" s="45">
        <v>6000000</v>
      </c>
      <c r="I936" s="380" t="s">
        <v>2368</v>
      </c>
      <c r="J936" s="514">
        <v>44504</v>
      </c>
      <c r="K936" s="460">
        <f t="shared" si="205"/>
        <v>6000000</v>
      </c>
      <c r="L936" s="460">
        <v>4000000</v>
      </c>
      <c r="M936" s="459"/>
      <c r="N936" s="459"/>
      <c r="O936" s="459"/>
      <c r="P936" s="459">
        <v>2000000</v>
      </c>
      <c r="Q936" s="28">
        <f t="shared" si="184"/>
        <v>0</v>
      </c>
      <c r="R936" s="197">
        <v>44504</v>
      </c>
      <c r="S936" s="197">
        <v>44524</v>
      </c>
      <c r="T936" s="199">
        <v>14</v>
      </c>
      <c r="U936" s="24">
        <f t="shared" si="185"/>
        <v>44518</v>
      </c>
      <c r="V936"/>
      <c r="W936"/>
      <c r="X936"/>
      <c r="Y936"/>
      <c r="Z936"/>
      <c r="AA936"/>
      <c r="AB936"/>
      <c r="AC936"/>
      <c r="AD936"/>
      <c r="AE936"/>
      <c r="AF936"/>
      <c r="AG936"/>
      <c r="AH936"/>
      <c r="AI936"/>
      <c r="AJ936"/>
      <c r="AK936"/>
      <c r="AL936"/>
      <c r="AM936"/>
      <c r="AN936"/>
      <c r="AO936"/>
      <c r="AP936"/>
      <c r="AQ936"/>
    </row>
    <row r="937" spans="1:43" s="10" customFormat="1" ht="15.75" customHeight="1" x14ac:dyDescent="0.25">
      <c r="A937" s="55">
        <f t="shared" si="206"/>
        <v>55</v>
      </c>
      <c r="B937" s="470">
        <v>44503</v>
      </c>
      <c r="C937" s="448" t="s">
        <v>2375</v>
      </c>
      <c r="D937" s="332"/>
      <c r="E937" s="58"/>
      <c r="F937" s="31" t="s">
        <v>242</v>
      </c>
      <c r="G937" s="334" t="s">
        <v>201</v>
      </c>
      <c r="H937" s="45">
        <v>39000000</v>
      </c>
      <c r="I937" s="380" t="s">
        <v>2372</v>
      </c>
      <c r="J937" s="514">
        <v>44505</v>
      </c>
      <c r="K937" s="460">
        <f t="shared" si="205"/>
        <v>39000000</v>
      </c>
      <c r="L937" s="460">
        <v>28000000</v>
      </c>
      <c r="M937" s="459"/>
      <c r="N937" s="459"/>
      <c r="O937" s="459"/>
      <c r="P937" s="459">
        <v>11000000</v>
      </c>
      <c r="Q937" s="28">
        <f t="shared" si="184"/>
        <v>0</v>
      </c>
      <c r="R937" s="197">
        <v>44506</v>
      </c>
      <c r="S937" s="197">
        <v>44585</v>
      </c>
      <c r="T937" s="199">
        <v>14</v>
      </c>
      <c r="U937" s="24">
        <f t="shared" si="185"/>
        <v>44519</v>
      </c>
      <c r="V937"/>
      <c r="W937"/>
      <c r="X937"/>
      <c r="Y937"/>
      <c r="Z937"/>
      <c r="AA937"/>
      <c r="AB937"/>
      <c r="AC937"/>
      <c r="AD937"/>
      <c r="AE937"/>
      <c r="AF937"/>
      <c r="AG937"/>
      <c r="AH937"/>
      <c r="AI937"/>
      <c r="AJ937"/>
      <c r="AK937"/>
      <c r="AL937"/>
      <c r="AM937"/>
      <c r="AN937"/>
      <c r="AO937"/>
      <c r="AP937"/>
      <c r="AQ937"/>
    </row>
    <row r="938" spans="1:43" s="10" customFormat="1" ht="15.75" customHeight="1" x14ac:dyDescent="0.25">
      <c r="A938" s="55">
        <f t="shared" si="206"/>
        <v>56</v>
      </c>
      <c r="B938" s="470">
        <v>44504</v>
      </c>
      <c r="C938" s="448"/>
      <c r="D938" s="332"/>
      <c r="E938" s="58"/>
      <c r="F938" s="334" t="s">
        <v>2373</v>
      </c>
      <c r="G938" s="334" t="s">
        <v>2376</v>
      </c>
      <c r="H938" s="45">
        <v>9500000</v>
      </c>
      <c r="I938" s="380" t="s">
        <v>2374</v>
      </c>
      <c r="J938" s="514">
        <v>44506</v>
      </c>
      <c r="K938" s="460">
        <f t="shared" si="205"/>
        <v>9500000</v>
      </c>
      <c r="L938" s="460">
        <v>6800000</v>
      </c>
      <c r="M938" s="459"/>
      <c r="N938" s="459"/>
      <c r="O938" s="459"/>
      <c r="P938" s="459">
        <v>2700000</v>
      </c>
      <c r="Q938" s="28">
        <f t="shared" si="184"/>
        <v>0</v>
      </c>
      <c r="R938" s="197">
        <v>44505</v>
      </c>
      <c r="S938" s="199" t="s">
        <v>2606</v>
      </c>
      <c r="T938" s="199">
        <v>14</v>
      </c>
      <c r="U938" s="24">
        <f t="shared" si="185"/>
        <v>44520</v>
      </c>
      <c r="V938"/>
      <c r="W938"/>
      <c r="X938"/>
      <c r="Y938"/>
      <c r="Z938"/>
      <c r="AA938"/>
      <c r="AB938"/>
      <c r="AC938"/>
      <c r="AD938"/>
      <c r="AE938"/>
      <c r="AF938"/>
      <c r="AG938"/>
      <c r="AH938"/>
      <c r="AI938"/>
      <c r="AJ938"/>
      <c r="AK938"/>
      <c r="AL938"/>
      <c r="AM938"/>
      <c r="AN938"/>
      <c r="AO938"/>
      <c r="AP938"/>
      <c r="AQ938"/>
    </row>
    <row r="939" spans="1:43" s="10" customFormat="1" ht="15.75" customHeight="1" x14ac:dyDescent="0.25">
      <c r="A939" s="55">
        <f t="shared" si="206"/>
        <v>57</v>
      </c>
      <c r="B939" s="470">
        <v>44510</v>
      </c>
      <c r="C939" s="58"/>
      <c r="D939" s="58"/>
      <c r="E939" s="58"/>
      <c r="F939" s="123" t="s">
        <v>2451</v>
      </c>
      <c r="G939" s="333" t="s">
        <v>503</v>
      </c>
      <c r="H939" s="45">
        <v>1320000</v>
      </c>
      <c r="I939" s="380" t="s">
        <v>2450</v>
      </c>
      <c r="J939" s="507">
        <v>44509</v>
      </c>
      <c r="K939" s="460">
        <f t="shared" si="205"/>
        <v>1320000</v>
      </c>
      <c r="L939" s="460"/>
      <c r="M939" s="459"/>
      <c r="N939" s="459"/>
      <c r="O939" s="459"/>
      <c r="P939" s="459">
        <v>1320000</v>
      </c>
      <c r="Q939" s="28">
        <f t="shared" si="184"/>
        <v>0</v>
      </c>
      <c r="R939" s="199"/>
      <c r="S939" s="197">
        <v>44511</v>
      </c>
      <c r="T939" s="2">
        <v>30</v>
      </c>
      <c r="U939" s="24">
        <f t="shared" si="185"/>
        <v>44539</v>
      </c>
      <c r="V939" s="5"/>
      <c r="W939"/>
      <c r="X939"/>
      <c r="Y939"/>
      <c r="Z939"/>
      <c r="AA939"/>
      <c r="AB939"/>
      <c r="AC939"/>
      <c r="AD939"/>
      <c r="AE939"/>
      <c r="AF939"/>
      <c r="AG939"/>
      <c r="AH939"/>
      <c r="AI939"/>
      <c r="AJ939"/>
      <c r="AK939"/>
      <c r="AL939"/>
      <c r="AM939"/>
      <c r="AN939"/>
      <c r="AO939"/>
      <c r="AP939"/>
      <c r="AQ939"/>
    </row>
    <row r="940" spans="1:43" s="10" customFormat="1" ht="15.75" customHeight="1" x14ac:dyDescent="0.25">
      <c r="A940" s="55">
        <f t="shared" si="206"/>
        <v>58</v>
      </c>
      <c r="B940" s="470">
        <v>44504</v>
      </c>
      <c r="C940" s="448"/>
      <c r="D940" s="332"/>
      <c r="E940" s="58"/>
      <c r="F940" s="123" t="s">
        <v>1023</v>
      </c>
      <c r="G940" s="334" t="s">
        <v>1819</v>
      </c>
      <c r="H940" s="45">
        <v>2900000</v>
      </c>
      <c r="I940" s="380" t="s">
        <v>2455</v>
      </c>
      <c r="J940" s="507">
        <v>44509</v>
      </c>
      <c r="K940" s="460">
        <f t="shared" si="205"/>
        <v>2900000</v>
      </c>
      <c r="L940" s="460"/>
      <c r="M940" s="459"/>
      <c r="N940" s="459"/>
      <c r="O940" s="459"/>
      <c r="P940" s="459">
        <v>2900000</v>
      </c>
      <c r="Q940" s="28">
        <f t="shared" si="184"/>
        <v>0</v>
      </c>
      <c r="R940" s="197"/>
      <c r="S940" s="197">
        <v>44511</v>
      </c>
      <c r="T940" s="199">
        <v>14</v>
      </c>
      <c r="U940" s="24">
        <f t="shared" si="185"/>
        <v>44523</v>
      </c>
      <c r="V940" s="5"/>
      <c r="W940"/>
      <c r="X940"/>
      <c r="Y940"/>
      <c r="Z940"/>
      <c r="AA940"/>
      <c r="AB940"/>
      <c r="AC940"/>
      <c r="AD940"/>
      <c r="AE940"/>
      <c r="AF940"/>
      <c r="AG940"/>
      <c r="AH940"/>
      <c r="AI940"/>
      <c r="AJ940"/>
      <c r="AK940"/>
      <c r="AL940"/>
      <c r="AM940"/>
      <c r="AN940"/>
      <c r="AO940"/>
      <c r="AP940"/>
      <c r="AQ940"/>
    </row>
    <row r="941" spans="1:43" s="10" customFormat="1" ht="15.75" customHeight="1" x14ac:dyDescent="0.25">
      <c r="A941" s="55">
        <f t="shared" si="206"/>
        <v>59</v>
      </c>
      <c r="B941" s="470">
        <v>44512</v>
      </c>
      <c r="C941" s="448"/>
      <c r="D941" s="332"/>
      <c r="E941" s="58"/>
      <c r="F941" s="123" t="s">
        <v>2469</v>
      </c>
      <c r="G941" s="334" t="s">
        <v>155</v>
      </c>
      <c r="H941" s="45">
        <v>4600000</v>
      </c>
      <c r="I941" s="380" t="s">
        <v>2470</v>
      </c>
      <c r="J941" s="507">
        <v>44515</v>
      </c>
      <c r="K941" s="460">
        <f t="shared" si="205"/>
        <v>4600000</v>
      </c>
      <c r="L941" s="460"/>
      <c r="M941" s="459"/>
      <c r="N941" s="459"/>
      <c r="O941" s="459"/>
      <c r="P941" s="459">
        <v>4600000</v>
      </c>
      <c r="Q941" s="28">
        <f t="shared" si="184"/>
        <v>0</v>
      </c>
      <c r="R941" s="197"/>
      <c r="S941" s="197">
        <v>44515</v>
      </c>
      <c r="T941" s="199">
        <v>14</v>
      </c>
      <c r="U941" s="24">
        <f t="shared" si="185"/>
        <v>44529</v>
      </c>
      <c r="V941" s="5" t="s">
        <v>2471</v>
      </c>
      <c r="W941"/>
      <c r="X941"/>
      <c r="Y941"/>
      <c r="Z941"/>
      <c r="AA941"/>
      <c r="AB941"/>
      <c r="AC941"/>
      <c r="AD941"/>
      <c r="AE941"/>
      <c r="AF941"/>
      <c r="AG941"/>
      <c r="AH941"/>
      <c r="AI941"/>
      <c r="AJ941"/>
      <c r="AK941"/>
      <c r="AL941"/>
      <c r="AM941"/>
      <c r="AN941"/>
      <c r="AO941"/>
      <c r="AP941"/>
      <c r="AQ941"/>
    </row>
    <row r="942" spans="1:43" s="10" customFormat="1" ht="15.75" customHeight="1" x14ac:dyDescent="0.25">
      <c r="A942" s="55">
        <f t="shared" si="206"/>
        <v>60</v>
      </c>
      <c r="B942" s="499">
        <v>44515</v>
      </c>
      <c r="C942" s="604"/>
      <c r="D942" s="500"/>
      <c r="E942" s="501"/>
      <c r="F942" s="502" t="s">
        <v>2473</v>
      </c>
      <c r="G942" s="503" t="s">
        <v>161</v>
      </c>
      <c r="H942" s="504">
        <v>500000</v>
      </c>
      <c r="I942" s="505" t="s">
        <v>2472</v>
      </c>
      <c r="J942" s="517">
        <v>44515</v>
      </c>
      <c r="K942" s="504">
        <f t="shared" si="205"/>
        <v>500000</v>
      </c>
      <c r="L942" s="532" t="s">
        <v>2474</v>
      </c>
      <c r="M942" s="533"/>
      <c r="N942" s="533"/>
      <c r="O942" s="533"/>
      <c r="P942" s="534"/>
      <c r="Q942" s="417"/>
      <c r="R942" s="506"/>
      <c r="S942" s="506"/>
      <c r="T942" s="498">
        <v>14</v>
      </c>
      <c r="U942" s="24">
        <f t="shared" si="185"/>
        <v>44529</v>
      </c>
      <c r="V942" s="5" t="s">
        <v>2475</v>
      </c>
      <c r="W942"/>
      <c r="X942"/>
      <c r="Y942"/>
      <c r="Z942"/>
      <c r="AA942"/>
      <c r="AB942"/>
      <c r="AC942"/>
      <c r="AD942"/>
      <c r="AE942"/>
      <c r="AF942"/>
      <c r="AG942"/>
      <c r="AH942"/>
      <c r="AI942"/>
      <c r="AJ942"/>
      <c r="AK942"/>
      <c r="AL942"/>
      <c r="AM942"/>
      <c r="AN942"/>
      <c r="AO942"/>
      <c r="AP942"/>
      <c r="AQ942"/>
    </row>
    <row r="943" spans="1:43" s="10" customFormat="1" ht="15.75" customHeight="1" x14ac:dyDescent="0.25">
      <c r="A943" s="55">
        <f t="shared" si="206"/>
        <v>61</v>
      </c>
      <c r="B943" s="470">
        <v>44504</v>
      </c>
      <c r="C943" s="448"/>
      <c r="D943" s="332"/>
      <c r="E943" s="58">
        <v>137</v>
      </c>
      <c r="F943" s="110" t="s">
        <v>260</v>
      </c>
      <c r="G943" s="334" t="s">
        <v>2297</v>
      </c>
      <c r="H943" s="45">
        <v>2500000</v>
      </c>
      <c r="I943" s="380" t="s">
        <v>2476</v>
      </c>
      <c r="J943" s="507">
        <v>44515</v>
      </c>
      <c r="K943" s="460">
        <f t="shared" si="205"/>
        <v>2500000</v>
      </c>
      <c r="L943" s="460"/>
      <c r="M943" s="459"/>
      <c r="N943" s="459"/>
      <c r="O943" s="459"/>
      <c r="P943" s="459"/>
      <c r="Q943" s="28">
        <f t="shared" si="184"/>
        <v>2500000</v>
      </c>
      <c r="R943" s="197"/>
      <c r="S943" s="197"/>
      <c r="T943" s="199">
        <v>30</v>
      </c>
      <c r="U943" s="24">
        <f t="shared" si="185"/>
        <v>44545</v>
      </c>
      <c r="V943" s="5"/>
      <c r="W943"/>
      <c r="X943"/>
      <c r="Y943"/>
      <c r="Z943"/>
      <c r="AA943"/>
      <c r="AB943"/>
      <c r="AC943"/>
      <c r="AD943"/>
      <c r="AE943"/>
      <c r="AF943"/>
      <c r="AG943"/>
      <c r="AH943"/>
      <c r="AI943"/>
      <c r="AJ943"/>
      <c r="AK943"/>
      <c r="AL943"/>
      <c r="AM943"/>
      <c r="AN943"/>
      <c r="AO943"/>
      <c r="AP943"/>
      <c r="AQ943"/>
    </row>
    <row r="944" spans="1:43" s="10" customFormat="1" ht="15.75" customHeight="1" x14ac:dyDescent="0.25">
      <c r="A944" s="55">
        <f t="shared" si="206"/>
        <v>62</v>
      </c>
      <c r="B944" s="470">
        <v>44515</v>
      </c>
      <c r="C944" s="448">
        <v>403456</v>
      </c>
      <c r="D944" s="332"/>
      <c r="E944" s="58"/>
      <c r="F944" s="123" t="s">
        <v>2498</v>
      </c>
      <c r="G944" s="334" t="s">
        <v>161</v>
      </c>
      <c r="H944" s="45">
        <v>1500000</v>
      </c>
      <c r="I944" s="380" t="s">
        <v>2499</v>
      </c>
      <c r="J944" s="507">
        <v>44516</v>
      </c>
      <c r="K944" s="460">
        <f t="shared" si="205"/>
        <v>1500000</v>
      </c>
      <c r="L944" s="460"/>
      <c r="M944" s="459"/>
      <c r="N944" s="459"/>
      <c r="O944" s="459"/>
      <c r="P944" s="459">
        <v>1500000</v>
      </c>
      <c r="Q944" s="28">
        <f t="shared" si="184"/>
        <v>0</v>
      </c>
      <c r="R944" s="199"/>
      <c r="S944" s="197">
        <v>44515</v>
      </c>
      <c r="T944" s="199">
        <v>14</v>
      </c>
      <c r="U944" s="24">
        <f t="shared" si="185"/>
        <v>44530</v>
      </c>
      <c r="V944" s="5"/>
      <c r="W944"/>
      <c r="X944"/>
      <c r="Y944"/>
      <c r="Z944"/>
      <c r="AA944"/>
      <c r="AB944"/>
      <c r="AC944"/>
      <c r="AD944"/>
      <c r="AE944"/>
      <c r="AF944"/>
      <c r="AG944"/>
      <c r="AH944"/>
      <c r="AI944"/>
      <c r="AJ944"/>
      <c r="AK944"/>
      <c r="AL944"/>
      <c r="AM944"/>
      <c r="AN944"/>
      <c r="AO944"/>
      <c r="AP944"/>
      <c r="AQ944"/>
    </row>
    <row r="945" spans="1:43" s="10" customFormat="1" ht="15.75" customHeight="1" x14ac:dyDescent="0.25">
      <c r="A945" s="55">
        <f t="shared" si="206"/>
        <v>63</v>
      </c>
      <c r="B945" s="56">
        <v>44517</v>
      </c>
      <c r="C945" s="58">
        <v>402525</v>
      </c>
      <c r="D945" s="58"/>
      <c r="E945" s="58"/>
      <c r="F945" s="123" t="s">
        <v>2500</v>
      </c>
      <c r="G945" s="333" t="s">
        <v>2183</v>
      </c>
      <c r="H945" s="45">
        <v>1600000</v>
      </c>
      <c r="I945" s="380" t="s">
        <v>2501</v>
      </c>
      <c r="J945" s="507">
        <v>44518</v>
      </c>
      <c r="K945" s="460">
        <f t="shared" si="205"/>
        <v>1600000</v>
      </c>
      <c r="L945" s="460"/>
      <c r="M945" s="459"/>
      <c r="N945" s="459"/>
      <c r="O945" s="459"/>
      <c r="P945" s="459">
        <v>1600000</v>
      </c>
      <c r="Q945" s="28">
        <f t="shared" si="184"/>
        <v>0</v>
      </c>
      <c r="R945" s="199"/>
      <c r="S945" s="197">
        <v>44518</v>
      </c>
      <c r="T945" s="199">
        <v>14</v>
      </c>
      <c r="U945" s="24">
        <f t="shared" si="185"/>
        <v>44532</v>
      </c>
      <c r="V945" s="5" t="s">
        <v>2185</v>
      </c>
      <c r="W945"/>
      <c r="X945"/>
      <c r="Y945"/>
      <c r="Z945"/>
      <c r="AA945"/>
      <c r="AB945"/>
      <c r="AC945"/>
      <c r="AD945"/>
      <c r="AE945"/>
      <c r="AF945"/>
      <c r="AG945"/>
      <c r="AH945"/>
      <c r="AI945"/>
      <c r="AJ945"/>
      <c r="AK945"/>
      <c r="AL945"/>
      <c r="AM945"/>
      <c r="AN945"/>
      <c r="AO945"/>
      <c r="AP945"/>
      <c r="AQ945"/>
    </row>
    <row r="946" spans="1:43" s="10" customFormat="1" ht="15.75" customHeight="1" x14ac:dyDescent="0.25">
      <c r="A946" s="55">
        <f t="shared" si="206"/>
        <v>64</v>
      </c>
      <c r="B946" s="470">
        <v>44517</v>
      </c>
      <c r="C946" s="448"/>
      <c r="D946" s="332" t="s">
        <v>2503</v>
      </c>
      <c r="E946" s="58"/>
      <c r="F946" s="123" t="s">
        <v>1969</v>
      </c>
      <c r="G946" s="334" t="s">
        <v>161</v>
      </c>
      <c r="H946" s="45">
        <v>1300000</v>
      </c>
      <c r="I946" s="380" t="s">
        <v>2502</v>
      </c>
      <c r="J946" s="507">
        <v>44518</v>
      </c>
      <c r="K946" s="525">
        <f t="shared" si="205"/>
        <v>1300000</v>
      </c>
      <c r="L946" s="460"/>
      <c r="M946" s="459"/>
      <c r="N946" s="459"/>
      <c r="O946" s="459"/>
      <c r="P946" s="459"/>
      <c r="Q946" s="28">
        <f t="shared" si="184"/>
        <v>1300000</v>
      </c>
      <c r="R946" s="197"/>
      <c r="S946" s="197"/>
      <c r="T946" s="199">
        <v>14</v>
      </c>
      <c r="U946" s="24">
        <f t="shared" si="185"/>
        <v>44532</v>
      </c>
      <c r="V946" s="5" t="s">
        <v>2504</v>
      </c>
      <c r="W946"/>
      <c r="X946"/>
      <c r="Y946"/>
      <c r="Z946"/>
      <c r="AA946"/>
      <c r="AB946"/>
      <c r="AC946"/>
      <c r="AD946"/>
      <c r="AE946"/>
      <c r="AF946"/>
      <c r="AG946"/>
      <c r="AH946"/>
      <c r="AI946"/>
      <c r="AJ946"/>
      <c r="AK946"/>
      <c r="AL946"/>
      <c r="AM946"/>
      <c r="AN946"/>
      <c r="AO946"/>
      <c r="AP946"/>
      <c r="AQ946"/>
    </row>
    <row r="947" spans="1:43" s="10" customFormat="1" ht="15.75" customHeight="1" x14ac:dyDescent="0.25">
      <c r="A947" s="55">
        <f t="shared" si="206"/>
        <v>65</v>
      </c>
      <c r="B947" s="470">
        <v>44517</v>
      </c>
      <c r="C947" s="448"/>
      <c r="D947" s="332" t="s">
        <v>2507</v>
      </c>
      <c r="E947" s="58"/>
      <c r="F947" s="123" t="s">
        <v>2505</v>
      </c>
      <c r="G947" s="334" t="s">
        <v>161</v>
      </c>
      <c r="H947" s="45">
        <v>1100000</v>
      </c>
      <c r="I947" s="380" t="s">
        <v>2506</v>
      </c>
      <c r="J947" s="507">
        <v>44518</v>
      </c>
      <c r="K947" s="525">
        <f t="shared" si="205"/>
        <v>1100000</v>
      </c>
      <c r="L947" s="460"/>
      <c r="M947" s="459"/>
      <c r="N947" s="459"/>
      <c r="O947" s="459"/>
      <c r="P947" s="459">
        <v>1100000</v>
      </c>
      <c r="Q947" s="28">
        <f t="shared" si="184"/>
        <v>0</v>
      </c>
      <c r="R947" s="197"/>
      <c r="S947" s="197">
        <v>44517</v>
      </c>
      <c r="T947" s="199">
        <v>14</v>
      </c>
      <c r="U947" s="24">
        <f t="shared" si="185"/>
        <v>44532</v>
      </c>
      <c r="V947" s="5"/>
      <c r="W947"/>
      <c r="X947"/>
      <c r="Y947"/>
      <c r="Z947"/>
      <c r="AA947"/>
      <c r="AB947"/>
      <c r="AC947"/>
      <c r="AD947"/>
      <c r="AE947"/>
      <c r="AF947"/>
      <c r="AG947"/>
      <c r="AH947"/>
      <c r="AI947"/>
      <c r="AJ947"/>
      <c r="AK947"/>
      <c r="AL947"/>
      <c r="AM947"/>
      <c r="AN947"/>
      <c r="AO947"/>
      <c r="AP947"/>
      <c r="AQ947"/>
    </row>
    <row r="948" spans="1:43" s="10" customFormat="1" ht="15.75" customHeight="1" x14ac:dyDescent="0.25">
      <c r="A948" s="55">
        <f t="shared" si="206"/>
        <v>66</v>
      </c>
      <c r="B948" s="79">
        <v>44518</v>
      </c>
      <c r="C948" s="330"/>
      <c r="D948" s="330" t="s">
        <v>2513</v>
      </c>
      <c r="E948" s="330"/>
      <c r="F948" s="33" t="s">
        <v>2512</v>
      </c>
      <c r="G948" s="126" t="s">
        <v>988</v>
      </c>
      <c r="H948" s="45">
        <v>539000</v>
      </c>
      <c r="I948" s="377" t="s">
        <v>2511</v>
      </c>
      <c r="J948" s="507">
        <v>44518</v>
      </c>
      <c r="K948" s="525">
        <f t="shared" si="205"/>
        <v>539000</v>
      </c>
      <c r="L948" s="460"/>
      <c r="M948" s="459"/>
      <c r="N948" s="459"/>
      <c r="O948" s="459"/>
      <c r="P948" s="459">
        <v>539000</v>
      </c>
      <c r="Q948" s="28">
        <f t="shared" si="184"/>
        <v>0</v>
      </c>
      <c r="R948" s="199"/>
      <c r="S948" s="197">
        <v>44518</v>
      </c>
      <c r="T948" s="199">
        <v>14</v>
      </c>
      <c r="U948" s="24">
        <f t="shared" ref="U948:U989" si="207">J948+T948</f>
        <v>44532</v>
      </c>
      <c r="V948" s="5"/>
      <c r="W948"/>
      <c r="X948"/>
      <c r="Y948"/>
      <c r="Z948"/>
      <c r="AA948"/>
      <c r="AB948"/>
      <c r="AC948"/>
      <c r="AD948"/>
      <c r="AE948"/>
      <c r="AF948"/>
      <c r="AG948"/>
      <c r="AH948"/>
      <c r="AI948"/>
      <c r="AJ948"/>
      <c r="AK948"/>
      <c r="AL948"/>
      <c r="AM948"/>
      <c r="AN948"/>
      <c r="AO948"/>
      <c r="AP948"/>
      <c r="AQ948"/>
    </row>
    <row r="949" spans="1:43" s="10" customFormat="1" ht="15.75" customHeight="1" x14ac:dyDescent="0.25">
      <c r="A949" s="55">
        <f t="shared" si="206"/>
        <v>67</v>
      </c>
      <c r="B949" s="79">
        <v>44518</v>
      </c>
      <c r="C949" s="330"/>
      <c r="D949" s="330" t="s">
        <v>2613</v>
      </c>
      <c r="E949" s="330"/>
      <c r="F949" s="33" t="s">
        <v>2612</v>
      </c>
      <c r="G949" s="126" t="s">
        <v>2611</v>
      </c>
      <c r="H949" s="45">
        <v>2770500</v>
      </c>
      <c r="I949" s="377" t="s">
        <v>2610</v>
      </c>
      <c r="J949" s="301">
        <v>44518</v>
      </c>
      <c r="K949" s="577">
        <f t="shared" si="205"/>
        <v>2770500</v>
      </c>
      <c r="L949" s="460"/>
      <c r="M949" s="459"/>
      <c r="N949" s="28"/>
      <c r="O949" s="28"/>
      <c r="P949" s="459">
        <v>2770500</v>
      </c>
      <c r="Q949" s="28">
        <f t="shared" si="184"/>
        <v>0</v>
      </c>
      <c r="R949" s="199"/>
      <c r="S949" s="197">
        <v>44518</v>
      </c>
      <c r="T949" s="199">
        <v>14</v>
      </c>
      <c r="U949" s="24">
        <f t="shared" si="207"/>
        <v>44532</v>
      </c>
      <c r="V949" s="5" t="s">
        <v>2614</v>
      </c>
      <c r="W949"/>
      <c r="X949"/>
      <c r="Y949"/>
      <c r="Z949"/>
      <c r="AA949"/>
      <c r="AB949"/>
      <c r="AC949"/>
      <c r="AD949"/>
      <c r="AE949"/>
      <c r="AF949"/>
      <c r="AG949"/>
      <c r="AH949"/>
      <c r="AI949"/>
      <c r="AJ949"/>
      <c r="AK949"/>
      <c r="AL949"/>
      <c r="AM949"/>
      <c r="AN949"/>
      <c r="AO949"/>
      <c r="AP949"/>
      <c r="AQ949"/>
    </row>
    <row r="950" spans="1:43" s="10" customFormat="1" ht="15.75" customHeight="1" x14ac:dyDescent="0.25">
      <c r="A950" s="55">
        <f t="shared" si="206"/>
        <v>68</v>
      </c>
      <c r="B950" s="79">
        <v>44518</v>
      </c>
      <c r="C950" s="330"/>
      <c r="D950" s="330" t="s">
        <v>2617</v>
      </c>
      <c r="E950" s="330"/>
      <c r="F950" s="33" t="s">
        <v>2616</v>
      </c>
      <c r="G950" s="404" t="s">
        <v>988</v>
      </c>
      <c r="H950" s="45">
        <v>840000</v>
      </c>
      <c r="I950" s="377" t="s">
        <v>2615</v>
      </c>
      <c r="J950" s="301">
        <v>44519</v>
      </c>
      <c r="K950" s="577">
        <f t="shared" si="205"/>
        <v>840000</v>
      </c>
      <c r="L950" s="460"/>
      <c r="M950" s="459"/>
      <c r="N950" s="459"/>
      <c r="O950" s="459"/>
      <c r="P950" s="459">
        <v>840000</v>
      </c>
      <c r="Q950" s="28">
        <f t="shared" si="184"/>
        <v>0</v>
      </c>
      <c r="R950" s="199"/>
      <c r="S950" s="197">
        <v>44519</v>
      </c>
      <c r="T950" s="199">
        <v>14</v>
      </c>
      <c r="U950" s="24">
        <f t="shared" si="207"/>
        <v>44533</v>
      </c>
      <c r="V950" s="5" t="s">
        <v>2614</v>
      </c>
      <c r="W950"/>
      <c r="X950"/>
      <c r="Y950"/>
      <c r="Z950"/>
      <c r="AA950"/>
      <c r="AB950"/>
      <c r="AC950"/>
      <c r="AD950"/>
      <c r="AE950"/>
      <c r="AF950"/>
      <c r="AG950"/>
      <c r="AH950"/>
      <c r="AI950"/>
      <c r="AJ950"/>
      <c r="AK950"/>
      <c r="AL950"/>
      <c r="AM950"/>
      <c r="AN950"/>
      <c r="AO950"/>
      <c r="AP950"/>
      <c r="AQ950"/>
    </row>
    <row r="951" spans="1:43" s="10" customFormat="1" ht="15.75" customHeight="1" x14ac:dyDescent="0.25">
      <c r="A951" s="55">
        <f t="shared" si="206"/>
        <v>69</v>
      </c>
      <c r="B951" s="79">
        <v>44519</v>
      </c>
      <c r="C951" s="330"/>
      <c r="D951" s="330" t="s">
        <v>2620</v>
      </c>
      <c r="E951" s="330"/>
      <c r="F951" s="33" t="s">
        <v>2619</v>
      </c>
      <c r="G951" s="404" t="s">
        <v>503</v>
      </c>
      <c r="H951" s="45">
        <v>712500</v>
      </c>
      <c r="I951" s="377" t="s">
        <v>2618</v>
      </c>
      <c r="J951" s="301">
        <v>44519</v>
      </c>
      <c r="K951" s="577">
        <f t="shared" si="205"/>
        <v>712500</v>
      </c>
      <c r="L951" s="460"/>
      <c r="M951" s="459"/>
      <c r="N951" s="459"/>
      <c r="O951" s="459"/>
      <c r="P951" s="459">
        <v>712500</v>
      </c>
      <c r="Q951" s="28">
        <f t="shared" si="184"/>
        <v>0</v>
      </c>
      <c r="R951" s="199"/>
      <c r="S951" s="197">
        <v>44519</v>
      </c>
      <c r="T951" s="199">
        <v>14</v>
      </c>
      <c r="U951" s="24">
        <f t="shared" si="207"/>
        <v>44533</v>
      </c>
      <c r="V951" s="5" t="s">
        <v>2614</v>
      </c>
      <c r="W951"/>
      <c r="X951"/>
      <c r="Y951"/>
      <c r="Z951"/>
      <c r="AA951"/>
      <c r="AB951"/>
      <c r="AC951"/>
      <c r="AD951"/>
      <c r="AE951"/>
      <c r="AF951"/>
      <c r="AG951"/>
      <c r="AH951"/>
      <c r="AI951"/>
      <c r="AJ951"/>
      <c r="AK951"/>
      <c r="AL951"/>
      <c r="AM951"/>
      <c r="AN951"/>
      <c r="AO951"/>
      <c r="AP951"/>
      <c r="AQ951"/>
    </row>
    <row r="952" spans="1:43" s="10" customFormat="1" ht="15.75" customHeight="1" x14ac:dyDescent="0.25">
      <c r="A952" s="55">
        <f t="shared" ref="A952:A987" si="208">A951+1</f>
        <v>70</v>
      </c>
      <c r="B952" s="79">
        <v>44520</v>
      </c>
      <c r="C952" s="330">
        <v>406152</v>
      </c>
      <c r="D952" s="330" t="s">
        <v>2624</v>
      </c>
      <c r="E952" s="330"/>
      <c r="F952" s="33" t="s">
        <v>2622</v>
      </c>
      <c r="G952" s="404" t="s">
        <v>2623</v>
      </c>
      <c r="H952" s="45">
        <v>7564000</v>
      </c>
      <c r="I952" s="377" t="s">
        <v>2621</v>
      </c>
      <c r="J952" s="301">
        <v>44520</v>
      </c>
      <c r="K952" s="577">
        <f t="shared" si="205"/>
        <v>7564000</v>
      </c>
      <c r="L952" s="460"/>
      <c r="M952" s="459"/>
      <c r="N952" s="459"/>
      <c r="O952" s="459"/>
      <c r="P952" s="459">
        <v>7564000</v>
      </c>
      <c r="Q952" s="28">
        <f t="shared" si="184"/>
        <v>0</v>
      </c>
      <c r="R952" s="199"/>
      <c r="S952" s="197">
        <v>44520</v>
      </c>
      <c r="T952" s="199">
        <v>14</v>
      </c>
      <c r="U952" s="24">
        <f t="shared" si="207"/>
        <v>44534</v>
      </c>
      <c r="V952" s="5"/>
      <c r="W952"/>
      <c r="X952"/>
      <c r="Y952"/>
      <c r="Z952"/>
      <c r="AA952"/>
      <c r="AB952"/>
      <c r="AC952"/>
      <c r="AD952"/>
      <c r="AE952"/>
      <c r="AF952"/>
      <c r="AG952"/>
      <c r="AH952"/>
      <c r="AI952"/>
      <c r="AJ952"/>
      <c r="AK952"/>
      <c r="AL952"/>
      <c r="AM952"/>
      <c r="AN952"/>
      <c r="AO952"/>
      <c r="AP952"/>
      <c r="AQ952"/>
    </row>
    <row r="953" spans="1:43" s="10" customFormat="1" ht="15.75" customHeight="1" x14ac:dyDescent="0.25">
      <c r="A953" s="55">
        <f t="shared" si="208"/>
        <v>71</v>
      </c>
      <c r="B953" s="56">
        <v>44517</v>
      </c>
      <c r="C953" s="58"/>
      <c r="D953" s="58" t="s">
        <v>2627</v>
      </c>
      <c r="E953" s="58"/>
      <c r="F953" s="112" t="s">
        <v>53</v>
      </c>
      <c r="G953" s="334" t="s">
        <v>2626</v>
      </c>
      <c r="H953" s="45">
        <v>2000000</v>
      </c>
      <c r="I953" s="380" t="s">
        <v>2625</v>
      </c>
      <c r="J953" s="301">
        <v>44522</v>
      </c>
      <c r="K953" s="577">
        <f t="shared" si="205"/>
        <v>2000000</v>
      </c>
      <c r="L953" s="460"/>
      <c r="M953" s="459"/>
      <c r="N953" s="459"/>
      <c r="O953" s="459"/>
      <c r="P953" s="459">
        <v>2000000</v>
      </c>
      <c r="Q953" s="28">
        <f t="shared" si="184"/>
        <v>0</v>
      </c>
      <c r="R953" s="199"/>
      <c r="S953" s="197">
        <v>44530</v>
      </c>
      <c r="T953" s="2">
        <v>14</v>
      </c>
      <c r="U953" s="24">
        <f t="shared" si="207"/>
        <v>44536</v>
      </c>
      <c r="V953" s="5"/>
      <c r="W953"/>
      <c r="X953"/>
      <c r="Y953"/>
      <c r="Z953"/>
      <c r="AA953"/>
      <c r="AB953"/>
      <c r="AC953"/>
      <c r="AD953"/>
      <c r="AE953"/>
      <c r="AF953"/>
      <c r="AG953"/>
      <c r="AH953"/>
      <c r="AI953"/>
      <c r="AJ953"/>
      <c r="AK953"/>
      <c r="AL953"/>
      <c r="AM953"/>
      <c r="AN953"/>
      <c r="AO953"/>
      <c r="AP953"/>
      <c r="AQ953"/>
    </row>
    <row r="954" spans="1:43" s="10" customFormat="1" ht="15.75" customHeight="1" x14ac:dyDescent="0.25">
      <c r="A954" s="55">
        <f t="shared" si="208"/>
        <v>72</v>
      </c>
      <c r="B954" s="470">
        <v>44518</v>
      </c>
      <c r="C954" s="58"/>
      <c r="D954" s="58" t="s">
        <v>2630</v>
      </c>
      <c r="E954" s="58"/>
      <c r="F954" s="110" t="s">
        <v>260</v>
      </c>
      <c r="G954" s="333" t="s">
        <v>2629</v>
      </c>
      <c r="H954" s="45">
        <v>570000</v>
      </c>
      <c r="I954" s="380" t="s">
        <v>2628</v>
      </c>
      <c r="J954" s="514">
        <v>44522</v>
      </c>
      <c r="K954" s="577">
        <f t="shared" si="205"/>
        <v>570000</v>
      </c>
      <c r="L954" s="460"/>
      <c r="M954" s="459"/>
      <c r="N954" s="459"/>
      <c r="O954" s="459"/>
      <c r="P954" s="459">
        <v>570000</v>
      </c>
      <c r="Q954" s="28">
        <f t="shared" si="184"/>
        <v>0</v>
      </c>
      <c r="R954" s="199"/>
      <c r="S954" s="197">
        <v>44529</v>
      </c>
      <c r="T954" s="2">
        <v>30</v>
      </c>
      <c r="U954" s="24">
        <f t="shared" si="207"/>
        <v>44552</v>
      </c>
      <c r="V954" s="5"/>
      <c r="W954"/>
      <c r="X954"/>
      <c r="Y954"/>
      <c r="Z954"/>
      <c r="AA954"/>
      <c r="AB954"/>
      <c r="AC954"/>
      <c r="AD954"/>
      <c r="AE954"/>
      <c r="AF954"/>
      <c r="AG954"/>
      <c r="AH954"/>
      <c r="AI954"/>
      <c r="AJ954"/>
      <c r="AK954"/>
      <c r="AL954"/>
      <c r="AM954"/>
      <c r="AN954"/>
      <c r="AO954"/>
      <c r="AP954"/>
      <c r="AQ954"/>
    </row>
    <row r="955" spans="1:43" s="10" customFormat="1" ht="15.75" customHeight="1" x14ac:dyDescent="0.25">
      <c r="A955" s="55">
        <f t="shared" si="208"/>
        <v>73</v>
      </c>
      <c r="B955" s="470">
        <v>44516</v>
      </c>
      <c r="C955" s="448"/>
      <c r="D955" s="332" t="s">
        <v>2634</v>
      </c>
      <c r="E955" s="58"/>
      <c r="F955" s="123" t="s">
        <v>2633</v>
      </c>
      <c r="G955" s="334" t="s">
        <v>2632</v>
      </c>
      <c r="H955" s="45">
        <v>7000000</v>
      </c>
      <c r="I955" s="380" t="s">
        <v>2631</v>
      </c>
      <c r="J955" s="507">
        <v>44522</v>
      </c>
      <c r="K955" s="577">
        <f t="shared" si="205"/>
        <v>7000000</v>
      </c>
      <c r="L955" s="460"/>
      <c r="M955" s="459"/>
      <c r="N955" s="459"/>
      <c r="O955" s="459"/>
      <c r="P955" s="459">
        <v>7000000</v>
      </c>
      <c r="Q955" s="28">
        <f t="shared" si="184"/>
        <v>0</v>
      </c>
      <c r="R955" s="199"/>
      <c r="S955" s="197">
        <v>44536</v>
      </c>
      <c r="T955" s="199">
        <v>14</v>
      </c>
      <c r="U955" s="24">
        <f t="shared" si="207"/>
        <v>44536</v>
      </c>
      <c r="V955" s="5" t="s">
        <v>2635</v>
      </c>
      <c r="W955"/>
      <c r="X955"/>
      <c r="Y955"/>
      <c r="Z955"/>
      <c r="AA955"/>
      <c r="AB955"/>
      <c r="AC955"/>
      <c r="AD955"/>
      <c r="AE955"/>
      <c r="AF955"/>
      <c r="AG955"/>
      <c r="AH955"/>
      <c r="AI955"/>
      <c r="AJ955"/>
      <c r="AK955"/>
      <c r="AL955"/>
      <c r="AM955"/>
      <c r="AN955"/>
      <c r="AO955"/>
      <c r="AP955"/>
      <c r="AQ955"/>
    </row>
    <row r="956" spans="1:43" s="10" customFormat="1" ht="15.75" customHeight="1" x14ac:dyDescent="0.25">
      <c r="A956" s="55">
        <f t="shared" si="208"/>
        <v>74</v>
      </c>
      <c r="B956" s="470">
        <v>44523</v>
      </c>
      <c r="C956" s="448" t="s">
        <v>2644</v>
      </c>
      <c r="D956" s="332" t="s">
        <v>2643</v>
      </c>
      <c r="E956" s="58"/>
      <c r="F956" s="123" t="s">
        <v>2642</v>
      </c>
      <c r="G956" s="334" t="s">
        <v>503</v>
      </c>
      <c r="H956" s="45">
        <v>992500</v>
      </c>
      <c r="I956" s="380" t="s">
        <v>2641</v>
      </c>
      <c r="J956" s="507">
        <v>44524</v>
      </c>
      <c r="K956" s="577">
        <f t="shared" si="205"/>
        <v>992500</v>
      </c>
      <c r="L956" s="460"/>
      <c r="M956" s="459"/>
      <c r="N956" s="459"/>
      <c r="O956" s="459"/>
      <c r="P956" s="459">
        <v>992500</v>
      </c>
      <c r="Q956" s="28">
        <f t="shared" si="184"/>
        <v>0</v>
      </c>
      <c r="R956" s="199"/>
      <c r="S956" s="197">
        <v>44524</v>
      </c>
      <c r="T956" s="199">
        <v>14</v>
      </c>
      <c r="U956" s="24">
        <f t="shared" si="207"/>
        <v>44538</v>
      </c>
      <c r="V956" s="5" t="s">
        <v>2614</v>
      </c>
      <c r="W956"/>
      <c r="X956"/>
      <c r="Y956"/>
      <c r="Z956"/>
      <c r="AA956"/>
      <c r="AB956"/>
      <c r="AC956"/>
      <c r="AD956"/>
      <c r="AE956"/>
      <c r="AF956"/>
      <c r="AG956"/>
      <c r="AH956"/>
      <c r="AI956"/>
      <c r="AJ956"/>
      <c r="AK956"/>
      <c r="AL956"/>
      <c r="AM956"/>
      <c r="AN956"/>
      <c r="AO956"/>
      <c r="AP956"/>
      <c r="AQ956"/>
    </row>
    <row r="957" spans="1:43" s="10" customFormat="1" ht="15.75" customHeight="1" x14ac:dyDescent="0.25">
      <c r="A957" s="55">
        <f t="shared" si="208"/>
        <v>75</v>
      </c>
      <c r="B957" s="470">
        <v>44501</v>
      </c>
      <c r="C957" s="448"/>
      <c r="D957" s="332" t="s">
        <v>2655</v>
      </c>
      <c r="E957" s="58"/>
      <c r="F957" s="123" t="s">
        <v>53</v>
      </c>
      <c r="G957" s="334" t="s">
        <v>1179</v>
      </c>
      <c r="H957" s="45">
        <v>1100000</v>
      </c>
      <c r="I957" s="380" t="s">
        <v>2654</v>
      </c>
      <c r="J957" s="507">
        <v>44524</v>
      </c>
      <c r="K957" s="577">
        <f t="shared" si="205"/>
        <v>1100000</v>
      </c>
      <c r="L957" s="460"/>
      <c r="M957" s="459"/>
      <c r="N957" s="459"/>
      <c r="O957" s="459"/>
      <c r="P957" s="795">
        <v>1100000</v>
      </c>
      <c r="Q957" s="28">
        <f t="shared" si="184"/>
        <v>0</v>
      </c>
      <c r="R957" s="199"/>
      <c r="S957" s="197">
        <v>44575</v>
      </c>
      <c r="T957" s="2">
        <v>14</v>
      </c>
      <c r="U957" s="24">
        <f t="shared" si="207"/>
        <v>44538</v>
      </c>
      <c r="V957" s="5" t="s">
        <v>2656</v>
      </c>
      <c r="W957"/>
      <c r="X957"/>
      <c r="Y957"/>
      <c r="Z957"/>
      <c r="AA957"/>
      <c r="AB957"/>
      <c r="AC957"/>
      <c r="AD957"/>
      <c r="AE957"/>
      <c r="AF957"/>
      <c r="AG957"/>
      <c r="AH957"/>
      <c r="AI957"/>
      <c r="AJ957"/>
      <c r="AK957"/>
      <c r="AL957"/>
      <c r="AM957"/>
      <c r="AN957"/>
      <c r="AO957"/>
      <c r="AP957"/>
      <c r="AQ957"/>
    </row>
    <row r="958" spans="1:43" s="10" customFormat="1" ht="15.75" customHeight="1" x14ac:dyDescent="0.25">
      <c r="A958" s="55">
        <f t="shared" si="208"/>
        <v>76</v>
      </c>
      <c r="B958" s="470">
        <v>44506</v>
      </c>
      <c r="C958" s="448" t="s">
        <v>2660</v>
      </c>
      <c r="D958" s="332" t="s">
        <v>2658</v>
      </c>
      <c r="E958" s="58"/>
      <c r="F958" s="334" t="s">
        <v>2755</v>
      </c>
      <c r="G958" s="334" t="s">
        <v>2659</v>
      </c>
      <c r="H958" s="45">
        <v>1350000</v>
      </c>
      <c r="I958" s="380" t="s">
        <v>2657</v>
      </c>
      <c r="J958" s="507">
        <v>44524</v>
      </c>
      <c r="K958" s="577">
        <f t="shared" si="205"/>
        <v>1350000</v>
      </c>
      <c r="L958" s="460"/>
      <c r="M958" s="459"/>
      <c r="N958" s="459"/>
      <c r="O958" s="459"/>
      <c r="P958" s="459">
        <v>1350000</v>
      </c>
      <c r="Q958" s="28">
        <f t="shared" si="184"/>
        <v>0</v>
      </c>
      <c r="R958" s="199"/>
      <c r="S958" s="197">
        <v>44502</v>
      </c>
      <c r="T958" s="199">
        <v>14</v>
      </c>
      <c r="U958" s="24">
        <f t="shared" si="207"/>
        <v>44538</v>
      </c>
      <c r="V958" s="5"/>
      <c r="W958"/>
      <c r="X958"/>
      <c r="Y958"/>
      <c r="Z958"/>
      <c r="AA958"/>
      <c r="AB958"/>
      <c r="AC958"/>
      <c r="AD958"/>
      <c r="AE958"/>
      <c r="AF958"/>
      <c r="AG958"/>
      <c r="AH958"/>
      <c r="AI958"/>
      <c r="AJ958"/>
      <c r="AK958"/>
      <c r="AL958"/>
      <c r="AM958"/>
      <c r="AN958"/>
      <c r="AO958"/>
      <c r="AP958"/>
      <c r="AQ958"/>
    </row>
    <row r="959" spans="1:43" s="10" customFormat="1" ht="15.75" customHeight="1" x14ac:dyDescent="0.25">
      <c r="A959" s="55">
        <f t="shared" si="208"/>
        <v>77</v>
      </c>
      <c r="B959" s="470">
        <v>44517</v>
      </c>
      <c r="C959" s="448">
        <v>406056</v>
      </c>
      <c r="D959" s="332" t="s">
        <v>2662</v>
      </c>
      <c r="E959" s="58"/>
      <c r="F959" s="31" t="s">
        <v>242</v>
      </c>
      <c r="G959" s="334" t="s">
        <v>2663</v>
      </c>
      <c r="H959" s="45">
        <v>15100000</v>
      </c>
      <c r="I959" s="380" t="s">
        <v>2661</v>
      </c>
      <c r="J959" s="507">
        <v>44526</v>
      </c>
      <c r="K959" s="577">
        <f t="shared" si="205"/>
        <v>15100000</v>
      </c>
      <c r="L959" s="460"/>
      <c r="M959" s="459"/>
      <c r="N959" s="459"/>
      <c r="O959" s="459"/>
      <c r="P959" s="459">
        <v>15100000</v>
      </c>
      <c r="Q959" s="28">
        <f t="shared" si="184"/>
        <v>0</v>
      </c>
      <c r="R959" s="199"/>
      <c r="S959" s="197">
        <v>44206</v>
      </c>
      <c r="T959" s="199">
        <v>14</v>
      </c>
      <c r="U959" s="24">
        <f t="shared" si="207"/>
        <v>44540</v>
      </c>
      <c r="V959" s="5"/>
      <c r="W959"/>
      <c r="X959"/>
      <c r="Y959"/>
      <c r="Z959"/>
      <c r="AA959"/>
      <c r="AB959"/>
      <c r="AC959"/>
      <c r="AD959"/>
      <c r="AE959"/>
      <c r="AF959"/>
      <c r="AG959"/>
      <c r="AH959"/>
      <c r="AI959"/>
      <c r="AJ959"/>
      <c r="AK959"/>
      <c r="AL959"/>
      <c r="AM959"/>
      <c r="AN959"/>
      <c r="AO959"/>
      <c r="AP959"/>
      <c r="AQ959"/>
    </row>
    <row r="960" spans="1:43" s="10" customFormat="1" ht="15.75" customHeight="1" x14ac:dyDescent="0.25">
      <c r="A960" s="55">
        <f t="shared" si="208"/>
        <v>78</v>
      </c>
      <c r="B960" s="583">
        <v>44504</v>
      </c>
      <c r="C960" s="448" t="s">
        <v>2665</v>
      </c>
      <c r="D960" s="332"/>
      <c r="E960" s="58"/>
      <c r="F960" s="123" t="s">
        <v>933</v>
      </c>
      <c r="G960" s="334" t="s">
        <v>15</v>
      </c>
      <c r="H960" s="45">
        <v>310000</v>
      </c>
      <c r="I960" s="380" t="s">
        <v>2664</v>
      </c>
      <c r="J960" s="507">
        <v>44526</v>
      </c>
      <c r="K960" s="577">
        <f t="shared" si="205"/>
        <v>310000</v>
      </c>
      <c r="L960" s="460"/>
      <c r="M960" s="459"/>
      <c r="N960" s="459"/>
      <c r="O960" s="459"/>
      <c r="P960" s="459">
        <v>310000</v>
      </c>
      <c r="Q960" s="28">
        <f t="shared" si="184"/>
        <v>0</v>
      </c>
      <c r="R960" s="199"/>
      <c r="S960" s="197">
        <v>44540</v>
      </c>
      <c r="T960" s="2">
        <v>14</v>
      </c>
      <c r="U960" s="24">
        <f t="shared" si="207"/>
        <v>44540</v>
      </c>
      <c r="V960" s="5"/>
      <c r="W960"/>
      <c r="X960"/>
      <c r="Y960"/>
      <c r="Z960"/>
      <c r="AA960"/>
      <c r="AB960"/>
      <c r="AC960"/>
      <c r="AD960"/>
      <c r="AE960"/>
      <c r="AF960"/>
      <c r="AG960"/>
      <c r="AH960"/>
      <c r="AI960"/>
      <c r="AJ960"/>
      <c r="AK960"/>
      <c r="AL960"/>
      <c r="AM960"/>
      <c r="AN960"/>
      <c r="AO960"/>
      <c r="AP960"/>
      <c r="AQ960"/>
    </row>
    <row r="961" spans="1:43" s="10" customFormat="1" ht="15.75" customHeight="1" x14ac:dyDescent="0.25">
      <c r="A961" s="55">
        <f t="shared" si="208"/>
        <v>79</v>
      </c>
      <c r="B961" s="470">
        <v>44524</v>
      </c>
      <c r="C961" s="448"/>
      <c r="D961" s="332"/>
      <c r="E961" s="58"/>
      <c r="F961" s="123" t="s">
        <v>2182</v>
      </c>
      <c r="G961" s="334" t="s">
        <v>417</v>
      </c>
      <c r="H961" s="45">
        <v>3500000</v>
      </c>
      <c r="I961" s="380" t="s">
        <v>2669</v>
      </c>
      <c r="J961" s="507">
        <v>44526</v>
      </c>
      <c r="K961" s="577">
        <f t="shared" si="205"/>
        <v>3500000</v>
      </c>
      <c r="L961" s="460"/>
      <c r="M961" s="459"/>
      <c r="N961" s="459"/>
      <c r="O961" s="459"/>
      <c r="P961" s="459">
        <v>3500000</v>
      </c>
      <c r="Q961" s="28">
        <f t="shared" si="184"/>
        <v>0</v>
      </c>
      <c r="R961" s="197"/>
      <c r="S961" s="197">
        <v>44530</v>
      </c>
      <c r="T961" s="199">
        <v>14</v>
      </c>
      <c r="U961" s="24">
        <f t="shared" si="207"/>
        <v>44540</v>
      </c>
      <c r="V961" s="5" t="s">
        <v>2670</v>
      </c>
      <c r="W961"/>
      <c r="X961"/>
      <c r="Y961"/>
      <c r="Z961"/>
      <c r="AA961"/>
      <c r="AB961"/>
      <c r="AC961"/>
      <c r="AD961"/>
      <c r="AE961"/>
      <c r="AF961"/>
      <c r="AG961"/>
      <c r="AH961"/>
      <c r="AI961"/>
      <c r="AJ961"/>
      <c r="AK961"/>
      <c r="AL961"/>
      <c r="AM961"/>
      <c r="AN961"/>
      <c r="AO961"/>
      <c r="AP961"/>
      <c r="AQ961"/>
    </row>
    <row r="962" spans="1:43" s="10" customFormat="1" ht="15.75" customHeight="1" x14ac:dyDescent="0.25">
      <c r="A962" s="55">
        <f t="shared" si="208"/>
        <v>80</v>
      </c>
      <c r="B962" s="470">
        <v>44529</v>
      </c>
      <c r="C962" s="448">
        <v>406156</v>
      </c>
      <c r="D962" s="332" t="s">
        <v>2673</v>
      </c>
      <c r="E962" s="58"/>
      <c r="F962" s="123" t="s">
        <v>2671</v>
      </c>
      <c r="G962" s="334" t="s">
        <v>988</v>
      </c>
      <c r="H962" s="45">
        <v>1746000</v>
      </c>
      <c r="I962" s="380" t="s">
        <v>2672</v>
      </c>
      <c r="J962" s="507">
        <v>44529</v>
      </c>
      <c r="K962" s="577">
        <f t="shared" si="205"/>
        <v>1746000</v>
      </c>
      <c r="L962" s="460"/>
      <c r="M962" s="459"/>
      <c r="N962" s="459"/>
      <c r="O962" s="459"/>
      <c r="P962" s="459">
        <v>1746000</v>
      </c>
      <c r="Q962" s="28">
        <f t="shared" si="184"/>
        <v>0</v>
      </c>
      <c r="R962" s="199"/>
      <c r="S962" s="197">
        <v>44199</v>
      </c>
      <c r="T962" s="199">
        <v>14</v>
      </c>
      <c r="U962" s="24">
        <f t="shared" si="207"/>
        <v>44543</v>
      </c>
      <c r="V962" s="5" t="s">
        <v>2674</v>
      </c>
      <c r="W962"/>
      <c r="X962"/>
      <c r="Y962"/>
      <c r="Z962"/>
      <c r="AA962"/>
      <c r="AB962"/>
      <c r="AC962"/>
      <c r="AD962"/>
      <c r="AE962"/>
      <c r="AF962"/>
      <c r="AG962"/>
      <c r="AH962"/>
      <c r="AI962"/>
      <c r="AJ962"/>
      <c r="AK962"/>
      <c r="AL962"/>
      <c r="AM962"/>
      <c r="AN962"/>
      <c r="AO962"/>
      <c r="AP962"/>
      <c r="AQ962"/>
    </row>
    <row r="963" spans="1:43" s="10" customFormat="1" ht="15.75" customHeight="1" x14ac:dyDescent="0.25">
      <c r="A963" s="55">
        <f t="shared" si="208"/>
        <v>81</v>
      </c>
      <c r="B963" s="470">
        <v>44529</v>
      </c>
      <c r="C963" s="448"/>
      <c r="D963" s="332" t="s">
        <v>2743</v>
      </c>
      <c r="E963" s="58"/>
      <c r="F963" s="123" t="s">
        <v>1451</v>
      </c>
      <c r="G963" s="334" t="s">
        <v>653</v>
      </c>
      <c r="H963" s="45">
        <v>4000000</v>
      </c>
      <c r="I963" s="380" t="s">
        <v>2741</v>
      </c>
      <c r="J963" s="507">
        <v>44529</v>
      </c>
      <c r="K963" s="577">
        <f t="shared" si="205"/>
        <v>4000000</v>
      </c>
      <c r="L963" s="460"/>
      <c r="M963" s="459"/>
      <c r="N963" s="459"/>
      <c r="O963" s="459"/>
      <c r="P963" s="459">
        <v>4000000</v>
      </c>
      <c r="Q963" s="28">
        <f t="shared" si="184"/>
        <v>0</v>
      </c>
      <c r="R963" s="199"/>
      <c r="S963" s="197">
        <v>44532</v>
      </c>
      <c r="T963" s="199">
        <v>14</v>
      </c>
      <c r="U963" s="24">
        <f t="shared" si="207"/>
        <v>44543</v>
      </c>
      <c r="V963" s="5" t="s">
        <v>2742</v>
      </c>
      <c r="W963"/>
      <c r="X963"/>
      <c r="Y963"/>
      <c r="Z963"/>
      <c r="AA963"/>
      <c r="AB963"/>
      <c r="AC963"/>
      <c r="AD963"/>
      <c r="AE963"/>
      <c r="AF963"/>
      <c r="AG963"/>
      <c r="AH963"/>
      <c r="AI963"/>
      <c r="AJ963"/>
      <c r="AK963"/>
      <c r="AL963"/>
      <c r="AM963"/>
      <c r="AN963"/>
      <c r="AO963"/>
      <c r="AP963"/>
      <c r="AQ963"/>
    </row>
    <row r="964" spans="1:43" s="10" customFormat="1" ht="15.75" customHeight="1" x14ac:dyDescent="0.25">
      <c r="A964" s="55">
        <f t="shared" si="208"/>
        <v>82</v>
      </c>
      <c r="B964" s="470">
        <v>44516</v>
      </c>
      <c r="C964" s="448">
        <v>403821</v>
      </c>
      <c r="D964" s="332" t="s">
        <v>2749</v>
      </c>
      <c r="E964" s="58"/>
      <c r="F964" s="123" t="s">
        <v>2790</v>
      </c>
      <c r="G964" s="334" t="s">
        <v>665</v>
      </c>
      <c r="H964" s="45">
        <v>7304200</v>
      </c>
      <c r="I964" s="380" t="s">
        <v>2748</v>
      </c>
      <c r="J964" s="507">
        <v>44530</v>
      </c>
      <c r="K964" s="615">
        <f t="shared" si="205"/>
        <v>7304200</v>
      </c>
      <c r="L964" s="460">
        <v>1000000</v>
      </c>
      <c r="M964" s="459"/>
      <c r="N964" s="459"/>
      <c r="O964" s="459"/>
      <c r="P964" s="459"/>
      <c r="Q964" s="568">
        <f t="shared" si="184"/>
        <v>6304200</v>
      </c>
      <c r="R964" s="856" t="s">
        <v>2835</v>
      </c>
      <c r="S964" s="480"/>
      <c r="T964" s="199">
        <v>14</v>
      </c>
      <c r="U964" s="24">
        <f t="shared" si="207"/>
        <v>44544</v>
      </c>
      <c r="V964" s="5"/>
      <c r="W964"/>
      <c r="X964"/>
      <c r="Y964"/>
      <c r="Z964"/>
      <c r="AA964"/>
      <c r="AB964"/>
      <c r="AC964"/>
      <c r="AD964"/>
      <c r="AE964"/>
      <c r="AF964"/>
      <c r="AG964"/>
      <c r="AH964"/>
      <c r="AI964"/>
      <c r="AJ964"/>
      <c r="AK964"/>
      <c r="AL964"/>
      <c r="AM964"/>
      <c r="AN964"/>
      <c r="AO964"/>
      <c r="AP964"/>
      <c r="AQ964"/>
    </row>
    <row r="965" spans="1:43" s="10" customFormat="1" ht="15.75" customHeight="1" x14ac:dyDescent="0.25">
      <c r="A965" s="55">
        <f t="shared" si="208"/>
        <v>83</v>
      </c>
      <c r="B965" s="470">
        <v>44524</v>
      </c>
      <c r="C965" s="448">
        <v>406151</v>
      </c>
      <c r="D965" s="332" t="s">
        <v>2751</v>
      </c>
      <c r="E965" s="58"/>
      <c r="F965" s="123" t="s">
        <v>1112</v>
      </c>
      <c r="G965" s="334"/>
      <c r="H965" s="45">
        <v>5000000</v>
      </c>
      <c r="I965" s="380" t="s">
        <v>2750</v>
      </c>
      <c r="J965" s="507">
        <v>44530</v>
      </c>
      <c r="K965" s="615">
        <f t="shared" si="205"/>
        <v>5000000</v>
      </c>
      <c r="L965" s="460">
        <v>3000000</v>
      </c>
      <c r="M965" s="459"/>
      <c r="N965" s="459"/>
      <c r="O965" s="459"/>
      <c r="P965" s="459">
        <v>2000000</v>
      </c>
      <c r="Q965" s="28">
        <f t="shared" si="184"/>
        <v>0</v>
      </c>
      <c r="R965" s="199"/>
      <c r="S965" s="197">
        <v>44557</v>
      </c>
      <c r="T965" s="199">
        <v>14</v>
      </c>
      <c r="U965" s="24">
        <f t="shared" si="207"/>
        <v>44544</v>
      </c>
      <c r="V965" s="5"/>
      <c r="W965"/>
      <c r="X965"/>
      <c r="Y965"/>
      <c r="Z965"/>
      <c r="AA965"/>
      <c r="AB965"/>
      <c r="AC965"/>
      <c r="AD965"/>
      <c r="AE965"/>
      <c r="AF965"/>
      <c r="AG965"/>
      <c r="AH965"/>
      <c r="AI965"/>
      <c r="AJ965"/>
      <c r="AK965"/>
      <c r="AL965"/>
      <c r="AM965"/>
      <c r="AN965"/>
      <c r="AO965"/>
      <c r="AP965"/>
      <c r="AQ965"/>
    </row>
    <row r="966" spans="1:43" s="10" customFormat="1" ht="15.75" customHeight="1" x14ac:dyDescent="0.25">
      <c r="A966" s="55">
        <f t="shared" si="208"/>
        <v>84</v>
      </c>
      <c r="B966" s="470">
        <v>44522</v>
      </c>
      <c r="C966" s="448">
        <v>406069</v>
      </c>
      <c r="D966" s="332" t="s">
        <v>2754</v>
      </c>
      <c r="E966" s="58"/>
      <c r="F966" s="334" t="s">
        <v>2752</v>
      </c>
      <c r="G966" s="334" t="s">
        <v>800</v>
      </c>
      <c r="H966" s="45">
        <v>600000</v>
      </c>
      <c r="I966" s="380" t="s">
        <v>2753</v>
      </c>
      <c r="J966" s="514">
        <v>44531</v>
      </c>
      <c r="K966" s="615">
        <f t="shared" si="205"/>
        <v>600000</v>
      </c>
      <c r="L966" s="460"/>
      <c r="M966" s="459"/>
      <c r="N966" s="459"/>
      <c r="O966" s="459"/>
      <c r="P966" s="459">
        <v>600000</v>
      </c>
      <c r="Q966" s="28">
        <f t="shared" si="184"/>
        <v>0</v>
      </c>
      <c r="R966" s="199"/>
      <c r="S966" s="197">
        <v>44532</v>
      </c>
      <c r="T966" s="199">
        <v>14</v>
      </c>
      <c r="U966" s="24">
        <f t="shared" si="207"/>
        <v>44545</v>
      </c>
      <c r="V966" s="5"/>
      <c r="W966"/>
      <c r="X966"/>
      <c r="Y966"/>
      <c r="Z966"/>
      <c r="AA966"/>
      <c r="AB966"/>
      <c r="AC966"/>
      <c r="AD966"/>
      <c r="AE966"/>
      <c r="AF966"/>
      <c r="AG966"/>
      <c r="AH966"/>
      <c r="AI966"/>
      <c r="AJ966"/>
      <c r="AK966"/>
      <c r="AL966"/>
      <c r="AM966"/>
      <c r="AN966"/>
      <c r="AO966"/>
      <c r="AP966"/>
      <c r="AQ966"/>
    </row>
    <row r="967" spans="1:43" s="10" customFormat="1" ht="15.75" customHeight="1" x14ac:dyDescent="0.25">
      <c r="A967" s="55">
        <f t="shared" si="208"/>
        <v>85</v>
      </c>
      <c r="B967" s="470">
        <v>44512</v>
      </c>
      <c r="C967" s="448">
        <v>402464</v>
      </c>
      <c r="D967" s="332" t="s">
        <v>2757</v>
      </c>
      <c r="E967" s="58"/>
      <c r="F967" s="334" t="s">
        <v>2755</v>
      </c>
      <c r="G967" s="334" t="s">
        <v>467</v>
      </c>
      <c r="H967" s="45">
        <v>772000</v>
      </c>
      <c r="I967" s="380" t="s">
        <v>2756</v>
      </c>
      <c r="J967" s="514">
        <v>44531</v>
      </c>
      <c r="K967" s="615">
        <f t="shared" si="205"/>
        <v>772000</v>
      </c>
      <c r="L967" s="460"/>
      <c r="M967" s="459"/>
      <c r="N967" s="459"/>
      <c r="O967" s="459"/>
      <c r="P967" s="459">
        <v>772000</v>
      </c>
      <c r="Q967" s="28">
        <f t="shared" si="184"/>
        <v>0</v>
      </c>
      <c r="R967" s="199"/>
      <c r="S967" s="197">
        <v>44502</v>
      </c>
      <c r="T967" s="199">
        <v>14</v>
      </c>
      <c r="U967" s="24">
        <f t="shared" si="207"/>
        <v>44545</v>
      </c>
      <c r="V967" s="5"/>
      <c r="W967"/>
      <c r="X967"/>
      <c r="Y967"/>
      <c r="Z967"/>
      <c r="AA967"/>
      <c r="AB967"/>
      <c r="AC967"/>
      <c r="AD967"/>
      <c r="AE967"/>
      <c r="AF967"/>
      <c r="AG967"/>
      <c r="AH967"/>
      <c r="AI967"/>
      <c r="AJ967"/>
      <c r="AK967"/>
      <c r="AL967"/>
      <c r="AM967"/>
      <c r="AN967"/>
      <c r="AO967"/>
      <c r="AP967"/>
      <c r="AQ967"/>
    </row>
    <row r="968" spans="1:43" s="10" customFormat="1" ht="15.75" customHeight="1" x14ac:dyDescent="0.25">
      <c r="A968" s="55">
        <f t="shared" si="208"/>
        <v>86</v>
      </c>
      <c r="B968" s="470">
        <v>44529</v>
      </c>
      <c r="C968" s="448"/>
      <c r="D968" s="448" t="s">
        <v>2759</v>
      </c>
      <c r="E968" s="58"/>
      <c r="F968" s="334" t="s">
        <v>2760</v>
      </c>
      <c r="G968" s="334" t="s">
        <v>2784</v>
      </c>
      <c r="H968" s="45">
        <v>600000</v>
      </c>
      <c r="I968" s="380" t="s">
        <v>2758</v>
      </c>
      <c r="J968" s="514">
        <v>44531</v>
      </c>
      <c r="K968" s="615">
        <f t="shared" si="205"/>
        <v>600000</v>
      </c>
      <c r="L968" s="460"/>
      <c r="M968" s="459"/>
      <c r="N968" s="459"/>
      <c r="O968" s="459"/>
      <c r="P968" s="459">
        <v>600000</v>
      </c>
      <c r="Q968" s="28">
        <f t="shared" si="184"/>
        <v>0</v>
      </c>
      <c r="R968" s="197"/>
      <c r="S968" s="197">
        <v>44529</v>
      </c>
      <c r="T968" s="199">
        <v>14</v>
      </c>
      <c r="U968" s="24">
        <f t="shared" si="207"/>
        <v>44545</v>
      </c>
      <c r="V968" s="5"/>
      <c r="W968"/>
      <c r="X968"/>
      <c r="Y968"/>
      <c r="Z968"/>
      <c r="AA968"/>
      <c r="AB968"/>
      <c r="AC968"/>
      <c r="AD968"/>
      <c r="AE968"/>
      <c r="AF968"/>
      <c r="AG968"/>
      <c r="AH968"/>
      <c r="AI968"/>
      <c r="AJ968"/>
      <c r="AK968"/>
      <c r="AL968"/>
      <c r="AM968"/>
      <c r="AN968"/>
      <c r="AO968"/>
      <c r="AP968"/>
      <c r="AQ968"/>
    </row>
    <row r="969" spans="1:43" s="10" customFormat="1" ht="15.75" customHeight="1" x14ac:dyDescent="0.25">
      <c r="A969" s="55">
        <f t="shared" si="208"/>
        <v>87</v>
      </c>
      <c r="B969" s="470">
        <v>44505</v>
      </c>
      <c r="C969" s="448">
        <v>403454</v>
      </c>
      <c r="D969" s="448" t="s">
        <v>2763</v>
      </c>
      <c r="E969" s="448"/>
      <c r="F969" s="334" t="s">
        <v>1840</v>
      </c>
      <c r="G969" s="334" t="s">
        <v>2762</v>
      </c>
      <c r="H969" s="45">
        <v>7500000</v>
      </c>
      <c r="I969" s="380" t="s">
        <v>2761</v>
      </c>
      <c r="J969" s="514">
        <v>44531</v>
      </c>
      <c r="K969" s="615">
        <f t="shared" si="205"/>
        <v>7500000</v>
      </c>
      <c r="L969" s="460"/>
      <c r="M969" s="459"/>
      <c r="N969" s="459"/>
      <c r="O969" s="459"/>
      <c r="P969" s="459">
        <v>7500000</v>
      </c>
      <c r="Q969" s="28">
        <f t="shared" si="184"/>
        <v>0</v>
      </c>
      <c r="R969" s="859" t="s">
        <v>2889</v>
      </c>
      <c r="S969" s="857"/>
      <c r="T969" s="199">
        <v>30</v>
      </c>
      <c r="U969" s="24">
        <f t="shared" si="207"/>
        <v>44561</v>
      </c>
      <c r="V969" s="5"/>
      <c r="W969"/>
      <c r="X969"/>
      <c r="Y969"/>
      <c r="Z969"/>
      <c r="AA969"/>
      <c r="AB969"/>
      <c r="AC969"/>
      <c r="AD969"/>
      <c r="AE969"/>
      <c r="AF969"/>
      <c r="AG969"/>
      <c r="AH969"/>
      <c r="AI969"/>
      <c r="AJ969"/>
      <c r="AK969"/>
      <c r="AL969"/>
      <c r="AM969"/>
      <c r="AN969"/>
      <c r="AO969"/>
      <c r="AP969"/>
      <c r="AQ969"/>
    </row>
    <row r="970" spans="1:43" s="10" customFormat="1" ht="15.75" x14ac:dyDescent="0.25">
      <c r="A970" s="55">
        <f t="shared" si="208"/>
        <v>88</v>
      </c>
      <c r="B970" s="470">
        <v>44518</v>
      </c>
      <c r="C970" s="448">
        <v>406064</v>
      </c>
      <c r="D970" s="448" t="s">
        <v>2765</v>
      </c>
      <c r="E970" s="448"/>
      <c r="F970" s="334" t="s">
        <v>2766</v>
      </c>
      <c r="G970" s="334" t="s">
        <v>421</v>
      </c>
      <c r="H970" s="45">
        <v>800000</v>
      </c>
      <c r="I970" s="380" t="s">
        <v>2764</v>
      </c>
      <c r="J970" s="514">
        <v>44531</v>
      </c>
      <c r="K970" s="615">
        <f t="shared" si="205"/>
        <v>800000</v>
      </c>
      <c r="L970" s="460"/>
      <c r="M970" s="459"/>
      <c r="N970" s="459"/>
      <c r="O970" s="459"/>
      <c r="P970" s="459">
        <v>800000</v>
      </c>
      <c r="Q970" s="28">
        <f t="shared" ref="Q970" si="209">K970-L970-M970-O970-P970+N970</f>
        <v>0</v>
      </c>
      <c r="R970" s="197"/>
      <c r="S970" s="197">
        <v>44529</v>
      </c>
      <c r="T970" s="199">
        <v>14</v>
      </c>
      <c r="U970" s="24">
        <f t="shared" si="207"/>
        <v>44545</v>
      </c>
      <c r="V970" s="5"/>
      <c r="W970"/>
      <c r="X970"/>
      <c r="Y970"/>
      <c r="Z970"/>
      <c r="AA970"/>
      <c r="AB970"/>
      <c r="AC970"/>
      <c r="AD970"/>
      <c r="AE970"/>
      <c r="AF970"/>
      <c r="AG970"/>
      <c r="AH970"/>
      <c r="AI970"/>
      <c r="AJ970"/>
      <c r="AK970"/>
      <c r="AL970"/>
      <c r="AM970"/>
      <c r="AN970"/>
      <c r="AO970"/>
      <c r="AP970"/>
      <c r="AQ970"/>
    </row>
    <row r="971" spans="1:43" s="10" customFormat="1" ht="15.75" customHeight="1" x14ac:dyDescent="0.25">
      <c r="A971" s="55">
        <f t="shared" si="208"/>
        <v>89</v>
      </c>
      <c r="B971" s="470">
        <v>44511</v>
      </c>
      <c r="C971" s="448"/>
      <c r="D971" s="448" t="s">
        <v>2769</v>
      </c>
      <c r="E971" s="58"/>
      <c r="F971" s="334" t="s">
        <v>2768</v>
      </c>
      <c r="G971" s="334" t="s">
        <v>161</v>
      </c>
      <c r="H971" s="45">
        <v>1200000</v>
      </c>
      <c r="I971" s="380" t="s">
        <v>2767</v>
      </c>
      <c r="J971" s="514">
        <v>44531</v>
      </c>
      <c r="K971" s="615">
        <f t="shared" si="205"/>
        <v>1200000</v>
      </c>
      <c r="L971" s="460"/>
      <c r="M971" s="459"/>
      <c r="N971" s="459"/>
      <c r="O971" s="459"/>
      <c r="P971" s="459">
        <v>1200000</v>
      </c>
      <c r="Q971" s="28">
        <f t="shared" ref="Q971:Q975" si="210">K971-L971-M971-O971-P971+N971</f>
        <v>0</v>
      </c>
      <c r="R971" s="199"/>
      <c r="S971" s="197">
        <v>44529</v>
      </c>
      <c r="T971" s="199">
        <v>30</v>
      </c>
      <c r="U971" s="24">
        <f t="shared" si="207"/>
        <v>44561</v>
      </c>
      <c r="V971" s="5"/>
      <c r="W971"/>
      <c r="X971"/>
      <c r="Y971"/>
      <c r="Z971"/>
      <c r="AA971"/>
      <c r="AB971"/>
      <c r="AC971"/>
      <c r="AD971"/>
      <c r="AE971"/>
      <c r="AF971"/>
      <c r="AG971"/>
      <c r="AH971"/>
      <c r="AI971"/>
      <c r="AJ971"/>
      <c r="AK971"/>
      <c r="AL971"/>
      <c r="AM971"/>
      <c r="AN971"/>
      <c r="AO971"/>
      <c r="AP971"/>
      <c r="AQ971"/>
    </row>
    <row r="972" spans="1:43" s="10" customFormat="1" ht="15.75" customHeight="1" x14ac:dyDescent="0.25">
      <c r="A972" s="55">
        <f t="shared" si="208"/>
        <v>90</v>
      </c>
      <c r="B972" s="470">
        <v>44510</v>
      </c>
      <c r="C972" s="448">
        <v>402462</v>
      </c>
      <c r="D972" s="448" t="s">
        <v>2771</v>
      </c>
      <c r="E972" s="58"/>
      <c r="F972" s="334" t="s">
        <v>2755</v>
      </c>
      <c r="G972" s="334" t="s">
        <v>2772</v>
      </c>
      <c r="H972" s="45">
        <v>12162000</v>
      </c>
      <c r="I972" s="380" t="s">
        <v>2770</v>
      </c>
      <c r="J972" s="514">
        <v>44531</v>
      </c>
      <c r="K972" s="615">
        <f t="shared" si="205"/>
        <v>12162000</v>
      </c>
      <c r="L972" s="615">
        <f>2865000+600000+4809000</f>
        <v>8274000</v>
      </c>
      <c r="M972" s="614"/>
      <c r="N972" s="614"/>
      <c r="O972" s="614"/>
      <c r="P972" s="614">
        <v>3888000</v>
      </c>
      <c r="Q972" s="28">
        <f>K972-L972-M972-O972-P972+N972</f>
        <v>0</v>
      </c>
      <c r="R972" s="197" t="s">
        <v>3132</v>
      </c>
      <c r="S972" s="199" t="s">
        <v>3298</v>
      </c>
      <c r="T972" s="199">
        <v>14</v>
      </c>
      <c r="U972" s="24">
        <f t="shared" si="207"/>
        <v>44545</v>
      </c>
      <c r="V972" s="5"/>
      <c r="W972"/>
      <c r="X972"/>
      <c r="Y972"/>
      <c r="Z972"/>
      <c r="AA972"/>
      <c r="AB972"/>
      <c r="AC972"/>
      <c r="AD972"/>
      <c r="AE972"/>
      <c r="AF972"/>
      <c r="AG972"/>
      <c r="AH972"/>
      <c r="AI972"/>
      <c r="AJ972"/>
      <c r="AK972"/>
      <c r="AL972"/>
      <c r="AM972"/>
      <c r="AN972"/>
      <c r="AO972"/>
      <c r="AP972"/>
      <c r="AQ972"/>
    </row>
    <row r="973" spans="1:43" s="10" customFormat="1" ht="15.75" customHeight="1" x14ac:dyDescent="0.25">
      <c r="A973" s="55">
        <f t="shared" si="208"/>
        <v>91</v>
      </c>
      <c r="B973" s="470">
        <v>44504</v>
      </c>
      <c r="C973" s="448" t="s">
        <v>2775</v>
      </c>
      <c r="D973" s="448" t="s">
        <v>2776</v>
      </c>
      <c r="E973" s="58"/>
      <c r="F973" s="334" t="s">
        <v>2633</v>
      </c>
      <c r="G973" s="334" t="s">
        <v>2774</v>
      </c>
      <c r="H973" s="45">
        <v>8549000</v>
      </c>
      <c r="I973" s="380" t="s">
        <v>2773</v>
      </c>
      <c r="J973" s="514">
        <v>44531</v>
      </c>
      <c r="K973" s="615">
        <f t="shared" si="205"/>
        <v>8549000</v>
      </c>
      <c r="L973" s="615"/>
      <c r="M973" s="614"/>
      <c r="N973" s="614"/>
      <c r="O973" s="614"/>
      <c r="P973" s="614"/>
      <c r="Q973" s="568">
        <f t="shared" si="210"/>
        <v>8549000</v>
      </c>
      <c r="R973" s="199"/>
      <c r="S973" s="199"/>
      <c r="T973" s="199">
        <v>14</v>
      </c>
      <c r="U973" s="24">
        <f t="shared" si="207"/>
        <v>44545</v>
      </c>
      <c r="V973" s="5" t="s">
        <v>3540</v>
      </c>
      <c r="W973"/>
      <c r="X973"/>
      <c r="Y973"/>
      <c r="Z973"/>
      <c r="AA973"/>
      <c r="AB973"/>
      <c r="AC973"/>
      <c r="AD973"/>
      <c r="AE973"/>
      <c r="AF973"/>
      <c r="AG973"/>
      <c r="AH973"/>
      <c r="AI973"/>
      <c r="AJ973"/>
      <c r="AK973"/>
      <c r="AL973"/>
      <c r="AM973"/>
      <c r="AN973"/>
      <c r="AO973"/>
      <c r="AP973"/>
      <c r="AQ973"/>
    </row>
    <row r="974" spans="1:43" s="10" customFormat="1" ht="15.75" customHeight="1" x14ac:dyDescent="0.25">
      <c r="A974" s="55">
        <f t="shared" si="208"/>
        <v>92</v>
      </c>
      <c r="B974" s="470">
        <v>44516</v>
      </c>
      <c r="C974" s="448">
        <v>405783</v>
      </c>
      <c r="D974" s="448" t="s">
        <v>2779</v>
      </c>
      <c r="E974" s="58"/>
      <c r="F974" s="123" t="s">
        <v>2938</v>
      </c>
      <c r="G974" s="334" t="s">
        <v>2778</v>
      </c>
      <c r="H974" s="45">
        <v>12604400</v>
      </c>
      <c r="I974" s="380" t="s">
        <v>2777</v>
      </c>
      <c r="J974" s="514">
        <v>44531</v>
      </c>
      <c r="K974" s="615">
        <f t="shared" si="205"/>
        <v>12604400</v>
      </c>
      <c r="L974" s="615"/>
      <c r="M974" s="614"/>
      <c r="N974" s="614"/>
      <c r="O974" s="614"/>
      <c r="P974" s="614">
        <v>12604400</v>
      </c>
      <c r="Q974" s="28">
        <f t="shared" si="210"/>
        <v>0</v>
      </c>
      <c r="R974" s="199"/>
      <c r="S974" s="197">
        <v>44547</v>
      </c>
      <c r="T974" s="199">
        <v>14</v>
      </c>
      <c r="U974" s="24">
        <f t="shared" si="207"/>
        <v>44545</v>
      </c>
      <c r="V974" s="5"/>
      <c r="W974"/>
      <c r="X974"/>
      <c r="Y974"/>
      <c r="Z974"/>
      <c r="AA974"/>
      <c r="AB974"/>
      <c r="AC974"/>
      <c r="AD974"/>
      <c r="AE974"/>
      <c r="AF974"/>
      <c r="AG974"/>
      <c r="AH974"/>
      <c r="AI974"/>
      <c r="AJ974"/>
      <c r="AK974"/>
      <c r="AL974"/>
      <c r="AM974"/>
      <c r="AN974"/>
      <c r="AO974"/>
      <c r="AP974"/>
      <c r="AQ974"/>
    </row>
    <row r="975" spans="1:43" s="10" customFormat="1" ht="15.75" customHeight="1" x14ac:dyDescent="0.25">
      <c r="A975" s="55">
        <f t="shared" si="208"/>
        <v>93</v>
      </c>
      <c r="B975" s="470">
        <v>44530</v>
      </c>
      <c r="C975" s="448"/>
      <c r="D975" s="448" t="s">
        <v>2792</v>
      </c>
      <c r="E975" s="58"/>
      <c r="F975" s="123" t="s">
        <v>2790</v>
      </c>
      <c r="G975" s="334" t="s">
        <v>544</v>
      </c>
      <c r="H975" s="45">
        <v>2397000</v>
      </c>
      <c r="I975" s="380" t="s">
        <v>2791</v>
      </c>
      <c r="J975" s="514">
        <v>44532</v>
      </c>
      <c r="K975" s="619">
        <f t="shared" si="205"/>
        <v>2397000</v>
      </c>
      <c r="L975" s="619"/>
      <c r="M975" s="618"/>
      <c r="N975" s="618"/>
      <c r="O975" s="618"/>
      <c r="P975" s="618"/>
      <c r="Q975" s="568">
        <f t="shared" si="210"/>
        <v>2397000</v>
      </c>
      <c r="R975" s="199"/>
      <c r="S975" s="197"/>
      <c r="T975" s="199">
        <v>14</v>
      </c>
      <c r="U975" s="24">
        <f t="shared" si="207"/>
        <v>44546</v>
      </c>
      <c r="V975" s="5"/>
      <c r="W975"/>
      <c r="X975"/>
      <c r="Y975"/>
      <c r="Z975"/>
      <c r="AA975"/>
      <c r="AB975"/>
      <c r="AC975"/>
      <c r="AD975"/>
      <c r="AE975"/>
      <c r="AF975"/>
      <c r="AG975"/>
      <c r="AH975"/>
      <c r="AI975"/>
      <c r="AJ975"/>
      <c r="AK975"/>
      <c r="AL975"/>
      <c r="AM975"/>
      <c r="AN975"/>
      <c r="AO975"/>
      <c r="AP975"/>
      <c r="AQ975"/>
    </row>
    <row r="976" spans="1:43" s="10" customFormat="1" ht="15.75" customHeight="1" x14ac:dyDescent="0.25">
      <c r="A976" s="55">
        <f t="shared" si="208"/>
        <v>94</v>
      </c>
      <c r="B976" s="79">
        <v>44516</v>
      </c>
      <c r="C976" s="440"/>
      <c r="D976" s="440" t="s">
        <v>2937</v>
      </c>
      <c r="E976" s="440"/>
      <c r="F976" s="6" t="s">
        <v>2938</v>
      </c>
      <c r="G976" s="33" t="s">
        <v>2940</v>
      </c>
      <c r="H976" s="735">
        <v>20945000</v>
      </c>
      <c r="I976" s="377" t="s">
        <v>2936</v>
      </c>
      <c r="J976" s="301">
        <v>44537</v>
      </c>
      <c r="K976" s="735">
        <f t="shared" ref="K976:K981" si="211">H976</f>
        <v>20945000</v>
      </c>
      <c r="L976" s="735"/>
      <c r="M976" s="719"/>
      <c r="N976" s="28"/>
      <c r="O976" s="28"/>
      <c r="P976" s="719">
        <v>20945000</v>
      </c>
      <c r="Q976" s="28">
        <f t="shared" ref="Q976:Q981" si="212">K976-L976-M976-O976-P976+N976</f>
        <v>0</v>
      </c>
      <c r="R976" s="39"/>
      <c r="S976" s="79">
        <v>44554</v>
      </c>
      <c r="T976" s="55">
        <v>14</v>
      </c>
      <c r="U976" s="24">
        <f t="shared" si="207"/>
        <v>44551</v>
      </c>
      <c r="V976" s="5"/>
      <c r="W976"/>
      <c r="X976"/>
      <c r="Y976"/>
      <c r="Z976"/>
      <c r="AA976"/>
      <c r="AB976"/>
      <c r="AC976"/>
      <c r="AD976"/>
      <c r="AE976"/>
      <c r="AF976"/>
      <c r="AG976"/>
      <c r="AH976"/>
      <c r="AI976"/>
      <c r="AJ976"/>
      <c r="AK976"/>
      <c r="AL976"/>
      <c r="AM976"/>
      <c r="AN976"/>
      <c r="AO976"/>
      <c r="AP976"/>
      <c r="AQ976"/>
    </row>
    <row r="977" spans="1:43" s="10" customFormat="1" ht="15.75" customHeight="1" x14ac:dyDescent="0.25">
      <c r="A977" s="55">
        <f t="shared" si="208"/>
        <v>95</v>
      </c>
      <c r="B977" s="56">
        <v>44503</v>
      </c>
      <c r="C977" s="58"/>
      <c r="D977" s="58" t="s">
        <v>2955</v>
      </c>
      <c r="E977" s="58" t="s">
        <v>2983</v>
      </c>
      <c r="F977" s="123" t="s">
        <v>933</v>
      </c>
      <c r="G977" s="334" t="s">
        <v>2984</v>
      </c>
      <c r="H977" s="45">
        <v>400000</v>
      </c>
      <c r="I977" s="380" t="s">
        <v>2982</v>
      </c>
      <c r="J977" s="301">
        <v>44545</v>
      </c>
      <c r="K977" s="719">
        <f t="shared" si="211"/>
        <v>400000</v>
      </c>
      <c r="L977" s="719"/>
      <c r="M977" s="718"/>
      <c r="N977" s="28"/>
      <c r="O977" s="28"/>
      <c r="P977" s="718">
        <v>400000</v>
      </c>
      <c r="Q977" s="28">
        <f t="shared" si="212"/>
        <v>0</v>
      </c>
      <c r="R977" s="199"/>
      <c r="S977" s="197">
        <v>44568</v>
      </c>
      <c r="T977" s="2">
        <v>14</v>
      </c>
      <c r="U977" s="24">
        <f t="shared" si="207"/>
        <v>44559</v>
      </c>
      <c r="V977" s="7"/>
      <c r="W977"/>
      <c r="X977"/>
      <c r="Y977"/>
      <c r="Z977"/>
      <c r="AA977"/>
      <c r="AB977"/>
      <c r="AC977"/>
      <c r="AD977"/>
      <c r="AE977"/>
      <c r="AF977"/>
      <c r="AG977"/>
      <c r="AH977"/>
      <c r="AI977"/>
      <c r="AJ977"/>
      <c r="AK977"/>
      <c r="AL977"/>
      <c r="AM977"/>
      <c r="AN977"/>
      <c r="AO977"/>
      <c r="AP977"/>
      <c r="AQ977"/>
    </row>
    <row r="978" spans="1:43" s="10" customFormat="1" ht="15.75" customHeight="1" x14ac:dyDescent="0.25">
      <c r="A978" s="55">
        <f t="shared" si="208"/>
        <v>96</v>
      </c>
      <c r="B978" s="56">
        <v>44530</v>
      </c>
      <c r="C978" s="58">
        <v>406086</v>
      </c>
      <c r="D978" s="58" t="s">
        <v>2987</v>
      </c>
      <c r="E978" s="58"/>
      <c r="F978" s="123" t="s">
        <v>2985</v>
      </c>
      <c r="G978" s="334" t="s">
        <v>2986</v>
      </c>
      <c r="H978" s="45">
        <v>15400000</v>
      </c>
      <c r="I978" s="380" t="s">
        <v>2917</v>
      </c>
      <c r="J978" s="301">
        <v>44545</v>
      </c>
      <c r="K978" s="719">
        <f t="shared" si="211"/>
        <v>15400000</v>
      </c>
      <c r="L978" s="719">
        <f>8000000+1600000</f>
        <v>9600000</v>
      </c>
      <c r="M978" s="718">
        <v>700000</v>
      </c>
      <c r="N978" s="28"/>
      <c r="O978" s="28"/>
      <c r="P978" s="718">
        <v>5100000</v>
      </c>
      <c r="Q978" s="28">
        <f t="shared" si="212"/>
        <v>0</v>
      </c>
      <c r="R978" s="197" t="s">
        <v>3066</v>
      </c>
      <c r="S978" s="197">
        <v>44561</v>
      </c>
      <c r="T978" s="199">
        <v>14</v>
      </c>
      <c r="U978" s="24">
        <f t="shared" si="207"/>
        <v>44559</v>
      </c>
      <c r="V978" s="7"/>
      <c r="W978"/>
      <c r="X978"/>
      <c r="Y978"/>
      <c r="Z978"/>
      <c r="AA978"/>
      <c r="AB978"/>
      <c r="AC978"/>
      <c r="AD978"/>
      <c r="AE978"/>
      <c r="AF978"/>
      <c r="AG978"/>
      <c r="AH978"/>
      <c r="AI978"/>
      <c r="AJ978"/>
      <c r="AK978"/>
      <c r="AL978"/>
      <c r="AM978"/>
      <c r="AN978"/>
      <c r="AO978"/>
      <c r="AP978"/>
      <c r="AQ978"/>
    </row>
    <row r="979" spans="1:43" s="10" customFormat="1" ht="15.75" customHeight="1" x14ac:dyDescent="0.25">
      <c r="A979" s="55">
        <f t="shared" si="208"/>
        <v>97</v>
      </c>
      <c r="B979" s="56">
        <v>44518</v>
      </c>
      <c r="C979" s="58">
        <v>406066</v>
      </c>
      <c r="D979" s="58" t="s">
        <v>2991</v>
      </c>
      <c r="E979" s="58"/>
      <c r="F979" s="123" t="s">
        <v>2938</v>
      </c>
      <c r="G979" s="334" t="s">
        <v>2990</v>
      </c>
      <c r="H979" s="45">
        <v>6286800</v>
      </c>
      <c r="I979" s="380" t="s">
        <v>2989</v>
      </c>
      <c r="J979" s="301">
        <v>44546</v>
      </c>
      <c r="K979" s="719">
        <f t="shared" si="211"/>
        <v>6286800</v>
      </c>
      <c r="L979" s="719"/>
      <c r="M979" s="718"/>
      <c r="N979" s="28"/>
      <c r="O979" s="28"/>
      <c r="P979" s="718">
        <v>6286800</v>
      </c>
      <c r="Q979" s="28">
        <f t="shared" si="212"/>
        <v>0</v>
      </c>
      <c r="R979" s="199"/>
      <c r="S979" s="197">
        <v>44554</v>
      </c>
      <c r="T979" s="199">
        <v>14</v>
      </c>
      <c r="U979" s="24">
        <f t="shared" si="207"/>
        <v>44560</v>
      </c>
      <c r="V979" s="7"/>
      <c r="W979"/>
      <c r="X979"/>
      <c r="Y979"/>
      <c r="Z979"/>
      <c r="AA979"/>
      <c r="AB979"/>
      <c r="AC979"/>
      <c r="AD979"/>
      <c r="AE979"/>
      <c r="AF979"/>
      <c r="AG979"/>
      <c r="AH979"/>
      <c r="AI979"/>
      <c r="AJ979"/>
      <c r="AK979"/>
      <c r="AL979"/>
      <c r="AM979"/>
      <c r="AN979"/>
      <c r="AO979"/>
      <c r="AP979"/>
      <c r="AQ979"/>
    </row>
    <row r="980" spans="1:43" s="10" customFormat="1" ht="15.75" customHeight="1" x14ac:dyDescent="0.25">
      <c r="A980" s="55">
        <f t="shared" si="208"/>
        <v>98</v>
      </c>
      <c r="B980" s="56">
        <v>44515</v>
      </c>
      <c r="C980" s="58">
        <v>405786</v>
      </c>
      <c r="D980" s="58" t="s">
        <v>2976</v>
      </c>
      <c r="E980" s="58"/>
      <c r="F980" s="123" t="s">
        <v>2938</v>
      </c>
      <c r="G980" s="334" t="s">
        <v>2975</v>
      </c>
      <c r="H980" s="45">
        <v>19930200</v>
      </c>
      <c r="I980" s="380" t="s">
        <v>2974</v>
      </c>
      <c r="J980" s="301">
        <v>44544</v>
      </c>
      <c r="K980" s="719">
        <f t="shared" si="211"/>
        <v>19930200</v>
      </c>
      <c r="L980" s="719"/>
      <c r="M980" s="718"/>
      <c r="N980" s="718"/>
      <c r="O980" s="718"/>
      <c r="P980" s="718">
        <v>19930200</v>
      </c>
      <c r="Q980" s="28">
        <f t="shared" si="212"/>
        <v>0</v>
      </c>
      <c r="R980" s="199"/>
      <c r="S980" s="197">
        <v>44554</v>
      </c>
      <c r="T980" s="199">
        <v>14</v>
      </c>
      <c r="U980" s="24">
        <f t="shared" si="207"/>
        <v>44558</v>
      </c>
      <c r="V980" s="7"/>
      <c r="W980"/>
      <c r="X980"/>
      <c r="Y980"/>
      <c r="Z980"/>
      <c r="AA980"/>
      <c r="AB980"/>
      <c r="AC980"/>
      <c r="AD980"/>
      <c r="AE980"/>
      <c r="AF980"/>
      <c r="AG980"/>
      <c r="AH980"/>
      <c r="AI980"/>
      <c r="AJ980"/>
      <c r="AK980"/>
      <c r="AL980"/>
      <c r="AM980"/>
      <c r="AN980"/>
      <c r="AO980"/>
      <c r="AP980"/>
      <c r="AQ980"/>
    </row>
    <row r="981" spans="1:43" s="10" customFormat="1" ht="15.75" customHeight="1" x14ac:dyDescent="0.25">
      <c r="A981" s="55">
        <f t="shared" si="208"/>
        <v>99</v>
      </c>
      <c r="B981" s="56">
        <v>44504</v>
      </c>
      <c r="C981" s="58" t="s">
        <v>2968</v>
      </c>
      <c r="D981" s="58" t="s">
        <v>2969</v>
      </c>
      <c r="E981" s="58" t="s">
        <v>2967</v>
      </c>
      <c r="F981" s="123" t="s">
        <v>2694</v>
      </c>
      <c r="G981" s="334" t="s">
        <v>2696</v>
      </c>
      <c r="H981" s="45">
        <v>270400</v>
      </c>
      <c r="I981" s="380" t="s">
        <v>2966</v>
      </c>
      <c r="J981" s="301">
        <v>44543</v>
      </c>
      <c r="K981" s="719">
        <f t="shared" si="211"/>
        <v>270400</v>
      </c>
      <c r="L981" s="719"/>
      <c r="M981" s="718"/>
      <c r="N981" s="28"/>
      <c r="O981" s="28"/>
      <c r="P981" s="718">
        <v>270400</v>
      </c>
      <c r="Q981" s="28">
        <f t="shared" si="212"/>
        <v>0</v>
      </c>
      <c r="R981" s="743"/>
      <c r="S981" s="474">
        <v>44558</v>
      </c>
      <c r="T981" s="199">
        <v>14</v>
      </c>
      <c r="U981" s="24">
        <f t="shared" si="207"/>
        <v>44557</v>
      </c>
      <c r="V981" s="7"/>
      <c r="W981"/>
      <c r="X981"/>
      <c r="Y981"/>
      <c r="Z981"/>
      <c r="AA981"/>
      <c r="AB981"/>
      <c r="AC981"/>
      <c r="AD981"/>
      <c r="AE981"/>
      <c r="AF981"/>
      <c r="AG981"/>
      <c r="AH981"/>
      <c r="AI981"/>
      <c r="AJ981"/>
      <c r="AK981"/>
      <c r="AL981"/>
      <c r="AM981"/>
      <c r="AN981"/>
      <c r="AO981"/>
      <c r="AP981"/>
      <c r="AQ981"/>
    </row>
    <row r="982" spans="1:43" s="10" customFormat="1" ht="15.75" customHeight="1" x14ac:dyDescent="0.25">
      <c r="A982" s="55">
        <f>A981+1</f>
        <v>100</v>
      </c>
      <c r="B982" s="470">
        <v>44523</v>
      </c>
      <c r="C982" s="448">
        <v>404353</v>
      </c>
      <c r="D982" s="332" t="s">
        <v>3112</v>
      </c>
      <c r="E982" s="58"/>
      <c r="F982" s="31" t="s">
        <v>3113</v>
      </c>
      <c r="G982" s="334" t="s">
        <v>2789</v>
      </c>
      <c r="H982" s="45">
        <v>166000000</v>
      </c>
      <c r="I982" s="380" t="s">
        <v>3111</v>
      </c>
      <c r="J982" s="301">
        <v>44550</v>
      </c>
      <c r="K982" s="719">
        <f>H982</f>
        <v>166000000</v>
      </c>
      <c r="L982" s="719">
        <v>10000000</v>
      </c>
      <c r="M982" s="718">
        <v>51250000</v>
      </c>
      <c r="N982" s="718"/>
      <c r="O982" s="718"/>
      <c r="P982" s="718">
        <f>P1180/2</f>
        <v>104750000</v>
      </c>
      <c r="Q982" s="28">
        <f>K982-L982-M982-O982-P982+N982</f>
        <v>0</v>
      </c>
      <c r="R982" s="197">
        <v>44645</v>
      </c>
      <c r="S982" s="197">
        <v>44644</v>
      </c>
      <c r="T982" s="199">
        <v>60</v>
      </c>
      <c r="U982" s="24">
        <f t="shared" si="207"/>
        <v>44610</v>
      </c>
      <c r="V982"/>
      <c r="W982"/>
      <c r="X982"/>
      <c r="Y982"/>
      <c r="Z982"/>
      <c r="AA982"/>
      <c r="AB982"/>
      <c r="AC982"/>
      <c r="AD982"/>
      <c r="AE982"/>
      <c r="AF982"/>
      <c r="AG982"/>
      <c r="AH982"/>
      <c r="AI982"/>
      <c r="AJ982"/>
      <c r="AK982"/>
      <c r="AL982"/>
      <c r="AM982"/>
      <c r="AN982"/>
      <c r="AO982"/>
      <c r="AP982"/>
      <c r="AQ982"/>
    </row>
    <row r="983" spans="1:43" s="10" customFormat="1" ht="15.75" customHeight="1" x14ac:dyDescent="0.25">
      <c r="A983" s="55">
        <f t="shared" si="208"/>
        <v>101</v>
      </c>
      <c r="B983" s="470">
        <v>44526</v>
      </c>
      <c r="C983" s="448">
        <v>406153</v>
      </c>
      <c r="D983" s="332" t="s">
        <v>3123</v>
      </c>
      <c r="E983" s="58"/>
      <c r="F983" s="123" t="s">
        <v>3122</v>
      </c>
      <c r="G983" s="334" t="s">
        <v>503</v>
      </c>
      <c r="H983" s="45">
        <v>15000000</v>
      </c>
      <c r="I983" s="380" t="s">
        <v>3121</v>
      </c>
      <c r="J983" s="301">
        <v>44550</v>
      </c>
      <c r="K983" s="719">
        <f>H983</f>
        <v>15000000</v>
      </c>
      <c r="L983" s="719"/>
      <c r="M983" s="718"/>
      <c r="N983" s="718"/>
      <c r="O983" s="718"/>
      <c r="P983" s="718">
        <v>15000000</v>
      </c>
      <c r="Q983" s="28">
        <f>K983-L983-M983-O983-P983+N983</f>
        <v>0</v>
      </c>
      <c r="R983" s="197"/>
      <c r="S983" s="197">
        <v>44560</v>
      </c>
      <c r="T983" s="199">
        <v>30</v>
      </c>
      <c r="U983" s="24">
        <f t="shared" si="207"/>
        <v>44580</v>
      </c>
      <c r="V983" s="5"/>
      <c r="W983"/>
      <c r="X983"/>
      <c r="Y983"/>
      <c r="Z983"/>
      <c r="AA983"/>
      <c r="AB983"/>
      <c r="AC983"/>
      <c r="AD983"/>
      <c r="AE983"/>
      <c r="AF983"/>
      <c r="AG983"/>
      <c r="AH983"/>
      <c r="AI983"/>
      <c r="AJ983"/>
      <c r="AK983"/>
      <c r="AL983"/>
      <c r="AM983"/>
      <c r="AN983"/>
      <c r="AO983"/>
      <c r="AP983"/>
      <c r="AQ983"/>
    </row>
    <row r="984" spans="1:43" s="10" customFormat="1" ht="15.75" customHeight="1" x14ac:dyDescent="0.25">
      <c r="A984" s="55">
        <f t="shared" si="208"/>
        <v>102</v>
      </c>
      <c r="B984" s="56">
        <v>44529</v>
      </c>
      <c r="C984" s="58">
        <v>406103</v>
      </c>
      <c r="D984" s="58" t="s">
        <v>3143</v>
      </c>
      <c r="E984" s="58"/>
      <c r="F984" s="31" t="s">
        <v>3113</v>
      </c>
      <c r="G984" s="333" t="s">
        <v>2789</v>
      </c>
      <c r="H984" s="45">
        <v>127000000</v>
      </c>
      <c r="I984" s="380" t="s">
        <v>3142</v>
      </c>
      <c r="J984" s="301">
        <v>44550</v>
      </c>
      <c r="K984" s="619">
        <f t="shared" si="205"/>
        <v>127000000</v>
      </c>
      <c r="L984" s="460">
        <v>10000000</v>
      </c>
      <c r="M984" s="459">
        <v>12250000</v>
      </c>
      <c r="N984" s="459"/>
      <c r="O984" s="459"/>
      <c r="P984" s="459">
        <v>104750000</v>
      </c>
      <c r="Q984" s="28">
        <f>K984-L984-M984-O984-P984+N984</f>
        <v>0</v>
      </c>
      <c r="R984" s="197">
        <v>44644</v>
      </c>
      <c r="S984" s="197">
        <v>44644</v>
      </c>
      <c r="T984" s="199">
        <v>60</v>
      </c>
      <c r="U984" s="24">
        <f t="shared" si="207"/>
        <v>44610</v>
      </c>
      <c r="V984" s="5"/>
      <c r="W984"/>
      <c r="X984"/>
      <c r="Y984"/>
      <c r="Z984"/>
      <c r="AA984"/>
      <c r="AB984"/>
      <c r="AC984"/>
      <c r="AD984"/>
      <c r="AE984"/>
      <c r="AF984"/>
      <c r="AG984"/>
      <c r="AH984"/>
      <c r="AI984"/>
      <c r="AJ984"/>
      <c r="AK984"/>
      <c r="AL984"/>
      <c r="AM984"/>
      <c r="AN984"/>
      <c r="AO984"/>
      <c r="AP984"/>
      <c r="AQ984"/>
    </row>
    <row r="985" spans="1:43" s="10" customFormat="1" ht="15.75" customHeight="1" x14ac:dyDescent="0.25">
      <c r="A985" s="55">
        <f t="shared" si="208"/>
        <v>103</v>
      </c>
      <c r="B985" s="633">
        <v>44511</v>
      </c>
      <c r="C985" s="755">
        <v>403820</v>
      </c>
      <c r="D985" s="756" t="s">
        <v>3382</v>
      </c>
      <c r="E985" s="330"/>
      <c r="F985" s="33" t="s">
        <v>933</v>
      </c>
      <c r="G985" s="404" t="s">
        <v>2984</v>
      </c>
      <c r="H985" s="45">
        <v>3403000</v>
      </c>
      <c r="I985" s="377" t="s">
        <v>3381</v>
      </c>
      <c r="J985" s="774">
        <v>44567</v>
      </c>
      <c r="K985" s="790">
        <f t="shared" si="205"/>
        <v>3403000</v>
      </c>
      <c r="L985" s="763"/>
      <c r="M985" s="763"/>
      <c r="N985" s="763"/>
      <c r="O985" s="763"/>
      <c r="P985" s="763">
        <v>3403000</v>
      </c>
      <c r="Q985" s="28">
        <f>K985-L985-M985-O985-P985+N985</f>
        <v>0</v>
      </c>
      <c r="R985" s="301"/>
      <c r="S985" s="197">
        <v>44587</v>
      </c>
      <c r="T985" s="2">
        <v>14</v>
      </c>
      <c r="U985" s="24">
        <f t="shared" si="207"/>
        <v>44581</v>
      </c>
      <c r="V985" s="7"/>
      <c r="W985"/>
      <c r="X985"/>
      <c r="Y985"/>
      <c r="Z985"/>
      <c r="AA985"/>
      <c r="AB985"/>
      <c r="AC985"/>
      <c r="AD985"/>
      <c r="AE985"/>
      <c r="AF985"/>
      <c r="AG985"/>
      <c r="AH985"/>
      <c r="AI985"/>
      <c r="AJ985"/>
      <c r="AK985"/>
      <c r="AL985"/>
      <c r="AM985"/>
      <c r="AN985"/>
      <c r="AO985"/>
      <c r="AP985"/>
      <c r="AQ985"/>
    </row>
    <row r="986" spans="1:43" s="10" customFormat="1" ht="15.75" customHeight="1" x14ac:dyDescent="0.25">
      <c r="A986" s="55">
        <f t="shared" si="208"/>
        <v>104</v>
      </c>
      <c r="B986" s="633">
        <v>44511</v>
      </c>
      <c r="C986" s="755">
        <v>403819</v>
      </c>
      <c r="D986" s="815" t="s">
        <v>3382</v>
      </c>
      <c r="E986" s="330"/>
      <c r="F986" s="33" t="s">
        <v>933</v>
      </c>
      <c r="G986" s="404" t="s">
        <v>3528</v>
      </c>
      <c r="H986" s="45">
        <v>780000</v>
      </c>
      <c r="I986" s="377" t="s">
        <v>3524</v>
      </c>
      <c r="J986" s="774">
        <v>44587</v>
      </c>
      <c r="K986" s="814">
        <f t="shared" si="205"/>
        <v>780000</v>
      </c>
      <c r="L986" s="814"/>
      <c r="M986" s="814"/>
      <c r="N986" s="814"/>
      <c r="O986" s="814"/>
      <c r="P986" s="814">
        <v>780000</v>
      </c>
      <c r="Q986" s="28">
        <f>K986-L986-M986-O986-P986+N986</f>
        <v>0</v>
      </c>
      <c r="R986" s="301"/>
      <c r="S986" s="197">
        <v>44587</v>
      </c>
      <c r="T986" s="2"/>
      <c r="U986" s="24"/>
      <c r="V986" s="7"/>
      <c r="W986"/>
      <c r="X986"/>
      <c r="Y986"/>
      <c r="Z986"/>
      <c r="AA986"/>
      <c r="AB986"/>
      <c r="AC986"/>
      <c r="AD986"/>
      <c r="AE986"/>
      <c r="AF986"/>
      <c r="AG986"/>
      <c r="AH986"/>
      <c r="AI986"/>
      <c r="AJ986"/>
      <c r="AK986"/>
      <c r="AL986"/>
      <c r="AM986"/>
      <c r="AN986"/>
      <c r="AO986"/>
      <c r="AP986"/>
      <c r="AQ986"/>
    </row>
    <row r="987" spans="1:43" s="10" customFormat="1" ht="15.75" customHeight="1" x14ac:dyDescent="0.25">
      <c r="A987" s="55">
        <f t="shared" si="208"/>
        <v>105</v>
      </c>
      <c r="B987" s="633">
        <v>44515</v>
      </c>
      <c r="C987" s="755">
        <v>402469</v>
      </c>
      <c r="D987" s="755">
        <v>297</v>
      </c>
      <c r="E987" s="330"/>
      <c r="F987" s="33" t="s">
        <v>933</v>
      </c>
      <c r="G987" s="404" t="s">
        <v>3529</v>
      </c>
      <c r="H987" s="45">
        <v>230000</v>
      </c>
      <c r="I987" s="377" t="s">
        <v>3524</v>
      </c>
      <c r="J987" s="774">
        <v>44587</v>
      </c>
      <c r="K987" s="814">
        <f t="shared" si="205"/>
        <v>230000</v>
      </c>
      <c r="L987" s="814"/>
      <c r="M987" s="814"/>
      <c r="N987" s="814"/>
      <c r="O987" s="814"/>
      <c r="P987" s="814">
        <v>230000</v>
      </c>
      <c r="Q987" s="28">
        <f t="shared" ref="Q987:Q989" si="213">K987-L987-M987-O987-P987+N987</f>
        <v>0</v>
      </c>
      <c r="R987" s="301"/>
      <c r="S987" s="197">
        <v>44587</v>
      </c>
      <c r="T987" s="2"/>
      <c r="U987" s="24"/>
      <c r="V987" s="7"/>
      <c r="W987"/>
      <c r="X987"/>
      <c r="Y987"/>
      <c r="Z987"/>
      <c r="AA987"/>
      <c r="AB987"/>
      <c r="AC987"/>
      <c r="AD987"/>
      <c r="AE987"/>
      <c r="AF987"/>
      <c r="AG987"/>
      <c r="AH987"/>
      <c r="AI987"/>
      <c r="AJ987"/>
      <c r="AK987"/>
      <c r="AL987"/>
      <c r="AM987"/>
      <c r="AN987"/>
      <c r="AO987"/>
      <c r="AP987"/>
      <c r="AQ987"/>
    </row>
    <row r="988" spans="1:43" s="10" customFormat="1" ht="15.75" customHeight="1" x14ac:dyDescent="0.25">
      <c r="A988" s="55"/>
      <c r="B988" s="633">
        <v>44515</v>
      </c>
      <c r="C988" s="755">
        <v>405787</v>
      </c>
      <c r="D988" s="788" t="s">
        <v>4035</v>
      </c>
      <c r="E988" s="330"/>
      <c r="F988" s="33" t="s">
        <v>2938</v>
      </c>
      <c r="G988" s="404" t="s">
        <v>4036</v>
      </c>
      <c r="H988" s="45">
        <v>9378700</v>
      </c>
      <c r="I988" s="377" t="s">
        <v>4034</v>
      </c>
      <c r="J988" s="774">
        <v>44621</v>
      </c>
      <c r="K988" s="866">
        <f>H988</f>
        <v>9378700</v>
      </c>
      <c r="L988" s="866"/>
      <c r="M988" s="866"/>
      <c r="N988" s="866"/>
      <c r="O988" s="866"/>
      <c r="P988" s="866"/>
      <c r="Q988" s="28"/>
      <c r="R988" s="55"/>
      <c r="S988" s="301"/>
      <c r="T988" s="55"/>
      <c r="U988" s="24"/>
      <c r="V988" s="5"/>
      <c r="W988"/>
      <c r="X988"/>
      <c r="Y988"/>
      <c r="Z988"/>
      <c r="AA988"/>
      <c r="AB988"/>
      <c r="AC988"/>
      <c r="AD988"/>
      <c r="AE988"/>
      <c r="AF988"/>
      <c r="AG988"/>
      <c r="AH988"/>
      <c r="AI988"/>
      <c r="AJ988"/>
      <c r="AK988"/>
      <c r="AL988"/>
      <c r="AM988"/>
      <c r="AN988"/>
      <c r="AO988"/>
      <c r="AP988"/>
      <c r="AQ988"/>
    </row>
    <row r="989" spans="1:43" s="10" customFormat="1" ht="15.75" customHeight="1" x14ac:dyDescent="0.25">
      <c r="A989" s="55">
        <f>A987+1</f>
        <v>106</v>
      </c>
      <c r="B989" s="633">
        <v>44520</v>
      </c>
      <c r="C989" s="755">
        <v>406067</v>
      </c>
      <c r="D989" s="756"/>
      <c r="E989" s="330"/>
      <c r="F989" s="33" t="s">
        <v>3375</v>
      </c>
      <c r="G989" s="404" t="s">
        <v>2289</v>
      </c>
      <c r="H989" s="45">
        <v>5500000</v>
      </c>
      <c r="I989" s="377" t="s">
        <v>3374</v>
      </c>
      <c r="J989" s="774">
        <v>44566</v>
      </c>
      <c r="K989" s="790">
        <f t="shared" si="205"/>
        <v>5500000</v>
      </c>
      <c r="L989" s="763"/>
      <c r="M989" s="763"/>
      <c r="N989" s="763"/>
      <c r="O989" s="763"/>
      <c r="P989" s="763">
        <v>5500000</v>
      </c>
      <c r="Q989" s="28">
        <f t="shared" si="213"/>
        <v>0</v>
      </c>
      <c r="R989" s="301"/>
      <c r="S989" s="301">
        <v>44575</v>
      </c>
      <c r="T989" s="55">
        <v>14</v>
      </c>
      <c r="U989" s="24">
        <f t="shared" si="207"/>
        <v>44580</v>
      </c>
      <c r="V989" s="7"/>
      <c r="W989"/>
      <c r="X989"/>
      <c r="Y989"/>
      <c r="Z989"/>
      <c r="AA989"/>
      <c r="AB989"/>
      <c r="AC989"/>
      <c r="AD989"/>
      <c r="AE989"/>
      <c r="AF989"/>
      <c r="AG989"/>
      <c r="AH989"/>
      <c r="AI989"/>
      <c r="AJ989"/>
      <c r="AK989"/>
      <c r="AL989"/>
      <c r="AM989"/>
      <c r="AN989"/>
      <c r="AO989"/>
      <c r="AP989"/>
      <c r="AQ989"/>
    </row>
    <row r="990" spans="1:43" s="10" customFormat="1" ht="32.25" customHeight="1" x14ac:dyDescent="0.25">
      <c r="A990" s="966" t="s">
        <v>2387</v>
      </c>
      <c r="B990" s="975"/>
      <c r="C990" s="975"/>
      <c r="D990" s="975"/>
      <c r="E990" s="975"/>
      <c r="F990" s="975"/>
      <c r="G990" s="975"/>
      <c r="H990" s="665"/>
      <c r="I990" s="449"/>
      <c r="J990" s="496"/>
      <c r="K990" s="449"/>
      <c r="L990" s="449"/>
      <c r="M990" s="449"/>
      <c r="N990" s="449"/>
      <c r="O990" s="449"/>
      <c r="P990" s="450"/>
      <c r="Q990" s="451">
        <f>SUM(Q882:Q984)</f>
        <v>31583139.000000011</v>
      </c>
      <c r="R990" s="452"/>
      <c r="S990" s="452"/>
      <c r="T990" s="432"/>
      <c r="U990" s="724"/>
      <c r="V990"/>
      <c r="W990"/>
      <c r="X990"/>
      <c r="Y990"/>
      <c r="Z990"/>
      <c r="AA990"/>
      <c r="AB990"/>
      <c r="AC990"/>
      <c r="AD990"/>
      <c r="AE990"/>
      <c r="AF990"/>
      <c r="AG990"/>
      <c r="AH990"/>
      <c r="AI990"/>
      <c r="AJ990"/>
      <c r="AK990"/>
      <c r="AL990"/>
      <c r="AM990"/>
      <c r="AN990"/>
      <c r="AO990"/>
      <c r="AP990"/>
      <c r="AQ990"/>
    </row>
    <row r="991" spans="1:43" s="10" customFormat="1" ht="15.75" customHeight="1" x14ac:dyDescent="0.25">
      <c r="A991" s="55">
        <v>1</v>
      </c>
      <c r="B991" s="470">
        <v>44531</v>
      </c>
      <c r="C991" s="448"/>
      <c r="D991" s="448" t="s">
        <v>3299</v>
      </c>
      <c r="E991" s="58"/>
      <c r="F991" s="123" t="s">
        <v>401</v>
      </c>
      <c r="G991" s="334" t="s">
        <v>521</v>
      </c>
      <c r="H991" s="45">
        <v>11850000</v>
      </c>
      <c r="I991" s="380" t="s">
        <v>3300</v>
      </c>
      <c r="J991" s="514">
        <v>44539</v>
      </c>
      <c r="K991" s="759">
        <f>H991</f>
        <v>11850000</v>
      </c>
      <c r="L991" s="759"/>
      <c r="M991" s="758"/>
      <c r="N991" s="758">
        <f>K991*1%</f>
        <v>118500</v>
      </c>
      <c r="O991" s="758">
        <f>K991*2%</f>
        <v>237000</v>
      </c>
      <c r="P991" s="758">
        <v>11731500</v>
      </c>
      <c r="Q991" s="28">
        <f>K991-L991-M991-O991-P991+N991</f>
        <v>0</v>
      </c>
      <c r="R991" s="474"/>
      <c r="S991" s="474"/>
      <c r="T991" s="199">
        <v>14</v>
      </c>
      <c r="U991" s="24">
        <f t="shared" ref="U991:U1066" si="214">J991+T991</f>
        <v>44553</v>
      </c>
      <c r="V991"/>
      <c r="W991"/>
      <c r="X991"/>
      <c r="Y991"/>
      <c r="Z991"/>
      <c r="AA991"/>
      <c r="AB991"/>
      <c r="AC991"/>
      <c r="AD991"/>
      <c r="AE991"/>
      <c r="AF991"/>
      <c r="AG991"/>
      <c r="AH991"/>
      <c r="AI991"/>
      <c r="AJ991"/>
      <c r="AK991"/>
      <c r="AL991"/>
      <c r="AM991"/>
      <c r="AN991"/>
      <c r="AO991"/>
      <c r="AP991"/>
      <c r="AQ991"/>
    </row>
    <row r="992" spans="1:43" s="10" customFormat="1" ht="15.75" customHeight="1" x14ac:dyDescent="0.25">
      <c r="A992" s="55">
        <f>A991+1</f>
        <v>2</v>
      </c>
      <c r="B992" s="470">
        <v>44531</v>
      </c>
      <c r="C992" s="448" t="s">
        <v>3028</v>
      </c>
      <c r="D992" s="448">
        <v>500</v>
      </c>
      <c r="E992" s="58" t="s">
        <v>3027</v>
      </c>
      <c r="F992" s="123" t="s">
        <v>2694</v>
      </c>
      <c r="G992" s="334" t="s">
        <v>3026</v>
      </c>
      <c r="H992" s="45">
        <v>900000</v>
      </c>
      <c r="I992" s="380" t="s">
        <v>3025</v>
      </c>
      <c r="J992" s="514">
        <v>44541</v>
      </c>
      <c r="K992" s="719">
        <f>H992</f>
        <v>900000</v>
      </c>
      <c r="L992" s="719"/>
      <c r="M992" s="718">
        <v>27592</v>
      </c>
      <c r="N992" s="718">
        <f>K992*1%</f>
        <v>9000</v>
      </c>
      <c r="O992" s="718">
        <f>K992*2%</f>
        <v>18000</v>
      </c>
      <c r="P992" s="718">
        <v>863408</v>
      </c>
      <c r="Q992" s="28">
        <f>K992-L992-M992-O992-P992+N992</f>
        <v>0</v>
      </c>
      <c r="R992" s="474"/>
      <c r="S992" s="474">
        <v>44554</v>
      </c>
      <c r="T992" s="199">
        <v>14</v>
      </c>
      <c r="U992" s="24">
        <f t="shared" si="214"/>
        <v>44555</v>
      </c>
      <c r="V992"/>
      <c r="W992"/>
      <c r="X992"/>
      <c r="Y992"/>
      <c r="Z992"/>
      <c r="AA992"/>
      <c r="AB992"/>
      <c r="AC992"/>
      <c r="AD992"/>
      <c r="AE992"/>
      <c r="AF992"/>
      <c r="AG992"/>
      <c r="AH992"/>
      <c r="AI992"/>
      <c r="AJ992"/>
      <c r="AK992"/>
      <c r="AL992"/>
      <c r="AM992"/>
      <c r="AN992"/>
      <c r="AO992"/>
      <c r="AP992"/>
      <c r="AQ992"/>
    </row>
    <row r="993" spans="1:43" s="10" customFormat="1" ht="15.75" customHeight="1" x14ac:dyDescent="0.25">
      <c r="A993" s="55">
        <f t="shared" ref="A993:A1068" si="215">A992+1</f>
        <v>3</v>
      </c>
      <c r="B993" s="470">
        <v>44533</v>
      </c>
      <c r="C993" s="448" t="s">
        <v>3035</v>
      </c>
      <c r="D993" s="448">
        <v>508</v>
      </c>
      <c r="E993" s="58" t="s">
        <v>3034</v>
      </c>
      <c r="F993" s="123" t="s">
        <v>2694</v>
      </c>
      <c r="G993" s="334" t="s">
        <v>954</v>
      </c>
      <c r="H993" s="45">
        <v>2000000</v>
      </c>
      <c r="I993" s="380" t="s">
        <v>3033</v>
      </c>
      <c r="J993" s="514">
        <v>44541</v>
      </c>
      <c r="K993" s="719">
        <f>H993</f>
        <v>2000000</v>
      </c>
      <c r="L993" s="719">
        <v>975000</v>
      </c>
      <c r="M993" s="718">
        <v>62575</v>
      </c>
      <c r="N993" s="718">
        <f>K993*1%</f>
        <v>20000</v>
      </c>
      <c r="O993" s="718">
        <f>K993*2%</f>
        <v>40000</v>
      </c>
      <c r="P993" s="718">
        <v>942425</v>
      </c>
      <c r="Q993" s="28">
        <f>K993-L993-M993-O993-P993+N993</f>
        <v>0</v>
      </c>
      <c r="R993" s="474">
        <v>44536</v>
      </c>
      <c r="S993" s="474">
        <v>44554</v>
      </c>
      <c r="T993" s="199">
        <v>14</v>
      </c>
      <c r="U993" s="24">
        <f t="shared" si="214"/>
        <v>44555</v>
      </c>
      <c r="V993"/>
      <c r="W993"/>
      <c r="X993"/>
      <c r="Y993"/>
      <c r="Z993"/>
      <c r="AA993"/>
      <c r="AB993"/>
      <c r="AC993"/>
      <c r="AD993"/>
      <c r="AE993"/>
      <c r="AF993"/>
      <c r="AG993"/>
      <c r="AH993"/>
      <c r="AI993"/>
      <c r="AJ993"/>
      <c r="AK993"/>
      <c r="AL993"/>
      <c r="AM993"/>
      <c r="AN993"/>
      <c r="AO993"/>
      <c r="AP993"/>
      <c r="AQ993"/>
    </row>
    <row r="994" spans="1:43" s="10" customFormat="1" ht="15.75" customHeight="1" x14ac:dyDescent="0.25">
      <c r="A994" s="55">
        <f t="shared" si="215"/>
        <v>4</v>
      </c>
      <c r="B994" s="470">
        <v>44534</v>
      </c>
      <c r="C994" s="448" t="s">
        <v>3043</v>
      </c>
      <c r="D994" s="448">
        <v>528</v>
      </c>
      <c r="E994" s="58" t="s">
        <v>3042</v>
      </c>
      <c r="F994" s="123" t="s">
        <v>2694</v>
      </c>
      <c r="G994" s="334" t="s">
        <v>3041</v>
      </c>
      <c r="H994" s="45">
        <v>800000</v>
      </c>
      <c r="I994" s="380" t="s">
        <v>3040</v>
      </c>
      <c r="J994" s="514">
        <v>44541</v>
      </c>
      <c r="K994" s="719">
        <f>H994</f>
        <v>800000</v>
      </c>
      <c r="L994" s="719"/>
      <c r="M994" s="718">
        <v>25860</v>
      </c>
      <c r="N994" s="718">
        <f>K994*1%</f>
        <v>8000</v>
      </c>
      <c r="O994" s="718">
        <f>K994*2%</f>
        <v>16000</v>
      </c>
      <c r="P994" s="718">
        <v>766140</v>
      </c>
      <c r="Q994" s="28">
        <f t="shared" ref="Q994" si="216">K994-L994-M994-O994-P994+N994</f>
        <v>0</v>
      </c>
      <c r="R994" s="167"/>
      <c r="S994" s="474">
        <v>44554</v>
      </c>
      <c r="T994" s="199">
        <v>14</v>
      </c>
      <c r="U994" s="24">
        <f t="shared" si="214"/>
        <v>44555</v>
      </c>
      <c r="V994"/>
      <c r="W994"/>
      <c r="X994"/>
      <c r="Y994"/>
      <c r="Z994"/>
      <c r="AA994"/>
      <c r="AB994"/>
      <c r="AC994"/>
      <c r="AD994"/>
      <c r="AE994"/>
      <c r="AF994"/>
      <c r="AG994"/>
      <c r="AH994"/>
      <c r="AI994"/>
      <c r="AJ994"/>
      <c r="AK994"/>
      <c r="AL994"/>
      <c r="AM994"/>
      <c r="AN994"/>
      <c r="AO994"/>
      <c r="AP994"/>
      <c r="AQ994"/>
    </row>
    <row r="995" spans="1:43" s="10" customFormat="1" ht="15.75" customHeight="1" x14ac:dyDescent="0.25">
      <c r="A995" s="55">
        <f t="shared" si="215"/>
        <v>5</v>
      </c>
      <c r="B995" s="470">
        <v>44533</v>
      </c>
      <c r="C995" s="448">
        <v>402281</v>
      </c>
      <c r="D995" s="448" t="s">
        <v>3056</v>
      </c>
      <c r="E995" s="58"/>
      <c r="F995" s="69" t="s">
        <v>279</v>
      </c>
      <c r="G995" s="334" t="s">
        <v>417</v>
      </c>
      <c r="H995" s="45">
        <v>1881188</v>
      </c>
      <c r="I995" s="380" t="s">
        <v>3055</v>
      </c>
      <c r="J995" s="514">
        <v>44543</v>
      </c>
      <c r="K995" s="719">
        <f t="shared" ref="K995:K1013" si="217">H995</f>
        <v>1881188</v>
      </c>
      <c r="L995" s="719"/>
      <c r="M995" s="718"/>
      <c r="N995" s="28">
        <f t="shared" ref="N995:N997" si="218">K995*1%</f>
        <v>18811.88</v>
      </c>
      <c r="O995" s="28">
        <f t="shared" ref="O995:O997" si="219">K995*2%</f>
        <v>37623.760000000002</v>
      </c>
      <c r="P995" s="718">
        <v>1862376.1199999999</v>
      </c>
      <c r="Q995" s="28">
        <f t="shared" ref="Q995:Q1070" si="220">K995-L995-M995-O995-P995+N995</f>
        <v>1.127773430198431E-10</v>
      </c>
      <c r="R995" s="199"/>
      <c r="S995" s="197">
        <v>44572</v>
      </c>
      <c r="T995" s="199">
        <v>30</v>
      </c>
      <c r="U995" s="24">
        <f t="shared" si="214"/>
        <v>44573</v>
      </c>
      <c r="V995"/>
      <c r="W995"/>
      <c r="X995"/>
      <c r="Y995"/>
      <c r="Z995"/>
      <c r="AA995"/>
      <c r="AB995"/>
      <c r="AC995"/>
      <c r="AD995"/>
      <c r="AE995"/>
      <c r="AF995"/>
      <c r="AG995"/>
      <c r="AH995"/>
      <c r="AI995"/>
      <c r="AJ995"/>
      <c r="AK995"/>
      <c r="AL995"/>
      <c r="AM995"/>
      <c r="AN995"/>
      <c r="AO995"/>
      <c r="AP995"/>
      <c r="AQ995"/>
    </row>
    <row r="996" spans="1:43" s="10" customFormat="1" ht="15.75" customHeight="1" x14ac:dyDescent="0.25">
      <c r="A996" s="55">
        <f t="shared" si="215"/>
        <v>6</v>
      </c>
      <c r="B996" s="470">
        <v>44536</v>
      </c>
      <c r="C996" s="448">
        <v>403687</v>
      </c>
      <c r="D996" s="448" t="s">
        <v>3058</v>
      </c>
      <c r="E996" s="58"/>
      <c r="F996" s="69" t="s">
        <v>279</v>
      </c>
      <c r="G996" s="334" t="s">
        <v>1252</v>
      </c>
      <c r="H996" s="45">
        <v>792079</v>
      </c>
      <c r="I996" s="380" t="s">
        <v>3057</v>
      </c>
      <c r="J996" s="514">
        <v>44543</v>
      </c>
      <c r="K996" s="719">
        <f t="shared" si="217"/>
        <v>792079</v>
      </c>
      <c r="L996" s="719"/>
      <c r="M996" s="718"/>
      <c r="N996" s="28">
        <f t="shared" si="218"/>
        <v>7920.79</v>
      </c>
      <c r="O996" s="28">
        <f t="shared" si="219"/>
        <v>15841.58</v>
      </c>
      <c r="P996" s="718">
        <v>784158.21000000008</v>
      </c>
      <c r="Q996" s="28">
        <f t="shared" si="220"/>
        <v>-3.7289282772690058E-11</v>
      </c>
      <c r="R996" s="199"/>
      <c r="S996" s="197">
        <v>44572</v>
      </c>
      <c r="T996" s="199">
        <v>30</v>
      </c>
      <c r="U996" s="24">
        <f t="shared" si="214"/>
        <v>44573</v>
      </c>
      <c r="V996"/>
      <c r="W996"/>
      <c r="X996"/>
      <c r="Y996"/>
      <c r="Z996"/>
      <c r="AA996"/>
      <c r="AB996"/>
      <c r="AC996"/>
      <c r="AD996"/>
      <c r="AE996"/>
      <c r="AF996"/>
      <c r="AG996"/>
      <c r="AH996"/>
      <c r="AI996"/>
      <c r="AJ996"/>
      <c r="AK996"/>
      <c r="AL996"/>
      <c r="AM996"/>
      <c r="AN996"/>
      <c r="AO996"/>
      <c r="AP996"/>
      <c r="AQ996"/>
    </row>
    <row r="997" spans="1:43" s="10" customFormat="1" ht="15.75" customHeight="1" x14ac:dyDescent="0.25">
      <c r="A997" s="55">
        <f t="shared" si="215"/>
        <v>7</v>
      </c>
      <c r="B997" s="470">
        <v>44538</v>
      </c>
      <c r="C997" s="448">
        <v>403469</v>
      </c>
      <c r="D997" s="448" t="s">
        <v>3062</v>
      </c>
      <c r="E997" s="58"/>
      <c r="F997" s="69" t="s">
        <v>279</v>
      </c>
      <c r="G997" s="334" t="s">
        <v>417</v>
      </c>
      <c r="H997" s="45">
        <v>1980198</v>
      </c>
      <c r="I997" s="380" t="s">
        <v>3059</v>
      </c>
      <c r="J997" s="514">
        <v>44543</v>
      </c>
      <c r="K997" s="719">
        <f t="shared" si="217"/>
        <v>1980198</v>
      </c>
      <c r="L997" s="719"/>
      <c r="M997" s="718"/>
      <c r="N997" s="28">
        <f t="shared" si="218"/>
        <v>19801.98</v>
      </c>
      <c r="O997" s="28">
        <f t="shared" si="219"/>
        <v>39603.96</v>
      </c>
      <c r="P997" s="718">
        <v>1960396.02</v>
      </c>
      <c r="Q997" s="28">
        <f t="shared" si="220"/>
        <v>0</v>
      </c>
      <c r="R997" s="199"/>
      <c r="S997" s="197">
        <v>44572</v>
      </c>
      <c r="T997" s="199">
        <v>30</v>
      </c>
      <c r="U997" s="24">
        <f t="shared" si="214"/>
        <v>44573</v>
      </c>
      <c r="V997"/>
      <c r="W997"/>
      <c r="X997"/>
      <c r="Y997"/>
      <c r="Z997"/>
      <c r="AA997"/>
      <c r="AB997"/>
      <c r="AC997"/>
      <c r="AD997"/>
      <c r="AE997"/>
      <c r="AF997"/>
      <c r="AG997"/>
      <c r="AH997"/>
      <c r="AI997"/>
      <c r="AJ997"/>
      <c r="AK997"/>
      <c r="AL997"/>
      <c r="AM997"/>
      <c r="AN997"/>
      <c r="AO997"/>
      <c r="AP997"/>
      <c r="AQ997"/>
    </row>
    <row r="998" spans="1:43" s="10" customFormat="1" ht="15.75" customHeight="1" x14ac:dyDescent="0.25">
      <c r="A998" s="55">
        <f t="shared" si="215"/>
        <v>8</v>
      </c>
      <c r="B998" s="470">
        <v>44545</v>
      </c>
      <c r="C998" s="448">
        <v>403475</v>
      </c>
      <c r="D998" s="448" t="s">
        <v>3134</v>
      </c>
      <c r="E998" s="58"/>
      <c r="F998" s="69" t="s">
        <v>279</v>
      </c>
      <c r="G998" s="334" t="s">
        <v>417</v>
      </c>
      <c r="H998" s="45">
        <v>1980198</v>
      </c>
      <c r="I998" s="380" t="s">
        <v>3133</v>
      </c>
      <c r="J998" s="514">
        <v>44552</v>
      </c>
      <c r="K998" s="735">
        <f t="shared" si="217"/>
        <v>1980198</v>
      </c>
      <c r="L998" s="719"/>
      <c r="M998" s="718"/>
      <c r="N998" s="28">
        <f t="shared" ref="N998" si="221">K998*1%</f>
        <v>19801.98</v>
      </c>
      <c r="O998" s="28">
        <f t="shared" ref="O998" si="222">K998*2%</f>
        <v>39603.96</v>
      </c>
      <c r="P998" s="718">
        <v>1960396.02</v>
      </c>
      <c r="Q998" s="28">
        <f t="shared" si="220"/>
        <v>0</v>
      </c>
      <c r="R998" s="199"/>
      <c r="S998" s="197">
        <v>44585</v>
      </c>
      <c r="T998" s="199">
        <v>30</v>
      </c>
      <c r="U998" s="24">
        <f t="shared" si="214"/>
        <v>44582</v>
      </c>
      <c r="V998"/>
      <c r="W998"/>
      <c r="X998"/>
      <c r="Y998"/>
      <c r="Z998"/>
      <c r="AA998"/>
      <c r="AB998"/>
      <c r="AC998"/>
      <c r="AD998"/>
      <c r="AE998"/>
      <c r="AF998"/>
      <c r="AG998"/>
      <c r="AH998"/>
      <c r="AI998"/>
      <c r="AJ998"/>
      <c r="AK998"/>
      <c r="AL998"/>
      <c r="AM998"/>
      <c r="AN998"/>
      <c r="AO998"/>
      <c r="AP998"/>
      <c r="AQ998"/>
    </row>
    <row r="999" spans="1:43" s="10" customFormat="1" ht="15.75" customHeight="1" x14ac:dyDescent="0.25">
      <c r="A999" s="55">
        <f t="shared" si="215"/>
        <v>9</v>
      </c>
      <c r="B999" s="470">
        <v>44545</v>
      </c>
      <c r="C999" s="448">
        <v>403479</v>
      </c>
      <c r="D999" s="448" t="s">
        <v>3136</v>
      </c>
      <c r="E999" s="58"/>
      <c r="F999" s="69" t="s">
        <v>279</v>
      </c>
      <c r="G999" s="334" t="s">
        <v>702</v>
      </c>
      <c r="H999" s="45">
        <v>2277228</v>
      </c>
      <c r="I999" s="380" t="s">
        <v>3135</v>
      </c>
      <c r="J999" s="514">
        <v>44552</v>
      </c>
      <c r="K999" s="735">
        <f t="shared" si="217"/>
        <v>2277228</v>
      </c>
      <c r="L999" s="719"/>
      <c r="M999" s="718"/>
      <c r="N999" s="28">
        <f t="shared" ref="N999" si="223">K999*1%</f>
        <v>22772.28</v>
      </c>
      <c r="O999" s="28">
        <f t="shared" ref="O999" si="224">K999*2%</f>
        <v>45544.56</v>
      </c>
      <c r="P999" s="718">
        <v>2254455.7199999997</v>
      </c>
      <c r="Q999" s="28">
        <f t="shared" si="220"/>
        <v>2.0372681319713593E-10</v>
      </c>
      <c r="R999" s="199"/>
      <c r="S999" s="197">
        <v>44585</v>
      </c>
      <c r="T999" s="199">
        <v>30</v>
      </c>
      <c r="U999" s="24">
        <f t="shared" si="214"/>
        <v>44582</v>
      </c>
      <c r="V999"/>
      <c r="W999"/>
      <c r="X999"/>
      <c r="Y999"/>
      <c r="Z999"/>
      <c r="AA999"/>
      <c r="AB999"/>
      <c r="AC999"/>
      <c r="AD999"/>
      <c r="AE999"/>
      <c r="AF999"/>
      <c r="AG999"/>
      <c r="AH999"/>
      <c r="AI999"/>
      <c r="AJ999"/>
      <c r="AK999"/>
      <c r="AL999"/>
      <c r="AM999"/>
      <c r="AN999"/>
      <c r="AO999"/>
      <c r="AP999"/>
      <c r="AQ999"/>
    </row>
    <row r="1000" spans="1:43" s="10" customFormat="1" ht="15.75" customHeight="1" x14ac:dyDescent="0.25">
      <c r="A1000" s="55">
        <f t="shared" si="215"/>
        <v>10</v>
      </c>
      <c r="B1000" s="470">
        <v>44547</v>
      </c>
      <c r="C1000" s="448">
        <v>404396</v>
      </c>
      <c r="D1000" s="448" t="s">
        <v>3164</v>
      </c>
      <c r="E1000" s="58"/>
      <c r="F1000" s="69" t="s">
        <v>115</v>
      </c>
      <c r="G1000" s="334" t="s">
        <v>155</v>
      </c>
      <c r="H1000" s="45">
        <v>6858000</v>
      </c>
      <c r="I1000" s="380" t="s">
        <v>3163</v>
      </c>
      <c r="J1000" s="514">
        <v>44558</v>
      </c>
      <c r="K1000" s="747">
        <f t="shared" si="217"/>
        <v>6858000</v>
      </c>
      <c r="L1000" s="747"/>
      <c r="M1000" s="746"/>
      <c r="N1000" s="28">
        <v>68580</v>
      </c>
      <c r="O1000" s="28">
        <v>137160</v>
      </c>
      <c r="P1000" s="746">
        <v>6789420</v>
      </c>
      <c r="Q1000" s="28">
        <f t="shared" si="220"/>
        <v>0</v>
      </c>
      <c r="R1000" s="199"/>
      <c r="S1000" s="197">
        <v>44207</v>
      </c>
      <c r="T1000" s="199">
        <v>14</v>
      </c>
      <c r="U1000" s="24">
        <f t="shared" si="214"/>
        <v>44572</v>
      </c>
      <c r="V1000"/>
      <c r="W1000"/>
      <c r="X1000"/>
      <c r="Y1000"/>
      <c r="Z1000"/>
      <c r="AA1000"/>
      <c r="AB1000"/>
      <c r="AC1000"/>
      <c r="AD1000"/>
      <c r="AE1000"/>
      <c r="AF1000"/>
      <c r="AG1000"/>
      <c r="AH1000"/>
      <c r="AI1000"/>
      <c r="AJ1000"/>
      <c r="AK1000"/>
      <c r="AL1000"/>
      <c r="AM1000"/>
      <c r="AN1000"/>
      <c r="AO1000"/>
      <c r="AP1000"/>
      <c r="AQ1000"/>
    </row>
    <row r="1001" spans="1:43" s="10" customFormat="1" ht="15.75" customHeight="1" x14ac:dyDescent="0.25">
      <c r="A1001" s="55">
        <f t="shared" si="215"/>
        <v>11</v>
      </c>
      <c r="B1001" s="470">
        <v>44552</v>
      </c>
      <c r="C1001" s="448">
        <v>403483</v>
      </c>
      <c r="D1001" s="448" t="s">
        <v>3168</v>
      </c>
      <c r="E1001" s="58"/>
      <c r="F1001" s="69" t="s">
        <v>279</v>
      </c>
      <c r="G1001" s="334" t="s">
        <v>417</v>
      </c>
      <c r="H1001" s="45">
        <v>1980198</v>
      </c>
      <c r="I1001" s="380" t="s">
        <v>3165</v>
      </c>
      <c r="J1001" s="514">
        <v>44558</v>
      </c>
      <c r="K1001" s="747">
        <f t="shared" si="217"/>
        <v>1980198</v>
      </c>
      <c r="L1001" s="747"/>
      <c r="M1001" s="746"/>
      <c r="N1001" s="28">
        <v>19801.98</v>
      </c>
      <c r="O1001" s="28">
        <v>39603.96</v>
      </c>
      <c r="P1001" s="746">
        <v>1960396.02</v>
      </c>
      <c r="Q1001" s="28">
        <f t="shared" si="220"/>
        <v>0</v>
      </c>
      <c r="R1001" s="199"/>
      <c r="S1001" s="197">
        <v>44585</v>
      </c>
      <c r="T1001" s="199">
        <v>30</v>
      </c>
      <c r="U1001" s="24">
        <f t="shared" si="214"/>
        <v>44588</v>
      </c>
      <c r="V1001"/>
      <c r="W1001"/>
      <c r="X1001"/>
      <c r="Y1001"/>
      <c r="Z1001"/>
      <c r="AA1001"/>
      <c r="AB1001"/>
      <c r="AC1001"/>
      <c r="AD1001"/>
      <c r="AE1001"/>
      <c r="AF1001"/>
      <c r="AG1001"/>
      <c r="AH1001"/>
      <c r="AI1001"/>
      <c r="AJ1001"/>
      <c r="AK1001"/>
      <c r="AL1001"/>
      <c r="AM1001"/>
      <c r="AN1001"/>
      <c r="AO1001"/>
      <c r="AP1001"/>
      <c r="AQ1001"/>
    </row>
    <row r="1002" spans="1:43" s="10" customFormat="1" ht="15.75" customHeight="1" x14ac:dyDescent="0.25">
      <c r="A1002" s="55">
        <f t="shared" si="215"/>
        <v>12</v>
      </c>
      <c r="B1002" s="470">
        <v>44550</v>
      </c>
      <c r="C1002" s="448">
        <v>403482</v>
      </c>
      <c r="D1002" s="448" t="s">
        <v>3167</v>
      </c>
      <c r="E1002" s="58"/>
      <c r="F1002" s="69" t="s">
        <v>279</v>
      </c>
      <c r="G1002" s="334" t="s">
        <v>1252</v>
      </c>
      <c r="H1002" s="45">
        <v>1188119</v>
      </c>
      <c r="I1002" s="380" t="s">
        <v>3166</v>
      </c>
      <c r="J1002" s="514">
        <v>44558</v>
      </c>
      <c r="K1002" s="747">
        <f t="shared" si="217"/>
        <v>1188119</v>
      </c>
      <c r="L1002" s="747"/>
      <c r="M1002" s="746"/>
      <c r="N1002" s="28">
        <f>K1002*1%</f>
        <v>11881.19</v>
      </c>
      <c r="O1002" s="28">
        <f>K1002*2%</f>
        <v>23762.38</v>
      </c>
      <c r="P1002" s="746">
        <v>1176237.81</v>
      </c>
      <c r="Q1002" s="28">
        <f t="shared" si="220"/>
        <v>5.6388671509921551E-11</v>
      </c>
      <c r="R1002" s="199"/>
      <c r="S1002" s="197">
        <v>44585</v>
      </c>
      <c r="T1002" s="199">
        <v>30</v>
      </c>
      <c r="U1002" s="24">
        <f t="shared" si="214"/>
        <v>44588</v>
      </c>
      <c r="V1002"/>
      <c r="W1002"/>
      <c r="X1002"/>
      <c r="Y1002"/>
      <c r="Z1002"/>
      <c r="AA1002"/>
      <c r="AB1002"/>
      <c r="AC1002"/>
      <c r="AD1002"/>
      <c r="AE1002"/>
      <c r="AF1002"/>
      <c r="AG1002"/>
      <c r="AH1002"/>
      <c r="AI1002"/>
      <c r="AJ1002"/>
      <c r="AK1002"/>
      <c r="AL1002"/>
      <c r="AM1002"/>
      <c r="AN1002"/>
      <c r="AO1002"/>
      <c r="AP1002"/>
      <c r="AQ1002"/>
    </row>
    <row r="1003" spans="1:43" s="10" customFormat="1" ht="15.75" customHeight="1" x14ac:dyDescent="0.25">
      <c r="A1003" s="55">
        <f t="shared" si="215"/>
        <v>13</v>
      </c>
      <c r="B1003" s="470">
        <v>44550</v>
      </c>
      <c r="C1003" s="448" t="s">
        <v>3189</v>
      </c>
      <c r="D1003" s="448" t="s">
        <v>3190</v>
      </c>
      <c r="E1003" s="58" t="s">
        <v>3230</v>
      </c>
      <c r="F1003" s="123" t="s">
        <v>2694</v>
      </c>
      <c r="G1003" s="334" t="s">
        <v>3188</v>
      </c>
      <c r="H1003" s="45">
        <v>900000</v>
      </c>
      <c r="I1003" s="380" t="s">
        <v>3187</v>
      </c>
      <c r="J1003" s="514">
        <v>44560</v>
      </c>
      <c r="K1003" s="749">
        <f t="shared" si="217"/>
        <v>900000</v>
      </c>
      <c r="L1003" s="747"/>
      <c r="M1003" s="746">
        <v>27593</v>
      </c>
      <c r="N1003" s="28">
        <f t="shared" ref="N1003:N1012" si="225">K1003*1%</f>
        <v>9000</v>
      </c>
      <c r="O1003" s="28">
        <f t="shared" ref="O1003:O1012" si="226">K1003*2%</f>
        <v>18000</v>
      </c>
      <c r="P1003" s="746">
        <v>863407</v>
      </c>
      <c r="Q1003" s="28">
        <f t="shared" si="220"/>
        <v>0</v>
      </c>
      <c r="R1003" s="199"/>
      <c r="S1003" s="197">
        <v>44574</v>
      </c>
      <c r="T1003" s="199">
        <v>14</v>
      </c>
      <c r="U1003" s="24">
        <f t="shared" si="214"/>
        <v>44574</v>
      </c>
      <c r="V1003"/>
      <c r="W1003"/>
      <c r="X1003"/>
      <c r="Y1003"/>
      <c r="Z1003"/>
      <c r="AA1003"/>
      <c r="AB1003"/>
      <c r="AC1003"/>
      <c r="AD1003"/>
      <c r="AE1003"/>
      <c r="AF1003"/>
      <c r="AG1003"/>
      <c r="AH1003"/>
      <c r="AI1003"/>
      <c r="AJ1003"/>
      <c r="AK1003"/>
      <c r="AL1003"/>
      <c r="AM1003"/>
      <c r="AN1003"/>
      <c r="AO1003"/>
      <c r="AP1003"/>
      <c r="AQ1003"/>
    </row>
    <row r="1004" spans="1:43" s="10" customFormat="1" ht="15.75" customHeight="1" x14ac:dyDescent="0.25">
      <c r="A1004" s="55">
        <f t="shared" si="215"/>
        <v>14</v>
      </c>
      <c r="B1004" s="470">
        <v>44545</v>
      </c>
      <c r="C1004" s="448" t="s">
        <v>3192</v>
      </c>
      <c r="D1004" s="448">
        <v>679</v>
      </c>
      <c r="E1004" s="58" t="s">
        <v>3231</v>
      </c>
      <c r="F1004" s="123" t="s">
        <v>2694</v>
      </c>
      <c r="G1004" s="334" t="s">
        <v>3193</v>
      </c>
      <c r="H1004" s="45">
        <v>4500000</v>
      </c>
      <c r="I1004" s="380" t="s">
        <v>3191</v>
      </c>
      <c r="J1004" s="514">
        <v>44560</v>
      </c>
      <c r="K1004" s="749">
        <f t="shared" si="217"/>
        <v>4500000</v>
      </c>
      <c r="L1004" s="747">
        <v>2153750</v>
      </c>
      <c r="M1004" s="746">
        <v>134669</v>
      </c>
      <c r="N1004" s="28">
        <f t="shared" si="225"/>
        <v>45000</v>
      </c>
      <c r="O1004" s="28">
        <f t="shared" si="226"/>
        <v>90000</v>
      </c>
      <c r="P1004" s="746">
        <v>2166581</v>
      </c>
      <c r="Q1004" s="28">
        <f t="shared" si="220"/>
        <v>0</v>
      </c>
      <c r="R1004" s="197">
        <v>44546</v>
      </c>
      <c r="S1004" s="197">
        <v>44574</v>
      </c>
      <c r="T1004" s="199">
        <v>14</v>
      </c>
      <c r="U1004" s="24">
        <f t="shared" si="214"/>
        <v>44574</v>
      </c>
      <c r="V1004"/>
      <c r="W1004"/>
      <c r="X1004"/>
      <c r="Y1004"/>
      <c r="Z1004"/>
      <c r="AA1004"/>
      <c r="AB1004"/>
      <c r="AC1004"/>
      <c r="AD1004"/>
      <c r="AE1004"/>
      <c r="AF1004"/>
      <c r="AG1004"/>
      <c r="AH1004"/>
      <c r="AI1004"/>
      <c r="AJ1004"/>
      <c r="AK1004"/>
      <c r="AL1004"/>
      <c r="AM1004"/>
      <c r="AN1004"/>
      <c r="AO1004"/>
      <c r="AP1004"/>
      <c r="AQ1004"/>
    </row>
    <row r="1005" spans="1:43" s="10" customFormat="1" ht="15.75" customHeight="1" x14ac:dyDescent="0.25">
      <c r="A1005" s="55">
        <f t="shared" si="215"/>
        <v>15</v>
      </c>
      <c r="B1005" s="470">
        <v>44548</v>
      </c>
      <c r="C1005" s="448" t="s">
        <v>3195</v>
      </c>
      <c r="D1005" s="448">
        <v>722</v>
      </c>
      <c r="E1005" s="58" t="s">
        <v>3232</v>
      </c>
      <c r="F1005" s="123" t="s">
        <v>2694</v>
      </c>
      <c r="G1005" s="334" t="s">
        <v>3196</v>
      </c>
      <c r="H1005" s="45">
        <v>1100000</v>
      </c>
      <c r="I1005" s="380" t="s">
        <v>3194</v>
      </c>
      <c r="J1005" s="514">
        <v>44560</v>
      </c>
      <c r="K1005" s="749">
        <f t="shared" si="217"/>
        <v>1100000</v>
      </c>
      <c r="L1005" s="749"/>
      <c r="M1005" s="748">
        <v>39058</v>
      </c>
      <c r="N1005" s="28">
        <f t="shared" si="225"/>
        <v>11000</v>
      </c>
      <c r="O1005" s="28">
        <f t="shared" si="226"/>
        <v>22000</v>
      </c>
      <c r="P1005" s="748">
        <v>1049942</v>
      </c>
      <c r="Q1005" s="28">
        <f t="shared" si="220"/>
        <v>0</v>
      </c>
      <c r="R1005" s="199"/>
      <c r="S1005" s="197">
        <v>44574</v>
      </c>
      <c r="T1005" s="199">
        <v>14</v>
      </c>
      <c r="U1005" s="24">
        <f t="shared" si="214"/>
        <v>44574</v>
      </c>
      <c r="V1005"/>
      <c r="W1005"/>
      <c r="X1005"/>
      <c r="Y1005"/>
      <c r="Z1005"/>
      <c r="AA1005"/>
      <c r="AB1005"/>
      <c r="AC1005"/>
      <c r="AD1005"/>
      <c r="AE1005"/>
      <c r="AF1005"/>
      <c r="AG1005"/>
      <c r="AH1005"/>
      <c r="AI1005"/>
      <c r="AJ1005"/>
      <c r="AK1005"/>
      <c r="AL1005"/>
      <c r="AM1005"/>
      <c r="AN1005"/>
      <c r="AO1005"/>
      <c r="AP1005"/>
      <c r="AQ1005"/>
    </row>
    <row r="1006" spans="1:43" s="10" customFormat="1" ht="15.75" customHeight="1" x14ac:dyDescent="0.25">
      <c r="A1006" s="55">
        <f t="shared" si="215"/>
        <v>16</v>
      </c>
      <c r="B1006" s="470">
        <v>44545</v>
      </c>
      <c r="C1006" s="448" t="s">
        <v>3199</v>
      </c>
      <c r="D1006" s="448">
        <v>680</v>
      </c>
      <c r="E1006" s="58" t="s">
        <v>3233</v>
      </c>
      <c r="F1006" s="123" t="s">
        <v>2694</v>
      </c>
      <c r="G1006" s="334" t="s">
        <v>3198</v>
      </c>
      <c r="H1006" s="45">
        <v>1200000</v>
      </c>
      <c r="I1006" s="380" t="s">
        <v>3197</v>
      </c>
      <c r="J1006" s="514">
        <v>44560</v>
      </c>
      <c r="K1006" s="749">
        <f t="shared" si="217"/>
        <v>1200000</v>
      </c>
      <c r="L1006" s="749"/>
      <c r="M1006" s="748">
        <v>40790</v>
      </c>
      <c r="N1006" s="28">
        <f t="shared" si="225"/>
        <v>12000</v>
      </c>
      <c r="O1006" s="28">
        <f t="shared" si="226"/>
        <v>24000</v>
      </c>
      <c r="P1006" s="748">
        <v>1147210</v>
      </c>
      <c r="Q1006" s="28">
        <f t="shared" si="220"/>
        <v>0</v>
      </c>
      <c r="R1006" s="199"/>
      <c r="S1006" s="197">
        <v>44574</v>
      </c>
      <c r="T1006" s="199">
        <v>14</v>
      </c>
      <c r="U1006" s="24">
        <f t="shared" si="214"/>
        <v>44574</v>
      </c>
      <c r="V1006"/>
      <c r="W1006"/>
      <c r="X1006"/>
      <c r="Y1006"/>
      <c r="Z1006"/>
      <c r="AA1006"/>
      <c r="AB1006"/>
      <c r="AC1006"/>
      <c r="AD1006"/>
      <c r="AE1006"/>
      <c r="AF1006"/>
      <c r="AG1006"/>
      <c r="AH1006"/>
      <c r="AI1006"/>
      <c r="AJ1006"/>
      <c r="AK1006"/>
      <c r="AL1006"/>
      <c r="AM1006"/>
      <c r="AN1006"/>
      <c r="AO1006"/>
      <c r="AP1006"/>
      <c r="AQ1006"/>
    </row>
    <row r="1007" spans="1:43" s="10" customFormat="1" ht="15.75" customHeight="1" x14ac:dyDescent="0.25">
      <c r="A1007" s="55">
        <f t="shared" si="215"/>
        <v>17</v>
      </c>
      <c r="B1007" s="470">
        <v>44550</v>
      </c>
      <c r="C1007" s="448" t="s">
        <v>3201</v>
      </c>
      <c r="D1007" s="448">
        <v>743</v>
      </c>
      <c r="E1007" s="58" t="s">
        <v>3234</v>
      </c>
      <c r="F1007" s="123" t="s">
        <v>2694</v>
      </c>
      <c r="G1007" s="334" t="s">
        <v>2264</v>
      </c>
      <c r="H1007" s="45">
        <v>900000</v>
      </c>
      <c r="I1007" s="380" t="s">
        <v>3200</v>
      </c>
      <c r="J1007" s="514">
        <v>44560</v>
      </c>
      <c r="K1007" s="749">
        <f t="shared" si="217"/>
        <v>900000</v>
      </c>
      <c r="L1007" s="749"/>
      <c r="M1007" s="748">
        <v>27593</v>
      </c>
      <c r="N1007" s="28">
        <f t="shared" si="225"/>
        <v>9000</v>
      </c>
      <c r="O1007" s="28">
        <f t="shared" si="226"/>
        <v>18000</v>
      </c>
      <c r="P1007" s="748">
        <v>863407</v>
      </c>
      <c r="Q1007" s="28">
        <f t="shared" si="220"/>
        <v>0</v>
      </c>
      <c r="R1007" s="199"/>
      <c r="S1007" s="197">
        <v>44574</v>
      </c>
      <c r="T1007" s="199">
        <v>14</v>
      </c>
      <c r="U1007" s="24">
        <f t="shared" si="214"/>
        <v>44574</v>
      </c>
      <c r="V1007"/>
      <c r="W1007"/>
      <c r="X1007"/>
      <c r="Y1007"/>
      <c r="Z1007"/>
      <c r="AA1007"/>
      <c r="AB1007"/>
      <c r="AC1007"/>
      <c r="AD1007"/>
      <c r="AE1007"/>
      <c r="AF1007"/>
      <c r="AG1007"/>
      <c r="AH1007"/>
      <c r="AI1007"/>
      <c r="AJ1007"/>
      <c r="AK1007"/>
      <c r="AL1007"/>
      <c r="AM1007"/>
      <c r="AN1007"/>
      <c r="AO1007"/>
      <c r="AP1007"/>
      <c r="AQ1007"/>
    </row>
    <row r="1008" spans="1:43" s="10" customFormat="1" ht="15.75" customHeight="1" x14ac:dyDescent="0.25">
      <c r="A1008" s="55">
        <f t="shared" si="215"/>
        <v>18</v>
      </c>
      <c r="B1008" s="470">
        <v>44545</v>
      </c>
      <c r="C1008" s="448" t="s">
        <v>3203</v>
      </c>
      <c r="D1008" s="448">
        <v>681</v>
      </c>
      <c r="E1008" s="58" t="s">
        <v>3235</v>
      </c>
      <c r="F1008" s="123" t="s">
        <v>2694</v>
      </c>
      <c r="G1008" s="334" t="s">
        <v>1099</v>
      </c>
      <c r="H1008" s="45">
        <v>800000</v>
      </c>
      <c r="I1008" s="380" t="s">
        <v>3202</v>
      </c>
      <c r="J1008" s="514">
        <v>44560</v>
      </c>
      <c r="K1008" s="749">
        <f t="shared" si="217"/>
        <v>800000</v>
      </c>
      <c r="L1008" s="749"/>
      <c r="M1008" s="748">
        <v>25860</v>
      </c>
      <c r="N1008" s="28">
        <f t="shared" si="225"/>
        <v>8000</v>
      </c>
      <c r="O1008" s="28">
        <f t="shared" si="226"/>
        <v>16000</v>
      </c>
      <c r="P1008" s="748">
        <v>766140</v>
      </c>
      <c r="Q1008" s="28">
        <f t="shared" si="220"/>
        <v>0</v>
      </c>
      <c r="R1008" s="199"/>
      <c r="S1008" s="197">
        <v>44574</v>
      </c>
      <c r="T1008" s="199">
        <v>14</v>
      </c>
      <c r="U1008" s="24">
        <f t="shared" si="214"/>
        <v>44574</v>
      </c>
      <c r="V1008"/>
      <c r="W1008"/>
      <c r="X1008"/>
      <c r="Y1008"/>
      <c r="Z1008"/>
      <c r="AA1008"/>
      <c r="AB1008"/>
      <c r="AC1008"/>
      <c r="AD1008"/>
      <c r="AE1008"/>
      <c r="AF1008"/>
      <c r="AG1008"/>
      <c r="AH1008"/>
      <c r="AI1008"/>
      <c r="AJ1008"/>
      <c r="AK1008"/>
      <c r="AL1008"/>
      <c r="AM1008"/>
      <c r="AN1008"/>
      <c r="AO1008"/>
      <c r="AP1008"/>
      <c r="AQ1008"/>
    </row>
    <row r="1009" spans="1:43" s="10" customFormat="1" ht="15.75" customHeight="1" x14ac:dyDescent="0.25">
      <c r="A1009" s="55">
        <f t="shared" si="215"/>
        <v>19</v>
      </c>
      <c r="B1009" s="470">
        <v>44548</v>
      </c>
      <c r="C1009" s="448" t="s">
        <v>3205</v>
      </c>
      <c r="D1009" s="448">
        <v>713</v>
      </c>
      <c r="E1009" s="58" t="s">
        <v>3221</v>
      </c>
      <c r="F1009" s="123" t="s">
        <v>2694</v>
      </c>
      <c r="G1009" s="334" t="s">
        <v>500</v>
      </c>
      <c r="H1009" s="45">
        <v>10300000</v>
      </c>
      <c r="I1009" s="380" t="s">
        <v>3204</v>
      </c>
      <c r="J1009" s="514">
        <v>44560</v>
      </c>
      <c r="K1009" s="749">
        <f t="shared" si="217"/>
        <v>10300000</v>
      </c>
      <c r="L1009" s="749">
        <v>4971250</v>
      </c>
      <c r="M1009" s="748">
        <v>266687</v>
      </c>
      <c r="N1009" s="28">
        <f t="shared" si="225"/>
        <v>103000</v>
      </c>
      <c r="O1009" s="28">
        <f t="shared" si="226"/>
        <v>206000</v>
      </c>
      <c r="P1009" s="748">
        <v>4959063</v>
      </c>
      <c r="Q1009" s="28">
        <f t="shared" si="220"/>
        <v>0</v>
      </c>
      <c r="R1009" s="197">
        <v>44550</v>
      </c>
      <c r="S1009" s="197">
        <v>44574</v>
      </c>
      <c r="T1009" s="199">
        <v>14</v>
      </c>
      <c r="U1009" s="24">
        <f t="shared" si="214"/>
        <v>44574</v>
      </c>
      <c r="V1009"/>
      <c r="W1009"/>
      <c r="X1009"/>
      <c r="Y1009"/>
      <c r="Z1009"/>
      <c r="AA1009"/>
      <c r="AB1009"/>
      <c r="AC1009"/>
      <c r="AD1009"/>
      <c r="AE1009"/>
      <c r="AF1009"/>
      <c r="AG1009"/>
      <c r="AH1009"/>
      <c r="AI1009"/>
      <c r="AJ1009"/>
      <c r="AK1009"/>
      <c r="AL1009"/>
      <c r="AM1009"/>
      <c r="AN1009"/>
      <c r="AO1009"/>
      <c r="AP1009"/>
      <c r="AQ1009"/>
    </row>
    <row r="1010" spans="1:43" s="10" customFormat="1" ht="15.75" customHeight="1" x14ac:dyDescent="0.25">
      <c r="A1010" s="55">
        <f t="shared" si="215"/>
        <v>20</v>
      </c>
      <c r="B1010" s="470">
        <v>44550</v>
      </c>
      <c r="C1010" s="448" t="s">
        <v>3208</v>
      </c>
      <c r="D1010" s="448">
        <v>752</v>
      </c>
      <c r="E1010" s="58" t="s">
        <v>3236</v>
      </c>
      <c r="F1010" s="123" t="s">
        <v>2694</v>
      </c>
      <c r="G1010" s="334" t="s">
        <v>3207</v>
      </c>
      <c r="H1010" s="45">
        <v>650000</v>
      </c>
      <c r="I1010" s="380" t="s">
        <v>3206</v>
      </c>
      <c r="J1010" s="514">
        <v>44560</v>
      </c>
      <c r="K1010" s="749">
        <f t="shared" si="217"/>
        <v>650000</v>
      </c>
      <c r="L1010" s="749"/>
      <c r="M1010" s="748">
        <v>23262</v>
      </c>
      <c r="N1010" s="28">
        <f t="shared" si="225"/>
        <v>6500</v>
      </c>
      <c r="O1010" s="28">
        <f t="shared" si="226"/>
        <v>13000</v>
      </c>
      <c r="P1010" s="748">
        <v>620238</v>
      </c>
      <c r="Q1010" s="28">
        <f t="shared" si="220"/>
        <v>0</v>
      </c>
      <c r="R1010" s="199"/>
      <c r="S1010" s="197">
        <v>44574</v>
      </c>
      <c r="T1010" s="199">
        <v>14</v>
      </c>
      <c r="U1010" s="24">
        <f t="shared" si="214"/>
        <v>44574</v>
      </c>
      <c r="V1010"/>
      <c r="W1010"/>
      <c r="X1010"/>
      <c r="Y1010"/>
      <c r="Z1010"/>
      <c r="AA1010"/>
      <c r="AB1010"/>
      <c r="AC1010"/>
      <c r="AD1010"/>
      <c r="AE1010"/>
      <c r="AF1010"/>
      <c r="AG1010"/>
      <c r="AH1010"/>
      <c r="AI1010"/>
      <c r="AJ1010"/>
      <c r="AK1010"/>
      <c r="AL1010"/>
      <c r="AM1010"/>
      <c r="AN1010"/>
      <c r="AO1010"/>
      <c r="AP1010"/>
      <c r="AQ1010"/>
    </row>
    <row r="1011" spans="1:43" s="10" customFormat="1" ht="15.75" customHeight="1" x14ac:dyDescent="0.25">
      <c r="A1011" s="55">
        <f t="shared" si="215"/>
        <v>21</v>
      </c>
      <c r="B1011" s="470">
        <v>44551</v>
      </c>
      <c r="C1011" s="448" t="s">
        <v>3211</v>
      </c>
      <c r="D1011" s="448">
        <v>759</v>
      </c>
      <c r="E1011" s="58" t="s">
        <v>3212</v>
      </c>
      <c r="F1011" s="123" t="s">
        <v>2694</v>
      </c>
      <c r="G1011" s="334" t="s">
        <v>3210</v>
      </c>
      <c r="H1011" s="45">
        <v>1050000</v>
      </c>
      <c r="I1011" s="380" t="s">
        <v>3209</v>
      </c>
      <c r="J1011" s="514">
        <v>44560</v>
      </c>
      <c r="K1011" s="749">
        <f t="shared" si="217"/>
        <v>1050000</v>
      </c>
      <c r="L1011" s="749"/>
      <c r="M1011" s="748">
        <v>38192</v>
      </c>
      <c r="N1011" s="28">
        <f t="shared" si="225"/>
        <v>10500</v>
      </c>
      <c r="O1011" s="28">
        <f t="shared" si="226"/>
        <v>21000</v>
      </c>
      <c r="P1011" s="748">
        <v>1001308</v>
      </c>
      <c r="Q1011" s="28">
        <f t="shared" si="220"/>
        <v>0</v>
      </c>
      <c r="R1011" s="199"/>
      <c r="S1011" s="197">
        <v>44574</v>
      </c>
      <c r="T1011" s="199">
        <v>14</v>
      </c>
      <c r="U1011" s="24">
        <f t="shared" si="214"/>
        <v>44574</v>
      </c>
      <c r="V1011"/>
      <c r="W1011"/>
      <c r="X1011"/>
      <c r="Y1011"/>
      <c r="Z1011"/>
      <c r="AA1011"/>
      <c r="AB1011"/>
      <c r="AC1011"/>
      <c r="AD1011"/>
      <c r="AE1011"/>
      <c r="AF1011"/>
      <c r="AG1011"/>
      <c r="AH1011"/>
      <c r="AI1011"/>
      <c r="AJ1011"/>
      <c r="AK1011"/>
      <c r="AL1011"/>
      <c r="AM1011"/>
      <c r="AN1011"/>
      <c r="AO1011"/>
      <c r="AP1011"/>
      <c r="AQ1011"/>
    </row>
    <row r="1012" spans="1:43" s="10" customFormat="1" ht="15.75" customHeight="1" x14ac:dyDescent="0.25">
      <c r="A1012" s="55">
        <f t="shared" si="215"/>
        <v>22</v>
      </c>
      <c r="B1012" s="470">
        <v>44551</v>
      </c>
      <c r="C1012" s="448" t="s">
        <v>3214</v>
      </c>
      <c r="D1012" s="448">
        <v>758</v>
      </c>
      <c r="E1012" s="58" t="s">
        <v>3302</v>
      </c>
      <c r="F1012" s="123" t="s">
        <v>2694</v>
      </c>
      <c r="G1012" s="334" t="s">
        <v>582</v>
      </c>
      <c r="H1012" s="45">
        <v>2700000</v>
      </c>
      <c r="I1012" s="380" t="s">
        <v>3213</v>
      </c>
      <c r="J1012" s="514">
        <v>44560</v>
      </c>
      <c r="K1012" s="749">
        <f t="shared" si="217"/>
        <v>2700000</v>
      </c>
      <c r="L1012" s="749">
        <v>1286250</v>
      </c>
      <c r="M1012" s="748">
        <v>86802</v>
      </c>
      <c r="N1012" s="28">
        <f t="shared" si="225"/>
        <v>27000</v>
      </c>
      <c r="O1012" s="28">
        <f t="shared" si="226"/>
        <v>54000</v>
      </c>
      <c r="P1012" s="748">
        <v>1299948</v>
      </c>
      <c r="Q1012" s="28">
        <f t="shared" si="220"/>
        <v>0</v>
      </c>
      <c r="R1012" s="197">
        <v>44553</v>
      </c>
      <c r="S1012" s="197">
        <v>44574</v>
      </c>
      <c r="T1012" s="199">
        <v>14</v>
      </c>
      <c r="U1012" s="24">
        <f t="shared" si="214"/>
        <v>44574</v>
      </c>
      <c r="V1012"/>
      <c r="W1012"/>
      <c r="X1012"/>
      <c r="Y1012"/>
      <c r="Z1012"/>
      <c r="AA1012"/>
      <c r="AB1012"/>
      <c r="AC1012"/>
      <c r="AD1012"/>
      <c r="AE1012"/>
      <c r="AF1012"/>
      <c r="AG1012"/>
      <c r="AH1012"/>
      <c r="AI1012"/>
      <c r="AJ1012"/>
      <c r="AK1012"/>
      <c r="AL1012"/>
      <c r="AM1012"/>
      <c r="AN1012"/>
      <c r="AO1012"/>
      <c r="AP1012"/>
      <c r="AQ1012"/>
    </row>
    <row r="1013" spans="1:43" s="10" customFormat="1" ht="15.75" customHeight="1" x14ac:dyDescent="0.25">
      <c r="A1013" s="55">
        <f t="shared" si="215"/>
        <v>23</v>
      </c>
      <c r="B1013" s="470">
        <v>44559</v>
      </c>
      <c r="C1013" s="448">
        <v>403487</v>
      </c>
      <c r="D1013" s="448" t="s">
        <v>3216</v>
      </c>
      <c r="E1013" s="58"/>
      <c r="F1013" s="69" t="s">
        <v>279</v>
      </c>
      <c r="G1013" s="334" t="s">
        <v>422</v>
      </c>
      <c r="H1013" s="45">
        <v>1485149</v>
      </c>
      <c r="I1013" s="380" t="s">
        <v>3215</v>
      </c>
      <c r="J1013" s="514">
        <v>44560</v>
      </c>
      <c r="K1013" s="751">
        <f t="shared" si="217"/>
        <v>1485149</v>
      </c>
      <c r="L1013" s="749"/>
      <c r="M1013" s="748"/>
      <c r="N1013" s="28">
        <f>K1013*1%</f>
        <v>14851.49</v>
      </c>
      <c r="O1013" s="28">
        <f>K1013*2%</f>
        <v>29702.98</v>
      </c>
      <c r="P1013" s="748">
        <v>1470297.51</v>
      </c>
      <c r="Q1013" s="28">
        <f t="shared" si="220"/>
        <v>0</v>
      </c>
      <c r="R1013" s="199"/>
      <c r="S1013" s="197">
        <v>44585</v>
      </c>
      <c r="T1013" s="199">
        <v>30</v>
      </c>
      <c r="U1013" s="24">
        <f t="shared" si="214"/>
        <v>44590</v>
      </c>
      <c r="V1013"/>
      <c r="W1013"/>
      <c r="X1013"/>
      <c r="Y1013"/>
      <c r="Z1013"/>
      <c r="AA1013"/>
      <c r="AB1013"/>
      <c r="AC1013"/>
      <c r="AD1013"/>
      <c r="AE1013"/>
      <c r="AF1013"/>
      <c r="AG1013"/>
      <c r="AH1013"/>
      <c r="AI1013"/>
      <c r="AJ1013"/>
      <c r="AK1013"/>
      <c r="AL1013"/>
      <c r="AM1013"/>
      <c r="AN1013"/>
      <c r="AO1013"/>
      <c r="AP1013"/>
      <c r="AQ1013"/>
    </row>
    <row r="1014" spans="1:43" s="10" customFormat="1" ht="15.75" customHeight="1" x14ac:dyDescent="0.25">
      <c r="A1014" s="55">
        <f t="shared" si="215"/>
        <v>24</v>
      </c>
      <c r="B1014" s="633">
        <v>44533</v>
      </c>
      <c r="C1014" s="755">
        <v>403824</v>
      </c>
      <c r="D1014" s="755" t="s">
        <v>3309</v>
      </c>
      <c r="E1014" s="330" t="s">
        <v>3310</v>
      </c>
      <c r="F1014" s="33" t="s">
        <v>3308</v>
      </c>
      <c r="G1014" s="404" t="s">
        <v>521</v>
      </c>
      <c r="H1014" s="45">
        <v>1100000</v>
      </c>
      <c r="I1014" s="377" t="s">
        <v>3307</v>
      </c>
      <c r="J1014" s="772">
        <v>44567</v>
      </c>
      <c r="K1014" s="763">
        <f>H1014</f>
        <v>1100000</v>
      </c>
      <c r="L1014" s="763"/>
      <c r="M1014" s="763"/>
      <c r="N1014" s="28">
        <f t="shared" ref="N1014" si="227">K1014*1%</f>
        <v>11000</v>
      </c>
      <c r="O1014" s="28">
        <f t="shared" ref="O1014" si="228">K1014*2%</f>
        <v>22000</v>
      </c>
      <c r="P1014" s="763">
        <v>1089000</v>
      </c>
      <c r="Q1014" s="28">
        <f t="shared" si="220"/>
        <v>0</v>
      </c>
      <c r="R1014" s="773"/>
      <c r="S1014" s="773">
        <v>44630</v>
      </c>
      <c r="T1014" s="2">
        <v>30</v>
      </c>
      <c r="U1014" s="24">
        <f t="shared" si="214"/>
        <v>44597</v>
      </c>
      <c r="V1014"/>
      <c r="W1014"/>
      <c r="X1014"/>
      <c r="Y1014"/>
      <c r="Z1014"/>
      <c r="AA1014"/>
      <c r="AB1014"/>
      <c r="AC1014"/>
      <c r="AD1014"/>
      <c r="AE1014"/>
      <c r="AF1014"/>
      <c r="AG1014"/>
      <c r="AH1014"/>
      <c r="AI1014"/>
      <c r="AJ1014"/>
      <c r="AK1014"/>
      <c r="AL1014"/>
      <c r="AM1014"/>
      <c r="AN1014"/>
      <c r="AO1014"/>
      <c r="AP1014"/>
      <c r="AQ1014"/>
    </row>
    <row r="1015" spans="1:43" s="10" customFormat="1" ht="15.75" customHeight="1" x14ac:dyDescent="0.25">
      <c r="A1015" s="55">
        <f t="shared" si="215"/>
        <v>25</v>
      </c>
      <c r="B1015" s="633">
        <v>44560</v>
      </c>
      <c r="C1015" s="755">
        <v>402870</v>
      </c>
      <c r="D1015" s="755" t="s">
        <v>3312</v>
      </c>
      <c r="E1015" s="330" t="s">
        <v>3315</v>
      </c>
      <c r="F1015" s="33" t="s">
        <v>3314</v>
      </c>
      <c r="G1015" s="404" t="s">
        <v>3313</v>
      </c>
      <c r="H1015" s="45">
        <v>1600000</v>
      </c>
      <c r="I1015" s="377" t="s">
        <v>3311</v>
      </c>
      <c r="J1015" s="772">
        <v>44567</v>
      </c>
      <c r="K1015" s="763">
        <f>H1015</f>
        <v>1600000</v>
      </c>
      <c r="L1015" s="763"/>
      <c r="M1015" s="763"/>
      <c r="N1015" s="763">
        <f>K1015*1%</f>
        <v>16000</v>
      </c>
      <c r="O1015" s="763">
        <f>K1015*2%</f>
        <v>32000</v>
      </c>
      <c r="P1015" s="763">
        <v>1584000</v>
      </c>
      <c r="Q1015" s="28">
        <f t="shared" si="220"/>
        <v>0</v>
      </c>
      <c r="R1015" s="773"/>
      <c r="S1015" s="773">
        <v>44622</v>
      </c>
      <c r="T1015" s="55">
        <v>14</v>
      </c>
      <c r="U1015" s="24">
        <f t="shared" si="214"/>
        <v>44581</v>
      </c>
      <c r="V1015"/>
      <c r="W1015"/>
      <c r="X1015"/>
      <c r="Y1015"/>
      <c r="Z1015"/>
      <c r="AA1015"/>
      <c r="AB1015"/>
      <c r="AC1015"/>
      <c r="AD1015"/>
      <c r="AE1015"/>
      <c r="AF1015"/>
      <c r="AG1015"/>
      <c r="AH1015"/>
      <c r="AI1015"/>
      <c r="AJ1015"/>
      <c r="AK1015"/>
      <c r="AL1015"/>
      <c r="AM1015"/>
      <c r="AN1015"/>
      <c r="AO1015"/>
      <c r="AP1015"/>
      <c r="AQ1015"/>
    </row>
    <row r="1016" spans="1:43" s="10" customFormat="1" ht="15.75" customHeight="1" x14ac:dyDescent="0.25">
      <c r="A1016" s="55">
        <f t="shared" si="215"/>
        <v>26</v>
      </c>
      <c r="B1016" s="633">
        <v>44545</v>
      </c>
      <c r="C1016" s="755">
        <v>402852</v>
      </c>
      <c r="D1016" s="755" t="s">
        <v>3317</v>
      </c>
      <c r="E1016" s="330"/>
      <c r="F1016" s="33" t="s">
        <v>2825</v>
      </c>
      <c r="G1016" s="404" t="s">
        <v>3318</v>
      </c>
      <c r="H1016" s="45">
        <v>2062500</v>
      </c>
      <c r="I1016" s="377" t="s">
        <v>3316</v>
      </c>
      <c r="J1016" s="772">
        <v>44567</v>
      </c>
      <c r="K1016" s="763">
        <f>H1016</f>
        <v>2062500</v>
      </c>
      <c r="L1016" s="763"/>
      <c r="M1016" s="763"/>
      <c r="N1016" s="28">
        <f t="shared" ref="N1016" si="229">K1016*1%</f>
        <v>20625</v>
      </c>
      <c r="O1016" s="28">
        <f t="shared" ref="O1016" si="230">K1016*2%</f>
        <v>41250</v>
      </c>
      <c r="P1016" s="763"/>
      <c r="Q1016" s="28">
        <f t="shared" si="220"/>
        <v>2041875</v>
      </c>
      <c r="R1016" s="773"/>
      <c r="S1016" s="773"/>
      <c r="T1016" s="199">
        <v>30</v>
      </c>
      <c r="U1016" s="24">
        <f t="shared" si="214"/>
        <v>44597</v>
      </c>
      <c r="V1016"/>
      <c r="W1016"/>
      <c r="X1016"/>
      <c r="Y1016"/>
      <c r="Z1016"/>
      <c r="AA1016"/>
      <c r="AB1016"/>
      <c r="AC1016"/>
      <c r="AD1016"/>
      <c r="AE1016"/>
      <c r="AF1016"/>
      <c r="AG1016"/>
      <c r="AH1016"/>
      <c r="AI1016"/>
      <c r="AJ1016"/>
      <c r="AK1016"/>
      <c r="AL1016"/>
      <c r="AM1016"/>
      <c r="AN1016"/>
      <c r="AO1016"/>
      <c r="AP1016"/>
      <c r="AQ1016"/>
    </row>
    <row r="1017" spans="1:43" s="10" customFormat="1" ht="15.75" customHeight="1" x14ac:dyDescent="0.25">
      <c r="A1017" s="55">
        <f t="shared" si="215"/>
        <v>27</v>
      </c>
      <c r="B1017" s="633">
        <v>44531</v>
      </c>
      <c r="C1017" s="755">
        <v>403954</v>
      </c>
      <c r="D1017" s="755"/>
      <c r="E1017" s="330"/>
      <c r="F1017" s="33" t="s">
        <v>1195</v>
      </c>
      <c r="G1017" s="404" t="s">
        <v>3538</v>
      </c>
      <c r="H1017" s="45">
        <v>293284037.5850001</v>
      </c>
      <c r="I1017" s="377" t="s">
        <v>3320</v>
      </c>
      <c r="J1017" s="772">
        <v>44207</v>
      </c>
      <c r="K1017" s="763">
        <f>H1017</f>
        <v>293284037.5850001</v>
      </c>
      <c r="L1017" s="763"/>
      <c r="M1017" s="763">
        <v>29328403.75850001</v>
      </c>
      <c r="N1017" s="28">
        <v>2639556.3382650008</v>
      </c>
      <c r="O1017" s="28">
        <v>5279112.6765300017</v>
      </c>
      <c r="P1017" s="763">
        <v>261316077.48823509</v>
      </c>
      <c r="Q1017" s="28">
        <f>K1017-L1017-M1017-O1017-P1017+N1017</f>
        <v>0</v>
      </c>
      <c r="R1017" s="55"/>
      <c r="S1017" s="301">
        <v>44599</v>
      </c>
      <c r="T1017" s="199">
        <v>14</v>
      </c>
      <c r="U1017" s="24">
        <f t="shared" si="214"/>
        <v>44221</v>
      </c>
      <c r="V1017"/>
      <c r="W1017"/>
      <c r="X1017"/>
      <c r="Y1017"/>
      <c r="Z1017"/>
      <c r="AA1017"/>
      <c r="AB1017"/>
      <c r="AC1017"/>
      <c r="AD1017"/>
      <c r="AE1017"/>
      <c r="AF1017"/>
      <c r="AG1017"/>
      <c r="AH1017"/>
      <c r="AI1017"/>
      <c r="AJ1017"/>
      <c r="AK1017"/>
      <c r="AL1017"/>
      <c r="AM1017"/>
      <c r="AN1017"/>
      <c r="AO1017"/>
      <c r="AP1017"/>
      <c r="AQ1017"/>
    </row>
    <row r="1018" spans="1:43" s="10" customFormat="1" ht="15.75" customHeight="1" x14ac:dyDescent="0.25">
      <c r="A1018" s="55">
        <f t="shared" si="215"/>
        <v>28</v>
      </c>
      <c r="B1018" s="633">
        <v>44547</v>
      </c>
      <c r="C1018" s="755">
        <v>406352</v>
      </c>
      <c r="D1018" s="755" t="s">
        <v>3164</v>
      </c>
      <c r="E1018" s="330"/>
      <c r="F1018" s="6" t="s">
        <v>401</v>
      </c>
      <c r="G1018" s="404" t="s">
        <v>1947</v>
      </c>
      <c r="H1018" s="45">
        <v>4277000</v>
      </c>
      <c r="I1018" s="377" t="s">
        <v>3327</v>
      </c>
      <c r="J1018" s="772">
        <v>44207</v>
      </c>
      <c r="K1018" s="763">
        <f>H1018</f>
        <v>4277000</v>
      </c>
      <c r="L1018" s="763"/>
      <c r="M1018" s="763"/>
      <c r="N1018" s="833">
        <f>K1018*1%</f>
        <v>42770</v>
      </c>
      <c r="O1018" s="833">
        <f>K1018*2%</f>
        <v>85540</v>
      </c>
      <c r="P1018" s="763">
        <v>4234230</v>
      </c>
      <c r="Q1018" s="28">
        <f t="shared" si="220"/>
        <v>0</v>
      </c>
      <c r="R1018" s="55"/>
      <c r="S1018" s="301">
        <v>44614</v>
      </c>
      <c r="T1018" s="199">
        <v>14</v>
      </c>
      <c r="U1018" s="24">
        <f t="shared" si="214"/>
        <v>44221</v>
      </c>
      <c r="V1018"/>
      <c r="W1018"/>
      <c r="X1018"/>
      <c r="Y1018"/>
      <c r="Z1018"/>
      <c r="AA1018"/>
      <c r="AB1018"/>
      <c r="AC1018"/>
      <c r="AD1018"/>
      <c r="AE1018"/>
      <c r="AF1018"/>
      <c r="AG1018"/>
      <c r="AH1018"/>
      <c r="AI1018"/>
      <c r="AJ1018"/>
      <c r="AK1018"/>
      <c r="AL1018"/>
      <c r="AM1018"/>
      <c r="AN1018"/>
      <c r="AO1018"/>
      <c r="AP1018"/>
      <c r="AQ1018"/>
    </row>
    <row r="1019" spans="1:43" s="10" customFormat="1" ht="15.75" customHeight="1" x14ac:dyDescent="0.25">
      <c r="A1019" s="55">
        <f t="shared" si="215"/>
        <v>29</v>
      </c>
      <c r="B1019" s="633">
        <v>44561</v>
      </c>
      <c r="C1019" s="755" t="s">
        <v>3297</v>
      </c>
      <c r="D1019" s="755" t="s">
        <v>3339</v>
      </c>
      <c r="E1019" s="330" t="s">
        <v>3286</v>
      </c>
      <c r="F1019" s="123" t="s">
        <v>2694</v>
      </c>
      <c r="G1019" s="404" t="s">
        <v>3338</v>
      </c>
      <c r="H1019" s="45">
        <v>1100000</v>
      </c>
      <c r="I1019" s="377" t="s">
        <v>3337</v>
      </c>
      <c r="J1019" s="772">
        <v>44573</v>
      </c>
      <c r="K1019" s="812">
        <f t="shared" ref="K1019:K1033" si="231">H1019</f>
        <v>1100000</v>
      </c>
      <c r="L1019" s="763"/>
      <c r="M1019" s="763">
        <v>39057</v>
      </c>
      <c r="N1019" s="28">
        <f t="shared" ref="N1019:N1028" si="232">K1019*1%</f>
        <v>11000</v>
      </c>
      <c r="O1019" s="28">
        <f t="shared" ref="O1019:O1028" si="233">K1019*2%</f>
        <v>22000</v>
      </c>
      <c r="P1019" s="763">
        <v>1049943</v>
      </c>
      <c r="Q1019" s="28">
        <f t="shared" si="220"/>
        <v>0</v>
      </c>
      <c r="R1019" s="55"/>
      <c r="S1019" s="301">
        <v>44587</v>
      </c>
      <c r="T1019" s="199">
        <v>14</v>
      </c>
      <c r="U1019" s="24">
        <f t="shared" si="214"/>
        <v>44587</v>
      </c>
      <c r="V1019"/>
      <c r="W1019"/>
      <c r="X1019"/>
      <c r="Y1019"/>
      <c r="Z1019"/>
      <c r="AA1019"/>
      <c r="AB1019"/>
      <c r="AC1019"/>
      <c r="AD1019"/>
      <c r="AE1019"/>
      <c r="AF1019"/>
      <c r="AG1019"/>
      <c r="AH1019"/>
      <c r="AI1019"/>
      <c r="AJ1019"/>
      <c r="AK1019"/>
      <c r="AL1019"/>
      <c r="AM1019"/>
      <c r="AN1019"/>
      <c r="AO1019"/>
      <c r="AP1019"/>
      <c r="AQ1019"/>
    </row>
    <row r="1020" spans="1:43" s="10" customFormat="1" ht="15.75" customHeight="1" x14ac:dyDescent="0.25">
      <c r="A1020" s="55">
        <f t="shared" si="215"/>
        <v>30</v>
      </c>
      <c r="B1020" s="633">
        <v>44557</v>
      </c>
      <c r="C1020" s="755" t="s">
        <v>3290</v>
      </c>
      <c r="D1020" s="755" t="s">
        <v>3341</v>
      </c>
      <c r="E1020" s="330" t="s">
        <v>3269</v>
      </c>
      <c r="F1020" s="123" t="s">
        <v>2694</v>
      </c>
      <c r="G1020" s="404" t="s">
        <v>190</v>
      </c>
      <c r="H1020" s="45">
        <v>900000</v>
      </c>
      <c r="I1020" s="377" t="s">
        <v>3340</v>
      </c>
      <c r="J1020" s="772">
        <v>44573</v>
      </c>
      <c r="K1020" s="812">
        <f t="shared" si="231"/>
        <v>900000</v>
      </c>
      <c r="L1020" s="763"/>
      <c r="M1020" s="763">
        <v>27592</v>
      </c>
      <c r="N1020" s="28">
        <f t="shared" si="232"/>
        <v>9000</v>
      </c>
      <c r="O1020" s="28">
        <f t="shared" si="233"/>
        <v>18000</v>
      </c>
      <c r="P1020" s="763">
        <v>863408</v>
      </c>
      <c r="Q1020" s="28">
        <f t="shared" si="220"/>
        <v>0</v>
      </c>
      <c r="R1020" s="55"/>
      <c r="S1020" s="301">
        <v>44587</v>
      </c>
      <c r="T1020" s="199">
        <v>14</v>
      </c>
      <c r="U1020" s="24">
        <f t="shared" si="214"/>
        <v>44587</v>
      </c>
      <c r="V1020"/>
      <c r="W1020"/>
      <c r="X1020"/>
      <c r="Y1020"/>
      <c r="Z1020"/>
      <c r="AA1020"/>
      <c r="AB1020"/>
      <c r="AC1020"/>
      <c r="AD1020"/>
      <c r="AE1020"/>
      <c r="AF1020"/>
      <c r="AG1020"/>
      <c r="AH1020"/>
      <c r="AI1020"/>
      <c r="AJ1020"/>
      <c r="AK1020"/>
      <c r="AL1020"/>
      <c r="AM1020"/>
      <c r="AN1020"/>
      <c r="AO1020"/>
      <c r="AP1020"/>
      <c r="AQ1020"/>
    </row>
    <row r="1021" spans="1:43" s="10" customFormat="1" ht="15.75" customHeight="1" x14ac:dyDescent="0.25">
      <c r="A1021" s="55">
        <f t="shared" si="215"/>
        <v>31</v>
      </c>
      <c r="B1021" s="633">
        <v>44558</v>
      </c>
      <c r="C1021" s="755" t="s">
        <v>3292</v>
      </c>
      <c r="D1021" s="755" t="s">
        <v>3343</v>
      </c>
      <c r="E1021" s="330" t="s">
        <v>3271</v>
      </c>
      <c r="F1021" s="123" t="s">
        <v>2694</v>
      </c>
      <c r="G1021" s="404" t="s">
        <v>190</v>
      </c>
      <c r="H1021" s="45">
        <v>300000</v>
      </c>
      <c r="I1021" s="377" t="s">
        <v>3342</v>
      </c>
      <c r="J1021" s="772">
        <v>44573</v>
      </c>
      <c r="K1021" s="812">
        <f t="shared" si="231"/>
        <v>300000</v>
      </c>
      <c r="L1021" s="763"/>
      <c r="M1021" s="763">
        <v>13197</v>
      </c>
      <c r="N1021" s="28">
        <f t="shared" si="232"/>
        <v>3000</v>
      </c>
      <c r="O1021" s="28">
        <f t="shared" si="233"/>
        <v>6000</v>
      </c>
      <c r="P1021" s="763">
        <v>283803</v>
      </c>
      <c r="Q1021" s="28">
        <f t="shared" si="220"/>
        <v>0</v>
      </c>
      <c r="R1021" s="301"/>
      <c r="S1021" s="301">
        <v>44587</v>
      </c>
      <c r="T1021" s="199">
        <v>14</v>
      </c>
      <c r="U1021" s="24">
        <f t="shared" si="214"/>
        <v>44587</v>
      </c>
      <c r="V1021"/>
      <c r="W1021"/>
      <c r="X1021"/>
      <c r="Y1021"/>
      <c r="Z1021"/>
      <c r="AA1021"/>
      <c r="AB1021"/>
      <c r="AC1021"/>
      <c r="AD1021"/>
      <c r="AE1021"/>
      <c r="AF1021"/>
      <c r="AG1021"/>
      <c r="AH1021"/>
      <c r="AI1021"/>
      <c r="AJ1021"/>
      <c r="AK1021"/>
      <c r="AL1021"/>
      <c r="AM1021"/>
      <c r="AN1021"/>
      <c r="AO1021"/>
      <c r="AP1021"/>
      <c r="AQ1021"/>
    </row>
    <row r="1022" spans="1:43" s="10" customFormat="1" ht="15.75" customHeight="1" x14ac:dyDescent="0.25">
      <c r="A1022" s="55">
        <f t="shared" si="215"/>
        <v>32</v>
      </c>
      <c r="B1022" s="633">
        <v>44558</v>
      </c>
      <c r="C1022" s="755" t="s">
        <v>3292</v>
      </c>
      <c r="D1022" s="755" t="s">
        <v>3288</v>
      </c>
      <c r="E1022" s="330" t="s">
        <v>3272</v>
      </c>
      <c r="F1022" s="123" t="s">
        <v>2694</v>
      </c>
      <c r="G1022" s="404" t="s">
        <v>190</v>
      </c>
      <c r="H1022" s="45">
        <v>300000</v>
      </c>
      <c r="I1022" s="377" t="s">
        <v>3344</v>
      </c>
      <c r="J1022" s="772">
        <v>44573</v>
      </c>
      <c r="K1022" s="812">
        <f t="shared" si="231"/>
        <v>300000</v>
      </c>
      <c r="L1022" s="763"/>
      <c r="M1022" s="763">
        <v>13197</v>
      </c>
      <c r="N1022" s="28">
        <f t="shared" si="232"/>
        <v>3000</v>
      </c>
      <c r="O1022" s="28">
        <f t="shared" si="233"/>
        <v>6000</v>
      </c>
      <c r="P1022" s="763">
        <v>283803</v>
      </c>
      <c r="Q1022" s="28">
        <f t="shared" si="220"/>
        <v>0</v>
      </c>
      <c r="R1022" s="55"/>
      <c r="S1022" s="301">
        <v>44587</v>
      </c>
      <c r="T1022" s="199">
        <v>14</v>
      </c>
      <c r="U1022" s="24">
        <f t="shared" si="214"/>
        <v>44587</v>
      </c>
      <c r="V1022"/>
      <c r="W1022"/>
      <c r="X1022"/>
      <c r="Y1022"/>
      <c r="Z1022"/>
      <c r="AA1022"/>
      <c r="AB1022"/>
      <c r="AC1022"/>
      <c r="AD1022"/>
      <c r="AE1022"/>
      <c r="AF1022"/>
      <c r="AG1022"/>
      <c r="AH1022"/>
      <c r="AI1022"/>
      <c r="AJ1022"/>
      <c r="AK1022"/>
      <c r="AL1022"/>
      <c r="AM1022"/>
      <c r="AN1022"/>
      <c r="AO1022"/>
      <c r="AP1022"/>
      <c r="AQ1022"/>
    </row>
    <row r="1023" spans="1:43" s="10" customFormat="1" ht="15.75" customHeight="1" x14ac:dyDescent="0.25">
      <c r="A1023" s="55">
        <f t="shared" si="215"/>
        <v>33</v>
      </c>
      <c r="B1023" s="633">
        <v>44558</v>
      </c>
      <c r="C1023" s="755" t="s">
        <v>3292</v>
      </c>
      <c r="D1023" s="755" t="s">
        <v>3288</v>
      </c>
      <c r="E1023" s="330" t="s">
        <v>3273</v>
      </c>
      <c r="F1023" s="123" t="s">
        <v>2694</v>
      </c>
      <c r="G1023" s="404" t="s">
        <v>190</v>
      </c>
      <c r="H1023" s="45">
        <v>300000</v>
      </c>
      <c r="I1023" s="377" t="s">
        <v>3345</v>
      </c>
      <c r="J1023" s="772">
        <v>44573</v>
      </c>
      <c r="K1023" s="812">
        <f t="shared" si="231"/>
        <v>300000</v>
      </c>
      <c r="L1023" s="763"/>
      <c r="M1023" s="763">
        <v>13197</v>
      </c>
      <c r="N1023" s="28">
        <f t="shared" si="232"/>
        <v>3000</v>
      </c>
      <c r="O1023" s="28">
        <f t="shared" si="233"/>
        <v>6000</v>
      </c>
      <c r="P1023" s="763">
        <v>283803</v>
      </c>
      <c r="Q1023" s="28">
        <f t="shared" si="220"/>
        <v>0</v>
      </c>
      <c r="R1023" s="55"/>
      <c r="S1023" s="301">
        <v>44587</v>
      </c>
      <c r="T1023" s="199">
        <v>14</v>
      </c>
      <c r="U1023" s="24">
        <f t="shared" si="214"/>
        <v>44587</v>
      </c>
      <c r="V1023"/>
      <c r="W1023"/>
      <c r="X1023"/>
      <c r="Y1023"/>
      <c r="Z1023"/>
      <c r="AA1023"/>
      <c r="AB1023"/>
      <c r="AC1023"/>
      <c r="AD1023"/>
      <c r="AE1023"/>
      <c r="AF1023"/>
      <c r="AG1023"/>
      <c r="AH1023"/>
      <c r="AI1023"/>
      <c r="AJ1023"/>
      <c r="AK1023"/>
      <c r="AL1023"/>
      <c r="AM1023"/>
      <c r="AN1023"/>
      <c r="AO1023"/>
      <c r="AP1023"/>
      <c r="AQ1023"/>
    </row>
    <row r="1024" spans="1:43" s="10" customFormat="1" ht="15.75" customHeight="1" x14ac:dyDescent="0.25">
      <c r="A1024" s="55">
        <f t="shared" si="215"/>
        <v>34</v>
      </c>
      <c r="B1024" s="633">
        <v>44558</v>
      </c>
      <c r="C1024" s="755" t="s">
        <v>3292</v>
      </c>
      <c r="D1024" s="755" t="s">
        <v>3288</v>
      </c>
      <c r="E1024" s="330" t="s">
        <v>3274</v>
      </c>
      <c r="F1024" s="123" t="s">
        <v>2694</v>
      </c>
      <c r="G1024" s="404" t="s">
        <v>190</v>
      </c>
      <c r="H1024" s="45">
        <v>300000</v>
      </c>
      <c r="I1024" s="377" t="s">
        <v>3346</v>
      </c>
      <c r="J1024" s="772">
        <v>44573</v>
      </c>
      <c r="K1024" s="812">
        <f t="shared" si="231"/>
        <v>300000</v>
      </c>
      <c r="L1024" s="763"/>
      <c r="M1024" s="763">
        <v>13197</v>
      </c>
      <c r="N1024" s="28">
        <f t="shared" si="232"/>
        <v>3000</v>
      </c>
      <c r="O1024" s="28">
        <f t="shared" si="233"/>
        <v>6000</v>
      </c>
      <c r="P1024" s="763">
        <v>283803</v>
      </c>
      <c r="Q1024" s="28">
        <f t="shared" si="220"/>
        <v>0</v>
      </c>
      <c r="R1024" s="55"/>
      <c r="S1024" s="301">
        <v>44587</v>
      </c>
      <c r="T1024" s="199">
        <v>14</v>
      </c>
      <c r="U1024" s="24">
        <f t="shared" si="214"/>
        <v>44587</v>
      </c>
      <c r="V1024"/>
      <c r="W1024"/>
      <c r="X1024"/>
      <c r="Y1024"/>
      <c r="Z1024"/>
      <c r="AA1024"/>
      <c r="AB1024"/>
      <c r="AC1024"/>
      <c r="AD1024"/>
      <c r="AE1024"/>
      <c r="AF1024"/>
      <c r="AG1024"/>
      <c r="AH1024"/>
      <c r="AI1024"/>
      <c r="AJ1024"/>
      <c r="AK1024"/>
      <c r="AL1024"/>
      <c r="AM1024"/>
      <c r="AN1024"/>
      <c r="AO1024"/>
      <c r="AP1024"/>
      <c r="AQ1024"/>
    </row>
    <row r="1025" spans="1:43" s="10" customFormat="1" ht="15.75" customHeight="1" x14ac:dyDescent="0.25">
      <c r="A1025" s="55">
        <f t="shared" si="215"/>
        <v>35</v>
      </c>
      <c r="B1025" s="633">
        <v>44558</v>
      </c>
      <c r="C1025" s="755" t="s">
        <v>3292</v>
      </c>
      <c r="D1025" s="755" t="s">
        <v>3288</v>
      </c>
      <c r="E1025" s="330" t="s">
        <v>3275</v>
      </c>
      <c r="F1025" s="123" t="s">
        <v>2694</v>
      </c>
      <c r="G1025" s="404" t="s">
        <v>190</v>
      </c>
      <c r="H1025" s="45">
        <v>300000</v>
      </c>
      <c r="I1025" s="377" t="s">
        <v>3347</v>
      </c>
      <c r="J1025" s="772">
        <v>44573</v>
      </c>
      <c r="K1025" s="812">
        <f t="shared" si="231"/>
        <v>300000</v>
      </c>
      <c r="L1025" s="763"/>
      <c r="M1025" s="763">
        <v>13197</v>
      </c>
      <c r="N1025" s="28">
        <f t="shared" si="232"/>
        <v>3000</v>
      </c>
      <c r="O1025" s="28">
        <f t="shared" si="233"/>
        <v>6000</v>
      </c>
      <c r="P1025" s="763">
        <v>283803</v>
      </c>
      <c r="Q1025" s="28">
        <f t="shared" si="220"/>
        <v>0</v>
      </c>
      <c r="R1025" s="55"/>
      <c r="S1025" s="301">
        <v>44587</v>
      </c>
      <c r="T1025" s="199">
        <v>14</v>
      </c>
      <c r="U1025" s="24">
        <f t="shared" si="214"/>
        <v>44587</v>
      </c>
      <c r="V1025"/>
      <c r="W1025"/>
      <c r="X1025"/>
      <c r="Y1025"/>
      <c r="Z1025"/>
      <c r="AA1025"/>
      <c r="AB1025"/>
      <c r="AC1025"/>
      <c r="AD1025"/>
      <c r="AE1025"/>
      <c r="AF1025"/>
      <c r="AG1025"/>
      <c r="AH1025"/>
      <c r="AI1025"/>
      <c r="AJ1025"/>
      <c r="AK1025"/>
      <c r="AL1025"/>
      <c r="AM1025"/>
      <c r="AN1025"/>
      <c r="AO1025"/>
      <c r="AP1025"/>
      <c r="AQ1025"/>
    </row>
    <row r="1026" spans="1:43" s="10" customFormat="1" ht="15.75" customHeight="1" x14ac:dyDescent="0.25">
      <c r="A1026" s="55">
        <f t="shared" si="215"/>
        <v>36</v>
      </c>
      <c r="B1026" s="633">
        <v>44558</v>
      </c>
      <c r="C1026" s="755" t="s">
        <v>3292</v>
      </c>
      <c r="D1026" s="755" t="s">
        <v>3349</v>
      </c>
      <c r="E1026" s="330" t="s">
        <v>3276</v>
      </c>
      <c r="F1026" s="123" t="s">
        <v>2694</v>
      </c>
      <c r="G1026" s="404" t="s">
        <v>190</v>
      </c>
      <c r="H1026" s="45">
        <v>300000</v>
      </c>
      <c r="I1026" s="377" t="s">
        <v>3348</v>
      </c>
      <c r="J1026" s="772">
        <v>44573</v>
      </c>
      <c r="K1026" s="812">
        <f t="shared" si="231"/>
        <v>300000</v>
      </c>
      <c r="L1026" s="763"/>
      <c r="M1026" s="763">
        <v>13197</v>
      </c>
      <c r="N1026" s="28">
        <f t="shared" si="232"/>
        <v>3000</v>
      </c>
      <c r="O1026" s="28">
        <f t="shared" si="233"/>
        <v>6000</v>
      </c>
      <c r="P1026" s="763">
        <v>283803</v>
      </c>
      <c r="Q1026" s="28">
        <f t="shared" si="220"/>
        <v>0</v>
      </c>
      <c r="R1026" s="301"/>
      <c r="S1026" s="301">
        <v>44587</v>
      </c>
      <c r="T1026" s="199">
        <v>14</v>
      </c>
      <c r="U1026" s="24">
        <f t="shared" si="214"/>
        <v>44587</v>
      </c>
      <c r="V1026"/>
      <c r="W1026"/>
      <c r="X1026"/>
      <c r="Y1026"/>
      <c r="Z1026"/>
      <c r="AA1026"/>
      <c r="AB1026"/>
      <c r="AC1026"/>
      <c r="AD1026"/>
      <c r="AE1026"/>
      <c r="AF1026"/>
      <c r="AG1026"/>
      <c r="AH1026"/>
      <c r="AI1026"/>
      <c r="AJ1026"/>
      <c r="AK1026"/>
      <c r="AL1026"/>
      <c r="AM1026"/>
      <c r="AN1026"/>
      <c r="AO1026"/>
      <c r="AP1026"/>
      <c r="AQ1026"/>
    </row>
    <row r="1027" spans="1:43" s="10" customFormat="1" ht="15.75" customHeight="1" x14ac:dyDescent="0.25">
      <c r="A1027" s="55">
        <f t="shared" si="215"/>
        <v>37</v>
      </c>
      <c r="B1027" s="633">
        <v>44558</v>
      </c>
      <c r="C1027" s="755" t="s">
        <v>3292</v>
      </c>
      <c r="D1027" s="755" t="s">
        <v>3351</v>
      </c>
      <c r="E1027" s="330" t="s">
        <v>3277</v>
      </c>
      <c r="F1027" s="123" t="s">
        <v>2694</v>
      </c>
      <c r="G1027" s="404" t="s">
        <v>190</v>
      </c>
      <c r="H1027" s="45">
        <v>300000</v>
      </c>
      <c r="I1027" s="377" t="s">
        <v>3350</v>
      </c>
      <c r="J1027" s="772">
        <v>44573</v>
      </c>
      <c r="K1027" s="812">
        <f t="shared" si="231"/>
        <v>300000</v>
      </c>
      <c r="L1027" s="763"/>
      <c r="M1027" s="763">
        <v>13197</v>
      </c>
      <c r="N1027" s="28">
        <f t="shared" si="232"/>
        <v>3000</v>
      </c>
      <c r="O1027" s="28">
        <f t="shared" si="233"/>
        <v>6000</v>
      </c>
      <c r="P1027" s="820">
        <v>283803</v>
      </c>
      <c r="Q1027" s="28">
        <f t="shared" si="220"/>
        <v>0</v>
      </c>
      <c r="R1027" s="55"/>
      <c r="S1027" s="301">
        <v>44587</v>
      </c>
      <c r="T1027" s="199">
        <v>14</v>
      </c>
      <c r="U1027" s="24">
        <f t="shared" si="214"/>
        <v>44587</v>
      </c>
      <c r="V1027"/>
      <c r="W1027"/>
      <c r="X1027"/>
      <c r="Y1027"/>
      <c r="Z1027"/>
      <c r="AA1027"/>
      <c r="AB1027"/>
      <c r="AC1027"/>
      <c r="AD1027"/>
      <c r="AE1027"/>
      <c r="AF1027"/>
      <c r="AG1027"/>
      <c r="AH1027"/>
      <c r="AI1027"/>
      <c r="AJ1027"/>
      <c r="AK1027"/>
      <c r="AL1027"/>
      <c r="AM1027"/>
      <c r="AN1027"/>
      <c r="AO1027"/>
      <c r="AP1027"/>
      <c r="AQ1027"/>
    </row>
    <row r="1028" spans="1:43" s="10" customFormat="1" ht="15.75" customHeight="1" x14ac:dyDescent="0.25">
      <c r="A1028" s="55">
        <f t="shared" si="215"/>
        <v>38</v>
      </c>
      <c r="B1028" s="633">
        <v>44558</v>
      </c>
      <c r="C1028" s="755" t="s">
        <v>3292</v>
      </c>
      <c r="D1028" s="755" t="s">
        <v>3351</v>
      </c>
      <c r="E1028" s="330" t="s">
        <v>3278</v>
      </c>
      <c r="F1028" s="123" t="s">
        <v>2694</v>
      </c>
      <c r="G1028" s="404" t="s">
        <v>190</v>
      </c>
      <c r="H1028" s="45">
        <v>300000</v>
      </c>
      <c r="I1028" s="377" t="s">
        <v>3352</v>
      </c>
      <c r="J1028" s="772">
        <v>44573</v>
      </c>
      <c r="K1028" s="812">
        <f t="shared" si="231"/>
        <v>300000</v>
      </c>
      <c r="L1028" s="763"/>
      <c r="M1028" s="763">
        <v>13197</v>
      </c>
      <c r="N1028" s="28">
        <f t="shared" si="232"/>
        <v>3000</v>
      </c>
      <c r="O1028" s="28">
        <f t="shared" si="233"/>
        <v>6000</v>
      </c>
      <c r="P1028" s="763">
        <v>283803</v>
      </c>
      <c r="Q1028" s="28">
        <f t="shared" si="220"/>
        <v>0</v>
      </c>
      <c r="R1028" s="55"/>
      <c r="S1028" s="301">
        <v>44587</v>
      </c>
      <c r="T1028" s="199">
        <v>14</v>
      </c>
      <c r="U1028" s="24">
        <f t="shared" si="214"/>
        <v>44587</v>
      </c>
      <c r="V1028"/>
      <c r="W1028"/>
      <c r="X1028"/>
      <c r="Y1028"/>
      <c r="Z1028"/>
      <c r="AA1028"/>
      <c r="AB1028"/>
      <c r="AC1028"/>
      <c r="AD1028"/>
      <c r="AE1028"/>
      <c r="AF1028"/>
      <c r="AG1028"/>
      <c r="AH1028"/>
      <c r="AI1028"/>
      <c r="AJ1028"/>
      <c r="AK1028"/>
      <c r="AL1028"/>
      <c r="AM1028"/>
      <c r="AN1028"/>
      <c r="AO1028"/>
      <c r="AP1028"/>
      <c r="AQ1028"/>
    </row>
    <row r="1029" spans="1:43" s="10" customFormat="1" ht="15.75" customHeight="1" x14ac:dyDescent="0.25">
      <c r="A1029" s="55">
        <f t="shared" si="215"/>
        <v>39</v>
      </c>
      <c r="B1029" s="633">
        <v>44558</v>
      </c>
      <c r="C1029" s="755" t="s">
        <v>3292</v>
      </c>
      <c r="D1029" s="755" t="s">
        <v>3351</v>
      </c>
      <c r="E1029" s="330" t="s">
        <v>3279</v>
      </c>
      <c r="F1029" s="123" t="s">
        <v>2694</v>
      </c>
      <c r="G1029" s="404" t="s">
        <v>190</v>
      </c>
      <c r="H1029" s="45">
        <v>300000</v>
      </c>
      <c r="I1029" s="377" t="s">
        <v>3353</v>
      </c>
      <c r="J1029" s="772">
        <v>44573</v>
      </c>
      <c r="K1029" s="812">
        <f t="shared" si="231"/>
        <v>300000</v>
      </c>
      <c r="L1029" s="763"/>
      <c r="M1029" s="819">
        <v>13197</v>
      </c>
      <c r="N1029" s="28">
        <f t="shared" ref="N1029:N1033" si="234">K1029*1%</f>
        <v>3000</v>
      </c>
      <c r="O1029" s="28">
        <f t="shared" ref="O1029:O1033" si="235">K1029*2%</f>
        <v>6000</v>
      </c>
      <c r="P1029" s="819">
        <v>283803</v>
      </c>
      <c r="Q1029" s="28">
        <f t="shared" si="220"/>
        <v>0</v>
      </c>
      <c r="R1029" s="301"/>
      <c r="S1029" s="301">
        <v>44587</v>
      </c>
      <c r="T1029" s="199">
        <v>14</v>
      </c>
      <c r="U1029" s="24">
        <f t="shared" si="214"/>
        <v>44587</v>
      </c>
      <c r="V1029"/>
      <c r="W1029"/>
      <c r="X1029"/>
      <c r="Y1029"/>
      <c r="Z1029"/>
      <c r="AA1029"/>
      <c r="AB1029"/>
      <c r="AC1029"/>
      <c r="AD1029"/>
      <c r="AE1029"/>
      <c r="AF1029"/>
      <c r="AG1029"/>
      <c r="AH1029"/>
      <c r="AI1029"/>
      <c r="AJ1029"/>
      <c r="AK1029"/>
      <c r="AL1029"/>
      <c r="AM1029"/>
      <c r="AN1029"/>
      <c r="AO1029"/>
      <c r="AP1029"/>
      <c r="AQ1029"/>
    </row>
    <row r="1030" spans="1:43" s="10" customFormat="1" ht="15.75" customHeight="1" x14ac:dyDescent="0.25">
      <c r="A1030" s="55">
        <f t="shared" si="215"/>
        <v>40</v>
      </c>
      <c r="B1030" s="633">
        <v>44558</v>
      </c>
      <c r="C1030" s="755" t="s">
        <v>3292</v>
      </c>
      <c r="D1030" s="755" t="s">
        <v>3351</v>
      </c>
      <c r="E1030" s="330" t="s">
        <v>3280</v>
      </c>
      <c r="F1030" s="123" t="s">
        <v>2694</v>
      </c>
      <c r="G1030" s="404" t="s">
        <v>190</v>
      </c>
      <c r="H1030" s="45">
        <v>300000</v>
      </c>
      <c r="I1030" s="377" t="s">
        <v>3354</v>
      </c>
      <c r="J1030" s="772">
        <v>44573</v>
      </c>
      <c r="K1030" s="812">
        <f t="shared" si="231"/>
        <v>300000</v>
      </c>
      <c r="L1030" s="763"/>
      <c r="M1030" s="819">
        <v>13197</v>
      </c>
      <c r="N1030" s="28">
        <f t="shared" si="234"/>
        <v>3000</v>
      </c>
      <c r="O1030" s="28">
        <f t="shared" si="235"/>
        <v>6000</v>
      </c>
      <c r="P1030" s="819">
        <v>283803</v>
      </c>
      <c r="Q1030" s="28">
        <f t="shared" si="220"/>
        <v>0</v>
      </c>
      <c r="R1030" s="55"/>
      <c r="S1030" s="301">
        <v>44587</v>
      </c>
      <c r="T1030" s="199">
        <v>14</v>
      </c>
      <c r="U1030" s="24">
        <f t="shared" si="214"/>
        <v>44587</v>
      </c>
      <c r="V1030"/>
      <c r="W1030"/>
      <c r="X1030"/>
      <c r="Y1030"/>
      <c r="Z1030"/>
      <c r="AA1030"/>
      <c r="AB1030"/>
      <c r="AC1030"/>
      <c r="AD1030"/>
      <c r="AE1030"/>
      <c r="AF1030"/>
      <c r="AG1030"/>
      <c r="AH1030"/>
      <c r="AI1030"/>
      <c r="AJ1030"/>
      <c r="AK1030"/>
      <c r="AL1030"/>
      <c r="AM1030"/>
      <c r="AN1030"/>
      <c r="AO1030"/>
      <c r="AP1030"/>
      <c r="AQ1030"/>
    </row>
    <row r="1031" spans="1:43" s="10" customFormat="1" ht="15.75" customHeight="1" x14ac:dyDescent="0.25">
      <c r="A1031" s="55">
        <f t="shared" si="215"/>
        <v>41</v>
      </c>
      <c r="B1031" s="633">
        <v>44558</v>
      </c>
      <c r="C1031" s="755" t="s">
        <v>3292</v>
      </c>
      <c r="D1031" s="755" t="s">
        <v>3351</v>
      </c>
      <c r="E1031" s="330" t="s">
        <v>3281</v>
      </c>
      <c r="F1031" s="123" t="s">
        <v>2694</v>
      </c>
      <c r="G1031" s="404" t="s">
        <v>190</v>
      </c>
      <c r="H1031" s="45">
        <v>300000</v>
      </c>
      <c r="I1031" s="377" t="s">
        <v>3355</v>
      </c>
      <c r="J1031" s="772">
        <v>44573</v>
      </c>
      <c r="K1031" s="812">
        <f t="shared" si="231"/>
        <v>300000</v>
      </c>
      <c r="L1031" s="763"/>
      <c r="M1031" s="819">
        <v>13197</v>
      </c>
      <c r="N1031" s="28">
        <f t="shared" si="234"/>
        <v>3000</v>
      </c>
      <c r="O1031" s="28">
        <f t="shared" si="235"/>
        <v>6000</v>
      </c>
      <c r="P1031" s="819">
        <v>283803</v>
      </c>
      <c r="Q1031" s="28">
        <f t="shared" si="220"/>
        <v>0</v>
      </c>
      <c r="R1031" s="301"/>
      <c r="S1031" s="301">
        <v>44587</v>
      </c>
      <c r="T1031" s="199">
        <v>14</v>
      </c>
      <c r="U1031" s="24">
        <f t="shared" si="214"/>
        <v>44587</v>
      </c>
      <c r="V1031" s="5"/>
      <c r="W1031"/>
      <c r="X1031"/>
      <c r="Y1031"/>
      <c r="Z1031"/>
      <c r="AA1031"/>
      <c r="AB1031"/>
      <c r="AC1031"/>
      <c r="AD1031"/>
      <c r="AE1031"/>
      <c r="AF1031"/>
      <c r="AG1031"/>
      <c r="AH1031"/>
      <c r="AI1031"/>
      <c r="AJ1031"/>
      <c r="AK1031"/>
      <c r="AL1031"/>
      <c r="AM1031"/>
      <c r="AN1031"/>
      <c r="AO1031"/>
      <c r="AP1031"/>
      <c r="AQ1031"/>
    </row>
    <row r="1032" spans="1:43" s="10" customFormat="1" ht="15.75" customHeight="1" x14ac:dyDescent="0.25">
      <c r="A1032" s="55">
        <f t="shared" si="215"/>
        <v>42</v>
      </c>
      <c r="B1032" s="633">
        <v>44558</v>
      </c>
      <c r="C1032" s="755" t="s">
        <v>3292</v>
      </c>
      <c r="D1032" s="755" t="s">
        <v>3351</v>
      </c>
      <c r="E1032" s="330" t="s">
        <v>3282</v>
      </c>
      <c r="F1032" s="123" t="s">
        <v>2694</v>
      </c>
      <c r="G1032" s="404" t="s">
        <v>190</v>
      </c>
      <c r="H1032" s="45">
        <v>300000</v>
      </c>
      <c r="I1032" s="377" t="s">
        <v>3356</v>
      </c>
      <c r="J1032" s="772">
        <v>44573</v>
      </c>
      <c r="K1032" s="812">
        <f t="shared" si="231"/>
        <v>300000</v>
      </c>
      <c r="L1032" s="763"/>
      <c r="M1032" s="819">
        <v>13197</v>
      </c>
      <c r="N1032" s="28">
        <f t="shared" si="234"/>
        <v>3000</v>
      </c>
      <c r="O1032" s="28">
        <f t="shared" si="235"/>
        <v>6000</v>
      </c>
      <c r="P1032" s="819">
        <v>283803</v>
      </c>
      <c r="Q1032" s="28">
        <f t="shared" si="220"/>
        <v>0</v>
      </c>
      <c r="R1032" s="301"/>
      <c r="S1032" s="301">
        <v>44587</v>
      </c>
      <c r="T1032" s="199">
        <v>14</v>
      </c>
      <c r="U1032" s="24">
        <f t="shared" si="214"/>
        <v>44587</v>
      </c>
      <c r="V1032" s="7"/>
      <c r="W1032"/>
      <c r="X1032"/>
      <c r="Y1032"/>
      <c r="Z1032"/>
      <c r="AA1032"/>
      <c r="AB1032"/>
      <c r="AC1032"/>
      <c r="AD1032"/>
      <c r="AE1032"/>
      <c r="AF1032"/>
      <c r="AG1032"/>
      <c r="AH1032"/>
      <c r="AI1032"/>
      <c r="AJ1032"/>
      <c r="AK1032"/>
      <c r="AL1032"/>
      <c r="AM1032"/>
      <c r="AN1032"/>
      <c r="AO1032"/>
      <c r="AP1032"/>
      <c r="AQ1032"/>
    </row>
    <row r="1033" spans="1:43" s="10" customFormat="1" ht="15.75" customHeight="1" x14ac:dyDescent="0.25">
      <c r="A1033" s="55">
        <f t="shared" si="215"/>
        <v>43</v>
      </c>
      <c r="B1033" s="633">
        <v>44558</v>
      </c>
      <c r="C1033" s="755" t="s">
        <v>3292</v>
      </c>
      <c r="D1033" s="755" t="s">
        <v>3351</v>
      </c>
      <c r="E1033" s="330" t="s">
        <v>3283</v>
      </c>
      <c r="F1033" s="123" t="s">
        <v>2694</v>
      </c>
      <c r="G1033" s="404" t="s">
        <v>190</v>
      </c>
      <c r="H1033" s="45">
        <v>300000</v>
      </c>
      <c r="I1033" s="377" t="s">
        <v>3357</v>
      </c>
      <c r="J1033" s="772">
        <v>44573</v>
      </c>
      <c r="K1033" s="812">
        <f t="shared" si="231"/>
        <v>300000</v>
      </c>
      <c r="L1033" s="763"/>
      <c r="M1033" s="819">
        <v>13197</v>
      </c>
      <c r="N1033" s="28">
        <f t="shared" si="234"/>
        <v>3000</v>
      </c>
      <c r="O1033" s="28">
        <f t="shared" si="235"/>
        <v>6000</v>
      </c>
      <c r="P1033" s="819">
        <v>283803</v>
      </c>
      <c r="Q1033" s="28">
        <f t="shared" si="220"/>
        <v>0</v>
      </c>
      <c r="R1033" s="301"/>
      <c r="S1033" s="301">
        <v>44587</v>
      </c>
      <c r="T1033" s="199">
        <v>14</v>
      </c>
      <c r="U1033" s="24">
        <f t="shared" si="214"/>
        <v>44587</v>
      </c>
      <c r="V1033" s="7"/>
      <c r="W1033"/>
      <c r="X1033"/>
      <c r="Y1033"/>
      <c r="Z1033"/>
      <c r="AA1033"/>
      <c r="AB1033"/>
      <c r="AC1033"/>
      <c r="AD1033"/>
      <c r="AE1033"/>
      <c r="AF1033"/>
      <c r="AG1033"/>
      <c r="AH1033"/>
      <c r="AI1033"/>
      <c r="AJ1033"/>
      <c r="AK1033"/>
      <c r="AL1033"/>
      <c r="AM1033"/>
      <c r="AN1033"/>
      <c r="AO1033"/>
      <c r="AP1033"/>
      <c r="AQ1033"/>
    </row>
    <row r="1034" spans="1:43" s="10" customFormat="1" ht="15.75" customHeight="1" x14ac:dyDescent="0.25">
      <c r="A1034" s="55">
        <f t="shared" si="215"/>
        <v>44</v>
      </c>
      <c r="B1034" s="633">
        <v>44560</v>
      </c>
      <c r="C1034" s="755">
        <v>403005</v>
      </c>
      <c r="D1034" s="756" t="s">
        <v>3243</v>
      </c>
      <c r="E1034" s="330"/>
      <c r="F1034" s="123" t="s">
        <v>3242</v>
      </c>
      <c r="G1034" s="404" t="s">
        <v>988</v>
      </c>
      <c r="H1034" s="45">
        <v>2943000</v>
      </c>
      <c r="I1034" s="377" t="s">
        <v>3358</v>
      </c>
      <c r="J1034" s="774">
        <v>44574</v>
      </c>
      <c r="K1034" s="790">
        <f t="shared" ref="K1034:K1037" si="236">H1034</f>
        <v>2943000</v>
      </c>
      <c r="L1034" s="763"/>
      <c r="M1034" s="763"/>
      <c r="N1034" s="763">
        <f>K1034*1%</f>
        <v>29430</v>
      </c>
      <c r="O1034" s="763">
        <f>K1034*2%</f>
        <v>58860</v>
      </c>
      <c r="P1034" s="763">
        <v>2913570</v>
      </c>
      <c r="Q1034" s="28">
        <f t="shared" si="220"/>
        <v>0</v>
      </c>
      <c r="R1034" s="301"/>
      <c r="S1034" s="301">
        <v>44594</v>
      </c>
      <c r="T1034" s="55">
        <v>14</v>
      </c>
      <c r="U1034" s="24">
        <f t="shared" si="214"/>
        <v>44588</v>
      </c>
      <c r="V1034" s="7"/>
      <c r="W1034"/>
      <c r="X1034"/>
      <c r="Y1034"/>
      <c r="Z1034"/>
      <c r="AA1034"/>
      <c r="AB1034"/>
      <c r="AC1034"/>
      <c r="AD1034"/>
      <c r="AE1034"/>
      <c r="AF1034"/>
      <c r="AG1034"/>
      <c r="AH1034"/>
      <c r="AI1034"/>
      <c r="AJ1034"/>
      <c r="AK1034"/>
      <c r="AL1034"/>
      <c r="AM1034"/>
      <c r="AN1034"/>
      <c r="AO1034"/>
      <c r="AP1034"/>
      <c r="AQ1034"/>
    </row>
    <row r="1035" spans="1:43" s="10" customFormat="1" ht="15.75" customHeight="1" x14ac:dyDescent="0.25">
      <c r="A1035" s="55">
        <f t="shared" si="215"/>
        <v>45</v>
      </c>
      <c r="B1035" s="633">
        <v>44558</v>
      </c>
      <c r="C1035" s="755"/>
      <c r="D1035" s="756"/>
      <c r="E1035" s="330"/>
      <c r="F1035" s="33" t="s">
        <v>1195</v>
      </c>
      <c r="G1035" s="404" t="s">
        <v>3365</v>
      </c>
      <c r="H1035" s="45">
        <v>21100000</v>
      </c>
      <c r="I1035" s="377" t="s">
        <v>3364</v>
      </c>
      <c r="J1035" s="774">
        <v>44574</v>
      </c>
      <c r="K1035" s="790">
        <f t="shared" si="236"/>
        <v>21100000</v>
      </c>
      <c r="L1035" s="763"/>
      <c r="M1035" s="763"/>
      <c r="N1035" s="763">
        <f>K1035*1%</f>
        <v>211000</v>
      </c>
      <c r="O1035" s="763">
        <f>K1035*2%</f>
        <v>422000</v>
      </c>
      <c r="P1035" s="763">
        <v>20889000</v>
      </c>
      <c r="Q1035" s="28">
        <f t="shared" si="220"/>
        <v>0</v>
      </c>
      <c r="R1035" s="301"/>
      <c r="S1035" s="301">
        <v>44594</v>
      </c>
      <c r="T1035" s="199">
        <v>14</v>
      </c>
      <c r="U1035" s="24">
        <f t="shared" si="214"/>
        <v>44588</v>
      </c>
      <c r="V1035" s="7"/>
      <c r="W1035"/>
      <c r="X1035"/>
      <c r="Y1035"/>
      <c r="Z1035"/>
      <c r="AA1035"/>
      <c r="AB1035"/>
      <c r="AC1035"/>
      <c r="AD1035"/>
      <c r="AE1035"/>
      <c r="AF1035"/>
      <c r="AG1035"/>
      <c r="AH1035"/>
      <c r="AI1035"/>
      <c r="AJ1035"/>
      <c r="AK1035"/>
      <c r="AL1035"/>
      <c r="AM1035"/>
      <c r="AN1035"/>
      <c r="AO1035"/>
      <c r="AP1035"/>
      <c r="AQ1035"/>
    </row>
    <row r="1036" spans="1:43" s="10" customFormat="1" ht="15.75" customHeight="1" x14ac:dyDescent="0.25">
      <c r="A1036" s="55">
        <f t="shared" si="215"/>
        <v>46</v>
      </c>
      <c r="B1036" s="633">
        <v>44531</v>
      </c>
      <c r="C1036" s="755">
        <v>403745</v>
      </c>
      <c r="D1036" s="756"/>
      <c r="E1036" s="330"/>
      <c r="F1036" s="33" t="s">
        <v>1195</v>
      </c>
      <c r="G1036" s="404" t="s">
        <v>3367</v>
      </c>
      <c r="H1036" s="45">
        <v>14066080</v>
      </c>
      <c r="I1036" s="377" t="s">
        <v>3366</v>
      </c>
      <c r="J1036" s="774">
        <v>44574</v>
      </c>
      <c r="K1036" s="790">
        <f t="shared" si="236"/>
        <v>14066080</v>
      </c>
      <c r="L1036" s="763"/>
      <c r="M1036" s="763">
        <v>1406608</v>
      </c>
      <c r="N1036" s="763">
        <v>126594.72</v>
      </c>
      <c r="O1036" s="763">
        <v>253189.44</v>
      </c>
      <c r="P1036" s="763">
        <v>12532877.280000001</v>
      </c>
      <c r="Q1036" s="28">
        <f t="shared" si="220"/>
        <v>-6.6938810050487518E-10</v>
      </c>
      <c r="R1036" s="301"/>
      <c r="S1036" s="301">
        <v>44608</v>
      </c>
      <c r="T1036" s="199">
        <v>14</v>
      </c>
      <c r="U1036" s="24">
        <f t="shared" si="214"/>
        <v>44588</v>
      </c>
      <c r="V1036" s="7"/>
      <c r="W1036"/>
      <c r="X1036"/>
      <c r="Y1036"/>
      <c r="Z1036"/>
      <c r="AA1036"/>
      <c r="AB1036"/>
      <c r="AC1036"/>
      <c r="AD1036"/>
      <c r="AE1036"/>
      <c r="AF1036"/>
      <c r="AG1036"/>
      <c r="AH1036"/>
      <c r="AI1036"/>
      <c r="AJ1036"/>
      <c r="AK1036"/>
      <c r="AL1036"/>
      <c r="AM1036"/>
      <c r="AN1036"/>
      <c r="AO1036"/>
      <c r="AP1036"/>
      <c r="AQ1036"/>
    </row>
    <row r="1037" spans="1:43" s="10" customFormat="1" ht="15.75" customHeight="1" x14ac:dyDescent="0.25">
      <c r="A1037" s="55">
        <f t="shared" si="215"/>
        <v>47</v>
      </c>
      <c r="B1037" s="633">
        <v>44536</v>
      </c>
      <c r="C1037" s="755">
        <v>405829</v>
      </c>
      <c r="D1037" s="756"/>
      <c r="E1037" s="330"/>
      <c r="F1037" s="33" t="s">
        <v>1195</v>
      </c>
      <c r="G1037" s="404" t="s">
        <v>3539</v>
      </c>
      <c r="H1037" s="45">
        <v>10838492</v>
      </c>
      <c r="I1037" s="377" t="s">
        <v>3368</v>
      </c>
      <c r="J1037" s="774">
        <v>44574</v>
      </c>
      <c r="K1037" s="790">
        <f t="shared" si="236"/>
        <v>10838492</v>
      </c>
      <c r="L1037" s="763"/>
      <c r="M1037" s="763">
        <v>1083849.2</v>
      </c>
      <c r="N1037" s="763">
        <v>97546.428000000014</v>
      </c>
      <c r="O1037" s="763">
        <v>195092.85600000003</v>
      </c>
      <c r="P1037" s="763">
        <v>9657096.3719999995</v>
      </c>
      <c r="Q1037" s="28">
        <f t="shared" si="220"/>
        <v>6.4028427004814148E-10</v>
      </c>
      <c r="R1037" s="301"/>
      <c r="S1037" s="301">
        <v>44608</v>
      </c>
      <c r="T1037" s="199">
        <v>14</v>
      </c>
      <c r="U1037" s="24">
        <f t="shared" si="214"/>
        <v>44588</v>
      </c>
      <c r="V1037" s="7"/>
      <c r="W1037"/>
      <c r="X1037"/>
      <c r="Y1037"/>
      <c r="Z1037"/>
      <c r="AA1037"/>
      <c r="AB1037"/>
      <c r="AC1037"/>
      <c r="AD1037"/>
      <c r="AE1037"/>
      <c r="AF1037"/>
      <c r="AG1037"/>
      <c r="AH1037"/>
      <c r="AI1037"/>
      <c r="AJ1037"/>
      <c r="AK1037"/>
      <c r="AL1037"/>
      <c r="AM1037"/>
      <c r="AN1037"/>
      <c r="AO1037"/>
      <c r="AP1037"/>
      <c r="AQ1037"/>
    </row>
    <row r="1038" spans="1:43" s="10" customFormat="1" ht="15.75" customHeight="1" x14ac:dyDescent="0.25">
      <c r="A1038" s="55">
        <f t="shared" si="215"/>
        <v>48</v>
      </c>
      <c r="B1038" s="633">
        <v>44531</v>
      </c>
      <c r="C1038" s="755">
        <v>403955</v>
      </c>
      <c r="D1038" s="756"/>
      <c r="E1038" s="330"/>
      <c r="F1038" s="33" t="s">
        <v>1195</v>
      </c>
      <c r="G1038" s="404" t="s">
        <v>3459</v>
      </c>
      <c r="H1038" s="45">
        <v>796345683</v>
      </c>
      <c r="I1038" s="377" t="s">
        <v>3458</v>
      </c>
      <c r="J1038" s="774">
        <v>44581</v>
      </c>
      <c r="K1038" s="790">
        <f>H1038</f>
        <v>796345683</v>
      </c>
      <c r="L1038" s="790"/>
      <c r="M1038" s="790"/>
      <c r="N1038" s="28">
        <f>K1038*1%</f>
        <v>7963456.8300000001</v>
      </c>
      <c r="O1038" s="28">
        <f>K1038*2%</f>
        <v>15926913.66</v>
      </c>
      <c r="P1038" s="790">
        <v>788382226.17000008</v>
      </c>
      <c r="Q1038" s="28">
        <f t="shared" si="220"/>
        <v>-4.2840838432312012E-8</v>
      </c>
      <c r="R1038" s="301"/>
      <c r="S1038" s="301">
        <v>44608</v>
      </c>
      <c r="T1038" s="199">
        <v>14</v>
      </c>
      <c r="U1038" s="24">
        <f t="shared" ref="U1038:U1042" si="237">J1038+T1038</f>
        <v>44595</v>
      </c>
      <c r="V1038" s="5"/>
      <c r="W1038"/>
      <c r="X1038"/>
      <c r="Y1038"/>
      <c r="Z1038"/>
      <c r="AA1038"/>
      <c r="AB1038"/>
      <c r="AC1038"/>
      <c r="AD1038"/>
      <c r="AE1038"/>
      <c r="AF1038"/>
      <c r="AG1038"/>
      <c r="AH1038"/>
      <c r="AI1038"/>
      <c r="AJ1038"/>
      <c r="AK1038"/>
      <c r="AL1038"/>
      <c r="AM1038"/>
      <c r="AN1038"/>
      <c r="AO1038"/>
      <c r="AP1038"/>
      <c r="AQ1038"/>
    </row>
    <row r="1039" spans="1:43" s="10" customFormat="1" ht="15.75" customHeight="1" x14ac:dyDescent="0.25">
      <c r="A1039" s="55">
        <f t="shared" si="215"/>
        <v>49</v>
      </c>
      <c r="B1039" s="633">
        <v>44559</v>
      </c>
      <c r="C1039" s="755" t="s">
        <v>3295</v>
      </c>
      <c r="D1039" s="756" t="s">
        <v>3473</v>
      </c>
      <c r="E1039" s="330" t="s">
        <v>3474</v>
      </c>
      <c r="F1039" s="123" t="s">
        <v>2694</v>
      </c>
      <c r="G1039" s="404" t="s">
        <v>147</v>
      </c>
      <c r="H1039" s="45">
        <v>800000</v>
      </c>
      <c r="I1039" s="377" t="s">
        <v>3472</v>
      </c>
      <c r="J1039" s="774">
        <v>44581</v>
      </c>
      <c r="K1039" s="812">
        <f t="shared" ref="K1039:K1042" si="238">H1039</f>
        <v>800000</v>
      </c>
      <c r="L1039" s="812"/>
      <c r="M1039" s="812"/>
      <c r="N1039" s="28">
        <f t="shared" ref="N1039:N1042" si="239">K1039*1%</f>
        <v>8000</v>
      </c>
      <c r="O1039" s="28">
        <f t="shared" ref="O1039:O1042" si="240">K1039*2%</f>
        <v>16000</v>
      </c>
      <c r="P1039" s="812"/>
      <c r="Q1039" s="28">
        <f t="shared" si="220"/>
        <v>792000</v>
      </c>
      <c r="R1039" s="301"/>
      <c r="S1039" s="301"/>
      <c r="T1039" s="199">
        <v>14</v>
      </c>
      <c r="U1039" s="24">
        <f t="shared" si="237"/>
        <v>44595</v>
      </c>
      <c r="V1039" s="5"/>
      <c r="W1039"/>
      <c r="X1039"/>
      <c r="Y1039"/>
      <c r="Z1039"/>
      <c r="AA1039"/>
      <c r="AB1039"/>
      <c r="AC1039"/>
      <c r="AD1039"/>
      <c r="AE1039"/>
      <c r="AF1039"/>
      <c r="AG1039"/>
      <c r="AH1039"/>
      <c r="AI1039"/>
      <c r="AJ1039"/>
      <c r="AK1039"/>
      <c r="AL1039"/>
      <c r="AM1039"/>
      <c r="AN1039"/>
      <c r="AO1039"/>
      <c r="AP1039"/>
      <c r="AQ1039"/>
    </row>
    <row r="1040" spans="1:43" s="10" customFormat="1" ht="15.75" customHeight="1" x14ac:dyDescent="0.25">
      <c r="A1040" s="55">
        <f t="shared" si="215"/>
        <v>50</v>
      </c>
      <c r="B1040" s="633">
        <v>44558</v>
      </c>
      <c r="C1040" s="755" t="s">
        <v>3293</v>
      </c>
      <c r="D1040" s="756" t="s">
        <v>3477</v>
      </c>
      <c r="E1040" s="330" t="s">
        <v>4058</v>
      </c>
      <c r="F1040" s="123" t="s">
        <v>2694</v>
      </c>
      <c r="G1040" s="404" t="s">
        <v>147</v>
      </c>
      <c r="H1040" s="45">
        <v>750000</v>
      </c>
      <c r="I1040" s="377" t="s">
        <v>3475</v>
      </c>
      <c r="J1040" s="774">
        <v>44581</v>
      </c>
      <c r="K1040" s="812">
        <f t="shared" si="238"/>
        <v>750000</v>
      </c>
      <c r="L1040" s="812"/>
      <c r="M1040" s="812">
        <v>17625</v>
      </c>
      <c r="N1040" s="28">
        <f t="shared" si="239"/>
        <v>7500</v>
      </c>
      <c r="O1040" s="28">
        <f t="shared" si="240"/>
        <v>15000</v>
      </c>
      <c r="P1040" s="812">
        <v>724875</v>
      </c>
      <c r="Q1040" s="28">
        <f t="shared" si="220"/>
        <v>0</v>
      </c>
      <c r="R1040" s="301"/>
      <c r="S1040" s="301">
        <v>44599</v>
      </c>
      <c r="T1040" s="199">
        <v>14</v>
      </c>
      <c r="U1040" s="24">
        <f t="shared" si="237"/>
        <v>44595</v>
      </c>
      <c r="V1040" s="5"/>
      <c r="W1040"/>
      <c r="X1040"/>
      <c r="Y1040"/>
      <c r="Z1040"/>
      <c r="AA1040"/>
      <c r="AB1040"/>
      <c r="AC1040"/>
      <c r="AD1040"/>
      <c r="AE1040"/>
      <c r="AF1040"/>
      <c r="AG1040"/>
      <c r="AH1040"/>
      <c r="AI1040"/>
      <c r="AJ1040"/>
      <c r="AK1040"/>
      <c r="AL1040"/>
      <c r="AM1040"/>
      <c r="AN1040"/>
      <c r="AO1040"/>
      <c r="AP1040"/>
      <c r="AQ1040"/>
    </row>
    <row r="1041" spans="1:43" s="10" customFormat="1" ht="15.75" customHeight="1" x14ac:dyDescent="0.25">
      <c r="A1041" s="55">
        <f t="shared" si="215"/>
        <v>51</v>
      </c>
      <c r="B1041" s="633">
        <v>44559</v>
      </c>
      <c r="C1041" s="755" t="s">
        <v>3294</v>
      </c>
      <c r="D1041" s="756" t="s">
        <v>3479</v>
      </c>
      <c r="E1041" s="330" t="s">
        <v>4057</v>
      </c>
      <c r="F1041" s="123" t="s">
        <v>2694</v>
      </c>
      <c r="G1041" s="404" t="s">
        <v>3481</v>
      </c>
      <c r="H1041" s="45">
        <v>800000</v>
      </c>
      <c r="I1041" s="377" t="s">
        <v>3478</v>
      </c>
      <c r="J1041" s="774">
        <v>44581</v>
      </c>
      <c r="K1041" s="812">
        <f t="shared" si="238"/>
        <v>800000</v>
      </c>
      <c r="L1041" s="812"/>
      <c r="M1041" s="812">
        <v>25860</v>
      </c>
      <c r="N1041" s="28">
        <f t="shared" si="239"/>
        <v>8000</v>
      </c>
      <c r="O1041" s="28">
        <f t="shared" si="240"/>
        <v>16000</v>
      </c>
      <c r="P1041" s="812">
        <v>766140</v>
      </c>
      <c r="Q1041" s="28">
        <f t="shared" si="220"/>
        <v>0</v>
      </c>
      <c r="R1041" s="301"/>
      <c r="S1041" s="301">
        <v>44599</v>
      </c>
      <c r="T1041" s="199">
        <v>14</v>
      </c>
      <c r="U1041" s="24">
        <f t="shared" si="237"/>
        <v>44595</v>
      </c>
      <c r="V1041" s="5"/>
      <c r="W1041"/>
      <c r="X1041"/>
      <c r="Y1041"/>
      <c r="Z1041"/>
      <c r="AA1041"/>
      <c r="AB1041"/>
      <c r="AC1041"/>
      <c r="AD1041"/>
      <c r="AE1041"/>
      <c r="AF1041"/>
      <c r="AG1041"/>
      <c r="AH1041"/>
      <c r="AI1041"/>
      <c r="AJ1041"/>
      <c r="AK1041"/>
      <c r="AL1041"/>
      <c r="AM1041"/>
      <c r="AN1041"/>
      <c r="AO1041"/>
      <c r="AP1041"/>
      <c r="AQ1041"/>
    </row>
    <row r="1042" spans="1:43" s="10" customFormat="1" ht="15.75" customHeight="1" x14ac:dyDescent="0.25">
      <c r="A1042" s="55">
        <f t="shared" si="215"/>
        <v>52</v>
      </c>
      <c r="B1042" s="633">
        <v>44557</v>
      </c>
      <c r="C1042" s="755" t="s">
        <v>3291</v>
      </c>
      <c r="D1042" s="756" t="s">
        <v>3483</v>
      </c>
      <c r="E1042" s="330" t="s">
        <v>3270</v>
      </c>
      <c r="F1042" s="123" t="s">
        <v>2694</v>
      </c>
      <c r="G1042" s="404" t="s">
        <v>3484</v>
      </c>
      <c r="H1042" s="45">
        <v>900000</v>
      </c>
      <c r="I1042" s="377" t="s">
        <v>3482</v>
      </c>
      <c r="J1042" s="774">
        <v>44581</v>
      </c>
      <c r="K1042" s="812">
        <f t="shared" si="238"/>
        <v>900000</v>
      </c>
      <c r="L1042" s="812"/>
      <c r="M1042" s="812">
        <v>18749</v>
      </c>
      <c r="N1042" s="28">
        <f t="shared" si="239"/>
        <v>9000</v>
      </c>
      <c r="O1042" s="28">
        <f t="shared" si="240"/>
        <v>18000</v>
      </c>
      <c r="P1042" s="870">
        <v>872251</v>
      </c>
      <c r="Q1042" s="28">
        <f t="shared" si="220"/>
        <v>0</v>
      </c>
      <c r="R1042" s="301"/>
      <c r="S1042" s="301">
        <v>44599</v>
      </c>
      <c r="T1042" s="199">
        <v>14</v>
      </c>
      <c r="U1042" s="24">
        <f t="shared" si="237"/>
        <v>44595</v>
      </c>
      <c r="V1042" s="5"/>
      <c r="W1042"/>
      <c r="X1042"/>
      <c r="Y1042"/>
      <c r="Z1042"/>
      <c r="AA1042"/>
      <c r="AB1042"/>
      <c r="AC1042"/>
      <c r="AD1042"/>
      <c r="AE1042"/>
      <c r="AF1042"/>
      <c r="AG1042"/>
      <c r="AH1042"/>
      <c r="AI1042"/>
      <c r="AJ1042"/>
      <c r="AK1042"/>
      <c r="AL1042"/>
      <c r="AM1042"/>
      <c r="AN1042"/>
      <c r="AO1042"/>
      <c r="AP1042"/>
      <c r="AQ1042"/>
    </row>
    <row r="1043" spans="1:43" s="10" customFormat="1" ht="15.75" customHeight="1" x14ac:dyDescent="0.25">
      <c r="A1043" s="55">
        <f>'PiuGlobal 22'!A22+1</f>
        <v>20</v>
      </c>
      <c r="B1043" s="633">
        <v>44546</v>
      </c>
      <c r="C1043" s="755">
        <v>406118</v>
      </c>
      <c r="D1043" s="756"/>
      <c r="E1043" s="330"/>
      <c r="F1043" s="33" t="s">
        <v>1195</v>
      </c>
      <c r="G1043" s="792" t="s">
        <v>3504</v>
      </c>
      <c r="H1043" s="45">
        <v>346009966.22500002</v>
      </c>
      <c r="I1043" s="377" t="s">
        <v>3503</v>
      </c>
      <c r="J1043" s="774">
        <v>44586</v>
      </c>
      <c r="K1043" s="813">
        <f>H1043</f>
        <v>346009966.22500002</v>
      </c>
      <c r="L1043" s="812"/>
      <c r="M1043" s="812">
        <v>34600996.622500002</v>
      </c>
      <c r="N1043" s="28">
        <v>3114089.6960250004</v>
      </c>
      <c r="O1043" s="28">
        <v>6228179.3920500008</v>
      </c>
      <c r="P1043" s="812">
        <v>308294879.90647501</v>
      </c>
      <c r="Q1043" s="28">
        <f t="shared" ref="Q1043:Q1045" si="241">K1043-L1043-M1043-O1043-P1043+N1043</f>
        <v>-1.3504177331924438E-8</v>
      </c>
      <c r="R1043" s="301"/>
      <c r="S1043" s="301">
        <v>44608</v>
      </c>
      <c r="T1043" s="199">
        <v>14</v>
      </c>
      <c r="U1043" s="24">
        <f t="shared" ref="U1043:U1045" si="242">J1043+T1043</f>
        <v>44600</v>
      </c>
      <c r="V1043" s="5"/>
      <c r="W1043"/>
      <c r="X1043"/>
      <c r="Y1043"/>
      <c r="Z1043"/>
      <c r="AA1043"/>
      <c r="AB1043"/>
      <c r="AC1043"/>
      <c r="AD1043"/>
      <c r="AE1043"/>
      <c r="AF1043"/>
      <c r="AG1043"/>
      <c r="AH1043"/>
      <c r="AI1043"/>
      <c r="AJ1043"/>
      <c r="AK1043"/>
      <c r="AL1043"/>
      <c r="AM1043"/>
      <c r="AN1043"/>
      <c r="AO1043"/>
      <c r="AP1043"/>
      <c r="AQ1043"/>
    </row>
    <row r="1044" spans="1:43" s="10" customFormat="1" ht="15.75" customHeight="1" x14ac:dyDescent="0.25">
      <c r="A1044" s="55">
        <f>A1043+1</f>
        <v>21</v>
      </c>
      <c r="B1044" s="633">
        <v>44531</v>
      </c>
      <c r="C1044" s="755">
        <v>403746</v>
      </c>
      <c r="D1044" s="756"/>
      <c r="E1044" s="330"/>
      <c r="F1044" s="33" t="s">
        <v>1195</v>
      </c>
      <c r="G1044" s="792" t="s">
        <v>3507</v>
      </c>
      <c r="H1044" s="45">
        <v>11819254.500000002</v>
      </c>
      <c r="I1044" s="377" t="s">
        <v>3506</v>
      </c>
      <c r="J1044" s="774">
        <v>44586</v>
      </c>
      <c r="K1044" s="813">
        <f>H1044</f>
        <v>11819254.500000002</v>
      </c>
      <c r="L1044" s="812"/>
      <c r="M1044" s="812">
        <v>1181925.4500000002</v>
      </c>
      <c r="N1044" s="28">
        <v>106373.2905</v>
      </c>
      <c r="O1044" s="28">
        <v>212746.58100000001</v>
      </c>
      <c r="P1044" s="812">
        <v>10530955.759500001</v>
      </c>
      <c r="Q1044" s="28">
        <f t="shared" si="241"/>
        <v>-1.1641532182693481E-10</v>
      </c>
      <c r="R1044" s="301"/>
      <c r="S1044" s="301">
        <v>44613</v>
      </c>
      <c r="T1044" s="199">
        <v>14</v>
      </c>
      <c r="U1044" s="24">
        <f t="shared" si="242"/>
        <v>44600</v>
      </c>
      <c r="V1044" s="5"/>
      <c r="W1044"/>
      <c r="X1044"/>
      <c r="Y1044"/>
      <c r="Z1044"/>
      <c r="AA1044"/>
      <c r="AB1044"/>
      <c r="AC1044"/>
      <c r="AD1044"/>
      <c r="AE1044"/>
      <c r="AF1044"/>
      <c r="AG1044"/>
      <c r="AH1044"/>
      <c r="AI1044"/>
      <c r="AJ1044"/>
      <c r="AK1044"/>
      <c r="AL1044"/>
      <c r="AM1044"/>
      <c r="AN1044"/>
      <c r="AO1044"/>
      <c r="AP1044"/>
      <c r="AQ1044"/>
    </row>
    <row r="1045" spans="1:43" s="10" customFormat="1" ht="15.75" customHeight="1" x14ac:dyDescent="0.25">
      <c r="A1045" s="55">
        <f>'PiuGlobal 22'!A44+1</f>
        <v>42</v>
      </c>
      <c r="B1045" s="633">
        <v>44560</v>
      </c>
      <c r="C1045" s="755" t="s">
        <v>3652</v>
      </c>
      <c r="D1045" s="755" t="s">
        <v>3651</v>
      </c>
      <c r="E1045" s="330" t="s">
        <v>3287</v>
      </c>
      <c r="F1045" s="123" t="s">
        <v>2694</v>
      </c>
      <c r="G1045" s="404" t="s">
        <v>190</v>
      </c>
      <c r="H1045" s="45">
        <v>800000</v>
      </c>
      <c r="I1045" s="377" t="s">
        <v>3650</v>
      </c>
      <c r="J1045" s="774">
        <v>44596</v>
      </c>
      <c r="K1045" s="821">
        <f>H1045</f>
        <v>800000</v>
      </c>
      <c r="L1045" s="821"/>
      <c r="M1045" s="821">
        <v>25860</v>
      </c>
      <c r="N1045" s="28">
        <f t="shared" ref="N1045" si="243">K1045*1%</f>
        <v>8000</v>
      </c>
      <c r="O1045" s="28">
        <f t="shared" ref="O1045" si="244">K1045*2%</f>
        <v>16000</v>
      </c>
      <c r="P1045" s="870">
        <v>766140</v>
      </c>
      <c r="Q1045" s="28">
        <f t="shared" si="241"/>
        <v>0</v>
      </c>
      <c r="R1045" s="301"/>
      <c r="S1045" s="301">
        <v>44611</v>
      </c>
      <c r="T1045" s="199">
        <v>14</v>
      </c>
      <c r="U1045" s="24">
        <f t="shared" si="242"/>
        <v>44610</v>
      </c>
      <c r="V1045" s="5"/>
      <c r="W1045"/>
      <c r="X1045"/>
      <c r="Y1045"/>
      <c r="Z1045"/>
      <c r="AA1045"/>
      <c r="AB1045"/>
      <c r="AC1045"/>
      <c r="AD1045"/>
      <c r="AE1045"/>
      <c r="AF1045"/>
      <c r="AG1045"/>
      <c r="AH1045"/>
      <c r="AI1045"/>
      <c r="AJ1045"/>
      <c r="AK1045"/>
      <c r="AL1045"/>
      <c r="AM1045"/>
      <c r="AN1045"/>
      <c r="AO1045"/>
      <c r="AP1045"/>
      <c r="AQ1045"/>
    </row>
    <row r="1046" spans="1:43" s="10" customFormat="1" ht="15.75" customHeight="1" x14ac:dyDescent="0.25">
      <c r="A1046" s="55">
        <f>A1045+1</f>
        <v>43</v>
      </c>
      <c r="B1046" s="633">
        <v>44560</v>
      </c>
      <c r="C1046" s="755">
        <v>403006</v>
      </c>
      <c r="D1046" s="755" t="s">
        <v>3244</v>
      </c>
      <c r="E1046" s="330"/>
      <c r="F1046" s="33" t="s">
        <v>3654</v>
      </c>
      <c r="G1046" s="404" t="s">
        <v>3655</v>
      </c>
      <c r="H1046" s="45">
        <v>4746000</v>
      </c>
      <c r="I1046" s="377" t="s">
        <v>3653</v>
      </c>
      <c r="J1046" s="774">
        <v>44599</v>
      </c>
      <c r="K1046" s="821">
        <f>H1046</f>
        <v>4746000</v>
      </c>
      <c r="L1046" s="821"/>
      <c r="M1046" s="821"/>
      <c r="N1046" s="871">
        <f>K1046*1%</f>
        <v>47460</v>
      </c>
      <c r="O1046" s="871">
        <f>K1046*2%</f>
        <v>94920</v>
      </c>
      <c r="P1046" s="821">
        <v>4698540</v>
      </c>
      <c r="Q1046" s="28">
        <f t="shared" si="220"/>
        <v>0</v>
      </c>
      <c r="R1046" s="301"/>
      <c r="S1046" s="301">
        <v>44613</v>
      </c>
      <c r="T1046" s="55"/>
      <c r="U1046" s="24"/>
      <c r="V1046" s="5"/>
      <c r="W1046"/>
      <c r="X1046"/>
      <c r="Y1046"/>
      <c r="Z1046"/>
      <c r="AA1046"/>
      <c r="AB1046"/>
      <c r="AC1046"/>
      <c r="AD1046"/>
      <c r="AE1046"/>
      <c r="AF1046"/>
      <c r="AG1046"/>
      <c r="AH1046"/>
      <c r="AI1046"/>
      <c r="AJ1046"/>
      <c r="AK1046"/>
      <c r="AL1046"/>
      <c r="AM1046"/>
      <c r="AN1046"/>
      <c r="AO1046"/>
      <c r="AP1046"/>
      <c r="AQ1046"/>
    </row>
    <row r="1047" spans="1:43" s="10" customFormat="1" ht="15.75" customHeight="1" x14ac:dyDescent="0.25">
      <c r="A1047" s="55">
        <f>A1042+1</f>
        <v>53</v>
      </c>
      <c r="B1047" s="470">
        <v>44560</v>
      </c>
      <c r="C1047" s="448" t="s">
        <v>3296</v>
      </c>
      <c r="D1047" s="332" t="s">
        <v>3289</v>
      </c>
      <c r="E1047" s="58" t="s">
        <v>3285</v>
      </c>
      <c r="F1047" s="123" t="s">
        <v>2694</v>
      </c>
      <c r="G1047" s="334" t="s">
        <v>1270</v>
      </c>
      <c r="H1047" s="45">
        <v>900000</v>
      </c>
      <c r="I1047" s="380" t="s">
        <v>4388</v>
      </c>
      <c r="J1047" s="507">
        <v>44631</v>
      </c>
      <c r="K1047" s="751">
        <v>900000</v>
      </c>
      <c r="L1047" s="751"/>
      <c r="M1047" s="750"/>
      <c r="N1047" s="28">
        <v>9000</v>
      </c>
      <c r="O1047" s="28">
        <v>18000</v>
      </c>
      <c r="P1047" s="750"/>
      <c r="Q1047" s="28">
        <v>891000</v>
      </c>
      <c r="R1047" s="197"/>
      <c r="S1047" s="197"/>
      <c r="T1047" s="199">
        <v>14</v>
      </c>
      <c r="U1047" s="24">
        <f t="shared" si="214"/>
        <v>44645</v>
      </c>
      <c r="V1047" s="7"/>
      <c r="W1047"/>
      <c r="X1047"/>
      <c r="Y1047"/>
      <c r="Z1047"/>
      <c r="AA1047"/>
      <c r="AB1047"/>
      <c r="AC1047"/>
      <c r="AD1047"/>
      <c r="AE1047"/>
      <c r="AF1047"/>
      <c r="AG1047"/>
      <c r="AH1047"/>
      <c r="AI1047"/>
      <c r="AJ1047"/>
      <c r="AK1047"/>
      <c r="AL1047"/>
      <c r="AM1047"/>
      <c r="AN1047"/>
      <c r="AO1047"/>
      <c r="AP1047"/>
      <c r="AQ1047"/>
    </row>
    <row r="1048" spans="1:43" s="10" customFormat="1" ht="15.75" customHeight="1" x14ac:dyDescent="0.25">
      <c r="A1048" s="55">
        <f>'PiuGlobal 22'!A31+1</f>
        <v>29</v>
      </c>
      <c r="B1048" s="633">
        <v>44540</v>
      </c>
      <c r="C1048" s="755">
        <v>406456</v>
      </c>
      <c r="D1048" s="756"/>
      <c r="E1048" s="330"/>
      <c r="F1048" s="33" t="s">
        <v>1195</v>
      </c>
      <c r="G1048" s="404" t="s">
        <v>3579</v>
      </c>
      <c r="H1048" s="45">
        <v>18710132</v>
      </c>
      <c r="I1048" s="377" t="s">
        <v>3578</v>
      </c>
      <c r="J1048" s="774">
        <v>44595</v>
      </c>
      <c r="K1048" s="821">
        <f t="shared" ref="K1048:K1053" si="245">H1048</f>
        <v>18710132</v>
      </c>
      <c r="L1048" s="812"/>
      <c r="M1048" s="812">
        <v>1871013.2000000002</v>
      </c>
      <c r="N1048" s="28">
        <v>168391.18800000002</v>
      </c>
      <c r="O1048" s="28">
        <v>336782.37600000005</v>
      </c>
      <c r="P1048" s="812">
        <v>16670727.612</v>
      </c>
      <c r="Q1048" s="28">
        <f t="shared" si="220"/>
        <v>8.7311491370201111E-10</v>
      </c>
      <c r="R1048" s="301"/>
      <c r="S1048" s="301">
        <v>44613</v>
      </c>
      <c r="T1048" s="199">
        <v>14</v>
      </c>
      <c r="U1048" s="24">
        <f t="shared" si="214"/>
        <v>44609</v>
      </c>
      <c r="V1048" s="5"/>
      <c r="W1048"/>
      <c r="X1048"/>
      <c r="Y1048"/>
      <c r="Z1048"/>
      <c r="AA1048"/>
      <c r="AB1048"/>
      <c r="AC1048"/>
      <c r="AD1048"/>
      <c r="AE1048"/>
      <c r="AF1048"/>
      <c r="AG1048"/>
      <c r="AH1048"/>
      <c r="AI1048"/>
      <c r="AJ1048"/>
      <c r="AK1048"/>
      <c r="AL1048"/>
      <c r="AM1048"/>
      <c r="AN1048"/>
      <c r="AO1048"/>
      <c r="AP1048"/>
      <c r="AQ1048"/>
    </row>
    <row r="1049" spans="1:43" s="10" customFormat="1" ht="15.75" customHeight="1" x14ac:dyDescent="0.25">
      <c r="A1049" s="55">
        <f>'PiuGlobal 22'!A32+1</f>
        <v>30</v>
      </c>
      <c r="B1049" s="633">
        <v>44533</v>
      </c>
      <c r="C1049" s="755">
        <v>405807</v>
      </c>
      <c r="D1049" s="756"/>
      <c r="E1049" s="330"/>
      <c r="F1049" s="33" t="s">
        <v>1195</v>
      </c>
      <c r="G1049" s="404" t="s">
        <v>3581</v>
      </c>
      <c r="H1049" s="45">
        <v>27774799.5</v>
      </c>
      <c r="I1049" s="45" t="s">
        <v>3580</v>
      </c>
      <c r="J1049" s="774">
        <v>44596</v>
      </c>
      <c r="K1049" s="821">
        <f t="shared" si="245"/>
        <v>27774799.5</v>
      </c>
      <c r="L1049" s="821"/>
      <c r="M1049" s="821">
        <v>2777479.95</v>
      </c>
      <c r="N1049" s="28">
        <v>249973.1955</v>
      </c>
      <c r="O1049" s="28">
        <v>499946.391</v>
      </c>
      <c r="P1049" s="423">
        <v>24747346.354500003</v>
      </c>
      <c r="Q1049" s="28">
        <f t="shared" si="220"/>
        <v>-1.3096723705530167E-9</v>
      </c>
      <c r="R1049" s="301"/>
      <c r="S1049" s="301">
        <v>44615</v>
      </c>
      <c r="T1049" s="199">
        <v>14</v>
      </c>
      <c r="U1049" s="24">
        <f t="shared" si="214"/>
        <v>44610</v>
      </c>
      <c r="V1049" s="5"/>
      <c r="W1049"/>
      <c r="X1049"/>
      <c r="Y1049"/>
      <c r="Z1049"/>
      <c r="AA1049"/>
      <c r="AB1049"/>
      <c r="AC1049"/>
      <c r="AD1049"/>
      <c r="AE1049"/>
      <c r="AF1049"/>
      <c r="AG1049"/>
      <c r="AH1049"/>
      <c r="AI1049"/>
      <c r="AJ1049"/>
      <c r="AK1049"/>
      <c r="AL1049"/>
      <c r="AM1049"/>
      <c r="AN1049"/>
      <c r="AO1049"/>
      <c r="AP1049"/>
      <c r="AQ1049"/>
    </row>
    <row r="1050" spans="1:43" s="10" customFormat="1" ht="15.75" customHeight="1" x14ac:dyDescent="0.25">
      <c r="A1050" s="55">
        <f>'PiuGlobal 22'!A33+1</f>
        <v>31</v>
      </c>
      <c r="B1050" s="633">
        <v>44543</v>
      </c>
      <c r="C1050" s="755">
        <v>402655</v>
      </c>
      <c r="D1050" s="756"/>
      <c r="E1050" s="330"/>
      <c r="F1050" s="33" t="s">
        <v>1195</v>
      </c>
      <c r="G1050" s="404" t="s">
        <v>3583</v>
      </c>
      <c r="H1050" s="45">
        <v>3800000</v>
      </c>
      <c r="I1050" s="377" t="s">
        <v>3582</v>
      </c>
      <c r="J1050" s="774">
        <v>44596</v>
      </c>
      <c r="K1050" s="821">
        <f t="shared" si="245"/>
        <v>3800000</v>
      </c>
      <c r="L1050" s="821"/>
      <c r="M1050" s="821">
        <v>380000</v>
      </c>
      <c r="N1050" s="28">
        <v>34200</v>
      </c>
      <c r="O1050" s="28">
        <v>68400</v>
      </c>
      <c r="P1050" s="423">
        <v>3385800</v>
      </c>
      <c r="Q1050" s="28">
        <f t="shared" si="220"/>
        <v>0</v>
      </c>
      <c r="R1050" s="301"/>
      <c r="S1050" s="301">
        <v>44613</v>
      </c>
      <c r="T1050" s="199">
        <v>14</v>
      </c>
      <c r="U1050" s="24">
        <f t="shared" si="214"/>
        <v>44610</v>
      </c>
      <c r="V1050" s="5"/>
      <c r="W1050"/>
      <c r="X1050"/>
      <c r="Y1050"/>
      <c r="Z1050"/>
      <c r="AA1050"/>
      <c r="AB1050"/>
      <c r="AC1050"/>
      <c r="AD1050"/>
      <c r="AE1050"/>
      <c r="AF1050"/>
      <c r="AG1050"/>
      <c r="AH1050"/>
      <c r="AI1050"/>
      <c r="AJ1050"/>
      <c r="AK1050"/>
      <c r="AL1050"/>
      <c r="AM1050"/>
      <c r="AN1050"/>
      <c r="AO1050"/>
      <c r="AP1050"/>
      <c r="AQ1050"/>
    </row>
    <row r="1051" spans="1:43" s="10" customFormat="1" ht="15.75" customHeight="1" x14ac:dyDescent="0.25">
      <c r="A1051" s="55">
        <f>'PiuGlobal 22'!A34+1</f>
        <v>32</v>
      </c>
      <c r="B1051" s="633">
        <v>44547</v>
      </c>
      <c r="C1051" s="755">
        <v>403827</v>
      </c>
      <c r="D1051" s="756"/>
      <c r="E1051" s="330"/>
      <c r="F1051" s="33" t="s">
        <v>1195</v>
      </c>
      <c r="G1051" s="404" t="s">
        <v>3585</v>
      </c>
      <c r="H1051" s="45">
        <v>4100200</v>
      </c>
      <c r="I1051" s="377" t="s">
        <v>3584</v>
      </c>
      <c r="J1051" s="774">
        <v>44596</v>
      </c>
      <c r="K1051" s="821">
        <f t="shared" si="245"/>
        <v>4100200</v>
      </c>
      <c r="L1051" s="821"/>
      <c r="M1051" s="821">
        <v>410020</v>
      </c>
      <c r="N1051" s="28">
        <v>36901.800000000003</v>
      </c>
      <c r="O1051" s="28">
        <v>73803.600000000006</v>
      </c>
      <c r="P1051" s="423">
        <v>3653278.1999999997</v>
      </c>
      <c r="Q1051" s="28">
        <f t="shared" si="220"/>
        <v>1.8917489796876907E-10</v>
      </c>
      <c r="R1051" s="301"/>
      <c r="S1051" s="301">
        <v>44613</v>
      </c>
      <c r="T1051" s="199">
        <v>14</v>
      </c>
      <c r="U1051" s="24">
        <f t="shared" si="214"/>
        <v>44610</v>
      </c>
      <c r="V1051" s="5"/>
      <c r="W1051"/>
      <c r="X1051"/>
      <c r="Y1051"/>
      <c r="Z1051"/>
      <c r="AA1051"/>
      <c r="AB1051"/>
      <c r="AC1051"/>
      <c r="AD1051"/>
      <c r="AE1051"/>
      <c r="AF1051"/>
      <c r="AG1051"/>
      <c r="AH1051"/>
      <c r="AI1051"/>
      <c r="AJ1051"/>
      <c r="AK1051"/>
      <c r="AL1051"/>
      <c r="AM1051"/>
      <c r="AN1051"/>
      <c r="AO1051"/>
      <c r="AP1051"/>
      <c r="AQ1051"/>
    </row>
    <row r="1052" spans="1:43" s="10" customFormat="1" ht="15.75" customHeight="1" x14ac:dyDescent="0.25">
      <c r="A1052" s="55">
        <f>'PiuGlobal 22'!A35+1</f>
        <v>33</v>
      </c>
      <c r="B1052" s="633">
        <v>44533</v>
      </c>
      <c r="C1052" s="755">
        <v>405808</v>
      </c>
      <c r="D1052" s="756"/>
      <c r="E1052" s="330"/>
      <c r="F1052" s="33" t="s">
        <v>1195</v>
      </c>
      <c r="G1052" s="404" t="s">
        <v>3587</v>
      </c>
      <c r="H1052" s="45">
        <v>6291244.5</v>
      </c>
      <c r="I1052" s="377" t="s">
        <v>3586</v>
      </c>
      <c r="J1052" s="774">
        <v>44596</v>
      </c>
      <c r="K1052" s="821">
        <f t="shared" si="245"/>
        <v>6291244.5</v>
      </c>
      <c r="L1052" s="821"/>
      <c r="M1052" s="821">
        <v>629124.45000000007</v>
      </c>
      <c r="N1052" s="28">
        <v>56621.200499999999</v>
      </c>
      <c r="O1052" s="28">
        <v>113242.401</v>
      </c>
      <c r="P1052" s="423">
        <v>5605498.8495000005</v>
      </c>
      <c r="Q1052" s="28">
        <f t="shared" si="220"/>
        <v>-2.6921043172478676E-10</v>
      </c>
      <c r="R1052" s="301"/>
      <c r="S1052" s="301">
        <v>44615</v>
      </c>
      <c r="T1052" s="199">
        <v>14</v>
      </c>
      <c r="U1052" s="24">
        <f t="shared" si="214"/>
        <v>44610</v>
      </c>
      <c r="V1052" s="5"/>
      <c r="W1052"/>
      <c r="X1052"/>
      <c r="Y1052"/>
      <c r="Z1052"/>
      <c r="AA1052"/>
      <c r="AB1052"/>
      <c r="AC1052"/>
      <c r="AD1052"/>
      <c r="AE1052"/>
      <c r="AF1052"/>
      <c r="AG1052"/>
      <c r="AH1052"/>
      <c r="AI1052"/>
      <c r="AJ1052"/>
      <c r="AK1052"/>
      <c r="AL1052"/>
      <c r="AM1052"/>
      <c r="AN1052"/>
      <c r="AO1052"/>
      <c r="AP1052"/>
      <c r="AQ1052"/>
    </row>
    <row r="1053" spans="1:43" s="10" customFormat="1" ht="15.75" customHeight="1" x14ac:dyDescent="0.25">
      <c r="A1053" s="55">
        <f>'PiuGlobal 22'!A36+1</f>
        <v>34</v>
      </c>
      <c r="B1053" s="633">
        <v>44533</v>
      </c>
      <c r="C1053" s="755">
        <v>405806</v>
      </c>
      <c r="D1053" s="756"/>
      <c r="E1053" s="330"/>
      <c r="F1053" s="33" t="s">
        <v>1195</v>
      </c>
      <c r="G1053" s="404" t="s">
        <v>3589</v>
      </c>
      <c r="H1053" s="45">
        <v>36405271</v>
      </c>
      <c r="I1053" s="377" t="s">
        <v>3588</v>
      </c>
      <c r="J1053" s="774">
        <v>44596</v>
      </c>
      <c r="K1053" s="821">
        <f t="shared" si="245"/>
        <v>36405271</v>
      </c>
      <c r="L1053" s="821"/>
      <c r="M1053" s="821">
        <v>3640527.1</v>
      </c>
      <c r="N1053" s="28">
        <v>327647.43900000001</v>
      </c>
      <c r="O1053" s="28">
        <v>655294.87800000003</v>
      </c>
      <c r="P1053" s="423">
        <v>32437096.460999999</v>
      </c>
      <c r="Q1053" s="28">
        <f t="shared" si="220"/>
        <v>6.9849193096160889E-10</v>
      </c>
      <c r="R1053" s="301"/>
      <c r="S1053" s="301">
        <v>44615</v>
      </c>
      <c r="T1053" s="199">
        <v>14</v>
      </c>
      <c r="U1053" s="24">
        <f t="shared" si="214"/>
        <v>44610</v>
      </c>
      <c r="V1053" s="5"/>
      <c r="W1053"/>
      <c r="X1053"/>
      <c r="Y1053"/>
      <c r="Z1053"/>
      <c r="AA1053"/>
      <c r="AB1053"/>
      <c r="AC1053"/>
      <c r="AD1053"/>
      <c r="AE1053"/>
      <c r="AF1053"/>
      <c r="AG1053"/>
      <c r="AH1053"/>
      <c r="AI1053"/>
      <c r="AJ1053"/>
      <c r="AK1053"/>
      <c r="AL1053"/>
      <c r="AM1053"/>
      <c r="AN1053"/>
      <c r="AO1053"/>
      <c r="AP1053"/>
      <c r="AQ1053"/>
    </row>
    <row r="1054" spans="1:43" s="10" customFormat="1" ht="15.75" customHeight="1" x14ac:dyDescent="0.25">
      <c r="A1054" s="55">
        <f>'PiuGlobal 22'!A37+1</f>
        <v>35</v>
      </c>
      <c r="B1054" s="633">
        <v>44553</v>
      </c>
      <c r="C1054" s="755">
        <v>402954</v>
      </c>
      <c r="D1054" s="788"/>
      <c r="E1054" s="330"/>
      <c r="F1054" s="33" t="s">
        <v>1195</v>
      </c>
      <c r="G1054" s="404" t="s">
        <v>3863</v>
      </c>
      <c r="H1054" s="45">
        <v>6188000</v>
      </c>
      <c r="I1054" s="377" t="s">
        <v>3862</v>
      </c>
      <c r="J1054" s="774">
        <v>44607</v>
      </c>
      <c r="K1054" s="830">
        <f>H1054</f>
        <v>6188000</v>
      </c>
      <c r="L1054" s="830"/>
      <c r="M1054" s="830">
        <v>618800</v>
      </c>
      <c r="N1054" s="830">
        <v>55692</v>
      </c>
      <c r="O1054" s="830">
        <v>111384</v>
      </c>
      <c r="P1054" s="830">
        <v>5513508</v>
      </c>
      <c r="Q1054" s="28">
        <f>K1054-L1054-M1054-O1054-P1054+N1054</f>
        <v>0</v>
      </c>
      <c r="R1054" s="55"/>
      <c r="S1054" s="301">
        <v>44638</v>
      </c>
      <c r="T1054" s="199">
        <v>14</v>
      </c>
      <c r="U1054" s="24">
        <f t="shared" si="214"/>
        <v>44621</v>
      </c>
      <c r="V1054" s="5"/>
      <c r="W1054"/>
      <c r="X1054"/>
      <c r="Y1054"/>
      <c r="Z1054"/>
      <c r="AA1054"/>
      <c r="AB1054"/>
      <c r="AC1054"/>
      <c r="AD1054"/>
      <c r="AE1054"/>
      <c r="AF1054"/>
      <c r="AG1054"/>
      <c r="AH1054"/>
      <c r="AI1054"/>
      <c r="AJ1054"/>
      <c r="AK1054"/>
      <c r="AL1054"/>
      <c r="AM1054"/>
      <c r="AN1054"/>
      <c r="AO1054"/>
      <c r="AP1054"/>
      <c r="AQ1054"/>
    </row>
    <row r="1055" spans="1:43" s="10" customFormat="1" ht="15.75" customHeight="1" x14ac:dyDescent="0.25">
      <c r="A1055" s="55">
        <f>'PiuGlobal 22'!A38+1</f>
        <v>36</v>
      </c>
      <c r="B1055" s="633">
        <v>44537</v>
      </c>
      <c r="C1055" s="755">
        <v>405852</v>
      </c>
      <c r="D1055" s="788"/>
      <c r="E1055" s="330"/>
      <c r="F1055" s="33" t="s">
        <v>1195</v>
      </c>
      <c r="G1055" s="404" t="s">
        <v>3863</v>
      </c>
      <c r="H1055" s="45">
        <v>14890898.75</v>
      </c>
      <c r="I1055" s="377" t="s">
        <v>3864</v>
      </c>
      <c r="J1055" s="774">
        <v>44607</v>
      </c>
      <c r="K1055" s="830">
        <f>H1055</f>
        <v>14890898.75</v>
      </c>
      <c r="L1055" s="830"/>
      <c r="M1055" s="830">
        <v>1489089.875</v>
      </c>
      <c r="N1055" s="830">
        <v>134018.08875</v>
      </c>
      <c r="O1055" s="830">
        <v>268036.17749999999</v>
      </c>
      <c r="P1055" s="830">
        <v>13267790.786249999</v>
      </c>
      <c r="Q1055" s="28">
        <f>K1055-L1055-M1055-O1055-P1055+N1055</f>
        <v>8.149072527885437E-10</v>
      </c>
      <c r="R1055" s="55"/>
      <c r="S1055" s="301">
        <v>44638</v>
      </c>
      <c r="T1055" s="199">
        <v>14</v>
      </c>
      <c r="U1055" s="24">
        <f t="shared" si="214"/>
        <v>44621</v>
      </c>
      <c r="V1055" s="5"/>
      <c r="W1055"/>
      <c r="X1055"/>
      <c r="Y1055"/>
      <c r="Z1055"/>
      <c r="AA1055"/>
      <c r="AB1055"/>
      <c r="AC1055"/>
      <c r="AD1055"/>
      <c r="AE1055"/>
      <c r="AF1055"/>
      <c r="AG1055"/>
      <c r="AH1055"/>
      <c r="AI1055"/>
      <c r="AJ1055"/>
      <c r="AK1055"/>
      <c r="AL1055"/>
      <c r="AM1055"/>
      <c r="AN1055"/>
      <c r="AO1055"/>
      <c r="AP1055"/>
      <c r="AQ1055"/>
    </row>
    <row r="1056" spans="1:43" s="10" customFormat="1" ht="15.75" customHeight="1" x14ac:dyDescent="0.25">
      <c r="A1056" s="55">
        <f>'PiuGlobal 22'!A39+1</f>
        <v>37</v>
      </c>
      <c r="B1056" s="633">
        <v>44533</v>
      </c>
      <c r="C1056" s="755">
        <v>405805</v>
      </c>
      <c r="D1056" s="788"/>
      <c r="E1056" s="330"/>
      <c r="F1056" s="33" t="s">
        <v>1195</v>
      </c>
      <c r="G1056" s="404" t="s">
        <v>3866</v>
      </c>
      <c r="H1056" s="45">
        <v>40826184</v>
      </c>
      <c r="I1056" s="377" t="s">
        <v>3865</v>
      </c>
      <c r="J1056" s="774">
        <v>44607</v>
      </c>
      <c r="K1056" s="830">
        <f>H1056</f>
        <v>40826184</v>
      </c>
      <c r="L1056" s="830"/>
      <c r="M1056" s="830">
        <v>4082618.4000000004</v>
      </c>
      <c r="N1056" s="830">
        <v>367435.65600000002</v>
      </c>
      <c r="O1056" s="830">
        <v>734871.31200000003</v>
      </c>
      <c r="P1056" s="830">
        <v>36376129.944000006</v>
      </c>
      <c r="Q1056" s="28">
        <f>K1056-L1056-M1056-O1056-P1056+N1056</f>
        <v>-3.2014213502407074E-9</v>
      </c>
      <c r="R1056" s="55"/>
      <c r="S1056" s="301">
        <v>44635</v>
      </c>
      <c r="T1056" s="199">
        <v>14</v>
      </c>
      <c r="U1056" s="24">
        <f t="shared" si="214"/>
        <v>44621</v>
      </c>
      <c r="V1056" s="5"/>
      <c r="W1056"/>
      <c r="X1056"/>
      <c r="Y1056"/>
      <c r="Z1056"/>
      <c r="AA1056"/>
      <c r="AB1056"/>
      <c r="AC1056"/>
      <c r="AD1056"/>
      <c r="AE1056"/>
      <c r="AF1056"/>
      <c r="AG1056"/>
      <c r="AH1056"/>
      <c r="AI1056"/>
      <c r="AJ1056"/>
      <c r="AK1056"/>
      <c r="AL1056"/>
      <c r="AM1056"/>
      <c r="AN1056"/>
      <c r="AO1056"/>
      <c r="AP1056"/>
      <c r="AQ1056"/>
    </row>
    <row r="1057" spans="1:43" s="10" customFormat="1" ht="15.75" customHeight="1" x14ac:dyDescent="0.25">
      <c r="A1057" s="55" t="e">
        <f>#REF!+1</f>
        <v>#REF!</v>
      </c>
      <c r="B1057" s="470">
        <v>44532</v>
      </c>
      <c r="C1057" s="448"/>
      <c r="D1057" s="448" t="s">
        <v>2787</v>
      </c>
      <c r="E1057" s="58"/>
      <c r="F1057" s="334" t="s">
        <v>2783</v>
      </c>
      <c r="G1057" s="334" t="s">
        <v>521</v>
      </c>
      <c r="H1057" s="45">
        <v>719975</v>
      </c>
      <c r="I1057" s="380" t="s">
        <v>2782</v>
      </c>
      <c r="J1057" s="514">
        <v>44532</v>
      </c>
      <c r="K1057" s="619">
        <f t="shared" ref="K1057:K1061" si="246">H1057</f>
        <v>719975</v>
      </c>
      <c r="L1057" s="615"/>
      <c r="M1057" s="614"/>
      <c r="N1057" s="614"/>
      <c r="O1057" s="614"/>
      <c r="P1057" s="614">
        <v>719975</v>
      </c>
      <c r="Q1057" s="28">
        <f t="shared" si="220"/>
        <v>0</v>
      </c>
      <c r="R1057" s="199"/>
      <c r="S1057" s="197">
        <v>44532</v>
      </c>
      <c r="T1057" s="199">
        <v>14</v>
      </c>
      <c r="U1057" s="24">
        <f t="shared" si="214"/>
        <v>44546</v>
      </c>
      <c r="V1057" s="5"/>
      <c r="W1057"/>
      <c r="X1057"/>
      <c r="Y1057"/>
      <c r="Z1057"/>
      <c r="AA1057"/>
      <c r="AB1057"/>
      <c r="AC1057"/>
      <c r="AD1057"/>
      <c r="AE1057"/>
      <c r="AF1057"/>
      <c r="AG1057"/>
      <c r="AH1057"/>
      <c r="AI1057"/>
      <c r="AJ1057"/>
      <c r="AK1057"/>
      <c r="AL1057"/>
      <c r="AM1057"/>
      <c r="AN1057"/>
      <c r="AO1057"/>
      <c r="AP1057"/>
      <c r="AQ1057"/>
    </row>
    <row r="1058" spans="1:43" s="10" customFormat="1" ht="15.75" customHeight="1" x14ac:dyDescent="0.25">
      <c r="A1058" s="55" t="e">
        <f t="shared" si="215"/>
        <v>#REF!</v>
      </c>
      <c r="B1058" s="470">
        <v>44532</v>
      </c>
      <c r="C1058" s="448"/>
      <c r="D1058" s="448" t="s">
        <v>2786</v>
      </c>
      <c r="E1058" s="58"/>
      <c r="F1058" s="334" t="s">
        <v>2788</v>
      </c>
      <c r="G1058" s="334" t="s">
        <v>2789</v>
      </c>
      <c r="H1058" s="45">
        <v>1395000</v>
      </c>
      <c r="I1058" s="380" t="s">
        <v>2785</v>
      </c>
      <c r="J1058" s="514">
        <v>44532</v>
      </c>
      <c r="K1058" s="619">
        <f t="shared" si="246"/>
        <v>1395000</v>
      </c>
      <c r="L1058" s="619"/>
      <c r="M1058" s="618"/>
      <c r="N1058" s="618"/>
      <c r="O1058" s="618"/>
      <c r="P1058" s="618">
        <v>1395000</v>
      </c>
      <c r="Q1058" s="28">
        <f t="shared" si="220"/>
        <v>0</v>
      </c>
      <c r="R1058" s="199"/>
      <c r="S1058" s="197">
        <v>44534</v>
      </c>
      <c r="T1058" s="199">
        <v>14</v>
      </c>
      <c r="U1058" s="24">
        <f t="shared" si="214"/>
        <v>44546</v>
      </c>
      <c r="V1058" s="5"/>
      <c r="W1058"/>
      <c r="X1058"/>
      <c r="Y1058"/>
      <c r="Z1058"/>
      <c r="AA1058"/>
      <c r="AB1058"/>
      <c r="AC1058"/>
      <c r="AD1058"/>
      <c r="AE1058"/>
      <c r="AF1058"/>
      <c r="AG1058"/>
      <c r="AH1058"/>
      <c r="AI1058"/>
      <c r="AJ1058"/>
      <c r="AK1058"/>
      <c r="AL1058"/>
      <c r="AM1058"/>
      <c r="AN1058"/>
      <c r="AO1058"/>
      <c r="AP1058"/>
      <c r="AQ1058"/>
    </row>
    <row r="1059" spans="1:43" s="10" customFormat="1" ht="15.75" customHeight="1" x14ac:dyDescent="0.25">
      <c r="A1059" s="55" t="e">
        <f t="shared" si="215"/>
        <v>#REF!</v>
      </c>
      <c r="B1059" s="470">
        <v>44532</v>
      </c>
      <c r="C1059" s="448"/>
      <c r="D1059" s="448" t="s">
        <v>2879</v>
      </c>
      <c r="E1059" s="58"/>
      <c r="F1059" s="334" t="s">
        <v>2878</v>
      </c>
      <c r="G1059" s="334" t="s">
        <v>800</v>
      </c>
      <c r="H1059" s="45">
        <v>1010000</v>
      </c>
      <c r="I1059" s="380" t="s">
        <v>2877</v>
      </c>
      <c r="J1059" s="514">
        <v>44534</v>
      </c>
      <c r="K1059" s="619">
        <f t="shared" si="246"/>
        <v>1010000</v>
      </c>
      <c r="L1059" s="619"/>
      <c r="M1059" s="618"/>
      <c r="N1059" s="618"/>
      <c r="O1059" s="618"/>
      <c r="P1059" s="618">
        <v>1010000</v>
      </c>
      <c r="Q1059" s="28">
        <f t="shared" si="220"/>
        <v>0</v>
      </c>
      <c r="R1059" s="199"/>
      <c r="S1059" s="197">
        <v>44473</v>
      </c>
      <c r="T1059" s="199">
        <v>14</v>
      </c>
      <c r="U1059" s="24">
        <f t="shared" si="214"/>
        <v>44548</v>
      </c>
      <c r="V1059" s="5" t="s">
        <v>2880</v>
      </c>
      <c r="W1059"/>
      <c r="X1059"/>
      <c r="Y1059"/>
      <c r="Z1059"/>
      <c r="AA1059"/>
      <c r="AB1059"/>
      <c r="AC1059"/>
      <c r="AD1059"/>
      <c r="AE1059"/>
      <c r="AF1059"/>
      <c r="AG1059"/>
      <c r="AH1059"/>
      <c r="AI1059"/>
      <c r="AJ1059"/>
      <c r="AK1059"/>
      <c r="AL1059"/>
      <c r="AM1059"/>
      <c r="AN1059"/>
      <c r="AO1059"/>
      <c r="AP1059"/>
      <c r="AQ1059"/>
    </row>
    <row r="1060" spans="1:43" s="10" customFormat="1" ht="15.75" customHeight="1" x14ac:dyDescent="0.25">
      <c r="A1060" s="55" t="e">
        <f t="shared" si="215"/>
        <v>#REF!</v>
      </c>
      <c r="B1060" s="470">
        <v>44533</v>
      </c>
      <c r="C1060" s="448"/>
      <c r="D1060" s="448" t="s">
        <v>2882</v>
      </c>
      <c r="E1060" s="58"/>
      <c r="F1060" s="334" t="s">
        <v>2883</v>
      </c>
      <c r="G1060" s="334" t="s">
        <v>988</v>
      </c>
      <c r="H1060" s="45">
        <v>1512000</v>
      </c>
      <c r="I1060" s="380" t="s">
        <v>2881</v>
      </c>
      <c r="J1060" s="514">
        <v>44534</v>
      </c>
      <c r="K1060" s="619">
        <f t="shared" si="246"/>
        <v>1512000</v>
      </c>
      <c r="L1060" s="619"/>
      <c r="M1060" s="618"/>
      <c r="N1060" s="618"/>
      <c r="O1060" s="618"/>
      <c r="P1060" s="618">
        <v>1512000</v>
      </c>
      <c r="Q1060" s="28">
        <f t="shared" si="220"/>
        <v>0</v>
      </c>
      <c r="R1060" s="199"/>
      <c r="S1060" s="197">
        <v>44533</v>
      </c>
      <c r="T1060" s="199">
        <v>14</v>
      </c>
      <c r="U1060" s="24">
        <f t="shared" si="214"/>
        <v>44548</v>
      </c>
      <c r="V1060" s="5"/>
      <c r="W1060"/>
      <c r="X1060"/>
      <c r="Y1060"/>
      <c r="Z1060"/>
      <c r="AA1060"/>
      <c r="AB1060"/>
      <c r="AC1060"/>
      <c r="AD1060"/>
      <c r="AE1060"/>
      <c r="AF1060"/>
      <c r="AG1060"/>
      <c r="AH1060"/>
      <c r="AI1060"/>
      <c r="AJ1060"/>
      <c r="AK1060"/>
      <c r="AL1060"/>
      <c r="AM1060"/>
      <c r="AN1060"/>
      <c r="AO1060"/>
      <c r="AP1060"/>
      <c r="AQ1060"/>
    </row>
    <row r="1061" spans="1:43" s="10" customFormat="1" ht="15.75" customHeight="1" x14ac:dyDescent="0.25">
      <c r="A1061" s="55" t="e">
        <f t="shared" si="215"/>
        <v>#REF!</v>
      </c>
      <c r="B1061" s="470">
        <v>44536</v>
      </c>
      <c r="C1061" s="448"/>
      <c r="D1061" s="448" t="s">
        <v>2892</v>
      </c>
      <c r="E1061" s="58"/>
      <c r="F1061" s="334" t="s">
        <v>2893</v>
      </c>
      <c r="G1061" s="334" t="s">
        <v>503</v>
      </c>
      <c r="H1061" s="45">
        <v>1601600</v>
      </c>
      <c r="I1061" s="380" t="s">
        <v>2891</v>
      </c>
      <c r="J1061" s="470">
        <v>44536</v>
      </c>
      <c r="K1061" s="619">
        <f t="shared" si="246"/>
        <v>1601600</v>
      </c>
      <c r="L1061" s="619"/>
      <c r="M1061" s="618"/>
      <c r="N1061" s="618"/>
      <c r="O1061" s="618"/>
      <c r="P1061" s="618">
        <v>1601600</v>
      </c>
      <c r="Q1061" s="28">
        <f t="shared" si="220"/>
        <v>0</v>
      </c>
      <c r="R1061" s="199"/>
      <c r="S1061" s="197">
        <v>44536</v>
      </c>
      <c r="T1061" s="199">
        <v>14</v>
      </c>
      <c r="U1061" s="24">
        <f t="shared" si="214"/>
        <v>44550</v>
      </c>
      <c r="V1061" s="5"/>
      <c r="W1061"/>
      <c r="X1061"/>
      <c r="Y1061"/>
      <c r="Z1061"/>
      <c r="AA1061"/>
      <c r="AB1061"/>
      <c r="AC1061"/>
      <c r="AD1061"/>
      <c r="AE1061"/>
      <c r="AF1061"/>
      <c r="AG1061"/>
      <c r="AH1061"/>
      <c r="AI1061"/>
      <c r="AJ1061"/>
      <c r="AK1061"/>
      <c r="AL1061"/>
      <c r="AM1061"/>
      <c r="AN1061"/>
      <c r="AO1061"/>
      <c r="AP1061"/>
      <c r="AQ1061"/>
    </row>
    <row r="1062" spans="1:43" s="10" customFormat="1" ht="15.75" customHeight="1" x14ac:dyDescent="0.25">
      <c r="A1062" s="55" t="e">
        <f t="shared" si="215"/>
        <v>#REF!</v>
      </c>
      <c r="B1062" s="79">
        <v>41249</v>
      </c>
      <c r="C1062" s="602"/>
      <c r="D1062" s="453" t="s">
        <v>2929</v>
      </c>
      <c r="E1062" s="330"/>
      <c r="F1062" s="53" t="s">
        <v>2928</v>
      </c>
      <c r="G1062" s="126" t="s">
        <v>988</v>
      </c>
      <c r="H1062" s="45">
        <v>400000</v>
      </c>
      <c r="I1062" s="377" t="s">
        <v>2927</v>
      </c>
      <c r="J1062" s="301">
        <v>44536</v>
      </c>
      <c r="K1062" s="719">
        <f t="shared" ref="K1062:K1066" si="247">H1062</f>
        <v>400000</v>
      </c>
      <c r="L1062" s="719"/>
      <c r="M1062" s="718"/>
      <c r="N1062" s="28"/>
      <c r="O1062" s="28"/>
      <c r="P1062" s="718">
        <v>400000</v>
      </c>
      <c r="Q1062" s="28">
        <f t="shared" si="220"/>
        <v>0</v>
      </c>
      <c r="R1062" s="199"/>
      <c r="S1062" s="197">
        <v>44536</v>
      </c>
      <c r="T1062" s="199">
        <v>14</v>
      </c>
      <c r="U1062" s="24">
        <f t="shared" si="214"/>
        <v>44550</v>
      </c>
      <c r="V1062" s="5"/>
      <c r="W1062"/>
      <c r="X1062"/>
      <c r="Y1062"/>
      <c r="Z1062"/>
      <c r="AA1062"/>
      <c r="AB1062"/>
      <c r="AC1062"/>
      <c r="AD1062"/>
      <c r="AE1062"/>
      <c r="AF1062"/>
      <c r="AG1062"/>
      <c r="AH1062"/>
      <c r="AI1062"/>
      <c r="AJ1062"/>
      <c r="AK1062"/>
      <c r="AL1062"/>
      <c r="AM1062"/>
      <c r="AN1062"/>
      <c r="AO1062"/>
      <c r="AP1062"/>
      <c r="AQ1062"/>
    </row>
    <row r="1063" spans="1:43" s="10" customFormat="1" ht="15.75" customHeight="1" x14ac:dyDescent="0.25">
      <c r="A1063" s="55" t="e">
        <f t="shared" si="215"/>
        <v>#REF!</v>
      </c>
      <c r="B1063" s="79">
        <v>41249</v>
      </c>
      <c r="C1063" s="330"/>
      <c r="D1063" s="330" t="s">
        <v>2931</v>
      </c>
      <c r="E1063" s="330"/>
      <c r="F1063" s="69" t="s">
        <v>2932</v>
      </c>
      <c r="G1063" s="126" t="s">
        <v>190</v>
      </c>
      <c r="H1063" s="45">
        <v>4200000</v>
      </c>
      <c r="I1063" s="377" t="s">
        <v>2930</v>
      </c>
      <c r="J1063" s="301">
        <v>44536</v>
      </c>
      <c r="K1063" s="719">
        <f t="shared" si="247"/>
        <v>4200000</v>
      </c>
      <c r="L1063" s="719"/>
      <c r="M1063" s="718"/>
      <c r="N1063" s="28"/>
      <c r="O1063" s="28"/>
      <c r="P1063" s="718"/>
      <c r="Q1063" s="28">
        <f t="shared" si="220"/>
        <v>4200000</v>
      </c>
      <c r="R1063" s="199"/>
      <c r="S1063" s="197"/>
      <c r="T1063" s="199">
        <v>14</v>
      </c>
      <c r="U1063" s="24">
        <f t="shared" si="214"/>
        <v>44550</v>
      </c>
      <c r="V1063" s="5"/>
      <c r="W1063"/>
      <c r="X1063"/>
      <c r="Y1063"/>
      <c r="Z1063"/>
      <c r="AA1063"/>
      <c r="AB1063"/>
      <c r="AC1063"/>
      <c r="AD1063"/>
      <c r="AE1063"/>
      <c r="AF1063"/>
      <c r="AG1063"/>
      <c r="AH1063"/>
      <c r="AI1063"/>
      <c r="AJ1063"/>
      <c r="AK1063"/>
      <c r="AL1063"/>
      <c r="AM1063"/>
      <c r="AN1063"/>
      <c r="AO1063"/>
      <c r="AP1063"/>
      <c r="AQ1063"/>
    </row>
    <row r="1064" spans="1:43" s="10" customFormat="1" ht="15.75" customHeight="1" x14ac:dyDescent="0.25">
      <c r="A1064" s="55" t="e">
        <f t="shared" si="215"/>
        <v>#REF!</v>
      </c>
      <c r="B1064" s="79">
        <v>41249</v>
      </c>
      <c r="C1064" s="58"/>
      <c r="D1064" s="137" t="s">
        <v>2935</v>
      </c>
      <c r="E1064" s="58"/>
      <c r="F1064" s="69" t="s">
        <v>2934</v>
      </c>
      <c r="G1064" s="126" t="s">
        <v>2939</v>
      </c>
      <c r="H1064" s="45">
        <v>5632000</v>
      </c>
      <c r="I1064" s="380" t="s">
        <v>2933</v>
      </c>
      <c r="J1064" s="301">
        <v>44537</v>
      </c>
      <c r="K1064" s="719">
        <f t="shared" si="247"/>
        <v>5632000</v>
      </c>
      <c r="L1064" s="719"/>
      <c r="M1064" s="718">
        <v>1632000</v>
      </c>
      <c r="N1064" s="28"/>
      <c r="O1064" s="28"/>
      <c r="P1064" s="718">
        <v>4000000</v>
      </c>
      <c r="Q1064" s="28">
        <f t="shared" si="220"/>
        <v>0</v>
      </c>
      <c r="R1064" s="199"/>
      <c r="S1064" s="197">
        <v>44544</v>
      </c>
      <c r="T1064" s="199">
        <v>14</v>
      </c>
      <c r="U1064" s="24">
        <f t="shared" si="214"/>
        <v>44551</v>
      </c>
      <c r="V1064" s="5"/>
      <c r="W1064"/>
      <c r="X1064"/>
      <c r="Y1064"/>
      <c r="Z1064"/>
      <c r="AA1064"/>
      <c r="AB1064"/>
      <c r="AC1064"/>
      <c r="AD1064"/>
      <c r="AE1064"/>
      <c r="AF1064"/>
      <c r="AG1064"/>
      <c r="AH1064"/>
      <c r="AI1064"/>
      <c r="AJ1064"/>
      <c r="AK1064"/>
      <c r="AL1064"/>
      <c r="AM1064"/>
      <c r="AN1064"/>
      <c r="AO1064"/>
      <c r="AP1064"/>
      <c r="AQ1064"/>
    </row>
    <row r="1065" spans="1:43" s="10" customFormat="1" ht="15.75" customHeight="1" x14ac:dyDescent="0.25">
      <c r="A1065" s="55" t="e">
        <f t="shared" si="215"/>
        <v>#REF!</v>
      </c>
      <c r="B1065" s="79">
        <v>44522</v>
      </c>
      <c r="C1065" s="440">
        <v>406070</v>
      </c>
      <c r="D1065" s="440" t="s">
        <v>2943</v>
      </c>
      <c r="E1065" s="440"/>
      <c r="F1065" s="69" t="s">
        <v>933</v>
      </c>
      <c r="G1065" s="33" t="s">
        <v>2942</v>
      </c>
      <c r="H1065" s="719">
        <v>1480000</v>
      </c>
      <c r="I1065" s="39" t="s">
        <v>2941</v>
      </c>
      <c r="J1065" s="301">
        <v>44537</v>
      </c>
      <c r="K1065" s="719">
        <f t="shared" si="247"/>
        <v>1480000</v>
      </c>
      <c r="L1065" s="719"/>
      <c r="M1065" s="719"/>
      <c r="N1065" s="28"/>
      <c r="O1065" s="28"/>
      <c r="P1065" s="719">
        <v>1480000</v>
      </c>
      <c r="Q1065" s="28">
        <f t="shared" si="220"/>
        <v>0</v>
      </c>
      <c r="R1065" s="133"/>
      <c r="S1065" s="197">
        <v>44540</v>
      </c>
      <c r="T1065" s="2">
        <v>14</v>
      </c>
      <c r="U1065" s="24">
        <f t="shared" si="214"/>
        <v>44551</v>
      </c>
      <c r="V1065" s="5"/>
      <c r="W1065"/>
      <c r="X1065"/>
      <c r="Y1065"/>
      <c r="Z1065"/>
      <c r="AA1065"/>
      <c r="AB1065"/>
      <c r="AC1065"/>
      <c r="AD1065"/>
      <c r="AE1065"/>
      <c r="AF1065"/>
      <c r="AG1065"/>
      <c r="AH1065"/>
      <c r="AI1065"/>
      <c r="AJ1065"/>
      <c r="AK1065"/>
      <c r="AL1065"/>
      <c r="AM1065"/>
      <c r="AN1065"/>
      <c r="AO1065"/>
      <c r="AP1065"/>
      <c r="AQ1065"/>
    </row>
    <row r="1066" spans="1:43" s="10" customFormat="1" ht="15.75" customHeight="1" x14ac:dyDescent="0.25">
      <c r="A1066" s="55" t="e">
        <f t="shared" si="215"/>
        <v>#REF!</v>
      </c>
      <c r="B1066" s="79">
        <v>44508</v>
      </c>
      <c r="C1066" s="330">
        <v>402461</v>
      </c>
      <c r="D1066" s="330" t="s">
        <v>2945</v>
      </c>
      <c r="E1066" s="330"/>
      <c r="F1066" s="69" t="s">
        <v>933</v>
      </c>
      <c r="G1066" s="126" t="s">
        <v>2946</v>
      </c>
      <c r="H1066" s="45">
        <v>230000</v>
      </c>
      <c r="I1066" s="377" t="s">
        <v>2944</v>
      </c>
      <c r="J1066" s="301">
        <v>44537</v>
      </c>
      <c r="K1066" s="719">
        <f t="shared" si="247"/>
        <v>230000</v>
      </c>
      <c r="L1066" s="719"/>
      <c r="M1066" s="719"/>
      <c r="N1066" s="28"/>
      <c r="O1066" s="28"/>
      <c r="P1066" s="719">
        <v>230000</v>
      </c>
      <c r="Q1066" s="28">
        <f t="shared" si="220"/>
        <v>0</v>
      </c>
      <c r="R1066" s="199"/>
      <c r="S1066" s="197">
        <v>44540</v>
      </c>
      <c r="T1066" s="2">
        <v>14</v>
      </c>
      <c r="U1066" s="24">
        <f t="shared" si="214"/>
        <v>44551</v>
      </c>
      <c r="V1066" s="5"/>
      <c r="W1066"/>
      <c r="X1066"/>
      <c r="Y1066"/>
      <c r="Z1066"/>
      <c r="AA1066"/>
      <c r="AB1066"/>
      <c r="AC1066"/>
      <c r="AD1066"/>
      <c r="AE1066"/>
      <c r="AF1066"/>
      <c r="AG1066"/>
      <c r="AH1066"/>
      <c r="AI1066"/>
      <c r="AJ1066"/>
      <c r="AK1066"/>
      <c r="AL1066"/>
      <c r="AM1066"/>
      <c r="AN1066"/>
      <c r="AO1066"/>
      <c r="AP1066"/>
      <c r="AQ1066"/>
    </row>
    <row r="1067" spans="1:43" s="10" customFormat="1" ht="15.75" customHeight="1" x14ac:dyDescent="0.25">
      <c r="A1067" s="55" t="e">
        <f t="shared" si="215"/>
        <v>#REF!</v>
      </c>
      <c r="B1067" s="79">
        <v>44505</v>
      </c>
      <c r="C1067" s="609">
        <v>402458</v>
      </c>
      <c r="D1067" s="330" t="s">
        <v>2952</v>
      </c>
      <c r="E1067" s="330"/>
      <c r="F1067" s="69" t="s">
        <v>933</v>
      </c>
      <c r="G1067" s="126" t="s">
        <v>2948</v>
      </c>
      <c r="H1067" s="45">
        <v>1185000</v>
      </c>
      <c r="I1067" s="377" t="s">
        <v>2947</v>
      </c>
      <c r="J1067" s="301">
        <v>44537</v>
      </c>
      <c r="K1067" s="719">
        <f>H1067</f>
        <v>1185000</v>
      </c>
      <c r="L1067" s="719"/>
      <c r="M1067" s="718"/>
      <c r="N1067" s="28"/>
      <c r="O1067" s="28"/>
      <c r="P1067" s="718">
        <v>1185000</v>
      </c>
      <c r="Q1067" s="28">
        <f t="shared" si="220"/>
        <v>0</v>
      </c>
      <c r="R1067" s="197"/>
      <c r="S1067" s="197">
        <v>44540</v>
      </c>
      <c r="T1067" s="2">
        <v>14</v>
      </c>
      <c r="U1067" s="24">
        <f t="shared" ref="U1067:U1129" si="248">J1067+T1067</f>
        <v>44551</v>
      </c>
      <c r="V1067"/>
      <c r="W1067"/>
      <c r="X1067"/>
      <c r="Y1067"/>
      <c r="Z1067"/>
      <c r="AA1067"/>
      <c r="AB1067"/>
      <c r="AC1067"/>
      <c r="AD1067"/>
      <c r="AE1067"/>
      <c r="AF1067"/>
      <c r="AG1067"/>
      <c r="AH1067"/>
      <c r="AI1067"/>
      <c r="AJ1067"/>
      <c r="AK1067"/>
      <c r="AL1067"/>
      <c r="AM1067"/>
      <c r="AN1067"/>
      <c r="AO1067"/>
      <c r="AP1067"/>
      <c r="AQ1067"/>
    </row>
    <row r="1068" spans="1:43" s="10" customFormat="1" ht="15.75" customHeight="1" x14ac:dyDescent="0.25">
      <c r="A1068" s="55" t="e">
        <f t="shared" si="215"/>
        <v>#REF!</v>
      </c>
      <c r="B1068" s="79">
        <v>44516</v>
      </c>
      <c r="C1068" s="330">
        <v>405795</v>
      </c>
      <c r="D1068" s="330" t="s">
        <v>2951</v>
      </c>
      <c r="E1068" s="330"/>
      <c r="F1068" s="69" t="s">
        <v>2938</v>
      </c>
      <c r="G1068" s="126" t="s">
        <v>2950</v>
      </c>
      <c r="H1068" s="45">
        <v>11446000</v>
      </c>
      <c r="I1068" s="377" t="s">
        <v>2949</v>
      </c>
      <c r="J1068" s="301">
        <v>44539</v>
      </c>
      <c r="K1068" s="719">
        <f t="shared" ref="K1068:K1145" si="249">H1068</f>
        <v>11446000</v>
      </c>
      <c r="L1068" s="719"/>
      <c r="M1068" s="719"/>
      <c r="N1068" s="28"/>
      <c r="O1068" s="28"/>
      <c r="P1068" s="719">
        <v>11446000</v>
      </c>
      <c r="Q1068" s="28">
        <f t="shared" si="220"/>
        <v>0</v>
      </c>
      <c r="R1068" s="199"/>
      <c r="S1068" s="197">
        <v>44554</v>
      </c>
      <c r="T1068" s="199">
        <v>14</v>
      </c>
      <c r="U1068" s="24">
        <f t="shared" si="248"/>
        <v>44553</v>
      </c>
      <c r="V1068" s="5"/>
      <c r="W1068"/>
      <c r="X1068"/>
      <c r="Y1068"/>
      <c r="Z1068"/>
      <c r="AA1068"/>
      <c r="AB1068"/>
      <c r="AC1068"/>
      <c r="AD1068"/>
      <c r="AE1068"/>
      <c r="AF1068"/>
      <c r="AG1068"/>
      <c r="AH1068"/>
      <c r="AI1068"/>
      <c r="AJ1068"/>
      <c r="AK1068"/>
      <c r="AL1068"/>
      <c r="AM1068"/>
      <c r="AN1068"/>
      <c r="AO1068"/>
      <c r="AP1068"/>
      <c r="AQ1068"/>
    </row>
    <row r="1069" spans="1:43" s="10" customFormat="1" ht="15.75" customHeight="1" x14ac:dyDescent="0.25">
      <c r="A1069" s="55" t="e">
        <f t="shared" ref="A1069:A1131" si="250">A1068+1</f>
        <v>#REF!</v>
      </c>
      <c r="B1069" s="79">
        <v>44504</v>
      </c>
      <c r="C1069" s="330" t="s">
        <v>2956</v>
      </c>
      <c r="D1069" s="330" t="s">
        <v>2955</v>
      </c>
      <c r="E1069" s="330"/>
      <c r="F1069" s="69" t="s">
        <v>933</v>
      </c>
      <c r="G1069" s="126" t="s">
        <v>2954</v>
      </c>
      <c r="H1069" s="45">
        <v>400000</v>
      </c>
      <c r="I1069" s="377" t="s">
        <v>2953</v>
      </c>
      <c r="J1069" s="301">
        <v>44539</v>
      </c>
      <c r="K1069" s="719">
        <f t="shared" si="249"/>
        <v>400000</v>
      </c>
      <c r="L1069" s="719"/>
      <c r="M1069" s="719"/>
      <c r="N1069" s="28"/>
      <c r="O1069" s="28"/>
      <c r="P1069" s="719">
        <v>400000</v>
      </c>
      <c r="Q1069" s="28">
        <f t="shared" si="220"/>
        <v>0</v>
      </c>
      <c r="R1069" s="199"/>
      <c r="S1069" s="197">
        <v>44568</v>
      </c>
      <c r="T1069" s="2">
        <v>14</v>
      </c>
      <c r="U1069" s="24">
        <f t="shared" si="248"/>
        <v>44553</v>
      </c>
      <c r="V1069" s="5"/>
      <c r="W1069"/>
      <c r="X1069"/>
      <c r="Y1069"/>
      <c r="Z1069"/>
      <c r="AA1069"/>
      <c r="AB1069"/>
      <c r="AC1069"/>
      <c r="AD1069"/>
      <c r="AE1069"/>
      <c r="AF1069"/>
      <c r="AG1069"/>
      <c r="AH1069"/>
      <c r="AI1069"/>
      <c r="AJ1069"/>
      <c r="AK1069"/>
      <c r="AL1069"/>
      <c r="AM1069"/>
      <c r="AN1069"/>
      <c r="AO1069"/>
      <c r="AP1069"/>
      <c r="AQ1069"/>
    </row>
    <row r="1070" spans="1:43" s="10" customFormat="1" ht="15.75" customHeight="1" x14ac:dyDescent="0.25">
      <c r="A1070" s="55" t="e">
        <f t="shared" si="250"/>
        <v>#REF!</v>
      </c>
      <c r="B1070" s="79">
        <v>44539</v>
      </c>
      <c r="C1070" s="330"/>
      <c r="D1070" s="330" t="s">
        <v>2964</v>
      </c>
      <c r="E1070" s="330"/>
      <c r="F1070" s="69" t="s">
        <v>2961</v>
      </c>
      <c r="G1070" s="126" t="s">
        <v>503</v>
      </c>
      <c r="H1070" s="45">
        <v>7882000</v>
      </c>
      <c r="I1070" s="377" t="s">
        <v>2960</v>
      </c>
      <c r="J1070" s="301">
        <v>44539</v>
      </c>
      <c r="K1070" s="719">
        <f t="shared" si="249"/>
        <v>7882000</v>
      </c>
      <c r="L1070" s="719"/>
      <c r="M1070" s="718"/>
      <c r="N1070" s="28"/>
      <c r="O1070" s="28"/>
      <c r="P1070" s="718">
        <v>7882000</v>
      </c>
      <c r="Q1070" s="28">
        <f t="shared" si="220"/>
        <v>0</v>
      </c>
      <c r="R1070" s="199"/>
      <c r="S1070" s="197">
        <v>44509</v>
      </c>
      <c r="T1070" s="199">
        <v>14</v>
      </c>
      <c r="U1070" s="24">
        <f t="shared" si="248"/>
        <v>44553</v>
      </c>
      <c r="V1070" s="5"/>
      <c r="W1070"/>
      <c r="X1070"/>
      <c r="Y1070"/>
      <c r="Z1070"/>
      <c r="AA1070"/>
      <c r="AB1070"/>
      <c r="AC1070"/>
      <c r="AD1070"/>
      <c r="AE1070"/>
      <c r="AF1070"/>
      <c r="AG1070"/>
      <c r="AH1070"/>
      <c r="AI1070"/>
      <c r="AJ1070"/>
      <c r="AK1070"/>
      <c r="AL1070"/>
      <c r="AM1070"/>
      <c r="AN1070"/>
      <c r="AO1070"/>
      <c r="AP1070"/>
      <c r="AQ1070"/>
    </row>
    <row r="1071" spans="1:43" s="10" customFormat="1" ht="15.75" customHeight="1" x14ac:dyDescent="0.25">
      <c r="A1071" s="55" t="e">
        <f t="shared" si="250"/>
        <v>#REF!</v>
      </c>
      <c r="B1071" s="56">
        <v>44539</v>
      </c>
      <c r="C1071" s="58">
        <v>404379</v>
      </c>
      <c r="D1071" s="58" t="s">
        <v>2965</v>
      </c>
      <c r="E1071" s="58"/>
      <c r="F1071" s="31" t="s">
        <v>242</v>
      </c>
      <c r="G1071" s="334" t="s">
        <v>2963</v>
      </c>
      <c r="H1071" s="45">
        <v>2500000</v>
      </c>
      <c r="I1071" s="380" t="s">
        <v>2962</v>
      </c>
      <c r="J1071" s="301">
        <v>44543</v>
      </c>
      <c r="K1071" s="719">
        <f t="shared" si="249"/>
        <v>2500000</v>
      </c>
      <c r="L1071" s="719"/>
      <c r="M1071" s="718"/>
      <c r="N1071" s="28"/>
      <c r="O1071" s="28"/>
      <c r="P1071" s="718">
        <v>2500000</v>
      </c>
      <c r="Q1071" s="28">
        <f t="shared" ref="Q1071:Q1133" si="251">K1071-L1071-M1071-O1071-P1071+N1071</f>
        <v>0</v>
      </c>
      <c r="R1071" s="199"/>
      <c r="S1071" s="197">
        <v>41267</v>
      </c>
      <c r="T1071" s="199">
        <v>14</v>
      </c>
      <c r="U1071" s="24">
        <f t="shared" si="248"/>
        <v>44557</v>
      </c>
      <c r="V1071" s="5"/>
      <c r="W1071"/>
      <c r="X1071"/>
      <c r="Y1071"/>
      <c r="Z1071"/>
      <c r="AA1071"/>
      <c r="AB1071"/>
      <c r="AC1071"/>
      <c r="AD1071"/>
      <c r="AE1071"/>
      <c r="AF1071"/>
      <c r="AG1071"/>
      <c r="AH1071"/>
      <c r="AI1071"/>
      <c r="AJ1071"/>
      <c r="AK1071"/>
      <c r="AL1071"/>
      <c r="AM1071"/>
      <c r="AN1071"/>
      <c r="AO1071"/>
      <c r="AP1071"/>
      <c r="AQ1071"/>
    </row>
    <row r="1072" spans="1:43" s="10" customFormat="1" ht="15.75" customHeight="1" x14ac:dyDescent="0.25">
      <c r="A1072" s="55" t="e">
        <f t="shared" si="250"/>
        <v>#REF!</v>
      </c>
      <c r="B1072" s="56">
        <v>44534</v>
      </c>
      <c r="C1072" s="58">
        <v>403685</v>
      </c>
      <c r="D1072" s="58" t="s">
        <v>2971</v>
      </c>
      <c r="E1072" s="58" t="s">
        <v>3034</v>
      </c>
      <c r="F1072" s="123" t="s">
        <v>2694</v>
      </c>
      <c r="G1072" s="334" t="s">
        <v>954</v>
      </c>
      <c r="H1072" s="45">
        <v>152000</v>
      </c>
      <c r="I1072" s="380" t="s">
        <v>2970</v>
      </c>
      <c r="J1072" s="301">
        <v>44543</v>
      </c>
      <c r="K1072" s="719">
        <f t="shared" si="249"/>
        <v>152000</v>
      </c>
      <c r="L1072" s="719"/>
      <c r="M1072" s="718"/>
      <c r="N1072" s="28"/>
      <c r="O1072" s="28"/>
      <c r="P1072" s="718">
        <v>152000</v>
      </c>
      <c r="Q1072" s="28">
        <f t="shared" si="251"/>
        <v>0</v>
      </c>
      <c r="R1072" s="199"/>
      <c r="S1072" s="197">
        <v>44558</v>
      </c>
      <c r="T1072" s="199">
        <v>14</v>
      </c>
      <c r="U1072" s="24">
        <f t="shared" si="248"/>
        <v>44557</v>
      </c>
      <c r="V1072" s="7"/>
      <c r="W1072"/>
      <c r="X1072"/>
      <c r="Y1072"/>
      <c r="Z1072"/>
      <c r="AA1072"/>
      <c r="AB1072"/>
      <c r="AC1072"/>
      <c r="AD1072"/>
      <c r="AE1072"/>
      <c r="AF1072"/>
      <c r="AG1072"/>
      <c r="AH1072"/>
      <c r="AI1072"/>
      <c r="AJ1072"/>
      <c r="AK1072"/>
      <c r="AL1072"/>
      <c r="AM1072"/>
      <c r="AN1072"/>
      <c r="AO1072"/>
      <c r="AP1072"/>
      <c r="AQ1072"/>
    </row>
    <row r="1073" spans="1:43" s="10" customFormat="1" ht="15.75" customHeight="1" x14ac:dyDescent="0.25">
      <c r="A1073" s="55" t="e">
        <f t="shared" si="250"/>
        <v>#REF!</v>
      </c>
      <c r="B1073" s="56">
        <v>44543</v>
      </c>
      <c r="C1073" s="58"/>
      <c r="D1073" s="58" t="s">
        <v>2973</v>
      </c>
      <c r="E1073" s="58"/>
      <c r="F1073" s="123" t="s">
        <v>2498</v>
      </c>
      <c r="G1073" s="334" t="s">
        <v>161</v>
      </c>
      <c r="H1073" s="45">
        <v>800000</v>
      </c>
      <c r="I1073" s="380" t="s">
        <v>2972</v>
      </c>
      <c r="J1073" s="301">
        <v>44543</v>
      </c>
      <c r="K1073" s="719">
        <f t="shared" si="249"/>
        <v>800000</v>
      </c>
      <c r="L1073" s="719"/>
      <c r="M1073" s="718"/>
      <c r="N1073" s="718"/>
      <c r="O1073" s="718"/>
      <c r="P1073" s="718">
        <v>800000</v>
      </c>
      <c r="Q1073" s="28">
        <f t="shared" si="251"/>
        <v>0</v>
      </c>
      <c r="R1073" s="199"/>
      <c r="S1073" s="197">
        <v>44545</v>
      </c>
      <c r="T1073" s="199">
        <v>14</v>
      </c>
      <c r="U1073" s="24">
        <f t="shared" si="248"/>
        <v>44557</v>
      </c>
      <c r="V1073" s="7"/>
      <c r="W1073"/>
      <c r="X1073"/>
      <c r="Y1073"/>
      <c r="Z1073"/>
      <c r="AA1073"/>
      <c r="AB1073"/>
      <c r="AC1073"/>
      <c r="AD1073"/>
      <c r="AE1073"/>
      <c r="AF1073"/>
      <c r="AG1073"/>
      <c r="AH1073"/>
      <c r="AI1073"/>
      <c r="AJ1073"/>
      <c r="AK1073"/>
      <c r="AL1073"/>
      <c r="AM1073"/>
      <c r="AN1073"/>
      <c r="AO1073"/>
      <c r="AP1073"/>
      <c r="AQ1073"/>
    </row>
    <row r="1074" spans="1:43" s="10" customFormat="1" ht="15.75" customHeight="1" x14ac:dyDescent="0.25">
      <c r="A1074" s="55" t="e">
        <f t="shared" si="250"/>
        <v>#REF!</v>
      </c>
      <c r="B1074" s="56">
        <v>44538</v>
      </c>
      <c r="C1074" s="58">
        <v>404376</v>
      </c>
      <c r="D1074" s="58" t="s">
        <v>2978</v>
      </c>
      <c r="E1074" s="58"/>
      <c r="F1074" s="123" t="s">
        <v>2938</v>
      </c>
      <c r="G1074" s="334" t="s">
        <v>2979</v>
      </c>
      <c r="H1074" s="45">
        <v>8288000</v>
      </c>
      <c r="I1074" s="380" t="s">
        <v>2977</v>
      </c>
      <c r="J1074" s="301">
        <v>44544</v>
      </c>
      <c r="K1074" s="719">
        <f t="shared" si="249"/>
        <v>8288000</v>
      </c>
      <c r="L1074" s="719"/>
      <c r="M1074" s="718"/>
      <c r="N1074" s="718"/>
      <c r="O1074" s="718"/>
      <c r="P1074" s="718">
        <v>8288000</v>
      </c>
      <c r="Q1074" s="28">
        <f t="shared" si="251"/>
        <v>0</v>
      </c>
      <c r="R1074" s="199"/>
      <c r="S1074" s="197">
        <v>44554</v>
      </c>
      <c r="T1074" s="199">
        <v>14</v>
      </c>
      <c r="U1074" s="24">
        <f t="shared" si="248"/>
        <v>44558</v>
      </c>
      <c r="V1074" s="7"/>
      <c r="W1074"/>
      <c r="X1074"/>
      <c r="Y1074"/>
      <c r="Z1074"/>
      <c r="AA1074"/>
      <c r="AB1074"/>
      <c r="AC1074"/>
      <c r="AD1074"/>
      <c r="AE1074"/>
      <c r="AF1074"/>
      <c r="AG1074"/>
      <c r="AH1074"/>
      <c r="AI1074"/>
      <c r="AJ1074"/>
      <c r="AK1074"/>
      <c r="AL1074"/>
      <c r="AM1074"/>
      <c r="AN1074"/>
      <c r="AO1074"/>
      <c r="AP1074"/>
      <c r="AQ1074"/>
    </row>
    <row r="1075" spans="1:43" s="10" customFormat="1" ht="15.75" customHeight="1" x14ac:dyDescent="0.25">
      <c r="A1075" s="55" t="e">
        <f t="shared" si="250"/>
        <v>#REF!</v>
      </c>
      <c r="B1075" s="56">
        <v>44536</v>
      </c>
      <c r="C1075" s="58"/>
      <c r="D1075" s="58" t="s">
        <v>2981</v>
      </c>
      <c r="E1075" s="58">
        <v>628</v>
      </c>
      <c r="F1075" s="110" t="s">
        <v>260</v>
      </c>
      <c r="G1075" s="334" t="s">
        <v>2946</v>
      </c>
      <c r="H1075" s="45">
        <v>7000000</v>
      </c>
      <c r="I1075" s="380" t="s">
        <v>2980</v>
      </c>
      <c r="J1075" s="301">
        <v>44545</v>
      </c>
      <c r="K1075" s="719">
        <f t="shared" si="249"/>
        <v>7000000</v>
      </c>
      <c r="L1075" s="719"/>
      <c r="M1075" s="718"/>
      <c r="N1075" s="28"/>
      <c r="O1075" s="28"/>
      <c r="P1075" s="718"/>
      <c r="Q1075" s="28">
        <f t="shared" si="251"/>
        <v>7000000</v>
      </c>
      <c r="R1075" s="199"/>
      <c r="S1075" s="197"/>
      <c r="T1075" s="199">
        <v>30</v>
      </c>
      <c r="U1075" s="24">
        <f t="shared" si="248"/>
        <v>44575</v>
      </c>
      <c r="V1075" s="7"/>
      <c r="W1075"/>
      <c r="X1075"/>
      <c r="Y1075"/>
      <c r="Z1075"/>
      <c r="AA1075"/>
      <c r="AB1075"/>
      <c r="AC1075"/>
      <c r="AD1075"/>
      <c r="AE1075"/>
      <c r="AF1075"/>
      <c r="AG1075"/>
      <c r="AH1075"/>
      <c r="AI1075"/>
      <c r="AJ1075"/>
      <c r="AK1075"/>
      <c r="AL1075"/>
      <c r="AM1075"/>
      <c r="AN1075"/>
      <c r="AO1075"/>
      <c r="AP1075"/>
      <c r="AQ1075"/>
    </row>
    <row r="1076" spans="1:43" s="10" customFormat="1" ht="15.75" customHeight="1" x14ac:dyDescent="0.25">
      <c r="A1076" s="55" t="e">
        <f t="shared" si="250"/>
        <v>#REF!</v>
      </c>
      <c r="B1076" s="56">
        <v>44548</v>
      </c>
      <c r="C1076" s="58"/>
      <c r="D1076" s="58" t="s">
        <v>3108</v>
      </c>
      <c r="E1076" s="58"/>
      <c r="F1076" s="123" t="s">
        <v>2783</v>
      </c>
      <c r="G1076" s="334" t="s">
        <v>2652</v>
      </c>
      <c r="H1076" s="45">
        <v>1338500</v>
      </c>
      <c r="I1076" s="380" t="s">
        <v>3107</v>
      </c>
      <c r="J1076" s="301">
        <v>44550</v>
      </c>
      <c r="K1076" s="719">
        <f t="shared" si="249"/>
        <v>1338500</v>
      </c>
      <c r="L1076" s="719"/>
      <c r="M1076" s="718"/>
      <c r="N1076" s="28"/>
      <c r="O1076" s="28"/>
      <c r="P1076" s="718">
        <v>1338500</v>
      </c>
      <c r="Q1076" s="28">
        <f t="shared" si="251"/>
        <v>0</v>
      </c>
      <c r="R1076" s="199"/>
      <c r="S1076" s="197">
        <v>44550</v>
      </c>
      <c r="T1076" s="199">
        <v>14</v>
      </c>
      <c r="U1076" s="24">
        <f t="shared" si="248"/>
        <v>44564</v>
      </c>
      <c r="V1076" s="7"/>
      <c r="W1076"/>
      <c r="X1076"/>
      <c r="Y1076"/>
      <c r="Z1076"/>
      <c r="AA1076"/>
      <c r="AB1076"/>
      <c r="AC1076"/>
      <c r="AD1076"/>
      <c r="AE1076"/>
      <c r="AF1076"/>
      <c r="AG1076"/>
      <c r="AH1076"/>
      <c r="AI1076"/>
      <c r="AJ1076"/>
      <c r="AK1076"/>
      <c r="AL1076"/>
      <c r="AM1076"/>
      <c r="AN1076"/>
      <c r="AO1076"/>
      <c r="AP1076"/>
      <c r="AQ1076"/>
    </row>
    <row r="1077" spans="1:43" s="10" customFormat="1" ht="15.75" customHeight="1" x14ac:dyDescent="0.25">
      <c r="A1077" s="55" t="e">
        <f t="shared" si="250"/>
        <v>#REF!</v>
      </c>
      <c r="B1077" s="56">
        <v>44547</v>
      </c>
      <c r="C1077" s="58">
        <v>406096</v>
      </c>
      <c r="D1077" s="58" t="s">
        <v>3110</v>
      </c>
      <c r="E1077" s="58"/>
      <c r="F1077" s="123" t="s">
        <v>1451</v>
      </c>
      <c r="G1077" s="334" t="s">
        <v>500</v>
      </c>
      <c r="H1077" s="45">
        <v>770000</v>
      </c>
      <c r="I1077" s="380" t="s">
        <v>3109</v>
      </c>
      <c r="J1077" s="301">
        <v>44550</v>
      </c>
      <c r="K1077" s="719">
        <f t="shared" si="249"/>
        <v>770000</v>
      </c>
      <c r="L1077" s="719"/>
      <c r="M1077" s="718"/>
      <c r="N1077" s="28"/>
      <c r="O1077" s="28"/>
      <c r="P1077" s="718">
        <v>770000</v>
      </c>
      <c r="Q1077" s="28">
        <f t="shared" si="251"/>
        <v>0</v>
      </c>
      <c r="R1077" s="199"/>
      <c r="S1077" s="197">
        <v>44553</v>
      </c>
      <c r="T1077" s="199">
        <v>14</v>
      </c>
      <c r="U1077" s="24">
        <f t="shared" si="248"/>
        <v>44564</v>
      </c>
      <c r="V1077" s="7"/>
      <c r="W1077"/>
      <c r="X1077"/>
      <c r="Y1077"/>
      <c r="Z1077"/>
      <c r="AA1077"/>
      <c r="AB1077"/>
      <c r="AC1077"/>
      <c r="AD1077"/>
      <c r="AE1077"/>
      <c r="AF1077"/>
      <c r="AG1077"/>
      <c r="AH1077"/>
      <c r="AI1077"/>
      <c r="AJ1077"/>
      <c r="AK1077"/>
      <c r="AL1077"/>
      <c r="AM1077"/>
      <c r="AN1077"/>
      <c r="AO1077"/>
      <c r="AP1077"/>
      <c r="AQ1077"/>
    </row>
    <row r="1078" spans="1:43" s="10" customFormat="1" ht="15.75" customHeight="1" x14ac:dyDescent="0.25">
      <c r="A1078" s="55" t="e">
        <f t="shared" si="250"/>
        <v>#REF!</v>
      </c>
      <c r="B1078" s="470">
        <v>44550</v>
      </c>
      <c r="C1078" s="448">
        <v>402905</v>
      </c>
      <c r="D1078" s="332" t="s">
        <v>3116</v>
      </c>
      <c r="E1078" s="58"/>
      <c r="F1078" s="334" t="s">
        <v>3115</v>
      </c>
      <c r="G1078" s="334" t="s">
        <v>503</v>
      </c>
      <c r="H1078" s="45">
        <v>300000</v>
      </c>
      <c r="I1078" s="380" t="s">
        <v>3114</v>
      </c>
      <c r="J1078" s="301">
        <v>44550</v>
      </c>
      <c r="K1078" s="719">
        <f t="shared" si="249"/>
        <v>300000</v>
      </c>
      <c r="L1078" s="719"/>
      <c r="M1078" s="718"/>
      <c r="N1078" s="718"/>
      <c r="O1078" s="718"/>
      <c r="P1078" s="718">
        <v>300000</v>
      </c>
      <c r="Q1078" s="28">
        <f t="shared" si="251"/>
        <v>0</v>
      </c>
      <c r="R1078" s="197"/>
      <c r="S1078" s="197">
        <v>44550</v>
      </c>
      <c r="T1078" s="199">
        <v>14</v>
      </c>
      <c r="U1078" s="24">
        <f t="shared" si="248"/>
        <v>44564</v>
      </c>
      <c r="V1078"/>
      <c r="W1078"/>
      <c r="X1078"/>
      <c r="Y1078"/>
      <c r="Z1078"/>
      <c r="AA1078"/>
      <c r="AB1078"/>
      <c r="AC1078"/>
      <c r="AD1078"/>
      <c r="AE1078"/>
      <c r="AF1078"/>
      <c r="AG1078"/>
      <c r="AH1078"/>
      <c r="AI1078"/>
      <c r="AJ1078"/>
      <c r="AK1078"/>
      <c r="AL1078"/>
      <c r="AM1078"/>
      <c r="AN1078"/>
      <c r="AO1078"/>
      <c r="AP1078"/>
      <c r="AQ1078"/>
    </row>
    <row r="1079" spans="1:43" s="10" customFormat="1" ht="15.75" customHeight="1" x14ac:dyDescent="0.25">
      <c r="A1079" s="55" t="e">
        <f t="shared" si="250"/>
        <v>#REF!</v>
      </c>
      <c r="B1079" s="470">
        <v>44534</v>
      </c>
      <c r="C1079" s="58"/>
      <c r="D1079" s="58" t="s">
        <v>3118</v>
      </c>
      <c r="E1079" s="58"/>
      <c r="F1079" s="123" t="s">
        <v>491</v>
      </c>
      <c r="G1079" s="333" t="s">
        <v>503</v>
      </c>
      <c r="H1079" s="45">
        <v>832000</v>
      </c>
      <c r="I1079" s="380" t="s">
        <v>3117</v>
      </c>
      <c r="J1079" s="301">
        <v>44550</v>
      </c>
      <c r="K1079" s="719">
        <f t="shared" si="249"/>
        <v>832000</v>
      </c>
      <c r="L1079" s="719"/>
      <c r="M1079" s="718"/>
      <c r="N1079" s="718"/>
      <c r="O1079" s="718"/>
      <c r="P1079" s="718">
        <v>832000</v>
      </c>
      <c r="Q1079" s="28">
        <f t="shared" si="251"/>
        <v>0</v>
      </c>
      <c r="R1079" s="199"/>
      <c r="S1079" s="197" t="s">
        <v>3764</v>
      </c>
      <c r="T1079" s="2">
        <v>14</v>
      </c>
      <c r="U1079" s="24">
        <f t="shared" si="248"/>
        <v>44564</v>
      </c>
      <c r="V1079" s="5"/>
      <c r="W1079"/>
      <c r="X1079"/>
      <c r="Y1079"/>
      <c r="Z1079"/>
      <c r="AA1079"/>
      <c r="AB1079"/>
      <c r="AC1079"/>
      <c r="AD1079"/>
      <c r="AE1079"/>
      <c r="AF1079"/>
      <c r="AG1079"/>
      <c r="AH1079"/>
      <c r="AI1079"/>
      <c r="AJ1079"/>
      <c r="AK1079"/>
      <c r="AL1079"/>
      <c r="AM1079"/>
      <c r="AN1079"/>
      <c r="AO1079"/>
      <c r="AP1079"/>
      <c r="AQ1079"/>
    </row>
    <row r="1080" spans="1:43" s="10" customFormat="1" ht="15.75" customHeight="1" x14ac:dyDescent="0.25">
      <c r="A1080" s="55" t="e">
        <f t="shared" si="250"/>
        <v>#REF!</v>
      </c>
      <c r="B1080" s="470">
        <v>44544</v>
      </c>
      <c r="C1080" s="448"/>
      <c r="D1080" s="332" t="s">
        <v>3120</v>
      </c>
      <c r="E1080" s="58"/>
      <c r="F1080" s="123" t="s">
        <v>2755</v>
      </c>
      <c r="G1080" s="334" t="s">
        <v>2481</v>
      </c>
      <c r="H1080" s="45">
        <v>3800000</v>
      </c>
      <c r="I1080" s="380" t="s">
        <v>3119</v>
      </c>
      <c r="J1080" s="301">
        <v>44550</v>
      </c>
      <c r="K1080" s="719">
        <f t="shared" si="249"/>
        <v>3800000</v>
      </c>
      <c r="L1080" s="719"/>
      <c r="M1080" s="718"/>
      <c r="N1080" s="718"/>
      <c r="O1080" s="718"/>
      <c r="P1080" s="718">
        <v>3800000</v>
      </c>
      <c r="Q1080" s="28">
        <f t="shared" si="251"/>
        <v>0</v>
      </c>
      <c r="R1080" s="197"/>
      <c r="S1080" s="197">
        <v>44564</v>
      </c>
      <c r="T1080" s="199">
        <v>14</v>
      </c>
      <c r="U1080" s="24">
        <f t="shared" si="248"/>
        <v>44564</v>
      </c>
      <c r="V1080" s="5"/>
      <c r="W1080"/>
      <c r="X1080"/>
      <c r="Y1080"/>
      <c r="Z1080"/>
      <c r="AA1080"/>
      <c r="AB1080"/>
      <c r="AC1080"/>
      <c r="AD1080"/>
      <c r="AE1080"/>
      <c r="AF1080"/>
      <c r="AG1080"/>
      <c r="AH1080"/>
      <c r="AI1080"/>
      <c r="AJ1080"/>
      <c r="AK1080"/>
      <c r="AL1080"/>
      <c r="AM1080"/>
      <c r="AN1080"/>
      <c r="AO1080"/>
      <c r="AP1080"/>
      <c r="AQ1080"/>
    </row>
    <row r="1081" spans="1:43" s="10" customFormat="1" ht="15.75" customHeight="1" x14ac:dyDescent="0.25">
      <c r="A1081" s="55" t="e">
        <f t="shared" si="250"/>
        <v>#REF!</v>
      </c>
      <c r="B1081" s="470">
        <v>44541</v>
      </c>
      <c r="C1081" s="448"/>
      <c r="D1081" s="448" t="s">
        <v>3138</v>
      </c>
      <c r="E1081" s="58"/>
      <c r="F1081" s="110" t="s">
        <v>2768</v>
      </c>
      <c r="G1081" s="334" t="s">
        <v>161</v>
      </c>
      <c r="H1081" s="45">
        <v>3600000</v>
      </c>
      <c r="I1081" s="380" t="s">
        <v>3137</v>
      </c>
      <c r="J1081" s="301">
        <v>44550</v>
      </c>
      <c r="K1081" s="719">
        <f t="shared" si="249"/>
        <v>3600000</v>
      </c>
      <c r="L1081" s="719">
        <v>1800000</v>
      </c>
      <c r="M1081" s="718"/>
      <c r="N1081" s="718"/>
      <c r="O1081" s="718"/>
      <c r="P1081" s="718"/>
      <c r="Q1081" s="28">
        <f t="shared" si="251"/>
        <v>1800000</v>
      </c>
      <c r="R1081" s="669" t="s">
        <v>3141</v>
      </c>
      <c r="S1081" s="197"/>
      <c r="T1081" s="199">
        <v>30</v>
      </c>
      <c r="U1081" s="24">
        <f t="shared" si="248"/>
        <v>44580</v>
      </c>
      <c r="V1081" s="5"/>
      <c r="W1081"/>
      <c r="X1081"/>
      <c r="Y1081"/>
      <c r="Z1081"/>
      <c r="AA1081"/>
      <c r="AB1081"/>
      <c r="AC1081"/>
      <c r="AD1081"/>
      <c r="AE1081"/>
      <c r="AF1081"/>
      <c r="AG1081"/>
      <c r="AH1081"/>
      <c r="AI1081"/>
      <c r="AJ1081"/>
      <c r="AK1081"/>
      <c r="AL1081"/>
      <c r="AM1081"/>
      <c r="AN1081"/>
      <c r="AO1081"/>
      <c r="AP1081"/>
      <c r="AQ1081"/>
    </row>
    <row r="1082" spans="1:43" s="10" customFormat="1" ht="15.75" customHeight="1" x14ac:dyDescent="0.25">
      <c r="A1082" s="55" t="e">
        <f t="shared" si="250"/>
        <v>#REF!</v>
      </c>
      <c r="B1082" s="470">
        <v>44543</v>
      </c>
      <c r="C1082" s="448"/>
      <c r="D1082" s="332" t="s">
        <v>1117</v>
      </c>
      <c r="E1082" s="58"/>
      <c r="F1082" s="123" t="s">
        <v>3140</v>
      </c>
      <c r="G1082" s="334" t="s">
        <v>1117</v>
      </c>
      <c r="H1082" s="45">
        <v>24200000</v>
      </c>
      <c r="I1082" s="380" t="s">
        <v>3139</v>
      </c>
      <c r="J1082" s="301">
        <v>44550</v>
      </c>
      <c r="K1082" s="719">
        <f t="shared" si="249"/>
        <v>24200000</v>
      </c>
      <c r="L1082" s="719">
        <v>12100000</v>
      </c>
      <c r="M1082" s="718"/>
      <c r="N1082" s="718"/>
      <c r="O1082" s="718"/>
      <c r="P1082" s="718"/>
      <c r="Q1082" s="28">
        <f t="shared" si="251"/>
        <v>12100000</v>
      </c>
      <c r="R1082" s="669" t="s">
        <v>3141</v>
      </c>
      <c r="S1082" s="197"/>
      <c r="T1082" s="199">
        <v>14</v>
      </c>
      <c r="U1082" s="24">
        <f t="shared" si="248"/>
        <v>44564</v>
      </c>
      <c r="V1082" s="5"/>
      <c r="W1082"/>
      <c r="X1082"/>
      <c r="Y1082"/>
      <c r="Z1082"/>
      <c r="AA1082"/>
      <c r="AB1082"/>
      <c r="AC1082"/>
      <c r="AD1082"/>
      <c r="AE1082"/>
      <c r="AF1082"/>
      <c r="AG1082"/>
      <c r="AH1082"/>
      <c r="AI1082"/>
      <c r="AJ1082"/>
      <c r="AK1082"/>
      <c r="AL1082"/>
      <c r="AM1082"/>
      <c r="AN1082"/>
      <c r="AO1082"/>
      <c r="AP1082"/>
      <c r="AQ1082"/>
    </row>
    <row r="1083" spans="1:43" s="10" customFormat="1" ht="15.75" customHeight="1" x14ac:dyDescent="0.25">
      <c r="A1083" s="55" t="e">
        <f t="shared" si="250"/>
        <v>#REF!</v>
      </c>
      <c r="B1083" s="56">
        <v>44540</v>
      </c>
      <c r="C1083" s="58"/>
      <c r="D1083" s="58" t="s">
        <v>3145</v>
      </c>
      <c r="E1083" s="58"/>
      <c r="F1083" s="123" t="s">
        <v>53</v>
      </c>
      <c r="G1083" s="333" t="s">
        <v>417</v>
      </c>
      <c r="H1083" s="45">
        <v>2000000</v>
      </c>
      <c r="I1083" s="380" t="s">
        <v>3144</v>
      </c>
      <c r="J1083" s="507">
        <v>44552</v>
      </c>
      <c r="K1083" s="719">
        <f t="shared" si="249"/>
        <v>2000000</v>
      </c>
      <c r="L1083" s="719"/>
      <c r="M1083" s="718"/>
      <c r="N1083" s="718"/>
      <c r="O1083" s="718"/>
      <c r="P1083" s="718">
        <v>2000000</v>
      </c>
      <c r="Q1083" s="28">
        <f t="shared" si="251"/>
        <v>0</v>
      </c>
      <c r="R1083" s="199"/>
      <c r="S1083" s="197">
        <v>44557</v>
      </c>
      <c r="T1083" s="199">
        <v>14</v>
      </c>
      <c r="U1083" s="24">
        <f t="shared" si="248"/>
        <v>44566</v>
      </c>
      <c r="V1083" s="5"/>
      <c r="W1083"/>
      <c r="X1083"/>
      <c r="Y1083"/>
      <c r="Z1083"/>
      <c r="AA1083"/>
      <c r="AB1083"/>
      <c r="AC1083"/>
      <c r="AD1083"/>
      <c r="AE1083"/>
      <c r="AF1083"/>
      <c r="AG1083"/>
      <c r="AH1083"/>
      <c r="AI1083"/>
      <c r="AJ1083"/>
      <c r="AK1083"/>
      <c r="AL1083"/>
      <c r="AM1083"/>
      <c r="AN1083"/>
      <c r="AO1083"/>
      <c r="AP1083"/>
      <c r="AQ1083"/>
    </row>
    <row r="1084" spans="1:43" s="10" customFormat="1" ht="15.75" customHeight="1" x14ac:dyDescent="0.25">
      <c r="A1084" s="55" t="e">
        <f t="shared" si="250"/>
        <v>#REF!</v>
      </c>
      <c r="B1084" s="470">
        <v>44541</v>
      </c>
      <c r="C1084" s="448"/>
      <c r="D1084" s="332" t="s">
        <v>3147</v>
      </c>
      <c r="E1084" s="58"/>
      <c r="F1084" s="123" t="s">
        <v>1023</v>
      </c>
      <c r="G1084" s="334" t="s">
        <v>1819</v>
      </c>
      <c r="H1084" s="45">
        <v>2650000</v>
      </c>
      <c r="I1084" s="380" t="s">
        <v>3146</v>
      </c>
      <c r="J1084" s="507">
        <v>44552</v>
      </c>
      <c r="K1084" s="719">
        <f t="shared" si="249"/>
        <v>2650000</v>
      </c>
      <c r="L1084" s="719"/>
      <c r="M1084" s="718"/>
      <c r="N1084" s="718"/>
      <c r="O1084" s="718"/>
      <c r="P1084" s="718">
        <v>2650000</v>
      </c>
      <c r="Q1084" s="28">
        <f t="shared" si="251"/>
        <v>0</v>
      </c>
      <c r="R1084" s="197"/>
      <c r="S1084" s="197">
        <v>44553</v>
      </c>
      <c r="T1084" s="199">
        <v>14</v>
      </c>
      <c r="U1084" s="24">
        <f t="shared" si="248"/>
        <v>44566</v>
      </c>
      <c r="V1084" s="5"/>
      <c r="W1084"/>
      <c r="X1084"/>
      <c r="Y1084"/>
      <c r="Z1084"/>
      <c r="AA1084"/>
      <c r="AB1084"/>
      <c r="AC1084"/>
      <c r="AD1084"/>
      <c r="AE1084"/>
      <c r="AF1084"/>
      <c r="AG1084"/>
      <c r="AH1084"/>
      <c r="AI1084"/>
      <c r="AJ1084"/>
      <c r="AK1084"/>
      <c r="AL1084"/>
      <c r="AM1084"/>
      <c r="AN1084"/>
      <c r="AO1084"/>
      <c r="AP1084"/>
      <c r="AQ1084"/>
    </row>
    <row r="1085" spans="1:43" s="10" customFormat="1" ht="15.75" customHeight="1" x14ac:dyDescent="0.25">
      <c r="A1085" s="55" t="e">
        <f t="shared" si="250"/>
        <v>#REF!</v>
      </c>
      <c r="B1085" s="470">
        <v>44543</v>
      </c>
      <c r="C1085" s="448">
        <v>404388</v>
      </c>
      <c r="D1085" s="332" t="s">
        <v>3170</v>
      </c>
      <c r="E1085" s="58"/>
      <c r="F1085" s="123" t="s">
        <v>3171</v>
      </c>
      <c r="G1085" s="334" t="s">
        <v>25</v>
      </c>
      <c r="H1085" s="45">
        <v>665000</v>
      </c>
      <c r="I1085" s="380" t="s">
        <v>3169</v>
      </c>
      <c r="J1085" s="507">
        <v>44552</v>
      </c>
      <c r="K1085" s="719">
        <f t="shared" si="249"/>
        <v>665000</v>
      </c>
      <c r="L1085" s="719"/>
      <c r="M1085" s="718"/>
      <c r="N1085" s="718"/>
      <c r="O1085" s="718"/>
      <c r="P1085" s="718"/>
      <c r="Q1085" s="28">
        <f t="shared" si="251"/>
        <v>665000</v>
      </c>
      <c r="R1085" s="197"/>
      <c r="S1085" s="197"/>
      <c r="T1085" s="199">
        <v>13</v>
      </c>
      <c r="U1085" s="24">
        <f t="shared" si="248"/>
        <v>44565</v>
      </c>
      <c r="V1085" s="5" t="s">
        <v>3172</v>
      </c>
      <c r="W1085"/>
      <c r="X1085"/>
      <c r="Y1085"/>
      <c r="Z1085"/>
      <c r="AA1085"/>
      <c r="AB1085"/>
      <c r="AC1085"/>
      <c r="AD1085"/>
      <c r="AE1085"/>
      <c r="AF1085"/>
      <c r="AG1085"/>
      <c r="AH1085"/>
      <c r="AI1085"/>
      <c r="AJ1085"/>
      <c r="AK1085"/>
      <c r="AL1085"/>
      <c r="AM1085"/>
      <c r="AN1085"/>
      <c r="AO1085"/>
      <c r="AP1085"/>
      <c r="AQ1085"/>
    </row>
    <row r="1086" spans="1:43" s="10" customFormat="1" ht="15.75" customHeight="1" x14ac:dyDescent="0.25">
      <c r="A1086" s="55" t="e">
        <f t="shared" si="250"/>
        <v>#REF!</v>
      </c>
      <c r="B1086" s="79">
        <v>44550</v>
      </c>
      <c r="C1086" s="330"/>
      <c r="D1086" s="330" t="s">
        <v>3179</v>
      </c>
      <c r="E1086" s="330"/>
      <c r="F1086" s="33" t="s">
        <v>3174</v>
      </c>
      <c r="G1086" s="126" t="s">
        <v>774</v>
      </c>
      <c r="H1086" s="45">
        <v>1768000</v>
      </c>
      <c r="I1086" s="377" t="s">
        <v>3173</v>
      </c>
      <c r="J1086" s="507">
        <v>44558</v>
      </c>
      <c r="K1086" s="719">
        <f t="shared" si="249"/>
        <v>1768000</v>
      </c>
      <c r="L1086" s="719"/>
      <c r="M1086" s="718"/>
      <c r="N1086" s="718"/>
      <c r="O1086" s="718"/>
      <c r="P1086" s="718">
        <v>1768000</v>
      </c>
      <c r="Q1086" s="28">
        <f t="shared" si="251"/>
        <v>0</v>
      </c>
      <c r="R1086" s="199"/>
      <c r="S1086" s="197">
        <v>44559</v>
      </c>
      <c r="T1086" s="199">
        <v>14</v>
      </c>
      <c r="U1086" s="24">
        <f t="shared" si="248"/>
        <v>44572</v>
      </c>
      <c r="V1086" s="5" t="s">
        <v>3175</v>
      </c>
      <c r="W1086"/>
      <c r="X1086"/>
      <c r="Y1086"/>
      <c r="Z1086"/>
      <c r="AA1086"/>
      <c r="AB1086"/>
      <c r="AC1086"/>
      <c r="AD1086"/>
      <c r="AE1086"/>
      <c r="AF1086"/>
      <c r="AG1086"/>
      <c r="AH1086"/>
      <c r="AI1086"/>
      <c r="AJ1086"/>
      <c r="AK1086"/>
      <c r="AL1086"/>
      <c r="AM1086"/>
      <c r="AN1086"/>
      <c r="AO1086"/>
      <c r="AP1086"/>
      <c r="AQ1086"/>
    </row>
    <row r="1087" spans="1:43" s="10" customFormat="1" ht="15.75" customHeight="1" x14ac:dyDescent="0.25">
      <c r="A1087" s="55" t="e">
        <f t="shared" si="250"/>
        <v>#REF!</v>
      </c>
      <c r="B1087" s="79">
        <v>44558</v>
      </c>
      <c r="C1087" s="330"/>
      <c r="D1087" s="330" t="s">
        <v>3178</v>
      </c>
      <c r="E1087" s="330"/>
      <c r="F1087" s="33" t="s">
        <v>3177</v>
      </c>
      <c r="G1087" s="126" t="s">
        <v>161</v>
      </c>
      <c r="H1087" s="45">
        <v>26000000</v>
      </c>
      <c r="I1087" s="377" t="s">
        <v>3176</v>
      </c>
      <c r="J1087" s="507">
        <v>44558</v>
      </c>
      <c r="K1087" s="719">
        <f t="shared" si="249"/>
        <v>26000000</v>
      </c>
      <c r="L1087" s="719"/>
      <c r="M1087" s="718"/>
      <c r="N1087" s="28"/>
      <c r="O1087" s="28"/>
      <c r="P1087" s="718"/>
      <c r="Q1087" s="28">
        <f t="shared" si="251"/>
        <v>26000000</v>
      </c>
      <c r="R1087" s="199"/>
      <c r="S1087" s="197"/>
      <c r="T1087" s="199">
        <v>14</v>
      </c>
      <c r="U1087" s="24">
        <f t="shared" si="248"/>
        <v>44572</v>
      </c>
      <c r="V1087" s="5" t="s">
        <v>3180</v>
      </c>
      <c r="W1087"/>
      <c r="X1087"/>
      <c r="Y1087"/>
      <c r="Z1087"/>
      <c r="AA1087"/>
      <c r="AB1087"/>
      <c r="AC1087"/>
      <c r="AD1087"/>
      <c r="AE1087"/>
      <c r="AF1087"/>
      <c r="AG1087"/>
      <c r="AH1087"/>
      <c r="AI1087"/>
      <c r="AJ1087"/>
      <c r="AK1087"/>
      <c r="AL1087"/>
      <c r="AM1087"/>
      <c r="AN1087"/>
      <c r="AO1087"/>
      <c r="AP1087"/>
      <c r="AQ1087"/>
    </row>
    <row r="1088" spans="1:43" s="10" customFormat="1" ht="15.75" customHeight="1" x14ac:dyDescent="0.25">
      <c r="A1088" s="55" t="e">
        <f t="shared" si="250"/>
        <v>#REF!</v>
      </c>
      <c r="B1088" s="79">
        <v>44556</v>
      </c>
      <c r="C1088" s="330"/>
      <c r="D1088" s="330" t="s">
        <v>3182</v>
      </c>
      <c r="E1088" s="330"/>
      <c r="F1088" s="33" t="s">
        <v>1023</v>
      </c>
      <c r="G1088" s="404" t="s">
        <v>417</v>
      </c>
      <c r="H1088" s="45">
        <v>1400000</v>
      </c>
      <c r="I1088" s="377" t="s">
        <v>3181</v>
      </c>
      <c r="J1088" s="507">
        <v>44558</v>
      </c>
      <c r="K1088" s="719">
        <f t="shared" si="249"/>
        <v>1400000</v>
      </c>
      <c r="L1088" s="719"/>
      <c r="M1088" s="718"/>
      <c r="N1088" s="718"/>
      <c r="O1088" s="718"/>
      <c r="P1088" s="718">
        <v>1400000</v>
      </c>
      <c r="Q1088" s="28">
        <f t="shared" si="251"/>
        <v>0</v>
      </c>
      <c r="R1088" s="199"/>
      <c r="S1088" s="197">
        <v>44561</v>
      </c>
      <c r="T1088" s="199">
        <v>14</v>
      </c>
      <c r="U1088" s="24">
        <f t="shared" si="248"/>
        <v>44572</v>
      </c>
      <c r="V1088" s="5" t="s">
        <v>3183</v>
      </c>
      <c r="W1088"/>
      <c r="X1088"/>
      <c r="Y1088"/>
      <c r="Z1088"/>
      <c r="AA1088"/>
      <c r="AB1088"/>
      <c r="AC1088"/>
      <c r="AD1088"/>
      <c r="AE1088"/>
      <c r="AF1088"/>
      <c r="AG1088"/>
      <c r="AH1088"/>
      <c r="AI1088"/>
      <c r="AJ1088"/>
      <c r="AK1088"/>
      <c r="AL1088"/>
      <c r="AM1088"/>
      <c r="AN1088"/>
      <c r="AO1088"/>
      <c r="AP1088"/>
      <c r="AQ1088"/>
    </row>
    <row r="1089" spans="1:43" s="10" customFormat="1" ht="15.75" customHeight="1" x14ac:dyDescent="0.25">
      <c r="A1089" s="55" t="e">
        <f t="shared" si="250"/>
        <v>#REF!</v>
      </c>
      <c r="B1089" s="79">
        <v>44557</v>
      </c>
      <c r="C1089" s="330"/>
      <c r="D1089" s="330" t="s">
        <v>3185</v>
      </c>
      <c r="E1089" s="330"/>
      <c r="F1089" s="123" t="s">
        <v>2498</v>
      </c>
      <c r="G1089" s="404" t="s">
        <v>161</v>
      </c>
      <c r="H1089" s="45">
        <v>1500000</v>
      </c>
      <c r="I1089" s="377" t="s">
        <v>3184</v>
      </c>
      <c r="J1089" s="507">
        <v>44558</v>
      </c>
      <c r="K1089" s="719">
        <f t="shared" si="249"/>
        <v>1500000</v>
      </c>
      <c r="L1089" s="719"/>
      <c r="M1089" s="718"/>
      <c r="N1089" s="718"/>
      <c r="O1089" s="718"/>
      <c r="P1089" s="718">
        <v>1500000</v>
      </c>
      <c r="Q1089" s="28">
        <f t="shared" si="251"/>
        <v>0</v>
      </c>
      <c r="R1089" s="199"/>
      <c r="S1089" s="197">
        <v>44557</v>
      </c>
      <c r="T1089" s="199">
        <v>14</v>
      </c>
      <c r="U1089" s="24">
        <f t="shared" si="248"/>
        <v>44572</v>
      </c>
      <c r="V1089" s="5" t="s">
        <v>3186</v>
      </c>
      <c r="W1089"/>
      <c r="X1089"/>
      <c r="Y1089"/>
      <c r="Z1089"/>
      <c r="AA1089"/>
      <c r="AB1089"/>
      <c r="AC1089"/>
      <c r="AD1089"/>
      <c r="AE1089"/>
      <c r="AF1089"/>
      <c r="AG1089"/>
      <c r="AH1089"/>
      <c r="AI1089"/>
      <c r="AJ1089"/>
      <c r="AK1089"/>
      <c r="AL1089"/>
      <c r="AM1089"/>
      <c r="AN1089"/>
      <c r="AO1089"/>
      <c r="AP1089"/>
      <c r="AQ1089"/>
    </row>
    <row r="1090" spans="1:43" s="10" customFormat="1" ht="15.75" customHeight="1" x14ac:dyDescent="0.25">
      <c r="A1090" s="55" t="e">
        <f t="shared" si="250"/>
        <v>#REF!</v>
      </c>
      <c r="B1090" s="79">
        <v>44539</v>
      </c>
      <c r="C1090" s="330"/>
      <c r="D1090" s="330" t="s">
        <v>3218</v>
      </c>
      <c r="E1090" s="330"/>
      <c r="F1090" s="33" t="s">
        <v>2932</v>
      </c>
      <c r="G1090" s="404" t="s">
        <v>190</v>
      </c>
      <c r="H1090" s="45">
        <v>2286000</v>
      </c>
      <c r="I1090" s="377" t="s">
        <v>3217</v>
      </c>
      <c r="J1090" s="301">
        <v>44559</v>
      </c>
      <c r="K1090" s="719">
        <f t="shared" si="249"/>
        <v>2286000</v>
      </c>
      <c r="L1090" s="719"/>
      <c r="M1090" s="718"/>
      <c r="N1090" s="718"/>
      <c r="O1090" s="718"/>
      <c r="P1090" s="718">
        <v>2286000</v>
      </c>
      <c r="Q1090" s="28">
        <f t="shared" si="251"/>
        <v>0</v>
      </c>
      <c r="R1090" s="199"/>
      <c r="S1090" s="197">
        <v>44539</v>
      </c>
      <c r="T1090" s="199">
        <v>14</v>
      </c>
      <c r="U1090" s="24">
        <f t="shared" si="248"/>
        <v>44573</v>
      </c>
      <c r="V1090" s="5"/>
      <c r="W1090"/>
      <c r="X1090"/>
      <c r="Y1090"/>
      <c r="Z1090"/>
      <c r="AA1090"/>
      <c r="AB1090"/>
      <c r="AC1090"/>
      <c r="AD1090"/>
      <c r="AE1090"/>
      <c r="AF1090"/>
      <c r="AG1090"/>
      <c r="AH1090"/>
      <c r="AI1090"/>
      <c r="AJ1090"/>
      <c r="AK1090"/>
      <c r="AL1090"/>
      <c r="AM1090"/>
      <c r="AN1090"/>
      <c r="AO1090"/>
      <c r="AP1090"/>
      <c r="AQ1090"/>
    </row>
    <row r="1091" spans="1:43" s="10" customFormat="1" ht="15.75" customHeight="1" x14ac:dyDescent="0.25">
      <c r="A1091" s="55" t="e">
        <f t="shared" si="250"/>
        <v>#REF!</v>
      </c>
      <c r="B1091" s="56">
        <v>44548</v>
      </c>
      <c r="C1091" s="58"/>
      <c r="D1091" s="58" t="s">
        <v>3220</v>
      </c>
      <c r="E1091" s="58" t="s">
        <v>3221</v>
      </c>
      <c r="F1091" s="123" t="s">
        <v>2694</v>
      </c>
      <c r="G1091" s="334" t="s">
        <v>500</v>
      </c>
      <c r="H1091" s="45">
        <v>924800</v>
      </c>
      <c r="I1091" s="380" t="s">
        <v>3219</v>
      </c>
      <c r="J1091" s="301">
        <v>44560</v>
      </c>
      <c r="K1091" s="719">
        <f t="shared" si="249"/>
        <v>924800</v>
      </c>
      <c r="L1091" s="719"/>
      <c r="M1091" s="718"/>
      <c r="N1091" s="718"/>
      <c r="O1091" s="718"/>
      <c r="P1091" s="718"/>
      <c r="Q1091" s="28">
        <f t="shared" si="251"/>
        <v>924800</v>
      </c>
      <c r="R1091" s="199"/>
      <c r="S1091" s="197"/>
      <c r="T1091" s="199">
        <v>14</v>
      </c>
      <c r="U1091" s="24">
        <f t="shared" si="248"/>
        <v>44574</v>
      </c>
      <c r="V1091" s="5"/>
      <c r="W1091"/>
      <c r="X1091"/>
      <c r="Y1091"/>
      <c r="Z1091"/>
      <c r="AA1091"/>
      <c r="AB1091"/>
      <c r="AC1091"/>
      <c r="AD1091"/>
      <c r="AE1091"/>
      <c r="AF1091"/>
      <c r="AG1091"/>
      <c r="AH1091"/>
      <c r="AI1091"/>
      <c r="AJ1091"/>
      <c r="AK1091"/>
      <c r="AL1091"/>
      <c r="AM1091"/>
      <c r="AN1091"/>
      <c r="AO1091"/>
      <c r="AP1091"/>
      <c r="AQ1091"/>
    </row>
    <row r="1092" spans="1:43" s="10" customFormat="1" ht="15.75" customHeight="1" x14ac:dyDescent="0.25">
      <c r="A1092" s="55" t="e">
        <f t="shared" si="250"/>
        <v>#REF!</v>
      </c>
      <c r="B1092" s="470">
        <v>44560</v>
      </c>
      <c r="C1092" s="58"/>
      <c r="D1092" s="58" t="s">
        <v>3223</v>
      </c>
      <c r="E1092" s="58"/>
      <c r="F1092" s="123" t="s">
        <v>3224</v>
      </c>
      <c r="G1092" s="333" t="s">
        <v>421</v>
      </c>
      <c r="H1092" s="45">
        <v>975000</v>
      </c>
      <c r="I1092" s="380" t="s">
        <v>3222</v>
      </c>
      <c r="J1092" s="514">
        <v>44560</v>
      </c>
      <c r="K1092" s="719">
        <f t="shared" si="249"/>
        <v>975000</v>
      </c>
      <c r="L1092" s="719"/>
      <c r="M1092" s="718"/>
      <c r="N1092" s="718"/>
      <c r="O1092" s="718"/>
      <c r="P1092" s="718">
        <v>975000</v>
      </c>
      <c r="Q1092" s="28">
        <f t="shared" si="251"/>
        <v>0</v>
      </c>
      <c r="R1092" s="199"/>
      <c r="S1092" s="197">
        <v>44560</v>
      </c>
      <c r="T1092" s="199">
        <v>14</v>
      </c>
      <c r="U1092" s="24">
        <f t="shared" si="248"/>
        <v>44574</v>
      </c>
      <c r="V1092" s="5"/>
      <c r="W1092"/>
      <c r="X1092"/>
      <c r="Y1092"/>
      <c r="Z1092"/>
      <c r="AA1092"/>
      <c r="AB1092"/>
      <c r="AC1092"/>
      <c r="AD1092"/>
      <c r="AE1092"/>
      <c r="AF1092"/>
      <c r="AG1092"/>
      <c r="AH1092"/>
      <c r="AI1092"/>
      <c r="AJ1092"/>
      <c r="AK1092"/>
      <c r="AL1092"/>
      <c r="AM1092"/>
      <c r="AN1092"/>
      <c r="AO1092"/>
      <c r="AP1092"/>
      <c r="AQ1092"/>
    </row>
    <row r="1093" spans="1:43" s="10" customFormat="1" ht="15.75" customHeight="1" x14ac:dyDescent="0.25">
      <c r="A1093" s="55" t="e">
        <f t="shared" si="250"/>
        <v>#REF!</v>
      </c>
      <c r="B1093" s="470">
        <v>44541</v>
      </c>
      <c r="C1093" s="448">
        <v>404383</v>
      </c>
      <c r="D1093" s="332" t="s">
        <v>3226</v>
      </c>
      <c r="E1093" s="58"/>
      <c r="F1093" s="123" t="s">
        <v>2755</v>
      </c>
      <c r="G1093" s="334" t="s">
        <v>653</v>
      </c>
      <c r="H1093" s="45">
        <v>700000</v>
      </c>
      <c r="I1093" s="380" t="s">
        <v>3225</v>
      </c>
      <c r="J1093" s="514">
        <v>44560</v>
      </c>
      <c r="K1093" s="719">
        <f t="shared" si="249"/>
        <v>700000</v>
      </c>
      <c r="L1093" s="719"/>
      <c r="M1093" s="718"/>
      <c r="N1093" s="718"/>
      <c r="O1093" s="718"/>
      <c r="P1093" s="718">
        <v>700000</v>
      </c>
      <c r="Q1093" s="28">
        <f t="shared" si="251"/>
        <v>0</v>
      </c>
      <c r="R1093" s="199"/>
      <c r="S1093" s="197">
        <v>44564</v>
      </c>
      <c r="T1093" s="199">
        <v>14</v>
      </c>
      <c r="U1093" s="24">
        <f t="shared" si="248"/>
        <v>44574</v>
      </c>
      <c r="V1093" s="5"/>
      <c r="W1093"/>
      <c r="X1093"/>
      <c r="Y1093"/>
      <c r="Z1093"/>
      <c r="AA1093"/>
      <c r="AB1093"/>
      <c r="AC1093"/>
      <c r="AD1093"/>
      <c r="AE1093"/>
      <c r="AF1093"/>
      <c r="AG1093"/>
      <c r="AH1093"/>
      <c r="AI1093"/>
      <c r="AJ1093"/>
      <c r="AK1093"/>
      <c r="AL1093"/>
      <c r="AM1093"/>
      <c r="AN1093"/>
      <c r="AO1093"/>
      <c r="AP1093"/>
      <c r="AQ1093"/>
    </row>
    <row r="1094" spans="1:43" s="10" customFormat="1" ht="15.75" customHeight="1" x14ac:dyDescent="0.25">
      <c r="A1094" s="55" t="e">
        <f t="shared" si="250"/>
        <v>#REF!</v>
      </c>
      <c r="B1094" s="470">
        <v>44541</v>
      </c>
      <c r="C1094" s="448"/>
      <c r="D1094" s="332" t="s">
        <v>3228</v>
      </c>
      <c r="E1094" s="58"/>
      <c r="F1094" s="123" t="s">
        <v>3229</v>
      </c>
      <c r="G1094" s="334" t="s">
        <v>477</v>
      </c>
      <c r="H1094" s="45">
        <v>3500000</v>
      </c>
      <c r="I1094" s="380" t="s">
        <v>3227</v>
      </c>
      <c r="J1094" s="514">
        <v>44560</v>
      </c>
      <c r="K1094" s="719">
        <f t="shared" si="249"/>
        <v>3500000</v>
      </c>
      <c r="L1094" s="719">
        <v>2500000</v>
      </c>
      <c r="M1094" s="718"/>
      <c r="N1094" s="718"/>
      <c r="O1094" s="718"/>
      <c r="P1094" s="718"/>
      <c r="Q1094" s="28">
        <f t="shared" si="251"/>
        <v>1000000</v>
      </c>
      <c r="R1094" s="197">
        <v>44541</v>
      </c>
      <c r="S1094" s="197"/>
      <c r="T1094" s="199">
        <v>14</v>
      </c>
      <c r="U1094" s="24">
        <f t="shared" si="248"/>
        <v>44574</v>
      </c>
      <c r="V1094" s="5"/>
      <c r="W1094"/>
      <c r="X1094"/>
      <c r="Y1094"/>
      <c r="Z1094"/>
      <c r="AA1094"/>
      <c r="AB1094"/>
      <c r="AC1094"/>
      <c r="AD1094"/>
      <c r="AE1094"/>
      <c r="AF1094"/>
      <c r="AG1094"/>
      <c r="AH1094"/>
      <c r="AI1094"/>
      <c r="AJ1094"/>
      <c r="AK1094"/>
      <c r="AL1094"/>
      <c r="AM1094"/>
      <c r="AN1094"/>
      <c r="AO1094"/>
      <c r="AP1094"/>
      <c r="AQ1094"/>
    </row>
    <row r="1095" spans="1:43" s="10" customFormat="1" ht="15.75" customHeight="1" x14ac:dyDescent="0.25">
      <c r="A1095" s="55" t="e">
        <f t="shared" si="250"/>
        <v>#REF!</v>
      </c>
      <c r="B1095" s="633">
        <v>44558</v>
      </c>
      <c r="C1095" s="755"/>
      <c r="D1095" s="756" t="s">
        <v>3377</v>
      </c>
      <c r="E1095" s="330"/>
      <c r="F1095" s="33" t="s">
        <v>53</v>
      </c>
      <c r="G1095" s="404" t="s">
        <v>190</v>
      </c>
      <c r="H1095" s="45">
        <v>1200000</v>
      </c>
      <c r="I1095" s="377" t="s">
        <v>3376</v>
      </c>
      <c r="J1095" s="774">
        <v>44566</v>
      </c>
      <c r="K1095" s="796">
        <f t="shared" si="249"/>
        <v>1200000</v>
      </c>
      <c r="L1095" s="763"/>
      <c r="M1095" s="763"/>
      <c r="N1095" s="763"/>
      <c r="O1095" s="763"/>
      <c r="P1095" s="795">
        <v>1200000</v>
      </c>
      <c r="Q1095" s="28">
        <f t="shared" si="251"/>
        <v>0</v>
      </c>
      <c r="R1095" s="301"/>
      <c r="S1095" s="197">
        <v>44575</v>
      </c>
      <c r="T1095" s="55">
        <v>14</v>
      </c>
      <c r="U1095" s="24">
        <f t="shared" si="248"/>
        <v>44580</v>
      </c>
      <c r="V1095" s="7"/>
      <c r="W1095"/>
      <c r="X1095"/>
      <c r="Y1095"/>
      <c r="Z1095"/>
      <c r="AA1095"/>
      <c r="AB1095"/>
      <c r="AC1095"/>
      <c r="AD1095"/>
      <c r="AE1095"/>
      <c r="AF1095"/>
      <c r="AG1095"/>
      <c r="AH1095"/>
      <c r="AI1095"/>
      <c r="AJ1095"/>
      <c r="AK1095"/>
      <c r="AL1095"/>
      <c r="AM1095"/>
      <c r="AN1095"/>
      <c r="AO1095"/>
      <c r="AP1095"/>
      <c r="AQ1095"/>
    </row>
    <row r="1096" spans="1:43" s="10" customFormat="1" ht="15.75" customHeight="1" x14ac:dyDescent="0.25">
      <c r="A1096" s="55" t="e">
        <f t="shared" si="250"/>
        <v>#REF!</v>
      </c>
      <c r="B1096" s="633">
        <v>44558</v>
      </c>
      <c r="C1096" s="755">
        <v>403003</v>
      </c>
      <c r="D1096" s="756" t="s">
        <v>3379</v>
      </c>
      <c r="E1096" s="330"/>
      <c r="F1096" s="31" t="s">
        <v>242</v>
      </c>
      <c r="G1096" s="404" t="s">
        <v>155</v>
      </c>
      <c r="H1096" s="45">
        <v>53000000</v>
      </c>
      <c r="I1096" s="377" t="s">
        <v>3378</v>
      </c>
      <c r="J1096" s="774">
        <v>44566</v>
      </c>
      <c r="K1096" s="790">
        <f t="shared" si="249"/>
        <v>53000000</v>
      </c>
      <c r="L1096" s="763">
        <v>26500000</v>
      </c>
      <c r="M1096" s="763"/>
      <c r="N1096" s="763"/>
      <c r="O1096" s="763"/>
      <c r="P1096" s="764">
        <v>26500000</v>
      </c>
      <c r="Q1096" s="28">
        <f>K1096-L1096-M1096-O1096-P1096+N1096</f>
        <v>0</v>
      </c>
      <c r="R1096" s="301">
        <v>44635</v>
      </c>
      <c r="S1096" s="301">
        <v>44642</v>
      </c>
      <c r="T1096" s="55">
        <v>30</v>
      </c>
      <c r="U1096" s="24">
        <f t="shared" si="248"/>
        <v>44596</v>
      </c>
      <c r="V1096" s="7"/>
      <c r="W1096"/>
      <c r="X1096"/>
      <c r="Y1096"/>
      <c r="Z1096"/>
      <c r="AA1096"/>
      <c r="AB1096"/>
      <c r="AC1096"/>
      <c r="AD1096"/>
      <c r="AE1096"/>
      <c r="AF1096"/>
      <c r="AG1096"/>
      <c r="AH1096"/>
      <c r="AI1096"/>
      <c r="AJ1096"/>
      <c r="AK1096"/>
      <c r="AL1096"/>
      <c r="AM1096"/>
      <c r="AN1096"/>
      <c r="AO1096"/>
      <c r="AP1096"/>
      <c r="AQ1096"/>
    </row>
    <row r="1097" spans="1:43" s="10" customFormat="1" ht="15.75" customHeight="1" x14ac:dyDescent="0.25">
      <c r="A1097" s="55" t="e">
        <f t="shared" si="250"/>
        <v>#REF!</v>
      </c>
      <c r="B1097" s="633">
        <v>44539</v>
      </c>
      <c r="C1097" s="755">
        <v>404377</v>
      </c>
      <c r="D1097" s="755" t="s">
        <v>3237</v>
      </c>
      <c r="E1097" s="330"/>
      <c r="F1097" s="123" t="s">
        <v>2938</v>
      </c>
      <c r="G1097" s="404" t="s">
        <v>790</v>
      </c>
      <c r="H1097" s="45">
        <v>22713600</v>
      </c>
      <c r="I1097" s="377" t="s">
        <v>3389</v>
      </c>
      <c r="J1097" s="633">
        <v>44571</v>
      </c>
      <c r="K1097" s="813">
        <f t="shared" si="249"/>
        <v>22713600</v>
      </c>
      <c r="L1097" s="763"/>
      <c r="M1097" s="763"/>
      <c r="N1097" s="763"/>
      <c r="O1097" s="763"/>
      <c r="P1097" s="763">
        <v>22713600</v>
      </c>
      <c r="Q1097" s="28">
        <f t="shared" si="251"/>
        <v>0</v>
      </c>
      <c r="R1097" s="55"/>
      <c r="S1097" s="301">
        <v>44594</v>
      </c>
      <c r="T1097" s="199">
        <v>14</v>
      </c>
      <c r="U1097" s="24">
        <f t="shared" si="248"/>
        <v>44585</v>
      </c>
      <c r="V1097" s="5"/>
      <c r="W1097"/>
      <c r="X1097"/>
      <c r="Y1097"/>
      <c r="Z1097"/>
      <c r="AA1097"/>
      <c r="AB1097"/>
      <c r="AC1097"/>
      <c r="AD1097"/>
      <c r="AE1097"/>
      <c r="AF1097"/>
      <c r="AG1097"/>
      <c r="AH1097"/>
      <c r="AI1097"/>
      <c r="AJ1097"/>
      <c r="AK1097"/>
      <c r="AL1097"/>
      <c r="AM1097"/>
      <c r="AN1097"/>
      <c r="AO1097"/>
      <c r="AP1097"/>
      <c r="AQ1097"/>
    </row>
    <row r="1098" spans="1:43" s="10" customFormat="1" ht="15.75" customHeight="1" x14ac:dyDescent="0.25">
      <c r="A1098" s="55" t="e">
        <f t="shared" si="250"/>
        <v>#REF!</v>
      </c>
      <c r="B1098" s="79">
        <v>44541</v>
      </c>
      <c r="C1098" s="330">
        <v>406091</v>
      </c>
      <c r="D1098" s="330" t="s">
        <v>3238</v>
      </c>
      <c r="E1098" s="330"/>
      <c r="F1098" s="114" t="s">
        <v>2755</v>
      </c>
      <c r="G1098" s="404" t="s">
        <v>458</v>
      </c>
      <c r="H1098" s="45">
        <v>1512000</v>
      </c>
      <c r="I1098" s="377" t="s">
        <v>3525</v>
      </c>
      <c r="J1098" s="772">
        <v>44587</v>
      </c>
      <c r="K1098" s="790">
        <f>H1098</f>
        <v>1512000</v>
      </c>
      <c r="L1098" s="763"/>
      <c r="M1098" s="763"/>
      <c r="N1098" s="763"/>
      <c r="O1098" s="763"/>
      <c r="P1098" s="763">
        <v>1512000</v>
      </c>
      <c r="Q1098" s="28">
        <f>K1098-L1098-M1098-O1098-P1098+N1098</f>
        <v>0</v>
      </c>
      <c r="R1098" s="55"/>
      <c r="S1098" s="301">
        <v>44629</v>
      </c>
      <c r="T1098" s="199">
        <v>14</v>
      </c>
      <c r="U1098" s="24">
        <f t="shared" ref="U1098" si="252">J1098+T1098</f>
        <v>44601</v>
      </c>
      <c r="V1098" s="5"/>
      <c r="W1098"/>
      <c r="X1098"/>
      <c r="Y1098"/>
      <c r="Z1098"/>
      <c r="AA1098"/>
      <c r="AB1098"/>
      <c r="AC1098"/>
      <c r="AD1098"/>
      <c r="AE1098"/>
      <c r="AF1098"/>
      <c r="AG1098"/>
      <c r="AH1098"/>
      <c r="AI1098"/>
      <c r="AJ1098"/>
      <c r="AK1098"/>
      <c r="AL1098"/>
      <c r="AM1098"/>
      <c r="AN1098"/>
      <c r="AO1098"/>
      <c r="AP1098"/>
      <c r="AQ1098"/>
    </row>
    <row r="1099" spans="1:43" s="10" customFormat="1" ht="15.75" customHeight="1" x14ac:dyDescent="0.25">
      <c r="A1099" s="55" t="e">
        <f t="shared" si="250"/>
        <v>#REF!</v>
      </c>
      <c r="B1099" s="583">
        <v>44544</v>
      </c>
      <c r="C1099" s="448">
        <v>404395</v>
      </c>
      <c r="D1099" s="332" t="s">
        <v>3240</v>
      </c>
      <c r="E1099" s="58"/>
      <c r="F1099" s="123" t="s">
        <v>242</v>
      </c>
      <c r="G1099" s="334" t="s">
        <v>3241</v>
      </c>
      <c r="H1099" s="45">
        <v>3140000</v>
      </c>
      <c r="I1099" s="380"/>
      <c r="J1099" s="507"/>
      <c r="K1099" s="719">
        <f t="shared" si="249"/>
        <v>3140000</v>
      </c>
      <c r="L1099" s="719"/>
      <c r="M1099" s="718"/>
      <c r="N1099" s="718"/>
      <c r="O1099" s="718"/>
      <c r="P1099" s="718"/>
      <c r="Q1099" s="28">
        <f t="shared" si="251"/>
        <v>3140000</v>
      </c>
      <c r="R1099" s="199"/>
      <c r="S1099" s="197"/>
      <c r="T1099" s="199">
        <v>14</v>
      </c>
      <c r="U1099" s="24">
        <f t="shared" si="248"/>
        <v>14</v>
      </c>
      <c r="V1099" s="5"/>
      <c r="W1099"/>
      <c r="X1099"/>
      <c r="Y1099"/>
      <c r="Z1099"/>
      <c r="AA1099"/>
      <c r="AB1099"/>
      <c r="AC1099"/>
      <c r="AD1099"/>
      <c r="AE1099"/>
      <c r="AF1099"/>
      <c r="AG1099"/>
      <c r="AH1099"/>
      <c r="AI1099"/>
      <c r="AJ1099"/>
      <c r="AK1099"/>
      <c r="AL1099"/>
      <c r="AM1099"/>
      <c r="AN1099"/>
      <c r="AO1099"/>
      <c r="AP1099"/>
      <c r="AQ1099"/>
    </row>
    <row r="1100" spans="1:43" s="10" customFormat="1" ht="15.75" customHeight="1" x14ac:dyDescent="0.25">
      <c r="A1100" s="55" t="e">
        <f>#REF!+1</f>
        <v>#REF!</v>
      </c>
      <c r="B1100" s="470">
        <v>44532</v>
      </c>
      <c r="C1100" s="448"/>
      <c r="D1100" s="332" t="s">
        <v>3245</v>
      </c>
      <c r="E1100" s="58"/>
      <c r="F1100" s="123" t="s">
        <v>18</v>
      </c>
      <c r="G1100" s="791" t="s">
        <v>693</v>
      </c>
      <c r="H1100" s="45">
        <v>340000</v>
      </c>
      <c r="I1100" s="380" t="s">
        <v>3383</v>
      </c>
      <c r="J1100" s="507">
        <v>44567</v>
      </c>
      <c r="K1100" s="719">
        <f t="shared" si="249"/>
        <v>340000</v>
      </c>
      <c r="L1100" s="719"/>
      <c r="M1100" s="718"/>
      <c r="N1100" s="718"/>
      <c r="O1100" s="718"/>
      <c r="P1100" s="718">
        <v>340000</v>
      </c>
      <c r="Q1100" s="28">
        <f t="shared" si="251"/>
        <v>0</v>
      </c>
      <c r="R1100" s="199"/>
      <c r="S1100" s="197">
        <v>44587</v>
      </c>
      <c r="T1100" s="2">
        <v>14</v>
      </c>
      <c r="U1100" s="24">
        <f t="shared" si="248"/>
        <v>44581</v>
      </c>
      <c r="V1100" s="5"/>
      <c r="W1100"/>
      <c r="X1100"/>
      <c r="Y1100"/>
      <c r="Z1100"/>
      <c r="AA1100"/>
      <c r="AB1100"/>
      <c r="AC1100"/>
      <c r="AD1100"/>
      <c r="AE1100"/>
      <c r="AF1100"/>
      <c r="AG1100"/>
      <c r="AH1100"/>
      <c r="AI1100"/>
      <c r="AJ1100"/>
      <c r="AK1100"/>
      <c r="AL1100"/>
      <c r="AM1100"/>
      <c r="AN1100"/>
      <c r="AO1100"/>
      <c r="AP1100"/>
      <c r="AQ1100"/>
    </row>
    <row r="1101" spans="1:43" s="10" customFormat="1" ht="15.75" customHeight="1" x14ac:dyDescent="0.25">
      <c r="A1101" s="55" t="e">
        <f t="shared" si="250"/>
        <v>#REF!</v>
      </c>
      <c r="B1101" s="470">
        <v>44537</v>
      </c>
      <c r="C1101" s="448">
        <v>404375</v>
      </c>
      <c r="D1101" s="332" t="s">
        <v>3246</v>
      </c>
      <c r="E1101" s="58"/>
      <c r="F1101" s="123" t="s">
        <v>18</v>
      </c>
      <c r="G1101" s="791" t="s">
        <v>3251</v>
      </c>
      <c r="H1101" s="45">
        <v>300000</v>
      </c>
      <c r="I1101" s="380" t="s">
        <v>3383</v>
      </c>
      <c r="J1101" s="507">
        <v>44567</v>
      </c>
      <c r="K1101" s="751">
        <f t="shared" si="249"/>
        <v>300000</v>
      </c>
      <c r="L1101" s="751"/>
      <c r="M1101" s="750"/>
      <c r="N1101" s="750"/>
      <c r="O1101" s="750"/>
      <c r="P1101" s="750">
        <v>300000</v>
      </c>
      <c r="Q1101" s="28">
        <f t="shared" si="251"/>
        <v>0</v>
      </c>
      <c r="R1101" s="199"/>
      <c r="S1101" s="197">
        <v>44587</v>
      </c>
      <c r="T1101" s="2">
        <v>14</v>
      </c>
      <c r="U1101" s="24">
        <f t="shared" si="248"/>
        <v>44581</v>
      </c>
      <c r="V1101" s="5"/>
      <c r="W1101"/>
      <c r="X1101"/>
      <c r="Y1101"/>
      <c r="Z1101"/>
      <c r="AA1101"/>
      <c r="AB1101"/>
      <c r="AC1101"/>
      <c r="AD1101"/>
      <c r="AE1101"/>
      <c r="AF1101"/>
      <c r="AG1101"/>
      <c r="AH1101"/>
      <c r="AI1101"/>
      <c r="AJ1101"/>
      <c r="AK1101"/>
      <c r="AL1101"/>
      <c r="AM1101"/>
      <c r="AN1101"/>
      <c r="AO1101"/>
      <c r="AP1101"/>
      <c r="AQ1101"/>
    </row>
    <row r="1102" spans="1:43" s="10" customFormat="1" ht="15.75" customHeight="1" x14ac:dyDescent="0.25">
      <c r="A1102" s="55" t="e">
        <f t="shared" si="250"/>
        <v>#REF!</v>
      </c>
      <c r="B1102" s="470">
        <v>44540</v>
      </c>
      <c r="C1102" s="448">
        <v>405856</v>
      </c>
      <c r="D1102" s="1002" t="s">
        <v>3247</v>
      </c>
      <c r="E1102" s="58"/>
      <c r="F1102" s="123" t="s">
        <v>18</v>
      </c>
      <c r="G1102" s="791" t="s">
        <v>1938</v>
      </c>
      <c r="H1102" s="45">
        <v>500000</v>
      </c>
      <c r="I1102" s="380" t="s">
        <v>3380</v>
      </c>
      <c r="J1102" s="507">
        <v>44567</v>
      </c>
      <c r="K1102" s="751">
        <f t="shared" si="249"/>
        <v>500000</v>
      </c>
      <c r="L1102" s="751"/>
      <c r="M1102" s="750"/>
      <c r="N1102" s="750"/>
      <c r="O1102" s="750"/>
      <c r="P1102" s="750">
        <v>500000</v>
      </c>
      <c r="Q1102" s="28">
        <f t="shared" si="251"/>
        <v>0</v>
      </c>
      <c r="R1102" s="199"/>
      <c r="S1102" s="197">
        <v>44587</v>
      </c>
      <c r="T1102" s="2">
        <v>14</v>
      </c>
      <c r="U1102" s="24">
        <f t="shared" si="248"/>
        <v>44581</v>
      </c>
      <c r="V1102" s="5"/>
      <c r="W1102"/>
      <c r="X1102"/>
      <c r="Y1102"/>
      <c r="Z1102"/>
      <c r="AA1102"/>
      <c r="AB1102"/>
      <c r="AC1102"/>
      <c r="AD1102"/>
      <c r="AE1102"/>
      <c r="AF1102"/>
      <c r="AG1102"/>
      <c r="AH1102"/>
      <c r="AI1102"/>
      <c r="AJ1102"/>
      <c r="AK1102"/>
      <c r="AL1102"/>
      <c r="AM1102"/>
      <c r="AN1102"/>
      <c r="AO1102"/>
      <c r="AP1102"/>
      <c r="AQ1102"/>
    </row>
    <row r="1103" spans="1:43" s="10" customFormat="1" ht="15.75" customHeight="1" x14ac:dyDescent="0.25">
      <c r="A1103" s="55" t="e">
        <f t="shared" si="250"/>
        <v>#REF!</v>
      </c>
      <c r="B1103" s="470">
        <v>44540</v>
      </c>
      <c r="C1103" s="448">
        <v>405864</v>
      </c>
      <c r="D1103" s="1003"/>
      <c r="E1103" s="58"/>
      <c r="F1103" s="123" t="s">
        <v>18</v>
      </c>
      <c r="G1103" s="791" t="s">
        <v>1938</v>
      </c>
      <c r="H1103" s="45">
        <v>240000</v>
      </c>
      <c r="I1103" s="380" t="s">
        <v>3565</v>
      </c>
      <c r="J1103" s="507">
        <v>44594</v>
      </c>
      <c r="K1103" s="751">
        <f t="shared" si="249"/>
        <v>240000</v>
      </c>
      <c r="L1103" s="751"/>
      <c r="M1103" s="750"/>
      <c r="N1103" s="750"/>
      <c r="O1103" s="750"/>
      <c r="P1103" s="750">
        <v>240000</v>
      </c>
      <c r="Q1103" s="28">
        <f t="shared" si="251"/>
        <v>0</v>
      </c>
      <c r="R1103" s="199"/>
      <c r="S1103" s="197">
        <v>44587</v>
      </c>
      <c r="T1103" s="2">
        <v>14</v>
      </c>
      <c r="U1103" s="24">
        <f t="shared" si="248"/>
        <v>44608</v>
      </c>
      <c r="V1103" s="5"/>
      <c r="W1103"/>
      <c r="X1103"/>
      <c r="Y1103"/>
      <c r="Z1103"/>
      <c r="AA1103"/>
      <c r="AB1103"/>
      <c r="AC1103"/>
      <c r="AD1103"/>
      <c r="AE1103"/>
      <c r="AF1103"/>
      <c r="AG1103"/>
      <c r="AH1103"/>
      <c r="AI1103"/>
      <c r="AJ1103"/>
      <c r="AK1103"/>
      <c r="AL1103"/>
      <c r="AM1103"/>
      <c r="AN1103"/>
      <c r="AO1103"/>
      <c r="AP1103"/>
      <c r="AQ1103"/>
    </row>
    <row r="1104" spans="1:43" s="10" customFormat="1" ht="15.75" customHeight="1" x14ac:dyDescent="0.25">
      <c r="A1104" s="55" t="e">
        <f t="shared" si="250"/>
        <v>#REF!</v>
      </c>
      <c r="B1104" s="470">
        <v>44540</v>
      </c>
      <c r="C1104" s="448">
        <v>405169</v>
      </c>
      <c r="D1104" s="1003"/>
      <c r="E1104" s="58"/>
      <c r="F1104" s="123" t="s">
        <v>18</v>
      </c>
      <c r="G1104" s="791" t="s">
        <v>3241</v>
      </c>
      <c r="H1104" s="45">
        <v>150000</v>
      </c>
      <c r="I1104" s="380" t="s">
        <v>3417</v>
      </c>
      <c r="J1104" s="507">
        <v>44580</v>
      </c>
      <c r="K1104" s="751">
        <f t="shared" si="249"/>
        <v>150000</v>
      </c>
      <c r="L1104" s="751"/>
      <c r="M1104" s="750"/>
      <c r="N1104" s="750"/>
      <c r="O1104" s="750"/>
      <c r="P1104" s="750">
        <v>150000</v>
      </c>
      <c r="Q1104" s="28">
        <f t="shared" si="251"/>
        <v>0</v>
      </c>
      <c r="R1104" s="199"/>
      <c r="S1104" s="197">
        <v>44587</v>
      </c>
      <c r="T1104" s="2">
        <v>14</v>
      </c>
      <c r="U1104" s="24">
        <f t="shared" si="248"/>
        <v>44594</v>
      </c>
      <c r="V1104" s="5"/>
      <c r="W1104"/>
      <c r="X1104"/>
      <c r="Y1104"/>
      <c r="Z1104"/>
      <c r="AA1104"/>
      <c r="AB1104"/>
      <c r="AC1104"/>
      <c r="AD1104"/>
      <c r="AE1104"/>
      <c r="AF1104"/>
      <c r="AG1104"/>
      <c r="AH1104"/>
      <c r="AI1104"/>
      <c r="AJ1104"/>
      <c r="AK1104"/>
      <c r="AL1104"/>
      <c r="AM1104"/>
      <c r="AN1104"/>
      <c r="AO1104"/>
      <c r="AP1104"/>
      <c r="AQ1104"/>
    </row>
    <row r="1105" spans="1:43" s="10" customFormat="1" ht="15.75" customHeight="1" x14ac:dyDescent="0.25">
      <c r="A1105" s="55" t="e">
        <f t="shared" si="250"/>
        <v>#REF!</v>
      </c>
      <c r="B1105" s="470">
        <v>44540</v>
      </c>
      <c r="C1105" s="448">
        <v>405185</v>
      </c>
      <c r="D1105" s="1003"/>
      <c r="E1105" s="58"/>
      <c r="F1105" s="123" t="s">
        <v>18</v>
      </c>
      <c r="G1105" s="791" t="s">
        <v>2282</v>
      </c>
      <c r="H1105" s="45">
        <v>455000</v>
      </c>
      <c r="I1105" s="380" t="s">
        <v>3417</v>
      </c>
      <c r="J1105" s="507">
        <v>44580</v>
      </c>
      <c r="K1105" s="751">
        <f t="shared" si="249"/>
        <v>455000</v>
      </c>
      <c r="L1105" s="751"/>
      <c r="M1105" s="750"/>
      <c r="N1105" s="750"/>
      <c r="O1105" s="750"/>
      <c r="P1105" s="750">
        <v>455000</v>
      </c>
      <c r="Q1105" s="28">
        <f t="shared" si="251"/>
        <v>0</v>
      </c>
      <c r="R1105" s="199"/>
      <c r="S1105" s="197">
        <v>44587</v>
      </c>
      <c r="T1105" s="2">
        <v>14</v>
      </c>
      <c r="U1105" s="24">
        <f t="shared" si="248"/>
        <v>44594</v>
      </c>
      <c r="V1105" s="5"/>
      <c r="W1105"/>
      <c r="X1105"/>
      <c r="Y1105"/>
      <c r="Z1105"/>
      <c r="AA1105"/>
      <c r="AB1105"/>
      <c r="AC1105"/>
      <c r="AD1105"/>
      <c r="AE1105"/>
      <c r="AF1105"/>
      <c r="AG1105"/>
      <c r="AH1105"/>
      <c r="AI1105"/>
      <c r="AJ1105"/>
      <c r="AK1105"/>
      <c r="AL1105"/>
      <c r="AM1105"/>
      <c r="AN1105"/>
      <c r="AO1105"/>
      <c r="AP1105"/>
      <c r="AQ1105"/>
    </row>
    <row r="1106" spans="1:43" s="10" customFormat="1" ht="15.75" customHeight="1" x14ac:dyDescent="0.25">
      <c r="A1106" s="55" t="e">
        <f t="shared" si="250"/>
        <v>#REF!</v>
      </c>
      <c r="B1106" s="470">
        <v>44540</v>
      </c>
      <c r="C1106" s="448">
        <v>405187</v>
      </c>
      <c r="D1106" s="1003"/>
      <c r="E1106" s="58"/>
      <c r="F1106" s="123" t="s">
        <v>18</v>
      </c>
      <c r="G1106" s="791" t="s">
        <v>3252</v>
      </c>
      <c r="H1106" s="45">
        <v>360000</v>
      </c>
      <c r="I1106" s="380" t="s">
        <v>3417</v>
      </c>
      <c r="J1106" s="507">
        <v>44580</v>
      </c>
      <c r="K1106" s="751">
        <f t="shared" si="249"/>
        <v>360000</v>
      </c>
      <c r="L1106" s="751"/>
      <c r="M1106" s="750"/>
      <c r="N1106" s="750"/>
      <c r="O1106" s="750"/>
      <c r="P1106" s="750">
        <v>360000</v>
      </c>
      <c r="Q1106" s="28">
        <f t="shared" si="251"/>
        <v>0</v>
      </c>
      <c r="R1106" s="199"/>
      <c r="S1106" s="197">
        <v>44587</v>
      </c>
      <c r="T1106" s="2">
        <v>14</v>
      </c>
      <c r="U1106" s="24">
        <f t="shared" si="248"/>
        <v>44594</v>
      </c>
      <c r="V1106" s="5"/>
      <c r="W1106"/>
      <c r="X1106"/>
      <c r="Y1106"/>
      <c r="Z1106"/>
      <c r="AA1106"/>
      <c r="AB1106"/>
      <c r="AC1106"/>
      <c r="AD1106"/>
      <c r="AE1106"/>
      <c r="AF1106"/>
      <c r="AG1106"/>
      <c r="AH1106"/>
      <c r="AI1106"/>
      <c r="AJ1106"/>
      <c r="AK1106"/>
      <c r="AL1106"/>
      <c r="AM1106"/>
      <c r="AN1106"/>
      <c r="AO1106"/>
      <c r="AP1106"/>
      <c r="AQ1106"/>
    </row>
    <row r="1107" spans="1:43" s="10" customFormat="1" ht="15.75" customHeight="1" x14ac:dyDescent="0.25">
      <c r="A1107" s="55" t="e">
        <f t="shared" si="250"/>
        <v>#REF!</v>
      </c>
      <c r="B1107" s="470">
        <v>44540</v>
      </c>
      <c r="C1107" s="448">
        <v>405182</v>
      </c>
      <c r="D1107" s="1003"/>
      <c r="E1107" s="58"/>
      <c r="F1107" s="123" t="s">
        <v>18</v>
      </c>
      <c r="G1107" s="791" t="s">
        <v>3253</v>
      </c>
      <c r="H1107" s="45">
        <v>56000</v>
      </c>
      <c r="I1107" s="380" t="s">
        <v>3417</v>
      </c>
      <c r="J1107" s="507">
        <v>44580</v>
      </c>
      <c r="K1107" s="751">
        <f t="shared" si="249"/>
        <v>56000</v>
      </c>
      <c r="L1107" s="751"/>
      <c r="M1107" s="750"/>
      <c r="N1107" s="750"/>
      <c r="O1107" s="750"/>
      <c r="P1107" s="750">
        <v>56000</v>
      </c>
      <c r="Q1107" s="28">
        <f t="shared" si="251"/>
        <v>0</v>
      </c>
      <c r="R1107" s="199"/>
      <c r="S1107" s="197">
        <v>44587</v>
      </c>
      <c r="T1107" s="2">
        <v>14</v>
      </c>
      <c r="U1107" s="24">
        <f t="shared" si="248"/>
        <v>44594</v>
      </c>
      <c r="V1107" s="5"/>
      <c r="W1107"/>
      <c r="X1107"/>
      <c r="Y1107"/>
      <c r="Z1107"/>
      <c r="AA1107"/>
      <c r="AB1107"/>
      <c r="AC1107"/>
      <c r="AD1107"/>
      <c r="AE1107"/>
      <c r="AF1107"/>
      <c r="AG1107"/>
      <c r="AH1107"/>
      <c r="AI1107"/>
      <c r="AJ1107"/>
      <c r="AK1107"/>
      <c r="AL1107"/>
      <c r="AM1107"/>
      <c r="AN1107"/>
      <c r="AO1107"/>
      <c r="AP1107"/>
      <c r="AQ1107"/>
    </row>
    <row r="1108" spans="1:43" s="10" customFormat="1" ht="15.75" customHeight="1" x14ac:dyDescent="0.25">
      <c r="A1108" s="55" t="e">
        <f t="shared" si="250"/>
        <v>#REF!</v>
      </c>
      <c r="B1108" s="470">
        <v>44540</v>
      </c>
      <c r="C1108" s="448">
        <v>405854</v>
      </c>
      <c r="D1108" s="1003"/>
      <c r="E1108" s="58"/>
      <c r="F1108" s="123" t="s">
        <v>18</v>
      </c>
      <c r="G1108" s="791" t="s">
        <v>3254</v>
      </c>
      <c r="H1108" s="1000">
        <v>868000</v>
      </c>
      <c r="I1108" s="380" t="s">
        <v>3417</v>
      </c>
      <c r="J1108" s="507">
        <v>44580</v>
      </c>
      <c r="K1108" s="821">
        <f t="shared" si="249"/>
        <v>868000</v>
      </c>
      <c r="L1108" s="751"/>
      <c r="M1108" s="750"/>
      <c r="N1108" s="750"/>
      <c r="O1108" s="750"/>
      <c r="P1108" s="750">
        <v>868000</v>
      </c>
      <c r="Q1108" s="28">
        <f t="shared" si="251"/>
        <v>0</v>
      </c>
      <c r="R1108" s="199"/>
      <c r="S1108" s="197">
        <v>44587</v>
      </c>
      <c r="T1108" s="2">
        <v>14</v>
      </c>
      <c r="U1108" s="24">
        <f t="shared" si="248"/>
        <v>44594</v>
      </c>
      <c r="V1108" s="5"/>
      <c r="W1108"/>
      <c r="X1108"/>
      <c r="Y1108"/>
      <c r="Z1108"/>
      <c r="AA1108"/>
      <c r="AB1108"/>
      <c r="AC1108"/>
      <c r="AD1108"/>
      <c r="AE1108"/>
      <c r="AF1108"/>
      <c r="AG1108"/>
      <c r="AH1108"/>
      <c r="AI1108"/>
      <c r="AJ1108"/>
      <c r="AK1108"/>
      <c r="AL1108"/>
      <c r="AM1108"/>
      <c r="AN1108"/>
      <c r="AO1108"/>
      <c r="AP1108"/>
      <c r="AQ1108"/>
    </row>
    <row r="1109" spans="1:43" s="10" customFormat="1" ht="15.75" customHeight="1" x14ac:dyDescent="0.25">
      <c r="A1109" s="55" t="e">
        <f t="shared" si="250"/>
        <v>#REF!</v>
      </c>
      <c r="B1109" s="470">
        <v>44540</v>
      </c>
      <c r="C1109" s="448">
        <v>405186</v>
      </c>
      <c r="D1109" s="1003"/>
      <c r="E1109" s="58"/>
      <c r="F1109" s="123" t="s">
        <v>18</v>
      </c>
      <c r="G1109" s="791" t="s">
        <v>3254</v>
      </c>
      <c r="H1109" s="1001"/>
      <c r="I1109" s="380" t="s">
        <v>3417</v>
      </c>
      <c r="J1109" s="507">
        <v>44580</v>
      </c>
      <c r="K1109" s="821">
        <f t="shared" si="249"/>
        <v>0</v>
      </c>
      <c r="L1109" s="751"/>
      <c r="M1109" s="750"/>
      <c r="N1109" s="750"/>
      <c r="O1109" s="750"/>
      <c r="P1109" s="750">
        <v>0</v>
      </c>
      <c r="Q1109" s="28">
        <f t="shared" si="251"/>
        <v>0</v>
      </c>
      <c r="R1109" s="199"/>
      <c r="S1109" s="197">
        <v>44587</v>
      </c>
      <c r="T1109" s="2">
        <v>14</v>
      </c>
      <c r="U1109" s="24">
        <f t="shared" si="248"/>
        <v>44594</v>
      </c>
      <c r="V1109" s="5"/>
      <c r="W1109"/>
      <c r="X1109"/>
      <c r="Y1109"/>
      <c r="Z1109"/>
      <c r="AA1109"/>
      <c r="AB1109"/>
      <c r="AC1109"/>
      <c r="AD1109"/>
      <c r="AE1109"/>
      <c r="AF1109"/>
      <c r="AG1109"/>
      <c r="AH1109"/>
      <c r="AI1109"/>
      <c r="AJ1109"/>
      <c r="AK1109"/>
      <c r="AL1109"/>
      <c r="AM1109"/>
      <c r="AN1109"/>
      <c r="AO1109"/>
      <c r="AP1109"/>
      <c r="AQ1109"/>
    </row>
    <row r="1110" spans="1:43" s="10" customFormat="1" ht="15.75" customHeight="1" x14ac:dyDescent="0.25">
      <c r="A1110" s="55" t="e">
        <f t="shared" si="250"/>
        <v>#REF!</v>
      </c>
      <c r="B1110" s="470">
        <v>44540</v>
      </c>
      <c r="C1110" s="448">
        <v>405188</v>
      </c>
      <c r="D1110" s="1003"/>
      <c r="E1110" s="58"/>
      <c r="F1110" s="123" t="s">
        <v>18</v>
      </c>
      <c r="G1110" s="791" t="s">
        <v>3255</v>
      </c>
      <c r="H1110" s="45">
        <v>168000</v>
      </c>
      <c r="I1110" s="380" t="s">
        <v>3417</v>
      </c>
      <c r="J1110" s="507">
        <v>44580</v>
      </c>
      <c r="K1110" s="751">
        <f t="shared" si="249"/>
        <v>168000</v>
      </c>
      <c r="L1110" s="751"/>
      <c r="M1110" s="750"/>
      <c r="N1110" s="750"/>
      <c r="O1110" s="750"/>
      <c r="P1110" s="750">
        <v>168000</v>
      </c>
      <c r="Q1110" s="28">
        <f t="shared" si="251"/>
        <v>0</v>
      </c>
      <c r="R1110" s="199"/>
      <c r="S1110" s="197">
        <v>44587</v>
      </c>
      <c r="T1110" s="2">
        <v>14</v>
      </c>
      <c r="U1110" s="24">
        <f t="shared" si="248"/>
        <v>44594</v>
      </c>
      <c r="V1110" s="5"/>
      <c r="W1110"/>
      <c r="X1110"/>
      <c r="Y1110"/>
      <c r="Z1110"/>
      <c r="AA1110"/>
      <c r="AB1110"/>
      <c r="AC1110"/>
      <c r="AD1110"/>
      <c r="AE1110"/>
      <c r="AF1110"/>
      <c r="AG1110"/>
      <c r="AH1110"/>
      <c r="AI1110"/>
      <c r="AJ1110"/>
      <c r="AK1110"/>
      <c r="AL1110"/>
      <c r="AM1110"/>
      <c r="AN1110"/>
      <c r="AO1110"/>
      <c r="AP1110"/>
      <c r="AQ1110"/>
    </row>
    <row r="1111" spans="1:43" s="10" customFormat="1" ht="15.75" customHeight="1" x14ac:dyDescent="0.25">
      <c r="A1111" s="55" t="e">
        <f t="shared" si="250"/>
        <v>#REF!</v>
      </c>
      <c r="B1111" s="470">
        <v>44540</v>
      </c>
      <c r="C1111" s="448">
        <v>405168</v>
      </c>
      <c r="D1111" s="1003"/>
      <c r="E1111" s="58"/>
      <c r="F1111" s="123" t="s">
        <v>18</v>
      </c>
      <c r="G1111" s="791" t="s">
        <v>133</v>
      </c>
      <c r="H1111" s="45">
        <v>405000</v>
      </c>
      <c r="I1111" s="380" t="s">
        <v>3380</v>
      </c>
      <c r="J1111" s="507">
        <v>44567</v>
      </c>
      <c r="K1111" s="751">
        <f t="shared" si="249"/>
        <v>405000</v>
      </c>
      <c r="L1111" s="751"/>
      <c r="M1111" s="750"/>
      <c r="N1111" s="750"/>
      <c r="O1111" s="750"/>
      <c r="P1111" s="750">
        <v>405000</v>
      </c>
      <c r="Q1111" s="28">
        <f t="shared" si="251"/>
        <v>0</v>
      </c>
      <c r="R1111" s="199"/>
      <c r="S1111" s="197">
        <v>44587</v>
      </c>
      <c r="T1111" s="2">
        <v>14</v>
      </c>
      <c r="U1111" s="24">
        <f t="shared" si="248"/>
        <v>44581</v>
      </c>
      <c r="V1111" s="5"/>
      <c r="W1111"/>
      <c r="X1111"/>
      <c r="Y1111"/>
      <c r="Z1111"/>
      <c r="AA1111"/>
      <c r="AB1111"/>
      <c r="AC1111"/>
      <c r="AD1111"/>
      <c r="AE1111"/>
      <c r="AF1111"/>
      <c r="AG1111"/>
      <c r="AH1111"/>
      <c r="AI1111"/>
      <c r="AJ1111"/>
      <c r="AK1111"/>
      <c r="AL1111"/>
      <c r="AM1111"/>
      <c r="AN1111"/>
      <c r="AO1111"/>
      <c r="AP1111"/>
      <c r="AQ1111"/>
    </row>
    <row r="1112" spans="1:43" s="10" customFormat="1" ht="15.75" customHeight="1" x14ac:dyDescent="0.25">
      <c r="A1112" s="55" t="e">
        <f t="shared" si="250"/>
        <v>#REF!</v>
      </c>
      <c r="B1112" s="470">
        <v>44540</v>
      </c>
      <c r="C1112" s="448">
        <v>405857</v>
      </c>
      <c r="D1112" s="1003"/>
      <c r="E1112" s="58"/>
      <c r="F1112" s="123" t="s">
        <v>18</v>
      </c>
      <c r="G1112" s="791" t="s">
        <v>349</v>
      </c>
      <c r="H1112" s="45">
        <v>630000</v>
      </c>
      <c r="I1112" s="380" t="s">
        <v>3417</v>
      </c>
      <c r="J1112" s="507">
        <v>44580</v>
      </c>
      <c r="K1112" s="751">
        <f t="shared" si="249"/>
        <v>630000</v>
      </c>
      <c r="L1112" s="751"/>
      <c r="M1112" s="750"/>
      <c r="N1112" s="750"/>
      <c r="O1112" s="750"/>
      <c r="P1112" s="750">
        <v>630000</v>
      </c>
      <c r="Q1112" s="28">
        <f t="shared" si="251"/>
        <v>0</v>
      </c>
      <c r="R1112" s="199"/>
      <c r="S1112" s="197">
        <v>44587</v>
      </c>
      <c r="T1112" s="2">
        <v>14</v>
      </c>
      <c r="U1112" s="24">
        <f t="shared" si="248"/>
        <v>44594</v>
      </c>
      <c r="V1112" s="5"/>
      <c r="W1112"/>
      <c r="X1112"/>
      <c r="Y1112"/>
      <c r="Z1112"/>
      <c r="AA1112"/>
      <c r="AB1112"/>
      <c r="AC1112"/>
      <c r="AD1112"/>
      <c r="AE1112"/>
      <c r="AF1112"/>
      <c r="AG1112"/>
      <c r="AH1112"/>
      <c r="AI1112"/>
      <c r="AJ1112"/>
      <c r="AK1112"/>
      <c r="AL1112"/>
      <c r="AM1112"/>
      <c r="AN1112"/>
      <c r="AO1112"/>
      <c r="AP1112"/>
      <c r="AQ1112"/>
    </row>
    <row r="1113" spans="1:43" s="10" customFormat="1" ht="15.75" customHeight="1" x14ac:dyDescent="0.25">
      <c r="A1113" s="55" t="e">
        <f t="shared" si="250"/>
        <v>#REF!</v>
      </c>
      <c r="B1113" s="470">
        <v>44540</v>
      </c>
      <c r="C1113" s="448">
        <v>405855</v>
      </c>
      <c r="D1113" s="1003"/>
      <c r="E1113" s="58"/>
      <c r="F1113" s="123" t="s">
        <v>18</v>
      </c>
      <c r="G1113" s="791" t="s">
        <v>2283</v>
      </c>
      <c r="H1113" s="45">
        <v>800000</v>
      </c>
      <c r="I1113" s="380" t="s">
        <v>3417</v>
      </c>
      <c r="J1113" s="507">
        <v>44580</v>
      </c>
      <c r="K1113" s="751">
        <f t="shared" si="249"/>
        <v>800000</v>
      </c>
      <c r="L1113" s="751"/>
      <c r="M1113" s="750"/>
      <c r="N1113" s="750"/>
      <c r="O1113" s="750"/>
      <c r="P1113" s="750">
        <v>800000</v>
      </c>
      <c r="Q1113" s="28">
        <f t="shared" si="251"/>
        <v>0</v>
      </c>
      <c r="R1113" s="199"/>
      <c r="S1113" s="197">
        <v>44587</v>
      </c>
      <c r="T1113" s="2">
        <v>14</v>
      </c>
      <c r="U1113" s="24">
        <f t="shared" si="248"/>
        <v>44594</v>
      </c>
      <c r="V1113" s="5"/>
      <c r="W1113"/>
      <c r="X1113"/>
      <c r="Y1113"/>
      <c r="Z1113"/>
      <c r="AA1113"/>
      <c r="AB1113"/>
      <c r="AC1113"/>
      <c r="AD1113"/>
      <c r="AE1113"/>
      <c r="AF1113"/>
      <c r="AG1113"/>
      <c r="AH1113"/>
      <c r="AI1113"/>
      <c r="AJ1113"/>
      <c r="AK1113"/>
      <c r="AL1113"/>
      <c r="AM1113"/>
      <c r="AN1113"/>
      <c r="AO1113"/>
      <c r="AP1113"/>
      <c r="AQ1113"/>
    </row>
    <row r="1114" spans="1:43" s="10" customFormat="1" ht="15.75" customHeight="1" x14ac:dyDescent="0.25">
      <c r="A1114" s="55" t="e">
        <f t="shared" si="250"/>
        <v>#REF!</v>
      </c>
      <c r="B1114" s="470">
        <v>44540</v>
      </c>
      <c r="C1114" s="448">
        <v>405184</v>
      </c>
      <c r="D1114" s="1003"/>
      <c r="E1114" s="58"/>
      <c r="F1114" s="123" t="s">
        <v>18</v>
      </c>
      <c r="G1114" s="791" t="s">
        <v>3256</v>
      </c>
      <c r="H1114" s="45">
        <v>504000</v>
      </c>
      <c r="I1114" s="380" t="s">
        <v>3417</v>
      </c>
      <c r="J1114" s="507">
        <v>44580</v>
      </c>
      <c r="K1114" s="751">
        <f t="shared" si="249"/>
        <v>504000</v>
      </c>
      <c r="L1114" s="751"/>
      <c r="M1114" s="750"/>
      <c r="N1114" s="750"/>
      <c r="O1114" s="750"/>
      <c r="P1114" s="750">
        <v>504000</v>
      </c>
      <c r="Q1114" s="28">
        <f t="shared" si="251"/>
        <v>0</v>
      </c>
      <c r="R1114" s="199"/>
      <c r="S1114" s="197">
        <v>44587</v>
      </c>
      <c r="T1114" s="2">
        <v>14</v>
      </c>
      <c r="U1114" s="24">
        <f t="shared" si="248"/>
        <v>44594</v>
      </c>
      <c r="V1114" s="5"/>
      <c r="W1114"/>
      <c r="X1114"/>
      <c r="Y1114"/>
      <c r="Z1114"/>
      <c r="AA1114"/>
      <c r="AB1114"/>
      <c r="AC1114"/>
      <c r="AD1114"/>
      <c r="AE1114"/>
      <c r="AF1114"/>
      <c r="AG1114"/>
      <c r="AH1114"/>
      <c r="AI1114"/>
      <c r="AJ1114"/>
      <c r="AK1114"/>
      <c r="AL1114"/>
      <c r="AM1114"/>
      <c r="AN1114"/>
      <c r="AO1114"/>
      <c r="AP1114"/>
      <c r="AQ1114"/>
    </row>
    <row r="1115" spans="1:43" s="10" customFormat="1" ht="15.75" customHeight="1" x14ac:dyDescent="0.25">
      <c r="A1115" s="55" t="e">
        <f t="shared" si="250"/>
        <v>#REF!</v>
      </c>
      <c r="B1115" s="470">
        <v>44540</v>
      </c>
      <c r="C1115" s="448">
        <v>405181</v>
      </c>
      <c r="D1115" s="1003"/>
      <c r="E1115" s="58"/>
      <c r="F1115" s="123" t="s">
        <v>18</v>
      </c>
      <c r="G1115" s="791" t="s">
        <v>2639</v>
      </c>
      <c r="H1115" s="45">
        <v>168000</v>
      </c>
      <c r="I1115" s="380" t="s">
        <v>3417</v>
      </c>
      <c r="J1115" s="507">
        <v>44580</v>
      </c>
      <c r="K1115" s="751">
        <f t="shared" si="249"/>
        <v>168000</v>
      </c>
      <c r="L1115" s="751"/>
      <c r="M1115" s="750"/>
      <c r="N1115" s="750"/>
      <c r="O1115" s="750"/>
      <c r="P1115" s="750">
        <v>168000</v>
      </c>
      <c r="Q1115" s="28">
        <f t="shared" si="251"/>
        <v>0</v>
      </c>
      <c r="R1115" s="199"/>
      <c r="S1115" s="197">
        <v>44587</v>
      </c>
      <c r="T1115" s="2">
        <v>14</v>
      </c>
      <c r="U1115" s="24">
        <f t="shared" si="248"/>
        <v>44594</v>
      </c>
      <c r="V1115" s="5"/>
      <c r="W1115"/>
      <c r="X1115"/>
      <c r="Y1115"/>
      <c r="Z1115"/>
      <c r="AA1115"/>
      <c r="AB1115"/>
      <c r="AC1115"/>
      <c r="AD1115"/>
      <c r="AE1115"/>
      <c r="AF1115"/>
      <c r="AG1115"/>
      <c r="AH1115"/>
      <c r="AI1115"/>
      <c r="AJ1115"/>
      <c r="AK1115"/>
      <c r="AL1115"/>
      <c r="AM1115"/>
      <c r="AN1115"/>
      <c r="AO1115"/>
      <c r="AP1115"/>
      <c r="AQ1115"/>
    </row>
    <row r="1116" spans="1:43" s="10" customFormat="1" ht="15.75" customHeight="1" x14ac:dyDescent="0.25">
      <c r="A1116" s="55" t="e">
        <f t="shared" si="250"/>
        <v>#REF!</v>
      </c>
      <c r="B1116" s="470">
        <v>44540</v>
      </c>
      <c r="C1116" s="448">
        <v>405173</v>
      </c>
      <c r="D1116" s="1003"/>
      <c r="E1116" s="58"/>
      <c r="F1116" s="123" t="s">
        <v>18</v>
      </c>
      <c r="G1116" s="791" t="s">
        <v>30</v>
      </c>
      <c r="H1116" s="45">
        <v>300000</v>
      </c>
      <c r="I1116" s="380" t="s">
        <v>3417</v>
      </c>
      <c r="J1116" s="507">
        <v>44580</v>
      </c>
      <c r="K1116" s="751">
        <f t="shared" si="249"/>
        <v>300000</v>
      </c>
      <c r="L1116" s="751"/>
      <c r="M1116" s="750"/>
      <c r="N1116" s="750"/>
      <c r="O1116" s="750"/>
      <c r="P1116" s="750">
        <v>300000</v>
      </c>
      <c r="Q1116" s="28">
        <f t="shared" si="251"/>
        <v>0</v>
      </c>
      <c r="R1116" s="199"/>
      <c r="S1116" s="197">
        <v>44587</v>
      </c>
      <c r="T1116" s="2">
        <v>14</v>
      </c>
      <c r="U1116" s="24">
        <f t="shared" si="248"/>
        <v>44594</v>
      </c>
      <c r="V1116" s="5"/>
      <c r="W1116"/>
      <c r="X1116"/>
      <c r="Y1116"/>
      <c r="Z1116"/>
      <c r="AA1116"/>
      <c r="AB1116"/>
      <c r="AC1116"/>
      <c r="AD1116"/>
      <c r="AE1116"/>
      <c r="AF1116"/>
      <c r="AG1116"/>
      <c r="AH1116"/>
      <c r="AI1116"/>
      <c r="AJ1116"/>
      <c r="AK1116"/>
      <c r="AL1116"/>
      <c r="AM1116"/>
      <c r="AN1116"/>
      <c r="AO1116"/>
      <c r="AP1116"/>
      <c r="AQ1116"/>
    </row>
    <row r="1117" spans="1:43" s="10" customFormat="1" ht="15.75" customHeight="1" x14ac:dyDescent="0.25">
      <c r="A1117" s="55" t="e">
        <f t="shared" si="250"/>
        <v>#REF!</v>
      </c>
      <c r="B1117" s="470">
        <v>44540</v>
      </c>
      <c r="C1117" s="448">
        <v>405170</v>
      </c>
      <c r="D1117" s="1003"/>
      <c r="E1117" s="58"/>
      <c r="F1117" s="123" t="s">
        <v>18</v>
      </c>
      <c r="G1117" s="791" t="s">
        <v>3257</v>
      </c>
      <c r="H1117" s="45">
        <v>300000</v>
      </c>
      <c r="I1117" s="380" t="s">
        <v>3417</v>
      </c>
      <c r="J1117" s="507">
        <v>44580</v>
      </c>
      <c r="K1117" s="751">
        <f t="shared" si="249"/>
        <v>300000</v>
      </c>
      <c r="L1117" s="751"/>
      <c r="M1117" s="750"/>
      <c r="N1117" s="750"/>
      <c r="O1117" s="750"/>
      <c r="P1117" s="750">
        <v>300000</v>
      </c>
      <c r="Q1117" s="28">
        <f t="shared" si="251"/>
        <v>0</v>
      </c>
      <c r="R1117" s="199"/>
      <c r="S1117" s="197">
        <v>44587</v>
      </c>
      <c r="T1117" s="2">
        <v>14</v>
      </c>
      <c r="U1117" s="24">
        <f t="shared" si="248"/>
        <v>44594</v>
      </c>
      <c r="V1117" s="5"/>
      <c r="W1117"/>
      <c r="X1117"/>
      <c r="Y1117"/>
      <c r="Z1117"/>
      <c r="AA1117"/>
      <c r="AB1117"/>
      <c r="AC1117"/>
      <c r="AD1117"/>
      <c r="AE1117"/>
      <c r="AF1117"/>
      <c r="AG1117"/>
      <c r="AH1117"/>
      <c r="AI1117"/>
      <c r="AJ1117"/>
      <c r="AK1117"/>
      <c r="AL1117"/>
      <c r="AM1117"/>
      <c r="AN1117"/>
      <c r="AO1117"/>
      <c r="AP1117"/>
      <c r="AQ1117"/>
    </row>
    <row r="1118" spans="1:43" s="10" customFormat="1" ht="15.75" customHeight="1" x14ac:dyDescent="0.25">
      <c r="A1118" s="55" t="e">
        <f t="shared" si="250"/>
        <v>#REF!</v>
      </c>
      <c r="B1118" s="470">
        <v>44540</v>
      </c>
      <c r="C1118" s="448">
        <v>405172</v>
      </c>
      <c r="D1118" s="1003"/>
      <c r="E1118" s="58"/>
      <c r="F1118" s="123" t="s">
        <v>18</v>
      </c>
      <c r="G1118" s="791" t="s">
        <v>693</v>
      </c>
      <c r="H1118" s="45">
        <v>400000</v>
      </c>
      <c r="I1118" s="380" t="s">
        <v>3380</v>
      </c>
      <c r="J1118" s="507">
        <v>44567</v>
      </c>
      <c r="K1118" s="751">
        <f t="shared" si="249"/>
        <v>400000</v>
      </c>
      <c r="L1118" s="751"/>
      <c r="M1118" s="750"/>
      <c r="N1118" s="750"/>
      <c r="O1118" s="750"/>
      <c r="P1118" s="750">
        <v>400000</v>
      </c>
      <c r="Q1118" s="28">
        <f t="shared" si="251"/>
        <v>0</v>
      </c>
      <c r="R1118" s="199"/>
      <c r="S1118" s="197">
        <v>44587</v>
      </c>
      <c r="T1118" s="2">
        <v>14</v>
      </c>
      <c r="U1118" s="24">
        <f t="shared" si="248"/>
        <v>44581</v>
      </c>
      <c r="V1118" s="5"/>
      <c r="W1118"/>
      <c r="X1118"/>
      <c r="Y1118"/>
      <c r="Z1118"/>
      <c r="AA1118"/>
      <c r="AB1118"/>
      <c r="AC1118"/>
      <c r="AD1118"/>
      <c r="AE1118"/>
      <c r="AF1118"/>
      <c r="AG1118"/>
      <c r="AH1118"/>
      <c r="AI1118"/>
      <c r="AJ1118"/>
      <c r="AK1118"/>
      <c r="AL1118"/>
      <c r="AM1118"/>
      <c r="AN1118"/>
      <c r="AO1118"/>
      <c r="AP1118"/>
      <c r="AQ1118"/>
    </row>
    <row r="1119" spans="1:43" s="10" customFormat="1" ht="15.75" customHeight="1" x14ac:dyDescent="0.25">
      <c r="A1119" s="55" t="e">
        <f t="shared" si="250"/>
        <v>#REF!</v>
      </c>
      <c r="B1119" s="470">
        <v>44540</v>
      </c>
      <c r="C1119" s="448">
        <v>405171</v>
      </c>
      <c r="D1119" s="1003"/>
      <c r="E1119" s="58"/>
      <c r="F1119" s="123" t="s">
        <v>18</v>
      </c>
      <c r="G1119" s="791" t="s">
        <v>2990</v>
      </c>
      <c r="H1119" s="45">
        <v>741000</v>
      </c>
      <c r="I1119" s="380" t="s">
        <v>3380</v>
      </c>
      <c r="J1119" s="507">
        <v>44567</v>
      </c>
      <c r="K1119" s="751">
        <f t="shared" si="249"/>
        <v>741000</v>
      </c>
      <c r="L1119" s="751"/>
      <c r="M1119" s="750"/>
      <c r="N1119" s="750"/>
      <c r="O1119" s="750"/>
      <c r="P1119" s="750">
        <v>741000</v>
      </c>
      <c r="Q1119" s="28">
        <f t="shared" si="251"/>
        <v>0</v>
      </c>
      <c r="R1119" s="199"/>
      <c r="S1119" s="197">
        <v>44587</v>
      </c>
      <c r="T1119" s="2">
        <v>14</v>
      </c>
      <c r="U1119" s="24">
        <f t="shared" si="248"/>
        <v>44581</v>
      </c>
      <c r="V1119" s="5"/>
      <c r="W1119"/>
      <c r="X1119"/>
      <c r="Y1119"/>
      <c r="Z1119"/>
      <c r="AA1119"/>
      <c r="AB1119"/>
      <c r="AC1119"/>
      <c r="AD1119"/>
      <c r="AE1119"/>
      <c r="AF1119"/>
      <c r="AG1119"/>
      <c r="AH1119"/>
      <c r="AI1119"/>
      <c r="AJ1119"/>
      <c r="AK1119"/>
      <c r="AL1119"/>
      <c r="AM1119"/>
      <c r="AN1119"/>
      <c r="AO1119"/>
      <c r="AP1119"/>
      <c r="AQ1119"/>
    </row>
    <row r="1120" spans="1:43" s="10" customFormat="1" ht="15.75" customHeight="1" x14ac:dyDescent="0.25">
      <c r="A1120" s="55" t="e">
        <f t="shared" si="250"/>
        <v>#REF!</v>
      </c>
      <c r="B1120" s="470">
        <v>44540</v>
      </c>
      <c r="C1120" s="448">
        <v>405167</v>
      </c>
      <c r="D1120" s="1004"/>
      <c r="E1120" s="58"/>
      <c r="F1120" s="123" t="s">
        <v>18</v>
      </c>
      <c r="G1120" s="791" t="s">
        <v>15</v>
      </c>
      <c r="H1120" s="45">
        <v>1015000</v>
      </c>
      <c r="I1120" s="380" t="s">
        <v>3524</v>
      </c>
      <c r="J1120" s="507">
        <v>44587</v>
      </c>
      <c r="K1120" s="751">
        <f t="shared" si="249"/>
        <v>1015000</v>
      </c>
      <c r="L1120" s="751"/>
      <c r="M1120" s="750"/>
      <c r="N1120" s="750"/>
      <c r="O1120" s="750"/>
      <c r="P1120" s="750">
        <v>1015000</v>
      </c>
      <c r="Q1120" s="28">
        <f t="shared" si="251"/>
        <v>0</v>
      </c>
      <c r="R1120" s="199"/>
      <c r="S1120" s="197">
        <v>44587</v>
      </c>
      <c r="T1120" s="2">
        <v>14</v>
      </c>
      <c r="U1120" s="24">
        <f t="shared" si="248"/>
        <v>44601</v>
      </c>
      <c r="V1120" s="5"/>
      <c r="W1120"/>
      <c r="X1120"/>
      <c r="Y1120"/>
      <c r="Z1120"/>
      <c r="AA1120"/>
      <c r="AB1120"/>
      <c r="AC1120"/>
      <c r="AD1120"/>
      <c r="AE1120"/>
      <c r="AF1120"/>
      <c r="AG1120"/>
      <c r="AH1120"/>
      <c r="AI1120"/>
      <c r="AJ1120"/>
      <c r="AK1120"/>
      <c r="AL1120"/>
      <c r="AM1120"/>
      <c r="AN1120"/>
      <c r="AO1120"/>
      <c r="AP1120"/>
      <c r="AQ1120"/>
    </row>
    <row r="1121" spans="1:43" s="10" customFormat="1" ht="15.75" customHeight="1" x14ac:dyDescent="0.25">
      <c r="A1121" s="55" t="e">
        <f t="shared" si="250"/>
        <v>#REF!</v>
      </c>
      <c r="B1121" s="470">
        <v>44544</v>
      </c>
      <c r="C1121" s="448">
        <v>404392</v>
      </c>
      <c r="D1121" s="1002" t="s">
        <v>3248</v>
      </c>
      <c r="E1121" s="58"/>
      <c r="F1121" s="123" t="s">
        <v>18</v>
      </c>
      <c r="G1121" s="334" t="s">
        <v>2280</v>
      </c>
      <c r="H1121" s="45">
        <v>1000000</v>
      </c>
      <c r="I1121" s="380"/>
      <c r="J1121" s="507"/>
      <c r="K1121" s="751">
        <f t="shared" si="249"/>
        <v>1000000</v>
      </c>
      <c r="L1121" s="751"/>
      <c r="M1121" s="750"/>
      <c r="N1121" s="750"/>
      <c r="O1121" s="750"/>
      <c r="P1121" s="750"/>
      <c r="Q1121" s="28">
        <f t="shared" si="251"/>
        <v>1000000</v>
      </c>
      <c r="R1121" s="199"/>
      <c r="S1121" s="197"/>
      <c r="T1121" s="2">
        <v>14</v>
      </c>
      <c r="U1121" s="24">
        <f t="shared" si="248"/>
        <v>14</v>
      </c>
      <c r="V1121" s="5"/>
      <c r="W1121"/>
      <c r="X1121"/>
      <c r="Y1121"/>
      <c r="Z1121"/>
      <c r="AA1121"/>
      <c r="AB1121"/>
      <c r="AC1121"/>
      <c r="AD1121"/>
      <c r="AE1121"/>
      <c r="AF1121"/>
      <c r="AG1121"/>
      <c r="AH1121"/>
      <c r="AI1121"/>
      <c r="AJ1121"/>
      <c r="AK1121"/>
      <c r="AL1121"/>
      <c r="AM1121"/>
      <c r="AN1121"/>
      <c r="AO1121"/>
      <c r="AP1121"/>
      <c r="AQ1121"/>
    </row>
    <row r="1122" spans="1:43" s="10" customFormat="1" ht="15.75" customHeight="1" x14ac:dyDescent="0.25">
      <c r="A1122" s="55" t="e">
        <f t="shared" si="250"/>
        <v>#REF!</v>
      </c>
      <c r="B1122" s="470">
        <v>44544</v>
      </c>
      <c r="C1122" s="448">
        <v>404390</v>
      </c>
      <c r="D1122" s="1003"/>
      <c r="E1122" s="58"/>
      <c r="F1122" s="123" t="s">
        <v>18</v>
      </c>
      <c r="G1122" s="791" t="s">
        <v>3258</v>
      </c>
      <c r="H1122" s="45">
        <v>720000</v>
      </c>
      <c r="I1122" s="380" t="s">
        <v>3383</v>
      </c>
      <c r="J1122" s="507">
        <v>44567</v>
      </c>
      <c r="K1122" s="751">
        <f t="shared" si="249"/>
        <v>720000</v>
      </c>
      <c r="L1122" s="751"/>
      <c r="M1122" s="750"/>
      <c r="N1122" s="750"/>
      <c r="O1122" s="750"/>
      <c r="P1122" s="750">
        <v>720000</v>
      </c>
      <c r="Q1122" s="28">
        <f t="shared" si="251"/>
        <v>0</v>
      </c>
      <c r="R1122" s="199"/>
      <c r="S1122" s="197">
        <v>44587</v>
      </c>
      <c r="T1122" s="2">
        <v>14</v>
      </c>
      <c r="U1122" s="24">
        <f t="shared" si="248"/>
        <v>44581</v>
      </c>
      <c r="V1122" s="5"/>
      <c r="W1122"/>
      <c r="X1122"/>
      <c r="Y1122"/>
      <c r="Z1122"/>
      <c r="AA1122"/>
      <c r="AB1122"/>
      <c r="AC1122"/>
      <c r="AD1122"/>
      <c r="AE1122"/>
      <c r="AF1122"/>
      <c r="AG1122"/>
      <c r="AH1122"/>
      <c r="AI1122"/>
      <c r="AJ1122"/>
      <c r="AK1122"/>
      <c r="AL1122"/>
      <c r="AM1122"/>
      <c r="AN1122"/>
      <c r="AO1122"/>
      <c r="AP1122"/>
      <c r="AQ1122"/>
    </row>
    <row r="1123" spans="1:43" s="10" customFormat="1" ht="15.75" customHeight="1" x14ac:dyDescent="0.25">
      <c r="A1123" s="55" t="e">
        <f t="shared" si="250"/>
        <v>#REF!</v>
      </c>
      <c r="B1123" s="470">
        <v>44544</v>
      </c>
      <c r="C1123" s="448">
        <v>404393</v>
      </c>
      <c r="D1123" s="1003"/>
      <c r="E1123" s="58"/>
      <c r="F1123" s="123" t="s">
        <v>18</v>
      </c>
      <c r="G1123" s="791" t="s">
        <v>2284</v>
      </c>
      <c r="H1123" s="45">
        <v>5885000</v>
      </c>
      <c r="I1123" s="380" t="s">
        <v>3383</v>
      </c>
      <c r="J1123" s="507">
        <v>44567</v>
      </c>
      <c r="K1123" s="751">
        <f t="shared" si="249"/>
        <v>5885000</v>
      </c>
      <c r="L1123" s="751"/>
      <c r="M1123" s="750"/>
      <c r="N1123" s="750"/>
      <c r="O1123" s="750"/>
      <c r="P1123" s="750">
        <v>5885000</v>
      </c>
      <c r="Q1123" s="28">
        <f t="shared" si="251"/>
        <v>0</v>
      </c>
      <c r="R1123" s="199"/>
      <c r="S1123" s="197">
        <v>44587</v>
      </c>
      <c r="T1123" s="2">
        <v>14</v>
      </c>
      <c r="U1123" s="24">
        <f t="shared" si="248"/>
        <v>44581</v>
      </c>
      <c r="V1123" s="5"/>
      <c r="W1123"/>
      <c r="X1123"/>
      <c r="Y1123"/>
      <c r="Z1123"/>
      <c r="AA1123"/>
      <c r="AB1123"/>
      <c r="AC1123"/>
      <c r="AD1123"/>
      <c r="AE1123"/>
      <c r="AF1123"/>
      <c r="AG1123"/>
      <c r="AH1123"/>
      <c r="AI1123"/>
      <c r="AJ1123"/>
      <c r="AK1123"/>
      <c r="AL1123"/>
      <c r="AM1123"/>
      <c r="AN1123"/>
      <c r="AO1123"/>
      <c r="AP1123"/>
      <c r="AQ1123"/>
    </row>
    <row r="1124" spans="1:43" s="10" customFormat="1" ht="15.75" customHeight="1" x14ac:dyDescent="0.25">
      <c r="A1124" s="55" t="e">
        <f t="shared" si="250"/>
        <v>#REF!</v>
      </c>
      <c r="B1124" s="470">
        <v>44544</v>
      </c>
      <c r="C1124" s="448">
        <v>404394</v>
      </c>
      <c r="D1124" s="1003"/>
      <c r="E1124" s="58"/>
      <c r="F1124" s="123" t="s">
        <v>18</v>
      </c>
      <c r="G1124" s="791" t="s">
        <v>2278</v>
      </c>
      <c r="H1124" s="45">
        <v>3480000</v>
      </c>
      <c r="I1124" s="380" t="s">
        <v>3524</v>
      </c>
      <c r="J1124" s="507">
        <v>44587</v>
      </c>
      <c r="K1124" s="751">
        <f t="shared" si="249"/>
        <v>3480000</v>
      </c>
      <c r="L1124" s="751"/>
      <c r="M1124" s="750"/>
      <c r="N1124" s="750"/>
      <c r="O1124" s="750"/>
      <c r="P1124" s="750">
        <v>3480000</v>
      </c>
      <c r="Q1124" s="28">
        <f t="shared" si="251"/>
        <v>0</v>
      </c>
      <c r="R1124" s="199"/>
      <c r="S1124" s="197">
        <v>44587</v>
      </c>
      <c r="T1124" s="2">
        <v>14</v>
      </c>
      <c r="U1124" s="24">
        <f t="shared" si="248"/>
        <v>44601</v>
      </c>
      <c r="V1124" s="5"/>
      <c r="W1124"/>
      <c r="X1124"/>
      <c r="Y1124"/>
      <c r="Z1124"/>
      <c r="AA1124"/>
      <c r="AB1124"/>
      <c r="AC1124"/>
      <c r="AD1124"/>
      <c r="AE1124"/>
      <c r="AF1124"/>
      <c r="AG1124"/>
      <c r="AH1124"/>
      <c r="AI1124"/>
      <c r="AJ1124"/>
      <c r="AK1124"/>
      <c r="AL1124"/>
      <c r="AM1124"/>
      <c r="AN1124"/>
      <c r="AO1124"/>
      <c r="AP1124"/>
      <c r="AQ1124"/>
    </row>
    <row r="1125" spans="1:43" s="10" customFormat="1" ht="15.75" customHeight="1" x14ac:dyDescent="0.25">
      <c r="A1125" s="55" t="e">
        <f t="shared" si="250"/>
        <v>#REF!</v>
      </c>
      <c r="B1125" s="470">
        <v>44544</v>
      </c>
      <c r="C1125" s="448">
        <v>404391</v>
      </c>
      <c r="D1125" s="1004"/>
      <c r="E1125" s="58"/>
      <c r="F1125" s="123" t="s">
        <v>18</v>
      </c>
      <c r="G1125" s="791" t="s">
        <v>842</v>
      </c>
      <c r="H1125" s="45">
        <v>1100000</v>
      </c>
      <c r="I1125" s="380" t="s">
        <v>3383</v>
      </c>
      <c r="J1125" s="507">
        <v>44567</v>
      </c>
      <c r="K1125" s="751">
        <f t="shared" si="249"/>
        <v>1100000</v>
      </c>
      <c r="L1125" s="751"/>
      <c r="M1125" s="750"/>
      <c r="N1125" s="750"/>
      <c r="O1125" s="750"/>
      <c r="P1125" s="750">
        <v>1100000</v>
      </c>
      <c r="Q1125" s="28">
        <f t="shared" si="251"/>
        <v>0</v>
      </c>
      <c r="R1125" s="199"/>
      <c r="S1125" s="197">
        <v>44587</v>
      </c>
      <c r="T1125" s="2">
        <v>14</v>
      </c>
      <c r="U1125" s="24">
        <f t="shared" si="248"/>
        <v>44581</v>
      </c>
      <c r="V1125" s="5"/>
      <c r="W1125"/>
      <c r="X1125"/>
      <c r="Y1125"/>
      <c r="Z1125"/>
      <c r="AA1125"/>
      <c r="AB1125"/>
      <c r="AC1125"/>
      <c r="AD1125"/>
      <c r="AE1125"/>
      <c r="AF1125"/>
      <c r="AG1125"/>
      <c r="AH1125"/>
      <c r="AI1125"/>
      <c r="AJ1125"/>
      <c r="AK1125"/>
      <c r="AL1125"/>
      <c r="AM1125"/>
      <c r="AN1125"/>
      <c r="AO1125"/>
      <c r="AP1125"/>
      <c r="AQ1125"/>
    </row>
    <row r="1126" spans="1:43" s="10" customFormat="1" ht="15.75" customHeight="1" x14ac:dyDescent="0.25">
      <c r="A1126" s="55" t="e">
        <f t="shared" si="250"/>
        <v>#REF!</v>
      </c>
      <c r="B1126" s="470">
        <v>44545</v>
      </c>
      <c r="C1126" s="448">
        <v>405858</v>
      </c>
      <c r="D1126" s="1002" t="s">
        <v>3249</v>
      </c>
      <c r="E1126" s="58"/>
      <c r="F1126" s="123" t="s">
        <v>18</v>
      </c>
      <c r="G1126" s="791" t="s">
        <v>1873</v>
      </c>
      <c r="H1126" s="45">
        <v>500000</v>
      </c>
      <c r="I1126" s="380" t="s">
        <v>3380</v>
      </c>
      <c r="J1126" s="507">
        <v>44567</v>
      </c>
      <c r="K1126" s="751">
        <f t="shared" si="249"/>
        <v>500000</v>
      </c>
      <c r="L1126" s="751"/>
      <c r="M1126" s="750"/>
      <c r="N1126" s="750"/>
      <c r="O1126" s="750"/>
      <c r="P1126" s="750">
        <v>500000</v>
      </c>
      <c r="Q1126" s="28">
        <f t="shared" si="251"/>
        <v>0</v>
      </c>
      <c r="R1126" s="199"/>
      <c r="S1126" s="197">
        <v>44587</v>
      </c>
      <c r="T1126" s="2">
        <v>14</v>
      </c>
      <c r="U1126" s="24">
        <f t="shared" si="248"/>
        <v>44581</v>
      </c>
      <c r="V1126" s="5"/>
      <c r="W1126"/>
      <c r="X1126"/>
      <c r="Y1126"/>
      <c r="Z1126"/>
      <c r="AA1126"/>
      <c r="AB1126"/>
      <c r="AC1126"/>
      <c r="AD1126"/>
      <c r="AE1126"/>
      <c r="AF1126"/>
      <c r="AG1126"/>
      <c r="AH1126"/>
      <c r="AI1126"/>
      <c r="AJ1126"/>
      <c r="AK1126"/>
      <c r="AL1126"/>
      <c r="AM1126"/>
      <c r="AN1126"/>
      <c r="AO1126"/>
      <c r="AP1126"/>
      <c r="AQ1126"/>
    </row>
    <row r="1127" spans="1:43" s="10" customFormat="1" ht="15.75" customHeight="1" x14ac:dyDescent="0.25">
      <c r="A1127" s="55" t="e">
        <f t="shared" si="250"/>
        <v>#REF!</v>
      </c>
      <c r="B1127" s="470">
        <v>44545</v>
      </c>
      <c r="C1127" s="448">
        <v>405180</v>
      </c>
      <c r="D1127" s="1003"/>
      <c r="E1127" s="58"/>
      <c r="F1127" s="123" t="s">
        <v>18</v>
      </c>
      <c r="G1127" s="791" t="s">
        <v>14</v>
      </c>
      <c r="H1127" s="45">
        <v>3135000</v>
      </c>
      <c r="I1127" s="380" t="s">
        <v>3565</v>
      </c>
      <c r="J1127" s="507">
        <v>44594</v>
      </c>
      <c r="K1127" s="751">
        <f t="shared" si="249"/>
        <v>3135000</v>
      </c>
      <c r="L1127" s="751"/>
      <c r="M1127" s="750"/>
      <c r="N1127" s="750"/>
      <c r="O1127" s="750"/>
      <c r="P1127" s="750">
        <v>3135000</v>
      </c>
      <c r="Q1127" s="28">
        <f t="shared" si="251"/>
        <v>0</v>
      </c>
      <c r="R1127" s="199"/>
      <c r="S1127" s="197">
        <v>44587</v>
      </c>
      <c r="T1127" s="2">
        <v>14</v>
      </c>
      <c r="U1127" s="24">
        <f t="shared" si="248"/>
        <v>44608</v>
      </c>
      <c r="V1127" s="5"/>
      <c r="W1127"/>
      <c r="X1127"/>
      <c r="Y1127"/>
      <c r="Z1127"/>
      <c r="AA1127"/>
      <c r="AB1127"/>
      <c r="AC1127"/>
      <c r="AD1127"/>
      <c r="AE1127"/>
      <c r="AF1127"/>
      <c r="AG1127"/>
      <c r="AH1127"/>
      <c r="AI1127"/>
      <c r="AJ1127"/>
      <c r="AK1127"/>
      <c r="AL1127"/>
      <c r="AM1127"/>
      <c r="AN1127"/>
      <c r="AO1127"/>
      <c r="AP1127"/>
      <c r="AQ1127"/>
    </row>
    <row r="1128" spans="1:43" s="10" customFormat="1" ht="15.75" customHeight="1" x14ac:dyDescent="0.25">
      <c r="A1128" s="55" t="e">
        <f t="shared" si="250"/>
        <v>#REF!</v>
      </c>
      <c r="B1128" s="470">
        <v>44545</v>
      </c>
      <c r="C1128" s="448">
        <v>405179</v>
      </c>
      <c r="D1128" s="1003"/>
      <c r="E1128" s="58"/>
      <c r="F1128" s="123" t="s">
        <v>18</v>
      </c>
      <c r="G1128" s="791" t="s">
        <v>3259</v>
      </c>
      <c r="H1128" s="45">
        <v>400000</v>
      </c>
      <c r="I1128" s="377" t="s">
        <v>3419</v>
      </c>
      <c r="J1128" s="301">
        <v>44580</v>
      </c>
      <c r="K1128" s="751">
        <f t="shared" si="249"/>
        <v>400000</v>
      </c>
      <c r="L1128" s="751"/>
      <c r="M1128" s="750"/>
      <c r="N1128" s="750"/>
      <c r="O1128" s="750"/>
      <c r="P1128" s="750">
        <v>400000</v>
      </c>
      <c r="Q1128" s="28">
        <f t="shared" si="251"/>
        <v>0</v>
      </c>
      <c r="R1128" s="199"/>
      <c r="S1128" s="197">
        <v>44587</v>
      </c>
      <c r="T1128" s="2">
        <v>14</v>
      </c>
      <c r="U1128" s="24">
        <f t="shared" si="248"/>
        <v>44594</v>
      </c>
      <c r="V1128" s="5"/>
      <c r="W1128"/>
      <c r="X1128"/>
      <c r="Y1128"/>
      <c r="Z1128"/>
      <c r="AA1128"/>
      <c r="AB1128"/>
      <c r="AC1128"/>
      <c r="AD1128"/>
      <c r="AE1128"/>
      <c r="AF1128"/>
      <c r="AG1128"/>
      <c r="AH1128"/>
      <c r="AI1128"/>
      <c r="AJ1128"/>
      <c r="AK1128"/>
      <c r="AL1128"/>
      <c r="AM1128"/>
      <c r="AN1128"/>
      <c r="AO1128"/>
      <c r="AP1128"/>
      <c r="AQ1128"/>
    </row>
    <row r="1129" spans="1:43" s="10" customFormat="1" ht="15.75" customHeight="1" x14ac:dyDescent="0.25">
      <c r="A1129" s="55" t="e">
        <f t="shared" si="250"/>
        <v>#REF!</v>
      </c>
      <c r="B1129" s="470">
        <v>44545</v>
      </c>
      <c r="C1129" s="448">
        <v>405199</v>
      </c>
      <c r="D1129" s="1003"/>
      <c r="E1129" s="58"/>
      <c r="F1129" s="123" t="s">
        <v>18</v>
      </c>
      <c r="G1129" s="791" t="s">
        <v>3260</v>
      </c>
      <c r="H1129" s="45">
        <v>450000</v>
      </c>
      <c r="I1129" s="377" t="s">
        <v>3419</v>
      </c>
      <c r="J1129" s="301">
        <v>44580</v>
      </c>
      <c r="K1129" s="751">
        <f t="shared" si="249"/>
        <v>450000</v>
      </c>
      <c r="L1129" s="751"/>
      <c r="M1129" s="750"/>
      <c r="N1129" s="750"/>
      <c r="O1129" s="750"/>
      <c r="P1129" s="750">
        <v>450000</v>
      </c>
      <c r="Q1129" s="28">
        <f t="shared" si="251"/>
        <v>0</v>
      </c>
      <c r="R1129" s="199"/>
      <c r="S1129" s="197">
        <v>44587</v>
      </c>
      <c r="T1129" s="2">
        <v>14</v>
      </c>
      <c r="U1129" s="24">
        <f t="shared" si="248"/>
        <v>44594</v>
      </c>
      <c r="V1129" s="5"/>
      <c r="W1129"/>
      <c r="X1129"/>
      <c r="Y1129"/>
      <c r="Z1129"/>
      <c r="AA1129"/>
      <c r="AB1129"/>
      <c r="AC1129"/>
      <c r="AD1129"/>
      <c r="AE1129"/>
      <c r="AF1129"/>
      <c r="AG1129"/>
      <c r="AH1129"/>
      <c r="AI1129"/>
      <c r="AJ1129"/>
      <c r="AK1129"/>
      <c r="AL1129"/>
      <c r="AM1129"/>
      <c r="AN1129"/>
      <c r="AO1129"/>
      <c r="AP1129"/>
      <c r="AQ1129"/>
    </row>
    <row r="1130" spans="1:43" s="10" customFormat="1" ht="15.75" customHeight="1" x14ac:dyDescent="0.25">
      <c r="A1130" s="55" t="e">
        <f t="shared" si="250"/>
        <v>#REF!</v>
      </c>
      <c r="B1130" s="470">
        <v>44545</v>
      </c>
      <c r="C1130" s="448">
        <v>405200</v>
      </c>
      <c r="D1130" s="1003"/>
      <c r="E1130" s="58"/>
      <c r="F1130" s="123" t="s">
        <v>18</v>
      </c>
      <c r="G1130" s="791" t="s">
        <v>3239</v>
      </c>
      <c r="H1130" s="45">
        <v>320000</v>
      </c>
      <c r="I1130" s="377" t="s">
        <v>3419</v>
      </c>
      <c r="J1130" s="301">
        <v>44580</v>
      </c>
      <c r="K1130" s="751">
        <f t="shared" si="249"/>
        <v>320000</v>
      </c>
      <c r="L1130" s="751"/>
      <c r="M1130" s="750"/>
      <c r="N1130" s="750"/>
      <c r="O1130" s="750"/>
      <c r="P1130" s="750">
        <v>320000</v>
      </c>
      <c r="Q1130" s="28">
        <f t="shared" si="251"/>
        <v>0</v>
      </c>
      <c r="R1130" s="199"/>
      <c r="S1130" s="197">
        <v>44587</v>
      </c>
      <c r="T1130" s="2">
        <v>14</v>
      </c>
      <c r="U1130" s="24">
        <f t="shared" ref="U1130:U1150" si="253">J1130+T1130</f>
        <v>44594</v>
      </c>
      <c r="V1130" s="5"/>
      <c r="W1130"/>
      <c r="X1130"/>
      <c r="Y1130"/>
      <c r="Z1130"/>
      <c r="AA1130"/>
      <c r="AB1130"/>
      <c r="AC1130"/>
      <c r="AD1130"/>
      <c r="AE1130"/>
      <c r="AF1130"/>
      <c r="AG1130"/>
      <c r="AH1130"/>
      <c r="AI1130"/>
      <c r="AJ1130"/>
      <c r="AK1130"/>
      <c r="AL1130"/>
      <c r="AM1130"/>
      <c r="AN1130"/>
      <c r="AO1130"/>
      <c r="AP1130"/>
      <c r="AQ1130"/>
    </row>
    <row r="1131" spans="1:43" s="10" customFormat="1" ht="15.75" customHeight="1" x14ac:dyDescent="0.25">
      <c r="A1131" s="55" t="e">
        <f t="shared" si="250"/>
        <v>#REF!</v>
      </c>
      <c r="B1131" s="470">
        <v>44545</v>
      </c>
      <c r="C1131" s="448">
        <v>405863</v>
      </c>
      <c r="D1131" s="1003"/>
      <c r="E1131" s="58"/>
      <c r="F1131" s="123" t="s">
        <v>18</v>
      </c>
      <c r="G1131" s="791" t="s">
        <v>2284</v>
      </c>
      <c r="H1131" s="45">
        <v>480000</v>
      </c>
      <c r="I1131" s="377" t="s">
        <v>3419</v>
      </c>
      <c r="J1131" s="301">
        <v>44580</v>
      </c>
      <c r="K1131" s="751">
        <f t="shared" si="249"/>
        <v>480000</v>
      </c>
      <c r="L1131" s="751"/>
      <c r="M1131" s="750"/>
      <c r="N1131" s="750"/>
      <c r="O1131" s="750"/>
      <c r="P1131" s="750">
        <v>480000</v>
      </c>
      <c r="Q1131" s="28">
        <f t="shared" si="251"/>
        <v>0</v>
      </c>
      <c r="R1131" s="199"/>
      <c r="S1131" s="197">
        <v>44587</v>
      </c>
      <c r="T1131" s="2">
        <v>14</v>
      </c>
      <c r="U1131" s="24">
        <f t="shared" si="253"/>
        <v>44594</v>
      </c>
      <c r="V1131" s="5"/>
      <c r="W1131"/>
      <c r="X1131"/>
      <c r="Y1131"/>
      <c r="Z1131"/>
      <c r="AA1131"/>
      <c r="AB1131"/>
      <c r="AC1131"/>
      <c r="AD1131"/>
      <c r="AE1131"/>
      <c r="AF1131"/>
      <c r="AG1131"/>
      <c r="AH1131"/>
      <c r="AI1131"/>
      <c r="AJ1131"/>
      <c r="AK1131"/>
      <c r="AL1131"/>
      <c r="AM1131"/>
      <c r="AN1131"/>
      <c r="AO1131"/>
      <c r="AP1131"/>
      <c r="AQ1131"/>
    </row>
    <row r="1132" spans="1:43" s="10" customFormat="1" ht="15.75" customHeight="1" x14ac:dyDescent="0.25">
      <c r="A1132" s="55" t="e">
        <f t="shared" ref="A1132:A1150" si="254">A1131+1</f>
        <v>#REF!</v>
      </c>
      <c r="B1132" s="470">
        <v>44545</v>
      </c>
      <c r="C1132" s="448">
        <v>405195</v>
      </c>
      <c r="D1132" s="1003"/>
      <c r="E1132" s="58"/>
      <c r="F1132" s="123" t="s">
        <v>18</v>
      </c>
      <c r="G1132" s="791" t="s">
        <v>3261</v>
      </c>
      <c r="H1132" s="45">
        <v>180000</v>
      </c>
      <c r="I1132" s="377" t="s">
        <v>3419</v>
      </c>
      <c r="J1132" s="301">
        <v>44580</v>
      </c>
      <c r="K1132" s="751">
        <f t="shared" si="249"/>
        <v>180000</v>
      </c>
      <c r="L1132" s="751"/>
      <c r="M1132" s="750"/>
      <c r="N1132" s="750"/>
      <c r="O1132" s="750"/>
      <c r="P1132" s="750">
        <v>180000</v>
      </c>
      <c r="Q1132" s="28">
        <f t="shared" si="251"/>
        <v>0</v>
      </c>
      <c r="R1132" s="199"/>
      <c r="S1132" s="197">
        <v>44587</v>
      </c>
      <c r="T1132" s="2">
        <v>14</v>
      </c>
      <c r="U1132" s="24">
        <f t="shared" si="253"/>
        <v>44594</v>
      </c>
      <c r="V1132" s="5"/>
      <c r="W1132"/>
      <c r="X1132"/>
      <c r="Y1132"/>
      <c r="Z1132"/>
      <c r="AA1132"/>
      <c r="AB1132"/>
      <c r="AC1132"/>
      <c r="AD1132"/>
      <c r="AE1132"/>
      <c r="AF1132"/>
      <c r="AG1132"/>
      <c r="AH1132"/>
      <c r="AI1132"/>
      <c r="AJ1132"/>
      <c r="AK1132"/>
      <c r="AL1132"/>
      <c r="AM1132"/>
      <c r="AN1132"/>
      <c r="AO1132"/>
      <c r="AP1132"/>
      <c r="AQ1132"/>
    </row>
    <row r="1133" spans="1:43" s="10" customFormat="1" ht="15.75" customHeight="1" x14ac:dyDescent="0.25">
      <c r="A1133" s="55" t="e">
        <f t="shared" si="254"/>
        <v>#REF!</v>
      </c>
      <c r="B1133" s="470">
        <v>44545</v>
      </c>
      <c r="C1133" s="448">
        <v>405196</v>
      </c>
      <c r="D1133" s="1003"/>
      <c r="E1133" s="58"/>
      <c r="F1133" s="123" t="s">
        <v>18</v>
      </c>
      <c r="G1133" s="791" t="s">
        <v>3262</v>
      </c>
      <c r="H1133" s="45">
        <v>360000</v>
      </c>
      <c r="I1133" s="377" t="s">
        <v>3419</v>
      </c>
      <c r="J1133" s="301">
        <v>44580</v>
      </c>
      <c r="K1133" s="751">
        <f t="shared" si="249"/>
        <v>360000</v>
      </c>
      <c r="L1133" s="751"/>
      <c r="M1133" s="750"/>
      <c r="N1133" s="750"/>
      <c r="O1133" s="750"/>
      <c r="P1133" s="750">
        <v>360000</v>
      </c>
      <c r="Q1133" s="28">
        <f t="shared" si="251"/>
        <v>0</v>
      </c>
      <c r="R1133" s="199"/>
      <c r="S1133" s="197">
        <v>44587</v>
      </c>
      <c r="T1133" s="2">
        <v>14</v>
      </c>
      <c r="U1133" s="24">
        <f t="shared" si="253"/>
        <v>44594</v>
      </c>
      <c r="V1133" s="5"/>
      <c r="W1133"/>
      <c r="X1133"/>
      <c r="Y1133"/>
      <c r="Z1133"/>
      <c r="AA1133"/>
      <c r="AB1133"/>
      <c r="AC1133"/>
      <c r="AD1133"/>
      <c r="AE1133"/>
      <c r="AF1133"/>
      <c r="AG1133"/>
      <c r="AH1133"/>
      <c r="AI1133"/>
      <c r="AJ1133"/>
      <c r="AK1133"/>
      <c r="AL1133"/>
      <c r="AM1133"/>
      <c r="AN1133"/>
      <c r="AO1133"/>
      <c r="AP1133"/>
      <c r="AQ1133"/>
    </row>
    <row r="1134" spans="1:43" s="10" customFormat="1" ht="15.75" customHeight="1" x14ac:dyDescent="0.25">
      <c r="A1134" s="55" t="e">
        <f t="shared" si="254"/>
        <v>#REF!</v>
      </c>
      <c r="B1134" s="470">
        <v>44545</v>
      </c>
      <c r="C1134" s="448">
        <v>405862</v>
      </c>
      <c r="D1134" s="1003"/>
      <c r="E1134" s="58"/>
      <c r="F1134" s="123" t="s">
        <v>18</v>
      </c>
      <c r="G1134" s="791" t="s">
        <v>2280</v>
      </c>
      <c r="H1134" s="45">
        <v>160000</v>
      </c>
      <c r="I1134" s="377" t="s">
        <v>3419</v>
      </c>
      <c r="J1134" s="301">
        <v>44580</v>
      </c>
      <c r="K1134" s="751">
        <f t="shared" si="249"/>
        <v>160000</v>
      </c>
      <c r="L1134" s="751"/>
      <c r="M1134" s="750"/>
      <c r="N1134" s="750"/>
      <c r="O1134" s="750"/>
      <c r="P1134" s="750">
        <v>160000</v>
      </c>
      <c r="Q1134" s="28">
        <f t="shared" ref="Q1134:Q1150" si="255">K1134-L1134-M1134-O1134-P1134+N1134</f>
        <v>0</v>
      </c>
      <c r="R1134" s="199"/>
      <c r="S1134" s="197">
        <v>44587</v>
      </c>
      <c r="T1134" s="2">
        <v>14</v>
      </c>
      <c r="U1134" s="24">
        <f t="shared" si="253"/>
        <v>44594</v>
      </c>
      <c r="V1134" s="5"/>
      <c r="W1134"/>
      <c r="X1134"/>
      <c r="Y1134"/>
      <c r="Z1134"/>
      <c r="AA1134"/>
      <c r="AB1134"/>
      <c r="AC1134"/>
      <c r="AD1134"/>
      <c r="AE1134"/>
      <c r="AF1134"/>
      <c r="AG1134"/>
      <c r="AH1134"/>
      <c r="AI1134"/>
      <c r="AJ1134"/>
      <c r="AK1134"/>
      <c r="AL1134"/>
      <c r="AM1134"/>
      <c r="AN1134"/>
      <c r="AO1134"/>
      <c r="AP1134"/>
      <c r="AQ1134"/>
    </row>
    <row r="1135" spans="1:43" s="10" customFormat="1" ht="15.75" customHeight="1" x14ac:dyDescent="0.25">
      <c r="A1135" s="55" t="e">
        <f t="shared" si="254"/>
        <v>#REF!</v>
      </c>
      <c r="B1135" s="470">
        <v>44545</v>
      </c>
      <c r="C1135" s="448">
        <v>405860</v>
      </c>
      <c r="D1135" s="1003"/>
      <c r="E1135" s="58"/>
      <c r="F1135" s="123" t="s">
        <v>18</v>
      </c>
      <c r="G1135" s="791" t="s">
        <v>3263</v>
      </c>
      <c r="H1135" s="45">
        <v>280000</v>
      </c>
      <c r="I1135" s="377" t="s">
        <v>3419</v>
      </c>
      <c r="J1135" s="301">
        <v>44580</v>
      </c>
      <c r="K1135" s="751">
        <f t="shared" si="249"/>
        <v>280000</v>
      </c>
      <c r="L1135" s="751"/>
      <c r="M1135" s="750"/>
      <c r="N1135" s="750"/>
      <c r="O1135" s="750"/>
      <c r="P1135" s="750">
        <v>280000</v>
      </c>
      <c r="Q1135" s="28">
        <f t="shared" si="255"/>
        <v>0</v>
      </c>
      <c r="R1135" s="199"/>
      <c r="S1135" s="197">
        <v>44587</v>
      </c>
      <c r="T1135" s="2">
        <v>14</v>
      </c>
      <c r="U1135" s="24">
        <f t="shared" si="253"/>
        <v>44594</v>
      </c>
      <c r="V1135" s="5"/>
      <c r="W1135"/>
      <c r="X1135"/>
      <c r="Y1135"/>
      <c r="Z1135"/>
      <c r="AA1135"/>
      <c r="AB1135"/>
      <c r="AC1135"/>
      <c r="AD1135"/>
      <c r="AE1135"/>
      <c r="AF1135"/>
      <c r="AG1135"/>
      <c r="AH1135"/>
      <c r="AI1135"/>
      <c r="AJ1135"/>
      <c r="AK1135"/>
      <c r="AL1135"/>
      <c r="AM1135"/>
      <c r="AN1135"/>
      <c r="AO1135"/>
      <c r="AP1135"/>
      <c r="AQ1135"/>
    </row>
    <row r="1136" spans="1:43" s="10" customFormat="1" ht="15.75" customHeight="1" x14ac:dyDescent="0.25">
      <c r="A1136" s="55" t="e">
        <f t="shared" si="254"/>
        <v>#REF!</v>
      </c>
      <c r="B1136" s="470">
        <v>44545</v>
      </c>
      <c r="C1136" s="448">
        <v>405860</v>
      </c>
      <c r="D1136" s="1003"/>
      <c r="E1136" s="58"/>
      <c r="F1136" s="123" t="s">
        <v>18</v>
      </c>
      <c r="G1136" s="791" t="s">
        <v>1562</v>
      </c>
      <c r="H1136" s="45">
        <v>900000</v>
      </c>
      <c r="I1136" s="377" t="s">
        <v>3419</v>
      </c>
      <c r="J1136" s="301">
        <v>44580</v>
      </c>
      <c r="K1136" s="751">
        <f t="shared" si="249"/>
        <v>900000</v>
      </c>
      <c r="L1136" s="751"/>
      <c r="M1136" s="750"/>
      <c r="N1136" s="750"/>
      <c r="O1136" s="750"/>
      <c r="P1136" s="750">
        <v>900000</v>
      </c>
      <c r="Q1136" s="28">
        <f t="shared" si="255"/>
        <v>0</v>
      </c>
      <c r="R1136" s="199"/>
      <c r="S1136" s="197">
        <v>44587</v>
      </c>
      <c r="T1136" s="2">
        <v>14</v>
      </c>
      <c r="U1136" s="24">
        <f t="shared" si="253"/>
        <v>44594</v>
      </c>
      <c r="V1136" s="5"/>
      <c r="W1136"/>
      <c r="X1136"/>
      <c r="Y1136"/>
      <c r="Z1136"/>
      <c r="AA1136"/>
      <c r="AB1136"/>
      <c r="AC1136"/>
      <c r="AD1136"/>
      <c r="AE1136"/>
      <c r="AF1136"/>
      <c r="AG1136"/>
      <c r="AH1136"/>
      <c r="AI1136"/>
      <c r="AJ1136"/>
      <c r="AK1136"/>
      <c r="AL1136"/>
      <c r="AM1136"/>
      <c r="AN1136"/>
      <c r="AO1136"/>
      <c r="AP1136"/>
      <c r="AQ1136"/>
    </row>
    <row r="1137" spans="1:43" s="10" customFormat="1" ht="15.75" customHeight="1" x14ac:dyDescent="0.25">
      <c r="A1137" s="55" t="e">
        <f t="shared" si="254"/>
        <v>#REF!</v>
      </c>
      <c r="B1137" s="470">
        <v>44545</v>
      </c>
      <c r="C1137" s="448">
        <v>405177</v>
      </c>
      <c r="D1137" s="1003"/>
      <c r="E1137" s="58"/>
      <c r="F1137" s="123" t="s">
        <v>18</v>
      </c>
      <c r="G1137" s="791" t="s">
        <v>2281</v>
      </c>
      <c r="H1137" s="45">
        <v>1300000</v>
      </c>
      <c r="I1137" s="377" t="s">
        <v>3419</v>
      </c>
      <c r="J1137" s="301">
        <v>44580</v>
      </c>
      <c r="K1137" s="751">
        <f t="shared" si="249"/>
        <v>1300000</v>
      </c>
      <c r="L1137" s="751"/>
      <c r="M1137" s="750"/>
      <c r="N1137" s="750"/>
      <c r="O1137" s="750"/>
      <c r="P1137" s="750">
        <v>1300000</v>
      </c>
      <c r="Q1137" s="28">
        <f t="shared" si="255"/>
        <v>0</v>
      </c>
      <c r="R1137" s="199"/>
      <c r="S1137" s="197">
        <v>44587</v>
      </c>
      <c r="T1137" s="2">
        <v>14</v>
      </c>
      <c r="U1137" s="24">
        <f t="shared" si="253"/>
        <v>44594</v>
      </c>
      <c r="V1137" s="5"/>
      <c r="W1137"/>
      <c r="X1137"/>
      <c r="Y1137"/>
      <c r="Z1137"/>
      <c r="AA1137"/>
      <c r="AB1137"/>
      <c r="AC1137"/>
      <c r="AD1137"/>
      <c r="AE1137"/>
      <c r="AF1137"/>
      <c r="AG1137"/>
      <c r="AH1137"/>
      <c r="AI1137"/>
      <c r="AJ1137"/>
      <c r="AK1137"/>
      <c r="AL1137"/>
      <c r="AM1137"/>
      <c r="AN1137"/>
      <c r="AO1137"/>
      <c r="AP1137"/>
      <c r="AQ1137"/>
    </row>
    <row r="1138" spans="1:43" s="10" customFormat="1" ht="15.75" customHeight="1" x14ac:dyDescent="0.25">
      <c r="A1138" s="55" t="e">
        <f t="shared" si="254"/>
        <v>#REF!</v>
      </c>
      <c r="B1138" s="470">
        <v>44545</v>
      </c>
      <c r="C1138" s="448">
        <v>405178</v>
      </c>
      <c r="D1138" s="1003"/>
      <c r="E1138" s="58"/>
      <c r="F1138" s="123" t="s">
        <v>18</v>
      </c>
      <c r="G1138" s="791" t="s">
        <v>3264</v>
      </c>
      <c r="H1138" s="45">
        <v>480000</v>
      </c>
      <c r="I1138" s="377" t="s">
        <v>3419</v>
      </c>
      <c r="J1138" s="301">
        <v>44580</v>
      </c>
      <c r="K1138" s="751">
        <f t="shared" si="249"/>
        <v>480000</v>
      </c>
      <c r="L1138" s="751"/>
      <c r="M1138" s="750"/>
      <c r="N1138" s="750"/>
      <c r="O1138" s="750"/>
      <c r="P1138" s="750">
        <v>480000</v>
      </c>
      <c r="Q1138" s="28">
        <f t="shared" si="255"/>
        <v>0</v>
      </c>
      <c r="R1138" s="199"/>
      <c r="S1138" s="197">
        <v>44587</v>
      </c>
      <c r="T1138" s="2">
        <v>14</v>
      </c>
      <c r="U1138" s="24">
        <f t="shared" si="253"/>
        <v>44594</v>
      </c>
      <c r="V1138" s="5"/>
      <c r="W1138"/>
      <c r="X1138"/>
      <c r="Y1138"/>
      <c r="Z1138"/>
      <c r="AA1138"/>
      <c r="AB1138"/>
      <c r="AC1138"/>
      <c r="AD1138"/>
      <c r="AE1138"/>
      <c r="AF1138"/>
      <c r="AG1138"/>
      <c r="AH1138"/>
      <c r="AI1138"/>
      <c r="AJ1138"/>
      <c r="AK1138"/>
      <c r="AL1138"/>
      <c r="AM1138"/>
      <c r="AN1138"/>
      <c r="AO1138"/>
      <c r="AP1138"/>
      <c r="AQ1138"/>
    </row>
    <row r="1139" spans="1:43" s="10" customFormat="1" ht="15.75" customHeight="1" x14ac:dyDescent="0.25">
      <c r="A1139" s="55" t="e">
        <f t="shared" si="254"/>
        <v>#REF!</v>
      </c>
      <c r="B1139" s="470">
        <v>44545</v>
      </c>
      <c r="C1139" s="448">
        <v>405197</v>
      </c>
      <c r="D1139" s="1003"/>
      <c r="E1139" s="58"/>
      <c r="F1139" s="123" t="s">
        <v>18</v>
      </c>
      <c r="G1139" s="791" t="s">
        <v>2281</v>
      </c>
      <c r="H1139" s="45">
        <v>700000</v>
      </c>
      <c r="I1139" s="377" t="s">
        <v>3419</v>
      </c>
      <c r="J1139" s="301">
        <v>44580</v>
      </c>
      <c r="K1139" s="751">
        <f t="shared" si="249"/>
        <v>700000</v>
      </c>
      <c r="L1139" s="751"/>
      <c r="M1139" s="750"/>
      <c r="N1139" s="750"/>
      <c r="O1139" s="750"/>
      <c r="P1139" s="750">
        <v>700000</v>
      </c>
      <c r="Q1139" s="28">
        <f t="shared" si="255"/>
        <v>0</v>
      </c>
      <c r="R1139" s="199"/>
      <c r="S1139" s="197">
        <v>44587</v>
      </c>
      <c r="T1139" s="2">
        <v>14</v>
      </c>
      <c r="U1139" s="24">
        <f t="shared" si="253"/>
        <v>44594</v>
      </c>
      <c r="V1139" s="5"/>
      <c r="W1139"/>
      <c r="X1139"/>
      <c r="Y1139"/>
      <c r="Z1139"/>
      <c r="AA1139"/>
      <c r="AB1139"/>
      <c r="AC1139"/>
      <c r="AD1139"/>
      <c r="AE1139"/>
      <c r="AF1139"/>
      <c r="AG1139"/>
      <c r="AH1139"/>
      <c r="AI1139"/>
      <c r="AJ1139"/>
      <c r="AK1139"/>
      <c r="AL1139"/>
      <c r="AM1139"/>
      <c r="AN1139"/>
      <c r="AO1139"/>
      <c r="AP1139"/>
      <c r="AQ1139"/>
    </row>
    <row r="1140" spans="1:43" s="10" customFormat="1" ht="15.75" customHeight="1" x14ac:dyDescent="0.25">
      <c r="A1140" s="55" t="e">
        <f t="shared" si="254"/>
        <v>#REF!</v>
      </c>
      <c r="B1140" s="470">
        <v>44545</v>
      </c>
      <c r="C1140" s="448">
        <v>405198</v>
      </c>
      <c r="D1140" s="1003"/>
      <c r="E1140" s="58"/>
      <c r="F1140" s="123" t="s">
        <v>18</v>
      </c>
      <c r="G1140" s="791" t="s">
        <v>19</v>
      </c>
      <c r="H1140" s="45">
        <v>1650000</v>
      </c>
      <c r="I1140" s="377" t="s">
        <v>3419</v>
      </c>
      <c r="J1140" s="301">
        <v>44580</v>
      </c>
      <c r="K1140" s="751">
        <f t="shared" si="249"/>
        <v>1650000</v>
      </c>
      <c r="L1140" s="751"/>
      <c r="M1140" s="750"/>
      <c r="N1140" s="750"/>
      <c r="O1140" s="750"/>
      <c r="P1140" s="750">
        <v>1650000</v>
      </c>
      <c r="Q1140" s="28">
        <f t="shared" si="255"/>
        <v>0</v>
      </c>
      <c r="R1140" s="199"/>
      <c r="S1140" s="197">
        <v>44587</v>
      </c>
      <c r="T1140" s="2">
        <v>14</v>
      </c>
      <c r="U1140" s="24">
        <f t="shared" si="253"/>
        <v>44594</v>
      </c>
      <c r="V1140" s="5"/>
      <c r="W1140"/>
      <c r="X1140"/>
      <c r="Y1140"/>
      <c r="Z1140"/>
      <c r="AA1140"/>
      <c r="AB1140"/>
      <c r="AC1140"/>
      <c r="AD1140"/>
      <c r="AE1140"/>
      <c r="AF1140"/>
      <c r="AG1140"/>
      <c r="AH1140"/>
      <c r="AI1140"/>
      <c r="AJ1140"/>
      <c r="AK1140"/>
      <c r="AL1140"/>
      <c r="AM1140"/>
      <c r="AN1140"/>
      <c r="AO1140"/>
      <c r="AP1140"/>
      <c r="AQ1140"/>
    </row>
    <row r="1141" spans="1:43" s="10" customFormat="1" ht="15.75" customHeight="1" x14ac:dyDescent="0.25">
      <c r="A1141" s="55" t="e">
        <f t="shared" si="254"/>
        <v>#REF!</v>
      </c>
      <c r="B1141" s="470">
        <v>44545</v>
      </c>
      <c r="C1141" s="448">
        <v>405189</v>
      </c>
      <c r="D1141" s="1003"/>
      <c r="E1141" s="58"/>
      <c r="F1141" s="123" t="s">
        <v>18</v>
      </c>
      <c r="G1141" s="791" t="s">
        <v>3265</v>
      </c>
      <c r="H1141" s="45">
        <v>400000</v>
      </c>
      <c r="I1141" s="380" t="s">
        <v>3380</v>
      </c>
      <c r="J1141" s="507">
        <v>44567</v>
      </c>
      <c r="K1141" s="751">
        <f t="shared" si="249"/>
        <v>400000</v>
      </c>
      <c r="L1141" s="751"/>
      <c r="M1141" s="750"/>
      <c r="N1141" s="750"/>
      <c r="O1141" s="750"/>
      <c r="P1141" s="750">
        <v>400000</v>
      </c>
      <c r="Q1141" s="28">
        <f t="shared" si="255"/>
        <v>0</v>
      </c>
      <c r="R1141" s="199"/>
      <c r="S1141" s="197">
        <v>44587</v>
      </c>
      <c r="T1141" s="2">
        <v>14</v>
      </c>
      <c r="U1141" s="24">
        <f t="shared" si="253"/>
        <v>44581</v>
      </c>
      <c r="V1141" s="5"/>
      <c r="W1141"/>
      <c r="X1141"/>
      <c r="Y1141"/>
      <c r="Z1141"/>
      <c r="AA1141"/>
      <c r="AB1141"/>
      <c r="AC1141"/>
      <c r="AD1141"/>
      <c r="AE1141"/>
      <c r="AF1141"/>
      <c r="AG1141"/>
      <c r="AH1141"/>
      <c r="AI1141"/>
      <c r="AJ1141"/>
      <c r="AK1141"/>
      <c r="AL1141"/>
      <c r="AM1141"/>
      <c r="AN1141"/>
      <c r="AO1141"/>
      <c r="AP1141"/>
      <c r="AQ1141"/>
    </row>
    <row r="1142" spans="1:43" s="10" customFormat="1" ht="15.75" customHeight="1" x14ac:dyDescent="0.25">
      <c r="A1142" s="55" t="e">
        <f t="shared" si="254"/>
        <v>#REF!</v>
      </c>
      <c r="B1142" s="470">
        <v>44545</v>
      </c>
      <c r="C1142" s="448">
        <v>405174</v>
      </c>
      <c r="D1142" s="1003"/>
      <c r="E1142" s="58"/>
      <c r="F1142" s="123" t="s">
        <v>18</v>
      </c>
      <c r="G1142" s="791" t="s">
        <v>3266</v>
      </c>
      <c r="H1142" s="45">
        <v>644000</v>
      </c>
      <c r="I1142" s="380" t="s">
        <v>3380</v>
      </c>
      <c r="J1142" s="507">
        <v>44567</v>
      </c>
      <c r="K1142" s="751">
        <f t="shared" si="249"/>
        <v>644000</v>
      </c>
      <c r="L1142" s="751"/>
      <c r="M1142" s="750"/>
      <c r="N1142" s="750"/>
      <c r="O1142" s="750"/>
      <c r="P1142" s="750">
        <v>644000</v>
      </c>
      <c r="Q1142" s="28">
        <f t="shared" si="255"/>
        <v>0</v>
      </c>
      <c r="R1142" s="199"/>
      <c r="S1142" s="197">
        <v>44587</v>
      </c>
      <c r="T1142" s="2">
        <v>14</v>
      </c>
      <c r="U1142" s="24">
        <f t="shared" si="253"/>
        <v>44581</v>
      </c>
      <c r="V1142" s="5"/>
      <c r="W1142"/>
      <c r="X1142"/>
      <c r="Y1142"/>
      <c r="Z1142"/>
      <c r="AA1142"/>
      <c r="AB1142"/>
      <c r="AC1142"/>
      <c r="AD1142"/>
      <c r="AE1142"/>
      <c r="AF1142"/>
      <c r="AG1142"/>
      <c r="AH1142"/>
      <c r="AI1142"/>
      <c r="AJ1142"/>
      <c r="AK1142"/>
      <c r="AL1142"/>
      <c r="AM1142"/>
      <c r="AN1142"/>
      <c r="AO1142"/>
      <c r="AP1142"/>
      <c r="AQ1142"/>
    </row>
    <row r="1143" spans="1:43" s="10" customFormat="1" ht="15.75" customHeight="1" x14ac:dyDescent="0.25">
      <c r="A1143" s="55" t="e">
        <f t="shared" si="254"/>
        <v>#REF!</v>
      </c>
      <c r="B1143" s="470">
        <v>44545</v>
      </c>
      <c r="C1143" s="448">
        <v>405176</v>
      </c>
      <c r="D1143" s="1003"/>
      <c r="E1143" s="58"/>
      <c r="F1143" s="123" t="s">
        <v>18</v>
      </c>
      <c r="G1143" s="791" t="s">
        <v>3267</v>
      </c>
      <c r="H1143" s="45">
        <v>500000</v>
      </c>
      <c r="I1143" s="380" t="s">
        <v>3380</v>
      </c>
      <c r="J1143" s="507">
        <v>44567</v>
      </c>
      <c r="K1143" s="751">
        <f t="shared" si="249"/>
        <v>500000</v>
      </c>
      <c r="L1143" s="751"/>
      <c r="M1143" s="750"/>
      <c r="N1143" s="750"/>
      <c r="O1143" s="750"/>
      <c r="P1143" s="750">
        <v>500000</v>
      </c>
      <c r="Q1143" s="28">
        <f t="shared" si="255"/>
        <v>0</v>
      </c>
      <c r="R1143" s="199"/>
      <c r="S1143" s="197">
        <v>44587</v>
      </c>
      <c r="T1143" s="2">
        <v>14</v>
      </c>
      <c r="U1143" s="24">
        <f t="shared" si="253"/>
        <v>44581</v>
      </c>
      <c r="V1143" s="5"/>
      <c r="W1143"/>
      <c r="X1143"/>
      <c r="Y1143"/>
      <c r="Z1143"/>
      <c r="AA1143"/>
      <c r="AB1143"/>
      <c r="AC1143"/>
      <c r="AD1143"/>
      <c r="AE1143"/>
      <c r="AF1143"/>
      <c r="AG1143"/>
      <c r="AH1143"/>
      <c r="AI1143"/>
      <c r="AJ1143"/>
      <c r="AK1143"/>
      <c r="AL1143"/>
      <c r="AM1143"/>
      <c r="AN1143"/>
      <c r="AO1143"/>
      <c r="AP1143"/>
      <c r="AQ1143"/>
    </row>
    <row r="1144" spans="1:43" s="10" customFormat="1" ht="15.75" customHeight="1" x14ac:dyDescent="0.25">
      <c r="A1144" s="55" t="e">
        <f t="shared" si="254"/>
        <v>#REF!</v>
      </c>
      <c r="B1144" s="470">
        <v>44545</v>
      </c>
      <c r="C1144" s="448">
        <v>405175</v>
      </c>
      <c r="D1144" s="1004"/>
      <c r="E1144" s="58"/>
      <c r="F1144" s="123" t="s">
        <v>18</v>
      </c>
      <c r="G1144" s="791" t="s">
        <v>3268</v>
      </c>
      <c r="H1144" s="45">
        <v>546000</v>
      </c>
      <c r="I1144" s="380" t="s">
        <v>3380</v>
      </c>
      <c r="J1144" s="507">
        <v>44567</v>
      </c>
      <c r="K1144" s="751">
        <f t="shared" si="249"/>
        <v>546000</v>
      </c>
      <c r="L1144" s="751"/>
      <c r="M1144" s="750"/>
      <c r="N1144" s="750"/>
      <c r="O1144" s="750"/>
      <c r="P1144" s="750">
        <v>546000</v>
      </c>
      <c r="Q1144" s="28">
        <f t="shared" si="255"/>
        <v>0</v>
      </c>
      <c r="R1144" s="199"/>
      <c r="S1144" s="197">
        <v>44587</v>
      </c>
      <c r="T1144" s="2">
        <v>14</v>
      </c>
      <c r="U1144" s="24">
        <f t="shared" si="253"/>
        <v>44581</v>
      </c>
      <c r="V1144" s="5"/>
      <c r="W1144"/>
      <c r="X1144"/>
      <c r="Y1144"/>
      <c r="Z1144"/>
      <c r="AA1144"/>
      <c r="AB1144"/>
      <c r="AC1144"/>
      <c r="AD1144"/>
      <c r="AE1144"/>
      <c r="AF1144"/>
      <c r="AG1144"/>
      <c r="AH1144"/>
      <c r="AI1144"/>
      <c r="AJ1144"/>
      <c r="AK1144"/>
      <c r="AL1144"/>
      <c r="AM1144"/>
      <c r="AN1144"/>
      <c r="AO1144"/>
      <c r="AP1144"/>
      <c r="AQ1144"/>
    </row>
    <row r="1145" spans="1:43" s="10" customFormat="1" ht="15.75" customHeight="1" x14ac:dyDescent="0.25">
      <c r="A1145" s="55" t="e">
        <f t="shared" si="254"/>
        <v>#REF!</v>
      </c>
      <c r="B1145" s="79">
        <v>44561</v>
      </c>
      <c r="C1145" s="775">
        <v>402872</v>
      </c>
      <c r="D1145" s="330"/>
      <c r="E1145" s="330" t="s">
        <v>3286</v>
      </c>
      <c r="F1145" s="123" t="s">
        <v>2694</v>
      </c>
      <c r="G1145" s="126" t="s">
        <v>3338</v>
      </c>
      <c r="H1145" s="45">
        <v>150000</v>
      </c>
      <c r="I1145" s="377" t="s">
        <v>3402</v>
      </c>
      <c r="J1145" s="301">
        <v>44575</v>
      </c>
      <c r="K1145" s="790">
        <f t="shared" si="249"/>
        <v>150000</v>
      </c>
      <c r="L1145" s="763"/>
      <c r="M1145" s="763"/>
      <c r="N1145" s="28"/>
      <c r="O1145" s="28">
        <f>K1145*2%</f>
        <v>3000</v>
      </c>
      <c r="P1145" s="763">
        <v>147000</v>
      </c>
      <c r="Q1145" s="28">
        <f t="shared" si="255"/>
        <v>0</v>
      </c>
      <c r="R1145" s="301"/>
      <c r="S1145" s="301">
        <v>44589</v>
      </c>
      <c r="T1145" s="762">
        <v>14</v>
      </c>
      <c r="U1145" s="24">
        <f t="shared" si="253"/>
        <v>44589</v>
      </c>
      <c r="V1145"/>
      <c r="W1145"/>
      <c r="X1145"/>
      <c r="Y1145"/>
      <c r="Z1145"/>
      <c r="AA1145"/>
      <c r="AB1145"/>
      <c r="AC1145"/>
      <c r="AD1145"/>
      <c r="AE1145"/>
      <c r="AF1145"/>
      <c r="AG1145"/>
      <c r="AH1145"/>
      <c r="AI1145"/>
      <c r="AJ1145"/>
      <c r="AK1145"/>
      <c r="AL1145"/>
      <c r="AM1145"/>
      <c r="AN1145"/>
      <c r="AO1145"/>
      <c r="AP1145"/>
      <c r="AQ1145"/>
    </row>
    <row r="1146" spans="1:43" s="10" customFormat="1" ht="15.75" customHeight="1" x14ac:dyDescent="0.25">
      <c r="A1146" s="55" t="e">
        <f t="shared" si="254"/>
        <v>#REF!</v>
      </c>
      <c r="B1146" s="79">
        <v>44559</v>
      </c>
      <c r="C1146" s="330">
        <v>402869</v>
      </c>
      <c r="D1146" s="330"/>
      <c r="E1146" s="873" t="s">
        <v>3284</v>
      </c>
      <c r="F1146" s="123" t="s">
        <v>2694</v>
      </c>
      <c r="G1146" s="126" t="s">
        <v>3404</v>
      </c>
      <c r="H1146" s="45">
        <v>300000</v>
      </c>
      <c r="I1146" s="377" t="s">
        <v>3403</v>
      </c>
      <c r="J1146" s="301">
        <v>44575</v>
      </c>
      <c r="K1146" s="790">
        <f t="shared" ref="K1146:K1147" si="256">H1146</f>
        <v>300000</v>
      </c>
      <c r="L1146" s="763"/>
      <c r="M1146" s="763"/>
      <c r="N1146" s="28"/>
      <c r="O1146" s="28">
        <f>K1146*2%</f>
        <v>6000</v>
      </c>
      <c r="P1146" s="872"/>
      <c r="Q1146" s="28">
        <f t="shared" si="255"/>
        <v>294000</v>
      </c>
      <c r="R1146" s="55"/>
      <c r="S1146" s="301"/>
      <c r="T1146" s="55">
        <v>14</v>
      </c>
      <c r="U1146" s="24">
        <f t="shared" si="253"/>
        <v>44589</v>
      </c>
      <c r="V1146" s="5"/>
      <c r="W1146"/>
      <c r="X1146"/>
      <c r="Y1146"/>
      <c r="Z1146"/>
      <c r="AA1146"/>
      <c r="AB1146"/>
      <c r="AC1146"/>
      <c r="AD1146"/>
      <c r="AE1146"/>
      <c r="AF1146"/>
      <c r="AG1146"/>
      <c r="AH1146"/>
      <c r="AI1146"/>
      <c r="AJ1146"/>
      <c r="AK1146"/>
      <c r="AL1146"/>
      <c r="AM1146"/>
      <c r="AN1146"/>
      <c r="AO1146"/>
      <c r="AP1146"/>
      <c r="AQ1146"/>
    </row>
    <row r="1147" spans="1:43" s="10" customFormat="1" ht="15.75" customHeight="1" x14ac:dyDescent="0.25">
      <c r="A1147" s="55" t="e">
        <f t="shared" si="254"/>
        <v>#REF!</v>
      </c>
      <c r="B1147" s="79">
        <v>44550</v>
      </c>
      <c r="C1147" s="330"/>
      <c r="D1147" s="330" t="s">
        <v>3408</v>
      </c>
      <c r="E1147" s="330"/>
      <c r="F1147" s="6" t="s">
        <v>1112</v>
      </c>
      <c r="G1147" s="126" t="s">
        <v>3407</v>
      </c>
      <c r="H1147" s="45">
        <v>836000</v>
      </c>
      <c r="I1147" s="377" t="s">
        <v>3406</v>
      </c>
      <c r="J1147" s="301">
        <v>44576</v>
      </c>
      <c r="K1147" s="790">
        <f t="shared" si="256"/>
        <v>836000</v>
      </c>
      <c r="L1147" s="763"/>
      <c r="M1147" s="763"/>
      <c r="N1147" s="28"/>
      <c r="O1147" s="28"/>
      <c r="P1147" s="763">
        <v>836000</v>
      </c>
      <c r="Q1147" s="28">
        <f t="shared" si="255"/>
        <v>0</v>
      </c>
      <c r="R1147" s="55"/>
      <c r="S1147" s="301">
        <v>44586</v>
      </c>
      <c r="T1147" s="55">
        <v>7</v>
      </c>
      <c r="U1147" s="24">
        <f t="shared" si="253"/>
        <v>44583</v>
      </c>
      <c r="V1147" s="5"/>
      <c r="W1147"/>
      <c r="X1147"/>
      <c r="Y1147"/>
      <c r="Z1147"/>
      <c r="AA1147"/>
      <c r="AB1147"/>
      <c r="AC1147"/>
      <c r="AD1147"/>
      <c r="AE1147"/>
      <c r="AF1147"/>
      <c r="AG1147"/>
      <c r="AH1147"/>
      <c r="AI1147"/>
      <c r="AJ1147"/>
      <c r="AK1147"/>
      <c r="AL1147"/>
      <c r="AM1147"/>
      <c r="AN1147"/>
      <c r="AO1147"/>
      <c r="AP1147"/>
      <c r="AQ1147"/>
    </row>
    <row r="1148" spans="1:43" s="10" customFormat="1" ht="15.75" customHeight="1" x14ac:dyDescent="0.25">
      <c r="A1148" s="55" t="e">
        <f t="shared" si="254"/>
        <v>#REF!</v>
      </c>
      <c r="B1148" s="79">
        <v>44560</v>
      </c>
      <c r="C1148" s="330">
        <v>403828</v>
      </c>
      <c r="D1148" s="330" t="s">
        <v>3250</v>
      </c>
      <c r="E1148" s="330"/>
      <c r="F1148" s="23" t="s">
        <v>933</v>
      </c>
      <c r="G1148" s="404" t="s">
        <v>3418</v>
      </c>
      <c r="H1148" s="45">
        <v>900000</v>
      </c>
      <c r="I1148" s="377" t="s">
        <v>3416</v>
      </c>
      <c r="J1148" s="301">
        <v>44580</v>
      </c>
      <c r="K1148" s="790">
        <f>H1148</f>
        <v>900000</v>
      </c>
      <c r="L1148" s="763"/>
      <c r="M1148" s="763"/>
      <c r="N1148" s="28"/>
      <c r="O1148" s="28"/>
      <c r="P1148" s="763">
        <v>900000</v>
      </c>
      <c r="Q1148" s="28">
        <f>K1148-L1148-M1148-O1148-P1148+N1148</f>
        <v>0</v>
      </c>
      <c r="R1148" s="55"/>
      <c r="S1148" s="197">
        <v>44587</v>
      </c>
      <c r="T1148" s="55"/>
      <c r="U1148" s="24"/>
      <c r="V1148" s="5"/>
      <c r="W1148"/>
      <c r="X1148"/>
      <c r="Y1148"/>
      <c r="Z1148"/>
      <c r="AA1148"/>
      <c r="AB1148"/>
      <c r="AC1148"/>
      <c r="AD1148"/>
      <c r="AE1148"/>
      <c r="AF1148"/>
      <c r="AG1148"/>
      <c r="AH1148"/>
      <c r="AI1148"/>
      <c r="AJ1148"/>
      <c r="AK1148"/>
      <c r="AL1148"/>
      <c r="AM1148"/>
      <c r="AN1148"/>
      <c r="AO1148"/>
      <c r="AP1148"/>
      <c r="AQ1148"/>
    </row>
    <row r="1149" spans="1:43" s="10" customFormat="1" ht="15.75" customHeight="1" x14ac:dyDescent="0.25">
      <c r="A1149" s="55" t="e">
        <f t="shared" si="254"/>
        <v>#REF!</v>
      </c>
      <c r="B1149" s="79">
        <v>44545</v>
      </c>
      <c r="C1149" s="330">
        <v>405179</v>
      </c>
      <c r="D1149" s="330" t="s">
        <v>3249</v>
      </c>
      <c r="E1149" s="330"/>
      <c r="F1149" s="23" t="s">
        <v>933</v>
      </c>
      <c r="G1149" s="404" t="s">
        <v>1117</v>
      </c>
      <c r="H1149" s="45">
        <v>7660000</v>
      </c>
      <c r="I1149" s="377" t="s">
        <v>3419</v>
      </c>
      <c r="J1149" s="301">
        <v>44580</v>
      </c>
      <c r="K1149" s="790">
        <f>H1149</f>
        <v>7660000</v>
      </c>
      <c r="L1149" s="763"/>
      <c r="M1149" s="763"/>
      <c r="N1149" s="763"/>
      <c r="O1149" s="763"/>
      <c r="P1149" s="763">
        <v>7660000</v>
      </c>
      <c r="Q1149" s="28">
        <f>K1149-L1149-M1149-O1149-P1149+N1149</f>
        <v>0</v>
      </c>
      <c r="R1149" s="55"/>
      <c r="S1149" s="197">
        <v>44587</v>
      </c>
      <c r="T1149" s="55"/>
      <c r="U1149" s="24"/>
      <c r="V1149" s="5"/>
      <c r="W1149"/>
      <c r="X1149"/>
      <c r="Y1149"/>
      <c r="Z1149"/>
      <c r="AA1149"/>
      <c r="AB1149"/>
      <c r="AC1149"/>
      <c r="AD1149"/>
      <c r="AE1149"/>
      <c r="AF1149"/>
      <c r="AG1149"/>
      <c r="AH1149"/>
      <c r="AI1149"/>
      <c r="AJ1149"/>
      <c r="AK1149"/>
      <c r="AL1149"/>
      <c r="AM1149"/>
      <c r="AN1149"/>
      <c r="AO1149"/>
      <c r="AP1149"/>
      <c r="AQ1149"/>
    </row>
    <row r="1150" spans="1:43" s="10" customFormat="1" ht="15.75" customHeight="1" x14ac:dyDescent="0.25">
      <c r="A1150" s="55" t="e">
        <f t="shared" si="254"/>
        <v>#REF!</v>
      </c>
      <c r="B1150" s="470"/>
      <c r="C1150" s="448"/>
      <c r="D1150" s="332"/>
      <c r="E1150" s="58"/>
      <c r="F1150" s="123"/>
      <c r="G1150" s="334"/>
      <c r="H1150" s="45"/>
      <c r="I1150" s="380"/>
      <c r="J1150" s="507"/>
      <c r="K1150" s="751"/>
      <c r="L1150" s="751"/>
      <c r="M1150" s="750"/>
      <c r="N1150" s="750"/>
      <c r="O1150" s="750"/>
      <c r="P1150" s="750"/>
      <c r="Q1150" s="28">
        <f t="shared" si="255"/>
        <v>0</v>
      </c>
      <c r="R1150" s="199"/>
      <c r="S1150" s="197"/>
      <c r="T1150" s="199"/>
      <c r="U1150" s="24">
        <f t="shared" si="253"/>
        <v>0</v>
      </c>
      <c r="V1150" s="5"/>
      <c r="W1150"/>
      <c r="X1150"/>
      <c r="Y1150"/>
      <c r="Z1150"/>
      <c r="AA1150"/>
      <c r="AB1150"/>
      <c r="AC1150"/>
      <c r="AD1150"/>
      <c r="AE1150"/>
      <c r="AF1150"/>
      <c r="AG1150"/>
      <c r="AH1150"/>
      <c r="AI1150"/>
      <c r="AJ1150"/>
      <c r="AK1150"/>
      <c r="AL1150"/>
      <c r="AM1150"/>
      <c r="AN1150"/>
      <c r="AO1150"/>
      <c r="AP1150"/>
      <c r="AQ1150"/>
    </row>
    <row r="1151" spans="1:43" s="10" customFormat="1" ht="32.25" customHeight="1" x14ac:dyDescent="0.25">
      <c r="A1151" s="672" t="s">
        <v>2926</v>
      </c>
      <c r="B1151" s="673"/>
      <c r="C1151" s="665"/>
      <c r="D1151" s="665"/>
      <c r="E1151" s="665"/>
      <c r="F1151" s="665"/>
      <c r="G1151" s="665"/>
      <c r="H1151" s="665"/>
      <c r="I1151" s="665"/>
      <c r="J1151" s="665"/>
      <c r="K1151" s="665"/>
      <c r="L1151" s="665"/>
      <c r="M1151" s="665"/>
      <c r="N1151" s="665"/>
      <c r="O1151" s="665"/>
      <c r="P1151" s="450"/>
      <c r="Q1151" s="451">
        <f>SUM(Q991:Q1150)</f>
        <v>61848674.99999994</v>
      </c>
      <c r="R1151" s="452"/>
      <c r="S1151" s="452"/>
      <c r="T1151" s="432"/>
      <c r="U1151" s="724"/>
      <c r="V1151"/>
      <c r="W1151"/>
      <c r="X1151"/>
      <c r="Y1151"/>
      <c r="Z1151"/>
      <c r="AA1151"/>
      <c r="AB1151"/>
      <c r="AC1151"/>
      <c r="AD1151"/>
      <c r="AE1151"/>
      <c r="AF1151"/>
      <c r="AG1151"/>
      <c r="AH1151"/>
      <c r="AI1151"/>
      <c r="AJ1151"/>
      <c r="AK1151"/>
      <c r="AL1151"/>
      <c r="AM1151"/>
      <c r="AN1151"/>
      <c r="AO1151"/>
      <c r="AP1151"/>
      <c r="AQ1151"/>
    </row>
    <row r="1152" spans="1:43" s="10" customFormat="1" ht="23.25" customHeight="1" x14ac:dyDescent="0.25">
      <c r="A1152" s="674" t="s">
        <v>208</v>
      </c>
      <c r="B1152" s="675"/>
      <c r="C1152" s="662"/>
      <c r="D1152" s="662"/>
      <c r="E1152" s="662"/>
      <c r="F1152" s="662"/>
      <c r="G1152" s="662"/>
      <c r="H1152" s="662"/>
      <c r="I1152" s="424"/>
      <c r="J1152" s="518"/>
      <c r="K1152" s="424"/>
      <c r="L1152" s="424"/>
      <c r="M1152" s="424"/>
      <c r="N1152" s="424"/>
      <c r="O1152" s="424"/>
      <c r="P1152" s="425"/>
      <c r="Q1152" s="87">
        <f>'PiuGlobal 20'!O110</f>
        <v>125945057.59999999</v>
      </c>
      <c r="R1152" s="43"/>
      <c r="S1152" s="43"/>
      <c r="T1152" s="418"/>
      <c r="U1152" s="712"/>
      <c r="V1152"/>
      <c r="W1152"/>
      <c r="X1152"/>
      <c r="Y1152"/>
      <c r="Z1152"/>
      <c r="AA1152"/>
      <c r="AB1152"/>
      <c r="AC1152"/>
      <c r="AD1152"/>
      <c r="AE1152"/>
      <c r="AF1152"/>
      <c r="AG1152"/>
      <c r="AH1152"/>
      <c r="AI1152"/>
      <c r="AJ1152"/>
      <c r="AK1152"/>
      <c r="AL1152"/>
      <c r="AM1152"/>
      <c r="AN1152"/>
      <c r="AO1152"/>
      <c r="AP1152"/>
      <c r="AQ1152"/>
    </row>
    <row r="1153" spans="1:43" s="10" customFormat="1" ht="23.25" customHeight="1" x14ac:dyDescent="0.25">
      <c r="A1153" s="676" t="s">
        <v>270</v>
      </c>
      <c r="B1153" s="677"/>
      <c r="C1153" s="663"/>
      <c r="D1153" s="663"/>
      <c r="E1153" s="663"/>
      <c r="F1153" s="663"/>
      <c r="G1153" s="663"/>
      <c r="H1153" s="663"/>
      <c r="I1153" s="427"/>
      <c r="J1153" s="519"/>
      <c r="K1153" s="427"/>
      <c r="L1153" s="427"/>
      <c r="M1153" s="427"/>
      <c r="N1153" s="427"/>
      <c r="O1153" s="427"/>
      <c r="P1153" s="428"/>
      <c r="Q1153" s="87">
        <f>Q42+Q92+Q156+Q220+Q325+Q431+Q607+Q686+Q774+Q881+Q990+Q1151</f>
        <v>349729192.81599993</v>
      </c>
      <c r="R1153" s="43"/>
      <c r="S1153" s="43"/>
      <c r="T1153" s="418"/>
      <c r="U1153" s="712"/>
      <c r="V1153"/>
      <c r="W1153"/>
      <c r="X1153"/>
      <c r="Y1153"/>
      <c r="Z1153"/>
      <c r="AA1153"/>
      <c r="AB1153"/>
      <c r="AC1153"/>
      <c r="AD1153"/>
      <c r="AE1153"/>
      <c r="AF1153"/>
      <c r="AG1153"/>
      <c r="AH1153"/>
      <c r="AI1153"/>
      <c r="AJ1153"/>
      <c r="AK1153"/>
      <c r="AL1153"/>
      <c r="AM1153"/>
      <c r="AN1153"/>
      <c r="AO1153"/>
      <c r="AP1153"/>
      <c r="AQ1153"/>
    </row>
    <row r="1154" spans="1:43" s="10" customFormat="1" ht="23.25" customHeight="1" x14ac:dyDescent="0.25">
      <c r="A1154" s="678" t="s">
        <v>271</v>
      </c>
      <c r="B1154" s="679"/>
      <c r="C1154" s="664"/>
      <c r="D1154" s="664"/>
      <c r="E1154" s="664"/>
      <c r="F1154" s="664"/>
      <c r="G1154" s="664"/>
      <c r="H1154" s="664"/>
      <c r="I1154" s="429"/>
      <c r="J1154" s="520"/>
      <c r="K1154" s="429"/>
      <c r="L1154" s="429"/>
      <c r="M1154" s="429"/>
      <c r="N1154" s="429"/>
      <c r="O1154" s="429"/>
      <c r="P1154" s="430"/>
      <c r="Q1154" s="88">
        <f>Q1152+Q1153</f>
        <v>475674250.41599989</v>
      </c>
      <c r="R1154" s="43"/>
      <c r="S1154" s="43"/>
      <c r="T1154" s="418"/>
      <c r="U1154" s="712"/>
      <c r="V1154"/>
      <c r="W1154"/>
      <c r="X1154"/>
      <c r="Y1154"/>
      <c r="Z1154"/>
      <c r="AA1154"/>
      <c r="AB1154"/>
      <c r="AC1154"/>
      <c r="AD1154"/>
      <c r="AE1154"/>
      <c r="AF1154"/>
      <c r="AG1154"/>
      <c r="AH1154"/>
      <c r="AI1154"/>
      <c r="AJ1154"/>
      <c r="AK1154"/>
      <c r="AL1154"/>
      <c r="AM1154"/>
      <c r="AN1154"/>
      <c r="AO1154"/>
      <c r="AP1154"/>
      <c r="AQ1154"/>
    </row>
    <row r="1155" spans="1:43" s="10" customFormat="1" ht="15" customHeight="1" x14ac:dyDescent="0.25">
      <c r="A1155" s="40"/>
      <c r="B1155" s="471"/>
      <c r="C1155" s="605"/>
      <c r="D1155" s="7"/>
      <c r="E1155" s="7"/>
      <c r="F1155" s="489"/>
      <c r="G1155" s="489"/>
      <c r="H1155" s="42"/>
      <c r="I1155" s="386"/>
      <c r="J1155" s="521"/>
      <c r="K1155"/>
      <c r="L1155"/>
      <c r="M1155"/>
      <c r="N1155"/>
      <c r="O1155"/>
      <c r="P1155"/>
      <c r="Q1155" s="16">
        <f>Q51+Q88+Q89+Q148+Q149+Q154+Q155+Q183+Q192+Q264+Q281+Q316+Q317+Q318+Q319+Q321</f>
        <v>43943500</v>
      </c>
      <c r="R1155" s="43"/>
      <c r="S1155" s="43"/>
      <c r="T1155" s="418"/>
      <c r="U1155" s="712"/>
      <c r="V1155"/>
      <c r="W1155"/>
      <c r="X1155"/>
      <c r="Y1155"/>
      <c r="Z1155"/>
      <c r="AA1155"/>
      <c r="AB1155"/>
      <c r="AC1155"/>
      <c r="AD1155"/>
      <c r="AE1155"/>
      <c r="AF1155"/>
      <c r="AG1155"/>
      <c r="AH1155"/>
      <c r="AI1155"/>
      <c r="AJ1155"/>
      <c r="AK1155"/>
      <c r="AL1155"/>
      <c r="AM1155"/>
      <c r="AN1155"/>
      <c r="AO1155"/>
      <c r="AP1155"/>
      <c r="AQ1155"/>
    </row>
    <row r="1156" spans="1:43" s="10" customFormat="1" ht="15" customHeight="1" x14ac:dyDescent="0.25">
      <c r="A1156" s="40"/>
      <c r="B1156" s="471"/>
      <c r="C1156" s="605"/>
      <c r="D1156" s="7"/>
      <c r="E1156" s="7"/>
      <c r="F1156" s="489"/>
      <c r="G1156" s="489"/>
      <c r="H1156" s="42"/>
      <c r="I1156" s="386"/>
      <c r="J1156" s="521"/>
      <c r="K1156"/>
      <c r="L1156"/>
      <c r="M1156"/>
      <c r="N1156"/>
      <c r="O1156" s="275"/>
      <c r="P1156"/>
      <c r="Q1156" s="16">
        <f>SUM(Q608:Q835)</f>
        <v>148303053.86200005</v>
      </c>
      <c r="R1156" s="43"/>
      <c r="S1156" s="43"/>
      <c r="T1156" s="418"/>
      <c r="U1156" s="712"/>
      <c r="V1156"/>
      <c r="W1156"/>
      <c r="X1156"/>
      <c r="Y1156"/>
      <c r="Z1156"/>
      <c r="AA1156"/>
      <c r="AB1156"/>
      <c r="AC1156"/>
      <c r="AD1156"/>
      <c r="AE1156"/>
      <c r="AF1156"/>
      <c r="AG1156"/>
      <c r="AH1156"/>
      <c r="AI1156"/>
      <c r="AJ1156"/>
      <c r="AK1156"/>
      <c r="AL1156"/>
      <c r="AM1156"/>
      <c r="AN1156"/>
      <c r="AO1156"/>
      <c r="AP1156"/>
      <c r="AQ1156"/>
    </row>
    <row r="1157" spans="1:43" s="10" customFormat="1" ht="15" customHeight="1" x14ac:dyDescent="0.25">
      <c r="A1157" s="40"/>
      <c r="B1157" s="471"/>
      <c r="C1157" s="605"/>
      <c r="D1157" s="7"/>
      <c r="E1157" s="7"/>
      <c r="F1157" s="489"/>
      <c r="G1157" s="489"/>
      <c r="H1157" s="42"/>
      <c r="I1157" s="386"/>
      <c r="J1157" s="521"/>
      <c r="K1157"/>
      <c r="L1157"/>
      <c r="M1157"/>
      <c r="N1157"/>
      <c r="O1157"/>
      <c r="P1157"/>
      <c r="Q1157" s="16">
        <f>Q1154+Q1156</f>
        <v>623977304.27799988</v>
      </c>
      <c r="R1157" s="557"/>
      <c r="S1157" s="557"/>
      <c r="T1157" s="418"/>
      <c r="U1157" s="725"/>
      <c r="V1157"/>
      <c r="W1157"/>
      <c r="X1157"/>
      <c r="Y1157"/>
      <c r="Z1157"/>
      <c r="AA1157"/>
      <c r="AB1157"/>
      <c r="AC1157"/>
      <c r="AD1157"/>
      <c r="AE1157"/>
      <c r="AF1157"/>
      <c r="AG1157"/>
      <c r="AH1157"/>
      <c r="AI1157"/>
      <c r="AJ1157"/>
      <c r="AK1157"/>
      <c r="AL1157"/>
      <c r="AM1157"/>
      <c r="AN1157"/>
      <c r="AO1157"/>
      <c r="AP1157"/>
      <c r="AQ1157"/>
    </row>
    <row r="1158" spans="1:43" s="10" customFormat="1" ht="15" customHeight="1" x14ac:dyDescent="0.25">
      <c r="A1158" s="40"/>
      <c r="B1158" s="471"/>
      <c r="C1158" s="605"/>
      <c r="D1158" s="7"/>
      <c r="E1158" s="7"/>
      <c r="F1158" s="489"/>
      <c r="G1158" s="489"/>
      <c r="H1158" s="42"/>
      <c r="I1158" s="386"/>
      <c r="J1158" s="521"/>
      <c r="K1158"/>
      <c r="L1158" s="16"/>
      <c r="M1158" s="16"/>
      <c r="N1158"/>
      <c r="O1158"/>
      <c r="P1158" s="16">
        <f>P32+P370+P518+P524+P537+P666+P742+P847+L851</f>
        <v>44390000</v>
      </c>
      <c r="Q1158"/>
      <c r="R1158" s="558"/>
      <c r="S1158" s="558"/>
      <c r="T1158" s="558"/>
      <c r="U1158" s="726"/>
      <c r="V1158"/>
      <c r="W1158"/>
      <c r="X1158"/>
      <c r="Y1158"/>
      <c r="Z1158"/>
      <c r="AA1158"/>
      <c r="AB1158"/>
      <c r="AC1158"/>
      <c r="AD1158"/>
      <c r="AE1158"/>
      <c r="AF1158"/>
      <c r="AG1158"/>
      <c r="AH1158"/>
      <c r="AI1158"/>
      <c r="AJ1158"/>
      <c r="AK1158"/>
      <c r="AL1158"/>
      <c r="AM1158"/>
      <c r="AN1158"/>
      <c r="AO1158"/>
      <c r="AP1158"/>
      <c r="AQ1158"/>
    </row>
    <row r="1159" spans="1:43" s="10" customFormat="1" ht="15" customHeight="1" x14ac:dyDescent="0.25">
      <c r="A1159" s="40"/>
      <c r="B1159" s="471"/>
      <c r="C1159" s="605"/>
      <c r="D1159" s="7"/>
      <c r="E1159" s="7"/>
      <c r="F1159" s="489"/>
      <c r="G1159" s="489"/>
      <c r="H1159" s="42"/>
      <c r="I1159" s="386"/>
      <c r="J1159" s="521"/>
      <c r="K1159" t="s">
        <v>2609</v>
      </c>
      <c r="L1159"/>
      <c r="M1159"/>
      <c r="N1159"/>
      <c r="O1159"/>
      <c r="P1159" s="131">
        <v>3140000</v>
      </c>
      <c r="Q1159"/>
      <c r="R1159" s="418"/>
      <c r="S1159" s="418"/>
      <c r="T1159" s="418"/>
      <c r="U1159" s="720"/>
      <c r="V1159"/>
      <c r="W1159"/>
      <c r="X1159"/>
      <c r="Y1159"/>
      <c r="Z1159"/>
      <c r="AA1159"/>
      <c r="AB1159"/>
      <c r="AC1159"/>
      <c r="AD1159"/>
      <c r="AE1159"/>
      <c r="AF1159"/>
      <c r="AG1159"/>
      <c r="AH1159"/>
      <c r="AI1159"/>
      <c r="AJ1159"/>
      <c r="AK1159"/>
      <c r="AL1159"/>
      <c r="AM1159"/>
      <c r="AN1159"/>
      <c r="AO1159"/>
      <c r="AP1159"/>
      <c r="AQ1159"/>
    </row>
    <row r="1160" spans="1:43" s="10" customFormat="1" ht="15" customHeight="1" x14ac:dyDescent="0.25">
      <c r="A1160" s="40"/>
      <c r="B1160" s="471"/>
      <c r="C1160" s="605"/>
      <c r="D1160" s="7"/>
      <c r="E1160" s="7"/>
      <c r="F1160" s="489"/>
      <c r="G1160" s="489"/>
      <c r="H1160" s="42"/>
      <c r="I1160" s="386"/>
      <c r="J1160" s="521"/>
      <c r="K1160"/>
      <c r="L1160" s="16"/>
      <c r="M1160"/>
      <c r="N1160"/>
      <c r="O1160"/>
      <c r="P1160" s="581">
        <f>P1158+P1159</f>
        <v>47530000</v>
      </c>
      <c r="Q1160"/>
      <c r="R1160" s="418"/>
      <c r="S1160" s="418"/>
      <c r="T1160" s="418"/>
      <c r="U1160" s="720"/>
      <c r="V1160"/>
      <c r="W1160"/>
      <c r="X1160"/>
      <c r="Y1160"/>
      <c r="Z1160"/>
      <c r="AA1160"/>
      <c r="AB1160"/>
      <c r="AC1160"/>
      <c r="AD1160"/>
      <c r="AE1160"/>
      <c r="AF1160"/>
      <c r="AG1160"/>
      <c r="AH1160"/>
      <c r="AI1160"/>
      <c r="AJ1160"/>
      <c r="AK1160"/>
      <c r="AL1160"/>
      <c r="AM1160"/>
      <c r="AN1160"/>
      <c r="AO1160"/>
      <c r="AP1160"/>
      <c r="AQ1160"/>
    </row>
    <row r="1161" spans="1:43" s="10" customFormat="1" ht="15" customHeight="1" x14ac:dyDescent="0.25">
      <c r="A1161" s="40"/>
      <c r="B1161" s="471"/>
      <c r="C1161" s="605"/>
      <c r="D1161" s="7"/>
      <c r="E1161" s="7"/>
      <c r="F1161" s="489"/>
      <c r="G1161" s="489"/>
      <c r="H1161" s="42"/>
      <c r="I1161" s="386"/>
      <c r="J1161" s="521"/>
      <c r="K1161"/>
      <c r="L1161" s="16"/>
      <c r="M1161" s="16"/>
      <c r="N1161"/>
      <c r="O1161"/>
      <c r="P1161"/>
      <c r="Q1161" s="190">
        <f>Q698</f>
        <v>0</v>
      </c>
      <c r="R1161" s="418"/>
      <c r="S1161" s="418"/>
      <c r="T1161" s="418"/>
      <c r="U1161" s="720"/>
      <c r="V1161"/>
      <c r="W1161"/>
      <c r="X1161"/>
      <c r="Y1161"/>
      <c r="Z1161"/>
      <c r="AA1161"/>
      <c r="AB1161"/>
      <c r="AC1161"/>
      <c r="AD1161"/>
      <c r="AE1161"/>
      <c r="AF1161"/>
      <c r="AG1161"/>
      <c r="AH1161"/>
      <c r="AI1161"/>
      <c r="AJ1161"/>
      <c r="AK1161"/>
      <c r="AL1161"/>
      <c r="AM1161"/>
      <c r="AN1161"/>
      <c r="AO1161"/>
      <c r="AP1161"/>
      <c r="AQ1161"/>
    </row>
    <row r="1162" spans="1:43" s="10" customFormat="1" ht="15" customHeight="1" x14ac:dyDescent="0.25">
      <c r="A1162" s="40"/>
      <c r="B1162" s="471"/>
      <c r="C1162" s="605"/>
      <c r="D1162" s="7"/>
      <c r="E1162" s="7"/>
      <c r="F1162" s="489"/>
      <c r="G1162" s="489"/>
      <c r="H1162" s="42"/>
      <c r="I1162" s="386"/>
      <c r="J1162" s="521"/>
      <c r="K1162"/>
      <c r="L1162" s="275"/>
      <c r="M1162"/>
      <c r="N1162"/>
      <c r="O1162"/>
      <c r="P1162" s="16"/>
      <c r="Q1162" s="581">
        <f>Q976+Q979+Q980+Q1068+Q1074</f>
        <v>0</v>
      </c>
      <c r="R1162" s="418"/>
      <c r="S1162" s="418"/>
      <c r="T1162" s="199"/>
      <c r="U1162" s="720"/>
      <c r="V1162"/>
      <c r="W1162"/>
      <c r="X1162"/>
      <c r="Y1162"/>
      <c r="Z1162"/>
      <c r="AA1162"/>
      <c r="AB1162"/>
      <c r="AC1162"/>
      <c r="AD1162"/>
      <c r="AE1162"/>
      <c r="AF1162"/>
      <c r="AG1162"/>
      <c r="AH1162"/>
      <c r="AI1162"/>
      <c r="AJ1162"/>
      <c r="AK1162"/>
      <c r="AL1162"/>
      <c r="AM1162"/>
      <c r="AN1162"/>
      <c r="AO1162"/>
      <c r="AP1162"/>
      <c r="AQ1162"/>
    </row>
    <row r="1163" spans="1:43" s="10" customFormat="1" ht="15" customHeight="1" x14ac:dyDescent="0.25">
      <c r="A1163" s="40"/>
      <c r="B1163" s="471"/>
      <c r="C1163" s="605"/>
      <c r="D1163" s="7"/>
      <c r="E1163" s="7"/>
      <c r="F1163" s="489"/>
      <c r="G1163" s="489"/>
      <c r="H1163" s="42"/>
      <c r="I1163" s="386"/>
      <c r="J1163" s="521"/>
      <c r="K1163"/>
      <c r="L1163"/>
      <c r="M1163"/>
      <c r="N1163"/>
      <c r="O1163"/>
      <c r="P1163"/>
      <c r="Q1163" s="275">
        <f>Q1162-P776-P777</f>
        <v>-3920792.04</v>
      </c>
      <c r="R1163" s="418"/>
      <c r="S1163" s="418"/>
      <c r="T1163" s="418"/>
      <c r="U1163" s="720"/>
      <c r="V1163"/>
      <c r="W1163"/>
      <c r="X1163"/>
      <c r="Y1163"/>
      <c r="Z1163"/>
      <c r="AA1163"/>
      <c r="AB1163"/>
      <c r="AC1163"/>
      <c r="AD1163"/>
      <c r="AE1163"/>
      <c r="AF1163"/>
      <c r="AG1163"/>
      <c r="AH1163"/>
      <c r="AI1163"/>
      <c r="AJ1163"/>
      <c r="AK1163"/>
      <c r="AL1163"/>
      <c r="AM1163"/>
      <c r="AN1163"/>
      <c r="AO1163"/>
      <c r="AP1163"/>
      <c r="AQ1163"/>
    </row>
    <row r="1164" spans="1:43" s="10" customFormat="1" ht="15" customHeight="1" x14ac:dyDescent="0.25">
      <c r="A1164" s="40"/>
      <c r="B1164" s="471"/>
      <c r="C1164" s="605"/>
      <c r="D1164" s="7"/>
      <c r="E1164" s="7"/>
      <c r="F1164" s="489"/>
      <c r="G1164" s="489"/>
      <c r="H1164" s="42"/>
      <c r="I1164" s="386"/>
      <c r="J1164" s="521"/>
      <c r="K1164"/>
      <c r="L1164"/>
      <c r="M1164"/>
      <c r="N1164"/>
      <c r="O1164" s="16"/>
      <c r="P1164"/>
      <c r="Q1164" s="699">
        <f>Q781-Q1163</f>
        <v>3920792.04</v>
      </c>
      <c r="R1164" s="418"/>
      <c r="S1164" s="418"/>
      <c r="T1164" s="418"/>
      <c r="U1164" s="720"/>
      <c r="V1164"/>
      <c r="W1164"/>
      <c r="X1164"/>
      <c r="Y1164"/>
      <c r="Z1164"/>
      <c r="AA1164"/>
      <c r="AB1164"/>
      <c r="AC1164"/>
      <c r="AD1164"/>
      <c r="AE1164"/>
      <c r="AF1164"/>
      <c r="AG1164"/>
      <c r="AH1164"/>
      <c r="AI1164"/>
      <c r="AJ1164"/>
      <c r="AK1164"/>
      <c r="AL1164"/>
      <c r="AM1164"/>
      <c r="AN1164"/>
      <c r="AO1164"/>
      <c r="AP1164"/>
      <c r="AQ1164"/>
    </row>
    <row r="1165" spans="1:43" s="10" customFormat="1" ht="15" customHeight="1" x14ac:dyDescent="0.25">
      <c r="A1165" s="40"/>
      <c r="B1165" s="471"/>
      <c r="C1165" s="605"/>
      <c r="D1165" s="7"/>
      <c r="E1165" s="7"/>
      <c r="F1165" s="489"/>
      <c r="G1165" s="489"/>
      <c r="H1165" s="42"/>
      <c r="I1165" s="386"/>
      <c r="J1165" s="521"/>
      <c r="K1165"/>
      <c r="L1165"/>
      <c r="M1165"/>
      <c r="N1165" s="16"/>
      <c r="O1165" s="702">
        <f>M546/K546</f>
        <v>5.5E-2</v>
      </c>
      <c r="P1165"/>
      <c r="Q1165" s="700">
        <f>M780/K780</f>
        <v>1.7674499999999999E-2</v>
      </c>
      <c r="R1165" s="418"/>
      <c r="S1165" s="418"/>
      <c r="T1165" s="418"/>
      <c r="U1165" s="720"/>
      <c r="V1165"/>
      <c r="W1165"/>
      <c r="X1165"/>
      <c r="Y1165"/>
      <c r="Z1165"/>
      <c r="AA1165"/>
      <c r="AB1165"/>
      <c r="AC1165"/>
      <c r="AD1165"/>
      <c r="AE1165"/>
      <c r="AF1165"/>
      <c r="AG1165"/>
      <c r="AH1165"/>
      <c r="AI1165"/>
      <c r="AJ1165"/>
      <c r="AK1165"/>
      <c r="AL1165"/>
      <c r="AM1165"/>
      <c r="AN1165"/>
      <c r="AO1165"/>
      <c r="AP1165"/>
      <c r="AQ1165"/>
    </row>
    <row r="1166" spans="1:43" ht="46.5" customHeight="1" x14ac:dyDescent="0.25">
      <c r="A1166" s="40"/>
      <c r="B1166" s="471"/>
      <c r="C1166" s="605"/>
      <c r="D1166" s="7"/>
      <c r="E1166" s="7"/>
      <c r="F1166" s="489"/>
      <c r="G1166" s="489"/>
      <c r="H1166" s="42"/>
      <c r="I1166" s="386"/>
      <c r="J1166" s="521"/>
      <c r="K1166"/>
      <c r="L1166"/>
      <c r="M1166"/>
      <c r="N1166"/>
      <c r="O1166"/>
      <c r="P1166"/>
      <c r="Q1166" s="701">
        <v>1.7674444444444444E-2</v>
      </c>
      <c r="R1166" s="7"/>
      <c r="S1166" s="7"/>
      <c r="T1166" s="7"/>
      <c r="U1166" s="443"/>
    </row>
    <row r="1167" spans="1:43" ht="46.5" customHeight="1" x14ac:dyDescent="0.25">
      <c r="A1167" s="40"/>
      <c r="B1167" s="471"/>
      <c r="C1167" s="605"/>
      <c r="D1167" s="7"/>
      <c r="E1167" s="7"/>
      <c r="F1167" s="489"/>
      <c r="G1167" s="489"/>
      <c r="H1167" s="42"/>
      <c r="I1167" s="386"/>
      <c r="J1167" s="521"/>
      <c r="K1167"/>
      <c r="L1167"/>
      <c r="M1167"/>
      <c r="N1167"/>
      <c r="O1167"/>
      <c r="P1167"/>
      <c r="Q1167" s="817">
        <f>SUBTOTAL(9,Q675:Q1166)</f>
        <v>2223308395.2913485</v>
      </c>
      <c r="S1167"/>
      <c r="T1167" s="199"/>
    </row>
    <row r="1168" spans="1:43" ht="38.25" customHeight="1" x14ac:dyDescent="0.25">
      <c r="A1168" s="40"/>
      <c r="B1168" s="471"/>
      <c r="C1168" s="605"/>
      <c r="D1168" s="7"/>
      <c r="E1168" s="7"/>
      <c r="F1168" s="489"/>
      <c r="G1168" s="489"/>
      <c r="H1168" s="42"/>
      <c r="I1168" s="386"/>
      <c r="J1168" s="521"/>
      <c r="K1168"/>
      <c r="L1168"/>
      <c r="M1168" s="702">
        <f>M1023/K1023</f>
        <v>4.3990000000000001E-2</v>
      </c>
      <c r="N1168"/>
      <c r="O1168"/>
      <c r="P1168" s="16">
        <f>P957*2</f>
        <v>2200000</v>
      </c>
      <c r="Q1168"/>
      <c r="S1168"/>
    </row>
    <row r="1169" spans="1:19" ht="27.75" customHeight="1" x14ac:dyDescent="0.25">
      <c r="A1169" s="40"/>
      <c r="B1169" s="471"/>
      <c r="C1169" s="605"/>
      <c r="D1169" s="7"/>
      <c r="E1169" s="7"/>
      <c r="F1169" s="489"/>
      <c r="G1169" s="489"/>
      <c r="H1169" s="42"/>
      <c r="I1169" s="386"/>
      <c r="J1169" s="521"/>
      <c r="K1169"/>
      <c r="L1169"/>
      <c r="M1169"/>
      <c r="N1169"/>
      <c r="O1169"/>
      <c r="P1169" t="s">
        <v>3574</v>
      </c>
      <c r="Q1169"/>
      <c r="S1169"/>
    </row>
    <row r="1170" spans="1:19" x14ac:dyDescent="0.25">
      <c r="K1170" s="816"/>
      <c r="L1170"/>
      <c r="M1170"/>
      <c r="N1170"/>
      <c r="O1170"/>
      <c r="P1170"/>
      <c r="Q1170" s="190">
        <f>Q195+Q196+Q197+Q282+Q362</f>
        <v>0</v>
      </c>
    </row>
    <row r="1171" spans="1:19" x14ac:dyDescent="0.25">
      <c r="H1171" s="9">
        <f>H697*4%</f>
        <v>7665193</v>
      </c>
      <c r="I1171" s="454">
        <f>H697*1%</f>
        <v>1916298.25</v>
      </c>
      <c r="K1171"/>
      <c r="L1171"/>
      <c r="M1171"/>
      <c r="N1171"/>
      <c r="O1171"/>
      <c r="P1171" s="16"/>
      <c r="Q1171"/>
    </row>
    <row r="1172" spans="1:19" x14ac:dyDescent="0.25">
      <c r="I1172" s="454">
        <f>H697+I1171-H1171</f>
        <v>185880930.25</v>
      </c>
      <c r="K1172"/>
      <c r="L1172"/>
      <c r="M1172"/>
      <c r="N1172"/>
      <c r="O1172"/>
      <c r="P1172"/>
      <c r="Q1172"/>
    </row>
    <row r="1173" spans="1:19" x14ac:dyDescent="0.25">
      <c r="H1173" s="9">
        <v>186229348</v>
      </c>
      <c r="I1173" s="454"/>
      <c r="K1173"/>
      <c r="L1173"/>
      <c r="M1173"/>
      <c r="N1173"/>
      <c r="O1173"/>
      <c r="P1173"/>
      <c r="Q1173" s="16">
        <f>Q1001+Q1002+Q1013</f>
        <v>5.6388671509921551E-11</v>
      </c>
    </row>
    <row r="1174" spans="1:19" x14ac:dyDescent="0.25">
      <c r="I1174" s="454">
        <f>I1173-H1173</f>
        <v>-186229348</v>
      </c>
      <c r="K1174"/>
      <c r="L1174"/>
      <c r="M1174"/>
      <c r="N1174"/>
      <c r="O1174"/>
      <c r="P1174"/>
      <c r="Q1174">
        <v>4606931</v>
      </c>
    </row>
    <row r="1175" spans="1:19" x14ac:dyDescent="0.25">
      <c r="K1175"/>
      <c r="L1175"/>
      <c r="M1175"/>
      <c r="N1175"/>
      <c r="O1175"/>
      <c r="P1175"/>
      <c r="Q1175" s="16">
        <f>Q1174-Q1173</f>
        <v>4606931</v>
      </c>
    </row>
    <row r="1176" spans="1:19" x14ac:dyDescent="0.25">
      <c r="K1176"/>
      <c r="L1176"/>
      <c r="M1176"/>
      <c r="N1176"/>
      <c r="O1176"/>
      <c r="P1176"/>
      <c r="Q1176">
        <v>2352475.62</v>
      </c>
    </row>
    <row r="1177" spans="1:19" x14ac:dyDescent="0.25">
      <c r="K1177"/>
      <c r="L1177"/>
      <c r="M1177"/>
      <c r="N1177"/>
      <c r="O1177"/>
      <c r="P1177"/>
      <c r="Q1177"/>
    </row>
    <row r="1178" spans="1:19" x14ac:dyDescent="0.25">
      <c r="K1178"/>
      <c r="L1178"/>
      <c r="M1178" s="700">
        <f>M1045/K1045</f>
        <v>3.2325E-2</v>
      </c>
      <c r="N1178"/>
      <c r="O1178"/>
      <c r="P1178"/>
      <c r="Q1178"/>
    </row>
    <row r="1179" spans="1:19" x14ac:dyDescent="0.25">
      <c r="K1179"/>
      <c r="L1179"/>
      <c r="M1179"/>
      <c r="N1179"/>
      <c r="O1179"/>
      <c r="P1179"/>
      <c r="Q1179"/>
    </row>
    <row r="1180" spans="1:19" x14ac:dyDescent="0.25">
      <c r="K1180"/>
      <c r="L1180"/>
      <c r="M1180" s="808">
        <f>M1178*K1045</f>
        <v>25860</v>
      </c>
      <c r="N1180"/>
      <c r="O1180"/>
      <c r="P1180" s="926">
        <v>209500000</v>
      </c>
      <c r="Q1180"/>
    </row>
    <row r="1181" spans="1:19" x14ac:dyDescent="0.25">
      <c r="H1181" s="9">
        <f>SUBTOTAL(9,H35:H37)</f>
        <v>402645360</v>
      </c>
      <c r="K1181"/>
      <c r="L1181"/>
      <c r="M1181"/>
      <c r="N1181"/>
      <c r="O1181"/>
      <c r="P1181" s="16">
        <f>K982+K984</f>
        <v>293000000</v>
      </c>
      <c r="Q1181"/>
    </row>
    <row r="1182" spans="1:19" x14ac:dyDescent="0.25">
      <c r="K1182"/>
      <c r="L1182"/>
      <c r="M1182"/>
      <c r="N1182"/>
      <c r="O1182"/>
      <c r="P1182" s="16">
        <f>P1181-P1180</f>
        <v>83500000</v>
      </c>
      <c r="Q1182"/>
    </row>
    <row r="1183" spans="1:19" x14ac:dyDescent="0.25">
      <c r="K1183"/>
      <c r="L1183"/>
      <c r="M1183"/>
      <c r="N1183"/>
      <c r="O1183"/>
      <c r="P1183" s="16">
        <f>P1182-L982-L984</f>
        <v>63500000</v>
      </c>
      <c r="Q1183"/>
    </row>
    <row r="1184" spans="1:19" x14ac:dyDescent="0.25">
      <c r="K1184"/>
      <c r="L1184"/>
      <c r="M1184"/>
      <c r="N1184"/>
      <c r="O1184"/>
      <c r="P1184"/>
      <c r="Q1184"/>
    </row>
    <row r="1185" spans="11:17" x14ac:dyDescent="0.25">
      <c r="K1185"/>
      <c r="L1185"/>
      <c r="M1185"/>
      <c r="N1185"/>
      <c r="O1185"/>
      <c r="P1185"/>
      <c r="Q1185"/>
    </row>
    <row r="1186" spans="11:17" x14ac:dyDescent="0.25">
      <c r="K1186"/>
      <c r="L1186"/>
      <c r="M1186"/>
      <c r="N1186"/>
      <c r="O1186"/>
      <c r="P1186"/>
      <c r="Q1186"/>
    </row>
    <row r="1187" spans="11:17" x14ac:dyDescent="0.25">
      <c r="K1187"/>
      <c r="L1187"/>
      <c r="M1187"/>
      <c r="N1187"/>
      <c r="O1187"/>
      <c r="P1187"/>
      <c r="Q1187"/>
    </row>
    <row r="1188" spans="11:17" x14ac:dyDescent="0.25">
      <c r="K1188"/>
      <c r="L1188"/>
      <c r="M1188"/>
      <c r="N1188"/>
      <c r="O1188"/>
      <c r="P1188"/>
      <c r="Q1188"/>
    </row>
    <row r="1189" spans="11:17" x14ac:dyDescent="0.25">
      <c r="K1189"/>
      <c r="L1189"/>
      <c r="M1189"/>
      <c r="N1189"/>
      <c r="O1189"/>
      <c r="P1189"/>
      <c r="Q1189"/>
    </row>
    <row r="1190" spans="11:17" x14ac:dyDescent="0.25">
      <c r="K1190"/>
      <c r="L1190"/>
      <c r="M1190"/>
      <c r="N1190"/>
      <c r="O1190"/>
      <c r="P1190"/>
      <c r="Q1190"/>
    </row>
    <row r="1191" spans="11:17" x14ac:dyDescent="0.25">
      <c r="K1191"/>
      <c r="L1191"/>
      <c r="M1191"/>
      <c r="N1191"/>
      <c r="O1191"/>
      <c r="P1191"/>
      <c r="Q1191"/>
    </row>
    <row r="1192" spans="11:17" x14ac:dyDescent="0.25">
      <c r="K1192"/>
      <c r="L1192"/>
      <c r="M1192"/>
      <c r="N1192"/>
      <c r="O1192"/>
      <c r="P1192"/>
      <c r="Q1192"/>
    </row>
    <row r="1193" spans="11:17" x14ac:dyDescent="0.25">
      <c r="K1193"/>
      <c r="L1193"/>
      <c r="M1193"/>
      <c r="N1193"/>
      <c r="O1193"/>
      <c r="P1193"/>
      <c r="Q1193"/>
    </row>
    <row r="1194" spans="11:17" x14ac:dyDescent="0.25">
      <c r="K1194"/>
      <c r="L1194"/>
      <c r="M1194"/>
      <c r="N1194"/>
      <c r="O1194"/>
      <c r="P1194"/>
      <c r="Q1194"/>
    </row>
    <row r="1195" spans="11:17" x14ac:dyDescent="0.25">
      <c r="K1195"/>
      <c r="L1195"/>
      <c r="M1195"/>
      <c r="N1195"/>
      <c r="O1195"/>
      <c r="P1195"/>
      <c r="Q1195"/>
    </row>
    <row r="1196" spans="11:17" x14ac:dyDescent="0.25">
      <c r="K1196"/>
      <c r="L1196"/>
      <c r="M1196"/>
      <c r="N1196"/>
      <c r="O1196"/>
      <c r="P1196"/>
      <c r="Q1196"/>
    </row>
    <row r="1197" spans="11:17" x14ac:dyDescent="0.25">
      <c r="K1197"/>
      <c r="L1197"/>
      <c r="M1197"/>
      <c r="N1197"/>
      <c r="O1197"/>
      <c r="P1197"/>
      <c r="Q1197"/>
    </row>
    <row r="1198" spans="11:17" x14ac:dyDescent="0.25">
      <c r="K1198"/>
      <c r="L1198"/>
      <c r="M1198"/>
      <c r="N1198"/>
      <c r="O1198"/>
      <c r="P1198"/>
      <c r="Q1198"/>
    </row>
    <row r="1199" spans="11:17" x14ac:dyDescent="0.25">
      <c r="K1199"/>
      <c r="L1199"/>
      <c r="M1199"/>
      <c r="N1199"/>
      <c r="O1199"/>
      <c r="P1199"/>
      <c r="Q1199"/>
    </row>
    <row r="1200" spans="11:17" x14ac:dyDescent="0.25">
      <c r="K1200"/>
      <c r="L1200"/>
      <c r="M1200"/>
      <c r="N1200"/>
      <c r="O1200"/>
      <c r="P1200"/>
      <c r="Q1200"/>
    </row>
    <row r="1201" spans="11:17" x14ac:dyDescent="0.25">
      <c r="K1201"/>
      <c r="L1201"/>
      <c r="M1201"/>
      <c r="N1201"/>
      <c r="O1201"/>
      <c r="P1201"/>
      <c r="Q1201"/>
    </row>
    <row r="1202" spans="11:17" x14ac:dyDescent="0.25">
      <c r="K1202"/>
      <c r="L1202"/>
      <c r="M1202"/>
      <c r="N1202"/>
      <c r="O1202"/>
      <c r="P1202"/>
      <c r="Q1202"/>
    </row>
    <row r="1203" spans="11:17" x14ac:dyDescent="0.25">
      <c r="K1203"/>
      <c r="L1203"/>
      <c r="M1203"/>
      <c r="N1203"/>
      <c r="O1203"/>
      <c r="P1203"/>
      <c r="Q1203"/>
    </row>
    <row r="1204" spans="11:17" x14ac:dyDescent="0.25">
      <c r="K1204"/>
      <c r="L1204"/>
      <c r="M1204"/>
      <c r="N1204"/>
      <c r="O1204"/>
      <c r="P1204"/>
      <c r="Q1204"/>
    </row>
    <row r="1205" spans="11:17" x14ac:dyDescent="0.25">
      <c r="K1205"/>
      <c r="L1205"/>
      <c r="M1205"/>
      <c r="N1205"/>
      <c r="O1205"/>
      <c r="P1205"/>
      <c r="Q1205"/>
    </row>
    <row r="1206" spans="11:17" x14ac:dyDescent="0.25">
      <c r="K1206"/>
      <c r="L1206"/>
      <c r="M1206"/>
      <c r="N1206"/>
      <c r="O1206"/>
      <c r="P1206"/>
      <c r="Q1206"/>
    </row>
    <row r="1207" spans="11:17" x14ac:dyDescent="0.25">
      <c r="K1207"/>
      <c r="L1207"/>
      <c r="M1207"/>
      <c r="N1207"/>
      <c r="O1207"/>
      <c r="P1207"/>
      <c r="Q1207"/>
    </row>
    <row r="1208" spans="11:17" x14ac:dyDescent="0.25">
      <c r="K1208"/>
      <c r="L1208"/>
      <c r="M1208"/>
      <c r="N1208"/>
      <c r="O1208"/>
      <c r="P1208"/>
      <c r="Q1208"/>
    </row>
    <row r="1209" spans="11:17" x14ac:dyDescent="0.25">
      <c r="K1209"/>
      <c r="L1209"/>
      <c r="M1209"/>
      <c r="N1209"/>
      <c r="O1209"/>
      <c r="P1209"/>
      <c r="Q1209"/>
    </row>
    <row r="1210" spans="11:17" x14ac:dyDescent="0.25">
      <c r="K1210"/>
      <c r="L1210"/>
      <c r="M1210"/>
      <c r="N1210"/>
      <c r="O1210"/>
      <c r="P1210"/>
      <c r="Q1210"/>
    </row>
    <row r="1211" spans="11:17" x14ac:dyDescent="0.25">
      <c r="K1211"/>
      <c r="L1211"/>
      <c r="M1211"/>
      <c r="N1211"/>
      <c r="O1211"/>
      <c r="P1211"/>
      <c r="Q1211"/>
    </row>
    <row r="1212" spans="11:17" x14ac:dyDescent="0.25">
      <c r="K1212"/>
      <c r="L1212"/>
      <c r="M1212"/>
      <c r="N1212"/>
      <c r="O1212"/>
      <c r="P1212"/>
      <c r="Q1212"/>
    </row>
    <row r="1213" spans="11:17" x14ac:dyDescent="0.25">
      <c r="K1213"/>
      <c r="L1213"/>
      <c r="M1213"/>
      <c r="N1213"/>
      <c r="O1213"/>
      <c r="P1213"/>
      <c r="Q1213"/>
    </row>
    <row r="1214" spans="11:17" x14ac:dyDescent="0.25">
      <c r="K1214"/>
      <c r="L1214"/>
      <c r="M1214"/>
      <c r="N1214"/>
      <c r="O1214"/>
      <c r="P1214"/>
      <c r="Q1214"/>
    </row>
    <row r="1215" spans="11:17" x14ac:dyDescent="0.25">
      <c r="K1215"/>
      <c r="L1215"/>
      <c r="M1215"/>
      <c r="N1215"/>
      <c r="O1215"/>
      <c r="P1215"/>
      <c r="Q1215"/>
    </row>
    <row r="1216" spans="11:17" x14ac:dyDescent="0.25">
      <c r="K1216"/>
      <c r="L1216"/>
      <c r="M1216"/>
      <c r="N1216"/>
      <c r="O1216"/>
      <c r="P1216"/>
      <c r="Q1216"/>
    </row>
    <row r="1217" spans="11:17" x14ac:dyDescent="0.25">
      <c r="K1217"/>
      <c r="L1217"/>
      <c r="M1217"/>
      <c r="N1217"/>
      <c r="O1217"/>
      <c r="P1217"/>
      <c r="Q1217"/>
    </row>
    <row r="1218" spans="11:17" x14ac:dyDescent="0.25">
      <c r="K1218"/>
      <c r="L1218"/>
      <c r="M1218"/>
      <c r="N1218"/>
      <c r="O1218"/>
      <c r="P1218"/>
      <c r="Q1218"/>
    </row>
    <row r="1219" spans="11:17" x14ac:dyDescent="0.25">
      <c r="K1219"/>
      <c r="L1219"/>
      <c r="M1219"/>
      <c r="N1219"/>
      <c r="O1219"/>
      <c r="P1219"/>
      <c r="Q1219"/>
    </row>
    <row r="1220" spans="11:17" x14ac:dyDescent="0.25">
      <c r="K1220"/>
      <c r="L1220"/>
      <c r="M1220"/>
      <c r="N1220"/>
      <c r="O1220"/>
      <c r="P1220"/>
      <c r="Q1220"/>
    </row>
    <row r="1221" spans="11:17" x14ac:dyDescent="0.25">
      <c r="K1221"/>
      <c r="L1221"/>
      <c r="M1221"/>
      <c r="N1221"/>
      <c r="O1221"/>
      <c r="P1221"/>
      <c r="Q1221"/>
    </row>
    <row r="1222" spans="11:17" x14ac:dyDescent="0.25">
      <c r="K1222"/>
      <c r="L1222"/>
      <c r="M1222"/>
      <c r="N1222"/>
      <c r="O1222"/>
      <c r="P1222"/>
      <c r="Q1222"/>
    </row>
    <row r="1223" spans="11:17" x14ac:dyDescent="0.25">
      <c r="K1223"/>
      <c r="L1223"/>
      <c r="M1223"/>
      <c r="N1223"/>
      <c r="O1223"/>
      <c r="P1223"/>
      <c r="Q1223"/>
    </row>
    <row r="1224" spans="11:17" x14ac:dyDescent="0.25">
      <c r="K1224"/>
      <c r="L1224"/>
      <c r="M1224"/>
      <c r="N1224"/>
      <c r="O1224"/>
      <c r="P1224"/>
      <c r="Q1224"/>
    </row>
    <row r="1225" spans="11:17" x14ac:dyDescent="0.25">
      <c r="K1225"/>
      <c r="L1225"/>
      <c r="M1225"/>
      <c r="N1225"/>
      <c r="O1225"/>
      <c r="P1225"/>
      <c r="Q1225"/>
    </row>
    <row r="1226" spans="11:17" x14ac:dyDescent="0.25">
      <c r="K1226"/>
      <c r="L1226"/>
      <c r="M1226"/>
      <c r="N1226"/>
      <c r="O1226"/>
      <c r="P1226"/>
      <c r="Q1226"/>
    </row>
    <row r="1227" spans="11:17" x14ac:dyDescent="0.25">
      <c r="K1227"/>
      <c r="L1227"/>
      <c r="M1227"/>
      <c r="N1227"/>
      <c r="O1227"/>
      <c r="P1227"/>
      <c r="Q1227"/>
    </row>
    <row r="1228" spans="11:17" x14ac:dyDescent="0.25">
      <c r="K1228"/>
      <c r="L1228"/>
      <c r="M1228"/>
      <c r="N1228"/>
      <c r="O1228"/>
      <c r="P1228"/>
      <c r="Q1228"/>
    </row>
    <row r="1229" spans="11:17" x14ac:dyDescent="0.25">
      <c r="K1229"/>
      <c r="L1229"/>
      <c r="M1229"/>
      <c r="N1229"/>
      <c r="O1229"/>
      <c r="P1229"/>
      <c r="Q1229"/>
    </row>
    <row r="1230" spans="11:17" x14ac:dyDescent="0.25">
      <c r="K1230"/>
      <c r="L1230"/>
      <c r="M1230"/>
      <c r="N1230"/>
      <c r="O1230"/>
      <c r="P1230"/>
      <c r="Q1230"/>
    </row>
    <row r="1231" spans="11:17" x14ac:dyDescent="0.25">
      <c r="K1231"/>
      <c r="L1231"/>
      <c r="M1231"/>
      <c r="N1231"/>
      <c r="O1231"/>
      <c r="P1231"/>
      <c r="Q1231"/>
    </row>
    <row r="1232" spans="11:17" x14ac:dyDescent="0.25">
      <c r="K1232"/>
      <c r="L1232"/>
      <c r="M1232"/>
      <c r="N1232"/>
      <c r="O1232"/>
      <c r="P1232"/>
      <c r="Q1232"/>
    </row>
    <row r="1233" spans="11:17" x14ac:dyDescent="0.25">
      <c r="K1233"/>
      <c r="L1233"/>
      <c r="M1233"/>
      <c r="N1233"/>
      <c r="O1233"/>
      <c r="P1233"/>
      <c r="Q1233"/>
    </row>
    <row r="1234" spans="11:17" x14ac:dyDescent="0.25">
      <c r="K1234"/>
      <c r="L1234"/>
      <c r="M1234"/>
      <c r="N1234"/>
      <c r="O1234"/>
      <c r="P1234"/>
      <c r="Q1234"/>
    </row>
    <row r="1235" spans="11:17" x14ac:dyDescent="0.25">
      <c r="K1235"/>
      <c r="L1235"/>
      <c r="M1235"/>
      <c r="N1235"/>
      <c r="O1235"/>
      <c r="P1235"/>
      <c r="Q1235"/>
    </row>
    <row r="1236" spans="11:17" x14ac:dyDescent="0.25">
      <c r="K1236"/>
      <c r="L1236"/>
      <c r="M1236"/>
      <c r="N1236"/>
      <c r="O1236"/>
      <c r="P1236"/>
      <c r="Q1236"/>
    </row>
    <row r="1237" spans="11:17" x14ac:dyDescent="0.25">
      <c r="K1237"/>
      <c r="L1237"/>
      <c r="M1237"/>
      <c r="N1237"/>
      <c r="O1237"/>
      <c r="P1237"/>
      <c r="Q1237"/>
    </row>
    <row r="1238" spans="11:17" x14ac:dyDescent="0.25">
      <c r="K1238"/>
      <c r="L1238"/>
      <c r="M1238"/>
      <c r="N1238"/>
      <c r="O1238"/>
      <c r="P1238"/>
      <c r="Q1238"/>
    </row>
    <row r="1239" spans="11:17" x14ac:dyDescent="0.25">
      <c r="K1239"/>
      <c r="L1239"/>
      <c r="M1239"/>
      <c r="N1239"/>
      <c r="O1239"/>
      <c r="P1239"/>
      <c r="Q1239"/>
    </row>
    <row r="1240" spans="11:17" x14ac:dyDescent="0.25">
      <c r="K1240"/>
      <c r="L1240"/>
      <c r="M1240"/>
      <c r="N1240"/>
      <c r="O1240"/>
      <c r="P1240"/>
      <c r="Q1240"/>
    </row>
    <row r="1241" spans="11:17" x14ac:dyDescent="0.25">
      <c r="K1241"/>
      <c r="L1241"/>
      <c r="M1241"/>
      <c r="N1241"/>
      <c r="O1241"/>
      <c r="P1241"/>
      <c r="Q1241"/>
    </row>
    <row r="1242" spans="11:17" x14ac:dyDescent="0.25">
      <c r="K1242"/>
      <c r="L1242"/>
      <c r="M1242"/>
      <c r="N1242"/>
      <c r="O1242"/>
      <c r="P1242"/>
      <c r="Q1242"/>
    </row>
    <row r="1243" spans="11:17" x14ac:dyDescent="0.25">
      <c r="K1243"/>
      <c r="L1243"/>
      <c r="M1243"/>
      <c r="N1243"/>
      <c r="O1243"/>
      <c r="P1243"/>
      <c r="Q1243"/>
    </row>
    <row r="1244" spans="11:17" x14ac:dyDescent="0.25">
      <c r="K1244"/>
      <c r="L1244"/>
      <c r="M1244"/>
      <c r="N1244"/>
      <c r="O1244"/>
      <c r="P1244"/>
      <c r="Q1244"/>
    </row>
    <row r="1245" spans="11:17" x14ac:dyDescent="0.25">
      <c r="K1245"/>
      <c r="L1245"/>
      <c r="M1245"/>
      <c r="N1245"/>
      <c r="O1245"/>
      <c r="P1245"/>
      <c r="Q1245"/>
    </row>
    <row r="1246" spans="11:17" x14ac:dyDescent="0.25">
      <c r="K1246"/>
      <c r="L1246"/>
      <c r="M1246"/>
      <c r="N1246"/>
      <c r="O1246"/>
      <c r="P1246"/>
      <c r="Q1246"/>
    </row>
    <row r="1247" spans="11:17" x14ac:dyDescent="0.25">
      <c r="K1247"/>
      <c r="L1247"/>
      <c r="M1247"/>
      <c r="N1247"/>
      <c r="O1247"/>
      <c r="P1247"/>
      <c r="Q1247"/>
    </row>
    <row r="1248" spans="11:17" x14ac:dyDescent="0.25">
      <c r="K1248"/>
      <c r="L1248"/>
      <c r="M1248"/>
      <c r="N1248"/>
      <c r="O1248"/>
      <c r="P1248"/>
      <c r="Q1248"/>
    </row>
    <row r="1249" spans="11:17" x14ac:dyDescent="0.25">
      <c r="K1249"/>
      <c r="L1249"/>
      <c r="M1249"/>
      <c r="N1249"/>
      <c r="O1249"/>
      <c r="P1249"/>
      <c r="Q1249"/>
    </row>
    <row r="1250" spans="11:17" x14ac:dyDescent="0.25">
      <c r="K1250"/>
      <c r="L1250"/>
      <c r="M1250"/>
      <c r="N1250"/>
      <c r="O1250"/>
      <c r="P1250"/>
      <c r="Q1250"/>
    </row>
    <row r="1251" spans="11:17" x14ac:dyDescent="0.25">
      <c r="K1251"/>
      <c r="L1251"/>
      <c r="M1251"/>
      <c r="N1251"/>
      <c r="O1251"/>
      <c r="P1251"/>
      <c r="Q1251"/>
    </row>
    <row r="1252" spans="11:17" x14ac:dyDescent="0.25">
      <c r="K1252"/>
      <c r="L1252"/>
      <c r="M1252"/>
      <c r="N1252"/>
      <c r="O1252"/>
      <c r="P1252"/>
      <c r="Q1252"/>
    </row>
    <row r="1253" spans="11:17" x14ac:dyDescent="0.25">
      <c r="K1253"/>
      <c r="L1253"/>
      <c r="M1253"/>
      <c r="N1253"/>
      <c r="O1253"/>
      <c r="P1253"/>
      <c r="Q1253"/>
    </row>
    <row r="1254" spans="11:17" x14ac:dyDescent="0.25">
      <c r="K1254"/>
      <c r="L1254"/>
      <c r="M1254"/>
      <c r="N1254"/>
      <c r="O1254"/>
      <c r="P1254"/>
      <c r="Q1254"/>
    </row>
    <row r="1255" spans="11:17" x14ac:dyDescent="0.25">
      <c r="K1255"/>
      <c r="L1255"/>
      <c r="M1255"/>
      <c r="N1255"/>
      <c r="O1255"/>
      <c r="P1255"/>
      <c r="Q1255"/>
    </row>
    <row r="1256" spans="11:17" x14ac:dyDescent="0.25">
      <c r="K1256"/>
      <c r="L1256"/>
      <c r="M1256"/>
      <c r="N1256"/>
      <c r="O1256"/>
      <c r="P1256"/>
      <c r="Q1256"/>
    </row>
    <row r="1257" spans="11:17" x14ac:dyDescent="0.25">
      <c r="K1257"/>
      <c r="L1257"/>
      <c r="M1257"/>
      <c r="N1257"/>
      <c r="O1257"/>
      <c r="P1257"/>
      <c r="Q1257"/>
    </row>
    <row r="1258" spans="11:17" x14ac:dyDescent="0.25">
      <c r="K1258"/>
      <c r="L1258"/>
      <c r="M1258"/>
      <c r="N1258"/>
      <c r="O1258"/>
      <c r="P1258"/>
      <c r="Q1258"/>
    </row>
    <row r="1259" spans="11:17" x14ac:dyDescent="0.25">
      <c r="K1259"/>
      <c r="L1259"/>
      <c r="M1259"/>
      <c r="N1259"/>
      <c r="O1259"/>
      <c r="P1259"/>
      <c r="Q1259"/>
    </row>
    <row r="1260" spans="11:17" x14ac:dyDescent="0.25">
      <c r="K1260"/>
      <c r="L1260"/>
      <c r="M1260"/>
      <c r="N1260"/>
      <c r="O1260"/>
      <c r="P1260"/>
      <c r="Q1260"/>
    </row>
    <row r="1261" spans="11:17" x14ac:dyDescent="0.25">
      <c r="K1261"/>
      <c r="L1261"/>
      <c r="M1261"/>
      <c r="N1261"/>
      <c r="O1261"/>
      <c r="P1261"/>
      <c r="Q1261"/>
    </row>
    <row r="1262" spans="11:17" x14ac:dyDescent="0.25">
      <c r="K1262"/>
      <c r="L1262"/>
      <c r="M1262"/>
      <c r="N1262"/>
      <c r="O1262"/>
      <c r="P1262"/>
      <c r="Q1262"/>
    </row>
    <row r="1263" spans="11:17" x14ac:dyDescent="0.25">
      <c r="K1263"/>
      <c r="L1263"/>
      <c r="M1263"/>
      <c r="N1263"/>
      <c r="O1263"/>
      <c r="P1263"/>
      <c r="Q1263"/>
    </row>
    <row r="1264" spans="11:17" x14ac:dyDescent="0.25">
      <c r="K1264"/>
      <c r="L1264"/>
      <c r="M1264"/>
      <c r="N1264"/>
      <c r="O1264"/>
      <c r="P1264"/>
      <c r="Q1264"/>
    </row>
    <row r="1265" spans="11:17" x14ac:dyDescent="0.25">
      <c r="K1265"/>
      <c r="L1265"/>
      <c r="M1265"/>
      <c r="N1265"/>
      <c r="O1265"/>
      <c r="P1265"/>
      <c r="Q1265"/>
    </row>
    <row r="1266" spans="11:17" x14ac:dyDescent="0.25">
      <c r="K1266"/>
      <c r="L1266"/>
      <c r="M1266"/>
      <c r="N1266"/>
      <c r="O1266"/>
      <c r="P1266"/>
      <c r="Q1266"/>
    </row>
    <row r="1267" spans="11:17" x14ac:dyDescent="0.25">
      <c r="K1267"/>
      <c r="L1267"/>
      <c r="M1267"/>
      <c r="N1267"/>
      <c r="O1267"/>
      <c r="P1267"/>
      <c r="Q1267"/>
    </row>
    <row r="1268" spans="11:17" x14ac:dyDescent="0.25">
      <c r="K1268"/>
      <c r="L1268"/>
      <c r="M1268"/>
      <c r="N1268"/>
      <c r="O1268"/>
      <c r="P1268"/>
      <c r="Q1268"/>
    </row>
    <row r="1269" spans="11:17" x14ac:dyDescent="0.25">
      <c r="K1269"/>
      <c r="L1269"/>
      <c r="M1269"/>
      <c r="N1269"/>
      <c r="O1269"/>
      <c r="P1269"/>
      <c r="Q1269"/>
    </row>
    <row r="1270" spans="11:17" x14ac:dyDescent="0.25">
      <c r="K1270"/>
      <c r="L1270"/>
      <c r="M1270"/>
      <c r="N1270"/>
      <c r="O1270"/>
      <c r="P1270"/>
      <c r="Q1270"/>
    </row>
    <row r="1271" spans="11:17" x14ac:dyDescent="0.25">
      <c r="K1271"/>
      <c r="L1271"/>
      <c r="M1271"/>
      <c r="N1271"/>
      <c r="O1271"/>
      <c r="P1271"/>
      <c r="Q1271"/>
    </row>
    <row r="1272" spans="11:17" x14ac:dyDescent="0.25">
      <c r="K1272"/>
      <c r="L1272"/>
      <c r="M1272"/>
      <c r="N1272"/>
      <c r="O1272"/>
      <c r="P1272"/>
      <c r="Q1272"/>
    </row>
    <row r="1273" spans="11:17" x14ac:dyDescent="0.25">
      <c r="K1273"/>
      <c r="L1273"/>
      <c r="M1273"/>
      <c r="N1273"/>
      <c r="O1273"/>
      <c r="P1273"/>
      <c r="Q1273"/>
    </row>
    <row r="1274" spans="11:17" x14ac:dyDescent="0.25">
      <c r="K1274"/>
      <c r="L1274"/>
      <c r="M1274"/>
      <c r="N1274"/>
      <c r="O1274"/>
      <c r="P1274"/>
      <c r="Q1274"/>
    </row>
    <row r="1275" spans="11:17" x14ac:dyDescent="0.25">
      <c r="K1275"/>
      <c r="L1275"/>
      <c r="M1275"/>
      <c r="N1275"/>
      <c r="O1275"/>
      <c r="P1275"/>
      <c r="Q1275"/>
    </row>
    <row r="1276" spans="11:17" x14ac:dyDescent="0.25">
      <c r="K1276"/>
      <c r="L1276"/>
      <c r="M1276"/>
      <c r="N1276"/>
      <c r="O1276"/>
      <c r="P1276"/>
      <c r="Q1276"/>
    </row>
    <row r="1277" spans="11:17" x14ac:dyDescent="0.25">
      <c r="K1277"/>
      <c r="L1277"/>
      <c r="M1277"/>
      <c r="N1277"/>
      <c r="O1277"/>
      <c r="P1277"/>
      <c r="Q1277"/>
    </row>
    <row r="1278" spans="11:17" x14ac:dyDescent="0.25">
      <c r="K1278"/>
      <c r="L1278"/>
      <c r="M1278"/>
      <c r="N1278"/>
      <c r="O1278"/>
      <c r="P1278"/>
      <c r="Q1278"/>
    </row>
    <row r="1279" spans="11:17" x14ac:dyDescent="0.25">
      <c r="K1279"/>
      <c r="L1279"/>
      <c r="M1279"/>
      <c r="N1279"/>
      <c r="O1279"/>
      <c r="P1279"/>
      <c r="Q1279"/>
    </row>
    <row r="1280" spans="11:17" x14ac:dyDescent="0.25">
      <c r="K1280"/>
      <c r="L1280"/>
      <c r="M1280"/>
      <c r="N1280"/>
      <c r="O1280"/>
      <c r="P1280"/>
      <c r="Q1280"/>
    </row>
    <row r="1281" spans="11:17" x14ac:dyDescent="0.25">
      <c r="K1281"/>
      <c r="L1281"/>
      <c r="M1281"/>
      <c r="N1281"/>
      <c r="O1281"/>
      <c r="P1281"/>
      <c r="Q1281"/>
    </row>
    <row r="1282" spans="11:17" x14ac:dyDescent="0.25">
      <c r="K1282"/>
      <c r="L1282"/>
      <c r="M1282"/>
      <c r="N1282"/>
      <c r="O1282"/>
      <c r="P1282"/>
      <c r="Q1282"/>
    </row>
    <row r="1283" spans="11:17" x14ac:dyDescent="0.25">
      <c r="K1283"/>
      <c r="L1283"/>
      <c r="M1283"/>
      <c r="N1283"/>
      <c r="O1283"/>
      <c r="P1283"/>
      <c r="Q1283"/>
    </row>
    <row r="1284" spans="11:17" x14ac:dyDescent="0.25">
      <c r="K1284"/>
      <c r="L1284"/>
      <c r="M1284"/>
      <c r="N1284"/>
      <c r="O1284"/>
      <c r="P1284"/>
      <c r="Q1284"/>
    </row>
    <row r="1285" spans="11:17" x14ac:dyDescent="0.25">
      <c r="K1285"/>
      <c r="L1285"/>
      <c r="M1285"/>
      <c r="N1285"/>
      <c r="O1285"/>
      <c r="P1285"/>
      <c r="Q1285"/>
    </row>
    <row r="1286" spans="11:17" x14ac:dyDescent="0.25">
      <c r="K1286"/>
      <c r="L1286"/>
      <c r="M1286"/>
      <c r="N1286"/>
      <c r="O1286"/>
      <c r="P1286"/>
      <c r="Q1286"/>
    </row>
    <row r="1287" spans="11:17" x14ac:dyDescent="0.25">
      <c r="K1287"/>
      <c r="L1287"/>
      <c r="M1287"/>
      <c r="N1287"/>
      <c r="O1287"/>
      <c r="P1287"/>
      <c r="Q1287"/>
    </row>
    <row r="1288" spans="11:17" x14ac:dyDescent="0.25">
      <c r="K1288"/>
      <c r="L1288"/>
      <c r="M1288"/>
      <c r="N1288"/>
      <c r="O1288"/>
      <c r="P1288"/>
      <c r="Q1288"/>
    </row>
    <row r="1289" spans="11:17" x14ac:dyDescent="0.25">
      <c r="K1289"/>
      <c r="L1289"/>
      <c r="M1289"/>
      <c r="N1289"/>
      <c r="O1289"/>
      <c r="P1289"/>
      <c r="Q1289"/>
    </row>
    <row r="1290" spans="11:17" x14ac:dyDescent="0.25">
      <c r="K1290"/>
      <c r="L1290"/>
      <c r="M1290"/>
      <c r="N1290"/>
      <c r="O1290"/>
      <c r="P1290"/>
      <c r="Q1290"/>
    </row>
    <row r="1291" spans="11:17" x14ac:dyDescent="0.25">
      <c r="K1291"/>
      <c r="L1291"/>
      <c r="M1291"/>
      <c r="N1291"/>
      <c r="O1291"/>
      <c r="P1291"/>
      <c r="Q1291"/>
    </row>
    <row r="1292" spans="11:17" x14ac:dyDescent="0.25">
      <c r="K1292"/>
      <c r="L1292"/>
      <c r="M1292"/>
      <c r="N1292"/>
      <c r="O1292"/>
      <c r="P1292"/>
      <c r="Q1292"/>
    </row>
    <row r="1293" spans="11:17" x14ac:dyDescent="0.25">
      <c r="K1293"/>
      <c r="L1293"/>
      <c r="M1293"/>
      <c r="N1293"/>
      <c r="O1293"/>
      <c r="P1293"/>
      <c r="Q1293"/>
    </row>
    <row r="1294" spans="11:17" x14ac:dyDescent="0.25">
      <c r="K1294"/>
      <c r="L1294"/>
      <c r="M1294"/>
      <c r="N1294"/>
      <c r="O1294"/>
      <c r="P1294"/>
      <c r="Q1294"/>
    </row>
    <row r="1295" spans="11:17" x14ac:dyDescent="0.25">
      <c r="K1295"/>
      <c r="L1295"/>
      <c r="M1295"/>
      <c r="N1295"/>
      <c r="O1295"/>
      <c r="P1295"/>
      <c r="Q1295"/>
    </row>
    <row r="1296" spans="11:17" x14ac:dyDescent="0.25">
      <c r="K1296"/>
      <c r="L1296"/>
      <c r="M1296"/>
      <c r="N1296"/>
      <c r="O1296"/>
      <c r="P1296"/>
      <c r="Q1296"/>
    </row>
    <row r="1297" spans="11:17" x14ac:dyDescent="0.25">
      <c r="K1297"/>
      <c r="L1297"/>
      <c r="M1297"/>
      <c r="N1297"/>
      <c r="O1297"/>
      <c r="P1297"/>
      <c r="Q1297"/>
    </row>
    <row r="1298" spans="11:17" x14ac:dyDescent="0.25">
      <c r="K1298"/>
      <c r="L1298"/>
      <c r="M1298"/>
      <c r="N1298"/>
      <c r="O1298"/>
      <c r="P1298"/>
      <c r="Q1298"/>
    </row>
    <row r="1299" spans="11:17" x14ac:dyDescent="0.25">
      <c r="K1299"/>
      <c r="L1299"/>
      <c r="M1299"/>
      <c r="N1299"/>
      <c r="O1299"/>
      <c r="P1299"/>
      <c r="Q1299"/>
    </row>
    <row r="1300" spans="11:17" x14ac:dyDescent="0.25">
      <c r="K1300"/>
      <c r="L1300"/>
      <c r="M1300"/>
      <c r="N1300"/>
      <c r="O1300"/>
      <c r="P1300"/>
      <c r="Q1300"/>
    </row>
    <row r="1301" spans="11:17" x14ac:dyDescent="0.25">
      <c r="K1301"/>
      <c r="L1301"/>
      <c r="M1301"/>
      <c r="N1301"/>
      <c r="O1301"/>
      <c r="P1301"/>
      <c r="Q1301"/>
    </row>
    <row r="1302" spans="11:17" x14ac:dyDescent="0.25">
      <c r="K1302"/>
      <c r="L1302"/>
      <c r="M1302"/>
      <c r="N1302"/>
      <c r="O1302"/>
      <c r="P1302"/>
      <c r="Q1302"/>
    </row>
    <row r="1303" spans="11:17" x14ac:dyDescent="0.25">
      <c r="K1303"/>
      <c r="L1303"/>
      <c r="M1303"/>
      <c r="N1303"/>
      <c r="O1303"/>
      <c r="P1303"/>
      <c r="Q1303"/>
    </row>
    <row r="1304" spans="11:17" x14ac:dyDescent="0.25">
      <c r="K1304"/>
      <c r="L1304"/>
      <c r="M1304"/>
      <c r="N1304"/>
      <c r="O1304"/>
      <c r="P1304"/>
      <c r="Q1304"/>
    </row>
    <row r="1305" spans="11:17" x14ac:dyDescent="0.25">
      <c r="K1305"/>
      <c r="L1305"/>
      <c r="M1305"/>
      <c r="N1305"/>
      <c r="O1305"/>
      <c r="P1305"/>
      <c r="Q1305"/>
    </row>
    <row r="1306" spans="11:17" x14ac:dyDescent="0.25">
      <c r="K1306"/>
      <c r="L1306"/>
      <c r="M1306"/>
      <c r="N1306"/>
      <c r="O1306"/>
      <c r="P1306"/>
      <c r="Q1306"/>
    </row>
    <row r="1307" spans="11:17" x14ac:dyDescent="0.25">
      <c r="K1307"/>
      <c r="L1307"/>
      <c r="M1307"/>
      <c r="N1307"/>
      <c r="O1307"/>
      <c r="P1307"/>
      <c r="Q1307"/>
    </row>
    <row r="1308" spans="11:17" x14ac:dyDescent="0.25">
      <c r="K1308"/>
      <c r="L1308"/>
      <c r="M1308"/>
      <c r="N1308"/>
      <c r="O1308"/>
      <c r="P1308"/>
      <c r="Q1308"/>
    </row>
    <row r="1309" spans="11:17" x14ac:dyDescent="0.25">
      <c r="K1309"/>
      <c r="L1309"/>
      <c r="M1309"/>
      <c r="N1309"/>
      <c r="O1309"/>
      <c r="P1309"/>
      <c r="Q1309"/>
    </row>
    <row r="1310" spans="11:17" x14ac:dyDescent="0.25">
      <c r="K1310"/>
      <c r="L1310"/>
      <c r="M1310"/>
      <c r="N1310"/>
      <c r="O1310"/>
      <c r="P1310"/>
      <c r="Q1310"/>
    </row>
    <row r="1311" spans="11:17" x14ac:dyDescent="0.25">
      <c r="K1311"/>
      <c r="L1311"/>
      <c r="M1311"/>
      <c r="N1311"/>
      <c r="O1311"/>
      <c r="P1311"/>
      <c r="Q1311"/>
    </row>
    <row r="1312" spans="11:17" x14ac:dyDescent="0.25">
      <c r="K1312"/>
      <c r="L1312"/>
      <c r="M1312"/>
      <c r="N1312"/>
      <c r="O1312"/>
      <c r="P1312"/>
      <c r="Q1312"/>
    </row>
    <row r="1313" spans="11:17" x14ac:dyDescent="0.25">
      <c r="K1313"/>
      <c r="L1313"/>
      <c r="M1313"/>
      <c r="N1313"/>
      <c r="O1313"/>
      <c r="P1313"/>
      <c r="Q1313"/>
    </row>
    <row r="1314" spans="11:17" x14ac:dyDescent="0.25">
      <c r="K1314"/>
      <c r="L1314"/>
      <c r="M1314"/>
      <c r="N1314"/>
      <c r="O1314"/>
      <c r="P1314"/>
      <c r="Q1314"/>
    </row>
    <row r="1315" spans="11:17" x14ac:dyDescent="0.25">
      <c r="K1315"/>
      <c r="L1315"/>
      <c r="M1315"/>
      <c r="N1315"/>
      <c r="O1315"/>
      <c r="P1315"/>
      <c r="Q1315"/>
    </row>
    <row r="1316" spans="11:17" x14ac:dyDescent="0.25">
      <c r="K1316"/>
      <c r="L1316"/>
      <c r="M1316"/>
      <c r="N1316"/>
      <c r="O1316"/>
      <c r="P1316"/>
      <c r="Q1316"/>
    </row>
    <row r="1317" spans="11:17" x14ac:dyDescent="0.25">
      <c r="K1317"/>
      <c r="L1317"/>
      <c r="M1317"/>
      <c r="N1317"/>
      <c r="O1317"/>
      <c r="P1317"/>
      <c r="Q1317"/>
    </row>
    <row r="1318" spans="11:17" x14ac:dyDescent="0.25">
      <c r="K1318"/>
      <c r="L1318"/>
      <c r="M1318"/>
      <c r="N1318"/>
      <c r="O1318"/>
      <c r="P1318"/>
      <c r="Q1318"/>
    </row>
    <row r="1319" spans="11:17" x14ac:dyDescent="0.25">
      <c r="K1319"/>
      <c r="L1319"/>
      <c r="M1319"/>
      <c r="N1319"/>
      <c r="O1319"/>
      <c r="P1319"/>
      <c r="Q1319"/>
    </row>
    <row r="1320" spans="11:17" x14ac:dyDescent="0.25">
      <c r="K1320"/>
      <c r="L1320"/>
      <c r="M1320"/>
      <c r="N1320"/>
      <c r="O1320"/>
      <c r="P1320"/>
      <c r="Q1320"/>
    </row>
    <row r="1321" spans="11:17" x14ac:dyDescent="0.25">
      <c r="K1321"/>
      <c r="L1321"/>
      <c r="M1321"/>
      <c r="N1321"/>
      <c r="O1321"/>
      <c r="P1321"/>
      <c r="Q1321"/>
    </row>
    <row r="1322" spans="11:17" x14ac:dyDescent="0.25">
      <c r="K1322"/>
      <c r="L1322"/>
      <c r="M1322"/>
      <c r="N1322"/>
      <c r="O1322"/>
      <c r="P1322"/>
      <c r="Q1322"/>
    </row>
    <row r="1323" spans="11:17" x14ac:dyDescent="0.25">
      <c r="K1323"/>
      <c r="L1323"/>
      <c r="M1323"/>
      <c r="N1323"/>
      <c r="O1323"/>
      <c r="P1323"/>
      <c r="Q1323"/>
    </row>
    <row r="1324" spans="11:17" x14ac:dyDescent="0.25">
      <c r="K1324"/>
      <c r="L1324"/>
      <c r="M1324"/>
      <c r="N1324"/>
      <c r="O1324"/>
      <c r="P1324"/>
      <c r="Q1324"/>
    </row>
    <row r="1325" spans="11:17" x14ac:dyDescent="0.25">
      <c r="K1325"/>
      <c r="L1325"/>
      <c r="M1325"/>
      <c r="N1325"/>
      <c r="O1325"/>
      <c r="P1325"/>
      <c r="Q1325"/>
    </row>
    <row r="1326" spans="11:17" x14ac:dyDescent="0.25">
      <c r="K1326"/>
      <c r="L1326"/>
      <c r="M1326"/>
      <c r="N1326"/>
      <c r="O1326"/>
      <c r="P1326"/>
      <c r="Q1326"/>
    </row>
    <row r="1327" spans="11:17" x14ac:dyDescent="0.25">
      <c r="K1327"/>
      <c r="L1327"/>
      <c r="M1327"/>
      <c r="N1327"/>
      <c r="O1327"/>
      <c r="P1327"/>
      <c r="Q1327"/>
    </row>
    <row r="1328" spans="11:17" x14ac:dyDescent="0.25">
      <c r="K1328"/>
      <c r="L1328"/>
      <c r="M1328"/>
      <c r="N1328"/>
      <c r="O1328"/>
      <c r="P1328"/>
      <c r="Q1328"/>
    </row>
    <row r="1329" spans="11:17" x14ac:dyDescent="0.25">
      <c r="K1329"/>
      <c r="L1329"/>
      <c r="M1329"/>
      <c r="N1329"/>
      <c r="O1329"/>
      <c r="P1329"/>
      <c r="Q1329"/>
    </row>
    <row r="1330" spans="11:17" x14ac:dyDescent="0.25">
      <c r="K1330"/>
      <c r="L1330"/>
      <c r="M1330"/>
      <c r="N1330"/>
      <c r="O1330"/>
      <c r="P1330"/>
      <c r="Q1330"/>
    </row>
    <row r="1331" spans="11:17" x14ac:dyDescent="0.25">
      <c r="K1331"/>
      <c r="L1331"/>
      <c r="M1331"/>
      <c r="N1331"/>
      <c r="O1331"/>
      <c r="P1331"/>
      <c r="Q1331"/>
    </row>
    <row r="1332" spans="11:17" x14ac:dyDescent="0.25">
      <c r="K1332"/>
      <c r="L1332"/>
      <c r="M1332"/>
      <c r="N1332"/>
      <c r="O1332"/>
      <c r="P1332"/>
      <c r="Q1332"/>
    </row>
    <row r="1333" spans="11:17" x14ac:dyDescent="0.25">
      <c r="K1333"/>
      <c r="L1333"/>
      <c r="M1333"/>
      <c r="N1333"/>
      <c r="O1333"/>
      <c r="P1333"/>
      <c r="Q1333"/>
    </row>
    <row r="1334" spans="11:17" x14ac:dyDescent="0.25">
      <c r="K1334"/>
      <c r="L1334"/>
      <c r="M1334"/>
      <c r="N1334"/>
      <c r="O1334"/>
      <c r="P1334"/>
      <c r="Q1334"/>
    </row>
    <row r="1335" spans="11:17" x14ac:dyDescent="0.25">
      <c r="K1335"/>
      <c r="L1335"/>
      <c r="M1335"/>
      <c r="N1335"/>
      <c r="O1335"/>
      <c r="P1335"/>
      <c r="Q1335"/>
    </row>
    <row r="1336" spans="11:17" x14ac:dyDescent="0.25">
      <c r="K1336"/>
      <c r="L1336"/>
      <c r="M1336"/>
      <c r="N1336"/>
      <c r="O1336"/>
      <c r="P1336"/>
      <c r="Q1336"/>
    </row>
    <row r="1337" spans="11:17" x14ac:dyDescent="0.25">
      <c r="K1337"/>
      <c r="L1337"/>
      <c r="M1337"/>
      <c r="N1337"/>
      <c r="O1337"/>
      <c r="P1337"/>
      <c r="Q1337"/>
    </row>
    <row r="1338" spans="11:17" x14ac:dyDescent="0.25">
      <c r="K1338"/>
      <c r="L1338"/>
      <c r="M1338"/>
      <c r="N1338"/>
      <c r="O1338"/>
      <c r="P1338"/>
      <c r="Q1338"/>
    </row>
    <row r="1339" spans="11:17" x14ac:dyDescent="0.25">
      <c r="K1339"/>
      <c r="L1339"/>
      <c r="M1339"/>
      <c r="N1339"/>
      <c r="O1339"/>
      <c r="P1339"/>
      <c r="Q1339"/>
    </row>
    <row r="1340" spans="11:17" x14ac:dyDescent="0.25">
      <c r="K1340"/>
      <c r="L1340"/>
      <c r="M1340"/>
      <c r="N1340"/>
      <c r="O1340"/>
      <c r="P1340"/>
      <c r="Q1340"/>
    </row>
    <row r="1341" spans="11:17" x14ac:dyDescent="0.25">
      <c r="K1341"/>
      <c r="L1341"/>
      <c r="M1341"/>
      <c r="N1341"/>
      <c r="O1341"/>
      <c r="P1341"/>
      <c r="Q1341"/>
    </row>
    <row r="1342" spans="11:17" x14ac:dyDescent="0.25">
      <c r="K1342"/>
      <c r="L1342"/>
      <c r="M1342"/>
      <c r="N1342"/>
      <c r="O1342"/>
      <c r="P1342"/>
      <c r="Q1342"/>
    </row>
    <row r="1343" spans="11:17" x14ac:dyDescent="0.25">
      <c r="K1343"/>
      <c r="L1343"/>
      <c r="M1343"/>
      <c r="N1343"/>
      <c r="O1343"/>
      <c r="P1343"/>
      <c r="Q1343"/>
    </row>
    <row r="1344" spans="11:17" x14ac:dyDescent="0.25">
      <c r="K1344"/>
      <c r="L1344"/>
      <c r="M1344"/>
      <c r="N1344"/>
      <c r="O1344"/>
      <c r="P1344"/>
      <c r="Q1344"/>
    </row>
    <row r="1345" spans="11:17" x14ac:dyDescent="0.25">
      <c r="K1345"/>
      <c r="L1345"/>
      <c r="M1345"/>
      <c r="N1345"/>
      <c r="O1345"/>
      <c r="P1345"/>
      <c r="Q1345"/>
    </row>
    <row r="1346" spans="11:17" x14ac:dyDescent="0.25">
      <c r="K1346"/>
      <c r="L1346"/>
      <c r="M1346"/>
      <c r="N1346"/>
      <c r="O1346"/>
      <c r="P1346"/>
      <c r="Q1346"/>
    </row>
    <row r="1347" spans="11:17" x14ac:dyDescent="0.25">
      <c r="K1347"/>
      <c r="L1347"/>
      <c r="M1347"/>
      <c r="N1347"/>
      <c r="O1347"/>
      <c r="P1347"/>
      <c r="Q1347"/>
    </row>
    <row r="1348" spans="11:17" x14ac:dyDescent="0.25">
      <c r="K1348"/>
      <c r="L1348"/>
      <c r="M1348"/>
      <c r="N1348"/>
      <c r="O1348"/>
      <c r="P1348"/>
      <c r="Q1348"/>
    </row>
    <row r="1349" spans="11:17" x14ac:dyDescent="0.25">
      <c r="K1349"/>
      <c r="L1349"/>
      <c r="M1349"/>
      <c r="N1349"/>
      <c r="O1349"/>
      <c r="P1349"/>
      <c r="Q1349"/>
    </row>
    <row r="1350" spans="11:17" x14ac:dyDescent="0.25">
      <c r="K1350"/>
      <c r="L1350"/>
      <c r="M1350"/>
      <c r="N1350"/>
      <c r="O1350"/>
      <c r="P1350"/>
      <c r="Q1350"/>
    </row>
    <row r="1351" spans="11:17" x14ac:dyDescent="0.25">
      <c r="K1351"/>
      <c r="L1351"/>
      <c r="M1351"/>
      <c r="N1351"/>
      <c r="O1351"/>
      <c r="P1351"/>
      <c r="Q1351"/>
    </row>
    <row r="1352" spans="11:17" x14ac:dyDescent="0.25">
      <c r="K1352"/>
      <c r="L1352"/>
      <c r="M1352"/>
      <c r="N1352"/>
      <c r="O1352"/>
      <c r="P1352"/>
      <c r="Q1352"/>
    </row>
    <row r="1353" spans="11:17" x14ac:dyDescent="0.25">
      <c r="K1353"/>
      <c r="L1353"/>
      <c r="M1353"/>
      <c r="N1353"/>
      <c r="O1353"/>
      <c r="P1353"/>
      <c r="Q1353"/>
    </row>
    <row r="1354" spans="11:17" x14ac:dyDescent="0.25">
      <c r="K1354"/>
      <c r="L1354"/>
      <c r="M1354"/>
      <c r="N1354"/>
      <c r="O1354"/>
      <c r="P1354"/>
      <c r="Q1354"/>
    </row>
    <row r="1355" spans="11:17" x14ac:dyDescent="0.25">
      <c r="K1355"/>
      <c r="L1355"/>
      <c r="M1355"/>
      <c r="N1355"/>
      <c r="O1355"/>
      <c r="P1355"/>
      <c r="Q1355"/>
    </row>
    <row r="1356" spans="11:17" x14ac:dyDescent="0.25">
      <c r="K1356"/>
      <c r="L1356"/>
      <c r="M1356"/>
      <c r="N1356"/>
      <c r="O1356"/>
      <c r="P1356"/>
      <c r="Q1356"/>
    </row>
    <row r="1357" spans="11:17" x14ac:dyDescent="0.25">
      <c r="K1357"/>
      <c r="L1357"/>
      <c r="M1357"/>
      <c r="N1357"/>
      <c r="O1357"/>
      <c r="P1357"/>
      <c r="Q1357"/>
    </row>
    <row r="1358" spans="11:17" x14ac:dyDescent="0.25">
      <c r="K1358"/>
      <c r="L1358"/>
      <c r="M1358"/>
      <c r="N1358"/>
      <c r="O1358"/>
      <c r="P1358"/>
      <c r="Q1358"/>
    </row>
    <row r="1359" spans="11:17" x14ac:dyDescent="0.25">
      <c r="K1359"/>
      <c r="L1359"/>
      <c r="M1359"/>
      <c r="N1359"/>
      <c r="O1359"/>
      <c r="P1359"/>
      <c r="Q1359"/>
    </row>
    <row r="1360" spans="11:17" x14ac:dyDescent="0.25">
      <c r="K1360"/>
      <c r="L1360"/>
      <c r="M1360"/>
      <c r="N1360"/>
      <c r="O1360"/>
      <c r="P1360"/>
      <c r="Q1360"/>
    </row>
    <row r="1361" spans="11:17" x14ac:dyDescent="0.25">
      <c r="K1361"/>
      <c r="L1361"/>
      <c r="M1361"/>
      <c r="N1361"/>
      <c r="O1361"/>
      <c r="P1361"/>
      <c r="Q1361"/>
    </row>
    <row r="1362" spans="11:17" x14ac:dyDescent="0.25">
      <c r="K1362"/>
      <c r="L1362"/>
      <c r="M1362"/>
      <c r="N1362"/>
      <c r="O1362"/>
      <c r="P1362"/>
      <c r="Q1362"/>
    </row>
    <row r="1363" spans="11:17" x14ac:dyDescent="0.25">
      <c r="K1363"/>
      <c r="L1363"/>
      <c r="M1363"/>
      <c r="N1363"/>
      <c r="O1363"/>
      <c r="P1363"/>
      <c r="Q1363"/>
    </row>
    <row r="1364" spans="11:17" x14ac:dyDescent="0.25">
      <c r="K1364"/>
      <c r="L1364"/>
      <c r="M1364"/>
      <c r="N1364"/>
      <c r="O1364"/>
      <c r="P1364"/>
      <c r="Q1364"/>
    </row>
    <row r="1365" spans="11:17" x14ac:dyDescent="0.25">
      <c r="K1365"/>
      <c r="L1365"/>
      <c r="M1365"/>
      <c r="N1365"/>
      <c r="O1365"/>
      <c r="P1365"/>
      <c r="Q1365"/>
    </row>
    <row r="1366" spans="11:17" x14ac:dyDescent="0.25">
      <c r="K1366"/>
      <c r="L1366"/>
      <c r="M1366"/>
      <c r="N1366"/>
      <c r="O1366"/>
      <c r="P1366"/>
      <c r="Q1366"/>
    </row>
    <row r="1367" spans="11:17" x14ac:dyDescent="0.25">
      <c r="K1367"/>
      <c r="L1367"/>
      <c r="M1367"/>
      <c r="N1367"/>
      <c r="O1367"/>
      <c r="P1367"/>
      <c r="Q1367"/>
    </row>
    <row r="1368" spans="11:17" x14ac:dyDescent="0.25">
      <c r="K1368"/>
      <c r="L1368"/>
      <c r="M1368"/>
      <c r="N1368"/>
      <c r="O1368"/>
      <c r="P1368"/>
      <c r="Q1368"/>
    </row>
    <row r="1369" spans="11:17" x14ac:dyDescent="0.25">
      <c r="K1369"/>
      <c r="L1369"/>
      <c r="M1369"/>
      <c r="N1369"/>
      <c r="O1369"/>
      <c r="P1369"/>
      <c r="Q1369"/>
    </row>
    <row r="1370" spans="11:17" x14ac:dyDescent="0.25">
      <c r="K1370"/>
      <c r="L1370"/>
      <c r="M1370"/>
      <c r="N1370"/>
      <c r="O1370"/>
      <c r="P1370"/>
      <c r="Q1370"/>
    </row>
    <row r="1371" spans="11:17" x14ac:dyDescent="0.25">
      <c r="K1371"/>
      <c r="L1371"/>
      <c r="M1371"/>
      <c r="N1371"/>
      <c r="O1371"/>
      <c r="P1371"/>
      <c r="Q1371"/>
    </row>
    <row r="1372" spans="11:17" x14ac:dyDescent="0.25">
      <c r="K1372"/>
      <c r="L1372"/>
      <c r="M1372"/>
      <c r="N1372"/>
      <c r="O1372"/>
      <c r="P1372"/>
      <c r="Q1372"/>
    </row>
    <row r="1373" spans="11:17" x14ac:dyDescent="0.25">
      <c r="K1373"/>
      <c r="L1373"/>
      <c r="M1373"/>
      <c r="N1373"/>
      <c r="O1373"/>
      <c r="P1373"/>
      <c r="Q1373"/>
    </row>
    <row r="1374" spans="11:17" x14ac:dyDescent="0.25">
      <c r="K1374"/>
      <c r="L1374"/>
      <c r="M1374"/>
      <c r="N1374"/>
      <c r="O1374"/>
      <c r="P1374"/>
      <c r="Q1374"/>
    </row>
    <row r="1375" spans="11:17" x14ac:dyDescent="0.25">
      <c r="K1375"/>
      <c r="L1375"/>
      <c r="M1375"/>
      <c r="N1375"/>
      <c r="O1375"/>
      <c r="P1375"/>
      <c r="Q1375"/>
    </row>
    <row r="1376" spans="11:17" x14ac:dyDescent="0.25">
      <c r="K1376"/>
      <c r="L1376"/>
      <c r="M1376"/>
      <c r="N1376"/>
      <c r="O1376"/>
      <c r="P1376"/>
      <c r="Q1376"/>
    </row>
    <row r="1377" spans="11:17" x14ac:dyDescent="0.25">
      <c r="K1377"/>
      <c r="L1377"/>
      <c r="M1377"/>
      <c r="N1377"/>
      <c r="O1377"/>
      <c r="P1377"/>
      <c r="Q1377"/>
    </row>
    <row r="1378" spans="11:17" x14ac:dyDescent="0.25">
      <c r="K1378"/>
      <c r="L1378"/>
      <c r="M1378"/>
      <c r="N1378"/>
      <c r="O1378"/>
      <c r="P1378"/>
      <c r="Q1378"/>
    </row>
    <row r="1379" spans="11:17" x14ac:dyDescent="0.25">
      <c r="K1379"/>
      <c r="L1379"/>
      <c r="M1379"/>
      <c r="N1379"/>
      <c r="O1379"/>
      <c r="P1379"/>
      <c r="Q1379"/>
    </row>
    <row r="1380" spans="11:17" x14ac:dyDescent="0.25">
      <c r="K1380"/>
      <c r="L1380"/>
      <c r="M1380"/>
      <c r="N1380"/>
      <c r="O1380"/>
      <c r="P1380"/>
      <c r="Q1380"/>
    </row>
    <row r="1381" spans="11:17" x14ac:dyDescent="0.25">
      <c r="K1381"/>
      <c r="L1381"/>
      <c r="M1381"/>
      <c r="N1381"/>
      <c r="O1381"/>
      <c r="P1381"/>
      <c r="Q1381"/>
    </row>
    <row r="1382" spans="11:17" x14ac:dyDescent="0.25">
      <c r="K1382"/>
      <c r="L1382"/>
      <c r="M1382"/>
      <c r="N1382"/>
      <c r="O1382"/>
      <c r="P1382"/>
      <c r="Q1382"/>
    </row>
    <row r="1383" spans="11:17" x14ac:dyDescent="0.25">
      <c r="K1383"/>
      <c r="L1383"/>
      <c r="M1383"/>
      <c r="N1383"/>
      <c r="O1383"/>
      <c r="P1383"/>
      <c r="Q1383"/>
    </row>
    <row r="1384" spans="11:17" x14ac:dyDescent="0.25">
      <c r="K1384"/>
      <c r="L1384"/>
      <c r="M1384"/>
      <c r="N1384"/>
      <c r="O1384"/>
      <c r="P1384"/>
      <c r="Q1384"/>
    </row>
    <row r="1385" spans="11:17" x14ac:dyDescent="0.25">
      <c r="K1385"/>
      <c r="L1385"/>
      <c r="M1385"/>
      <c r="N1385"/>
      <c r="O1385"/>
      <c r="P1385"/>
      <c r="Q1385"/>
    </row>
    <row r="1386" spans="11:17" x14ac:dyDescent="0.25">
      <c r="K1386"/>
      <c r="L1386"/>
      <c r="M1386"/>
      <c r="N1386"/>
      <c r="O1386"/>
      <c r="P1386"/>
      <c r="Q1386"/>
    </row>
    <row r="1387" spans="11:17" x14ac:dyDescent="0.25">
      <c r="K1387"/>
      <c r="L1387"/>
      <c r="M1387"/>
      <c r="N1387"/>
      <c r="O1387"/>
      <c r="P1387"/>
      <c r="Q1387"/>
    </row>
    <row r="1388" spans="11:17" x14ac:dyDescent="0.25">
      <c r="K1388"/>
      <c r="L1388"/>
      <c r="M1388"/>
      <c r="N1388"/>
      <c r="O1388"/>
      <c r="P1388"/>
      <c r="Q1388"/>
    </row>
    <row r="1389" spans="11:17" x14ac:dyDescent="0.25">
      <c r="K1389"/>
      <c r="L1389"/>
      <c r="M1389"/>
      <c r="N1389"/>
      <c r="O1389"/>
      <c r="P1389"/>
      <c r="Q1389"/>
    </row>
    <row r="1390" spans="11:17" x14ac:dyDescent="0.25">
      <c r="K1390"/>
      <c r="L1390"/>
      <c r="M1390"/>
      <c r="N1390"/>
      <c r="O1390"/>
      <c r="P1390"/>
      <c r="Q1390"/>
    </row>
    <row r="1391" spans="11:17" x14ac:dyDescent="0.25">
      <c r="K1391"/>
      <c r="L1391"/>
      <c r="M1391"/>
      <c r="N1391"/>
      <c r="O1391"/>
      <c r="P1391"/>
      <c r="Q1391"/>
    </row>
    <row r="1392" spans="11:17" x14ac:dyDescent="0.25">
      <c r="K1392"/>
      <c r="L1392"/>
      <c r="M1392"/>
      <c r="N1392"/>
      <c r="O1392"/>
      <c r="P1392"/>
      <c r="Q1392"/>
    </row>
    <row r="1393" spans="11:17" x14ac:dyDescent="0.25">
      <c r="K1393"/>
      <c r="L1393"/>
      <c r="M1393"/>
      <c r="N1393"/>
      <c r="O1393"/>
      <c r="P1393"/>
      <c r="Q1393"/>
    </row>
    <row r="1394" spans="11:17" x14ac:dyDescent="0.25">
      <c r="K1394"/>
      <c r="L1394"/>
      <c r="M1394"/>
      <c r="N1394"/>
      <c r="O1394"/>
      <c r="P1394"/>
      <c r="Q1394"/>
    </row>
    <row r="1395" spans="11:17" x14ac:dyDescent="0.25">
      <c r="K1395"/>
      <c r="L1395"/>
      <c r="M1395"/>
      <c r="N1395"/>
      <c r="O1395"/>
      <c r="P1395"/>
      <c r="Q1395"/>
    </row>
    <row r="1396" spans="11:17" x14ac:dyDescent="0.25">
      <c r="K1396"/>
      <c r="L1396"/>
      <c r="M1396"/>
      <c r="N1396"/>
      <c r="O1396"/>
      <c r="P1396"/>
      <c r="Q1396"/>
    </row>
    <row r="1397" spans="11:17" x14ac:dyDescent="0.25">
      <c r="K1397"/>
      <c r="L1397"/>
      <c r="M1397"/>
      <c r="N1397"/>
      <c r="O1397"/>
      <c r="P1397"/>
      <c r="Q1397"/>
    </row>
    <row r="1398" spans="11:17" x14ac:dyDescent="0.25">
      <c r="K1398"/>
      <c r="L1398"/>
      <c r="M1398"/>
      <c r="N1398"/>
      <c r="O1398"/>
      <c r="P1398"/>
      <c r="Q1398"/>
    </row>
    <row r="1399" spans="11:17" x14ac:dyDescent="0.25">
      <c r="K1399"/>
      <c r="L1399"/>
      <c r="M1399"/>
      <c r="N1399"/>
      <c r="O1399"/>
      <c r="P1399"/>
      <c r="Q1399"/>
    </row>
    <row r="1400" spans="11:17" x14ac:dyDescent="0.25">
      <c r="K1400"/>
      <c r="L1400"/>
      <c r="M1400"/>
      <c r="N1400"/>
      <c r="O1400"/>
      <c r="P1400"/>
      <c r="Q1400"/>
    </row>
    <row r="1401" spans="11:17" x14ac:dyDescent="0.25">
      <c r="K1401"/>
      <c r="L1401"/>
      <c r="M1401"/>
      <c r="N1401"/>
      <c r="O1401"/>
      <c r="P1401"/>
      <c r="Q1401"/>
    </row>
    <row r="1402" spans="11:17" x14ac:dyDescent="0.25">
      <c r="K1402"/>
      <c r="L1402"/>
      <c r="M1402"/>
      <c r="N1402"/>
      <c r="O1402"/>
      <c r="P1402"/>
      <c r="Q1402"/>
    </row>
    <row r="1403" spans="11:17" x14ac:dyDescent="0.25">
      <c r="K1403"/>
      <c r="L1403"/>
      <c r="M1403"/>
      <c r="N1403"/>
      <c r="O1403"/>
      <c r="P1403"/>
      <c r="Q1403"/>
    </row>
    <row r="1404" spans="11:17" x14ac:dyDescent="0.25">
      <c r="K1404"/>
      <c r="L1404"/>
      <c r="M1404"/>
      <c r="N1404"/>
      <c r="O1404"/>
      <c r="P1404"/>
      <c r="Q1404"/>
    </row>
    <row r="1405" spans="11:17" x14ac:dyDescent="0.25">
      <c r="K1405"/>
      <c r="L1405"/>
      <c r="M1405"/>
      <c r="N1405"/>
      <c r="O1405"/>
      <c r="P1405"/>
      <c r="Q1405"/>
    </row>
    <row r="1406" spans="11:17" x14ac:dyDescent="0.25">
      <c r="K1406"/>
      <c r="L1406"/>
      <c r="M1406"/>
      <c r="N1406"/>
      <c r="O1406"/>
      <c r="P1406"/>
      <c r="Q1406"/>
    </row>
    <row r="1407" spans="11:17" x14ac:dyDescent="0.25">
      <c r="K1407"/>
      <c r="L1407"/>
      <c r="M1407"/>
      <c r="N1407"/>
      <c r="O1407"/>
      <c r="P1407"/>
      <c r="Q1407"/>
    </row>
    <row r="1408" spans="11:17" x14ac:dyDescent="0.25">
      <c r="K1408"/>
      <c r="L1408"/>
      <c r="M1408"/>
      <c r="N1408"/>
      <c r="O1408"/>
      <c r="P1408"/>
      <c r="Q1408"/>
    </row>
    <row r="1409" spans="11:17" x14ac:dyDescent="0.25">
      <c r="K1409"/>
      <c r="L1409"/>
      <c r="M1409"/>
      <c r="N1409"/>
      <c r="O1409"/>
      <c r="P1409"/>
      <c r="Q1409"/>
    </row>
    <row r="1410" spans="11:17" x14ac:dyDescent="0.25">
      <c r="K1410"/>
      <c r="L1410"/>
      <c r="M1410"/>
      <c r="N1410"/>
      <c r="O1410"/>
      <c r="P1410"/>
      <c r="Q1410"/>
    </row>
    <row r="1411" spans="11:17" x14ac:dyDescent="0.25">
      <c r="K1411"/>
      <c r="L1411"/>
      <c r="M1411"/>
      <c r="N1411"/>
      <c r="O1411"/>
      <c r="P1411"/>
      <c r="Q1411"/>
    </row>
    <row r="1412" spans="11:17" x14ac:dyDescent="0.25">
      <c r="K1412"/>
      <c r="L1412"/>
      <c r="M1412"/>
      <c r="N1412"/>
      <c r="O1412"/>
      <c r="P1412"/>
      <c r="Q1412"/>
    </row>
    <row r="1413" spans="11:17" x14ac:dyDescent="0.25">
      <c r="K1413"/>
      <c r="L1413"/>
      <c r="M1413"/>
      <c r="N1413"/>
      <c r="O1413"/>
      <c r="P1413"/>
      <c r="Q1413"/>
    </row>
    <row r="1414" spans="11:17" x14ac:dyDescent="0.25">
      <c r="K1414"/>
      <c r="L1414"/>
      <c r="M1414"/>
      <c r="N1414"/>
      <c r="O1414"/>
      <c r="P1414"/>
      <c r="Q1414"/>
    </row>
    <row r="1415" spans="11:17" x14ac:dyDescent="0.25">
      <c r="K1415"/>
      <c r="L1415"/>
      <c r="M1415"/>
      <c r="N1415"/>
      <c r="O1415"/>
      <c r="P1415"/>
      <c r="Q1415"/>
    </row>
    <row r="1416" spans="11:17" x14ac:dyDescent="0.25">
      <c r="K1416"/>
      <c r="L1416"/>
      <c r="M1416"/>
      <c r="N1416"/>
      <c r="O1416"/>
      <c r="P1416"/>
      <c r="Q1416"/>
    </row>
    <row r="1417" spans="11:17" x14ac:dyDescent="0.25">
      <c r="K1417"/>
      <c r="L1417"/>
      <c r="M1417"/>
      <c r="N1417"/>
      <c r="O1417"/>
      <c r="P1417"/>
      <c r="Q1417"/>
    </row>
    <row r="1418" spans="11:17" x14ac:dyDescent="0.25">
      <c r="K1418"/>
      <c r="L1418"/>
      <c r="M1418"/>
      <c r="N1418"/>
      <c r="O1418"/>
      <c r="P1418"/>
      <c r="Q1418"/>
    </row>
    <row r="1419" spans="11:17" x14ac:dyDescent="0.25">
      <c r="K1419"/>
      <c r="L1419"/>
      <c r="M1419"/>
      <c r="N1419"/>
      <c r="O1419"/>
      <c r="P1419"/>
      <c r="Q1419"/>
    </row>
    <row r="1420" spans="11:17" x14ac:dyDescent="0.25">
      <c r="K1420"/>
      <c r="L1420"/>
      <c r="M1420"/>
      <c r="N1420"/>
      <c r="O1420"/>
      <c r="P1420"/>
      <c r="Q1420"/>
    </row>
    <row r="1421" spans="11:17" x14ac:dyDescent="0.25">
      <c r="K1421"/>
      <c r="L1421"/>
      <c r="M1421"/>
      <c r="N1421"/>
      <c r="O1421"/>
      <c r="P1421"/>
      <c r="Q1421"/>
    </row>
    <row r="1422" spans="11:17" x14ac:dyDescent="0.25">
      <c r="K1422"/>
      <c r="L1422"/>
      <c r="M1422"/>
      <c r="N1422"/>
      <c r="O1422"/>
      <c r="P1422"/>
      <c r="Q1422"/>
    </row>
    <row r="1423" spans="11:17" x14ac:dyDescent="0.25">
      <c r="K1423"/>
      <c r="L1423"/>
      <c r="M1423"/>
      <c r="N1423"/>
      <c r="O1423"/>
      <c r="P1423"/>
      <c r="Q1423"/>
    </row>
    <row r="1424" spans="11:17" x14ac:dyDescent="0.25">
      <c r="K1424"/>
      <c r="L1424"/>
      <c r="M1424"/>
      <c r="N1424"/>
      <c r="O1424"/>
      <c r="P1424"/>
      <c r="Q1424"/>
    </row>
    <row r="1425" spans="11:17" x14ac:dyDescent="0.25">
      <c r="K1425"/>
      <c r="L1425"/>
      <c r="M1425"/>
      <c r="N1425"/>
      <c r="O1425"/>
      <c r="P1425"/>
      <c r="Q1425"/>
    </row>
    <row r="1426" spans="11:17" x14ac:dyDescent="0.25">
      <c r="K1426"/>
      <c r="L1426"/>
      <c r="M1426"/>
      <c r="N1426"/>
      <c r="O1426"/>
      <c r="P1426"/>
      <c r="Q1426"/>
    </row>
    <row r="1427" spans="11:17" x14ac:dyDescent="0.25">
      <c r="K1427"/>
      <c r="L1427"/>
      <c r="M1427"/>
      <c r="N1427"/>
      <c r="O1427"/>
      <c r="P1427"/>
      <c r="Q1427"/>
    </row>
    <row r="1428" spans="11:17" x14ac:dyDescent="0.25">
      <c r="K1428"/>
      <c r="L1428"/>
      <c r="M1428"/>
      <c r="N1428"/>
      <c r="O1428"/>
      <c r="P1428"/>
      <c r="Q1428"/>
    </row>
    <row r="1429" spans="11:17" x14ac:dyDescent="0.25">
      <c r="K1429"/>
      <c r="L1429"/>
      <c r="M1429"/>
      <c r="N1429"/>
      <c r="O1429"/>
      <c r="P1429"/>
      <c r="Q1429"/>
    </row>
    <row r="1430" spans="11:17" x14ac:dyDescent="0.25">
      <c r="K1430"/>
      <c r="L1430"/>
      <c r="M1430"/>
      <c r="N1430"/>
      <c r="O1430"/>
      <c r="P1430"/>
      <c r="Q1430"/>
    </row>
    <row r="1431" spans="11:17" x14ac:dyDescent="0.25">
      <c r="K1431"/>
      <c r="L1431"/>
      <c r="M1431"/>
      <c r="N1431"/>
      <c r="O1431"/>
      <c r="P1431"/>
      <c r="Q1431"/>
    </row>
    <row r="1432" spans="11:17" x14ac:dyDescent="0.25">
      <c r="K1432"/>
      <c r="L1432"/>
      <c r="M1432"/>
      <c r="N1432"/>
      <c r="O1432"/>
      <c r="P1432"/>
      <c r="Q1432"/>
    </row>
    <row r="1433" spans="11:17" x14ac:dyDescent="0.25">
      <c r="K1433"/>
      <c r="L1433"/>
      <c r="M1433"/>
      <c r="N1433"/>
      <c r="O1433"/>
      <c r="P1433"/>
      <c r="Q1433"/>
    </row>
    <row r="1434" spans="11:17" x14ac:dyDescent="0.25">
      <c r="K1434"/>
      <c r="L1434"/>
      <c r="M1434"/>
      <c r="N1434"/>
      <c r="O1434"/>
      <c r="P1434"/>
      <c r="Q1434"/>
    </row>
    <row r="1435" spans="11:17" x14ac:dyDescent="0.25">
      <c r="K1435"/>
      <c r="L1435"/>
      <c r="M1435"/>
      <c r="N1435"/>
      <c r="O1435"/>
      <c r="P1435"/>
      <c r="Q1435"/>
    </row>
    <row r="1436" spans="11:17" x14ac:dyDescent="0.25">
      <c r="K1436"/>
      <c r="L1436"/>
      <c r="M1436"/>
      <c r="N1436"/>
      <c r="O1436"/>
      <c r="P1436"/>
      <c r="Q1436"/>
    </row>
    <row r="1437" spans="11:17" x14ac:dyDescent="0.25">
      <c r="K1437"/>
      <c r="L1437"/>
      <c r="M1437"/>
      <c r="N1437"/>
      <c r="O1437"/>
      <c r="P1437"/>
      <c r="Q1437"/>
    </row>
    <row r="1438" spans="11:17" x14ac:dyDescent="0.25">
      <c r="K1438"/>
      <c r="L1438"/>
      <c r="M1438"/>
      <c r="N1438"/>
      <c r="O1438"/>
      <c r="P1438"/>
      <c r="Q1438"/>
    </row>
    <row r="1439" spans="11:17" x14ac:dyDescent="0.25">
      <c r="K1439"/>
      <c r="L1439"/>
      <c r="M1439"/>
      <c r="N1439"/>
      <c r="O1439"/>
      <c r="P1439"/>
      <c r="Q1439"/>
    </row>
    <row r="1440" spans="11:17" x14ac:dyDescent="0.25">
      <c r="K1440"/>
      <c r="L1440"/>
      <c r="M1440"/>
      <c r="N1440"/>
      <c r="O1440"/>
      <c r="P1440"/>
      <c r="Q1440"/>
    </row>
    <row r="1441" spans="11:17" x14ac:dyDescent="0.25">
      <c r="K1441"/>
      <c r="L1441"/>
      <c r="M1441"/>
      <c r="N1441"/>
      <c r="O1441"/>
      <c r="P1441"/>
      <c r="Q1441"/>
    </row>
    <row r="1442" spans="11:17" x14ac:dyDescent="0.25">
      <c r="K1442"/>
      <c r="L1442"/>
      <c r="M1442"/>
      <c r="N1442"/>
      <c r="O1442"/>
      <c r="P1442"/>
      <c r="Q1442"/>
    </row>
    <row r="1443" spans="11:17" x14ac:dyDescent="0.25">
      <c r="K1443"/>
      <c r="L1443"/>
      <c r="M1443"/>
      <c r="N1443"/>
      <c r="O1443"/>
      <c r="P1443"/>
      <c r="Q1443"/>
    </row>
    <row r="1444" spans="11:17" x14ac:dyDescent="0.25">
      <c r="K1444"/>
      <c r="L1444"/>
      <c r="M1444"/>
      <c r="N1444"/>
      <c r="O1444"/>
      <c r="P1444"/>
      <c r="Q1444"/>
    </row>
    <row r="1445" spans="11:17" x14ac:dyDescent="0.25">
      <c r="K1445"/>
      <c r="L1445"/>
      <c r="M1445"/>
      <c r="N1445"/>
      <c r="O1445"/>
      <c r="P1445"/>
      <c r="Q1445"/>
    </row>
    <row r="1446" spans="11:17" x14ac:dyDescent="0.25">
      <c r="K1446"/>
      <c r="L1446"/>
      <c r="M1446"/>
      <c r="N1446"/>
      <c r="O1446"/>
      <c r="P1446"/>
      <c r="Q1446"/>
    </row>
    <row r="1447" spans="11:17" x14ac:dyDescent="0.25">
      <c r="K1447"/>
      <c r="L1447"/>
      <c r="M1447"/>
      <c r="N1447"/>
      <c r="O1447"/>
      <c r="P1447"/>
      <c r="Q1447"/>
    </row>
    <row r="1448" spans="11:17" x14ac:dyDescent="0.25">
      <c r="K1448"/>
      <c r="L1448"/>
      <c r="M1448"/>
      <c r="N1448"/>
      <c r="O1448"/>
      <c r="P1448"/>
      <c r="Q1448"/>
    </row>
    <row r="1449" spans="11:17" x14ac:dyDescent="0.25">
      <c r="K1449"/>
      <c r="L1449"/>
      <c r="M1449"/>
      <c r="N1449"/>
      <c r="O1449"/>
      <c r="P1449"/>
      <c r="Q1449"/>
    </row>
    <row r="1450" spans="11:17" x14ac:dyDescent="0.25">
      <c r="K1450"/>
      <c r="L1450"/>
      <c r="M1450"/>
      <c r="N1450"/>
      <c r="O1450"/>
      <c r="P1450"/>
      <c r="Q1450"/>
    </row>
    <row r="1451" spans="11:17" x14ac:dyDescent="0.25">
      <c r="K1451"/>
      <c r="L1451"/>
      <c r="M1451"/>
      <c r="N1451"/>
      <c r="O1451"/>
      <c r="P1451"/>
      <c r="Q1451"/>
    </row>
    <row r="1452" spans="11:17" x14ac:dyDescent="0.25">
      <c r="K1452"/>
      <c r="L1452"/>
      <c r="M1452"/>
      <c r="N1452"/>
      <c r="O1452"/>
      <c r="P1452"/>
      <c r="Q1452"/>
    </row>
    <row r="1453" spans="11:17" x14ac:dyDescent="0.25">
      <c r="K1453"/>
      <c r="L1453"/>
      <c r="M1453"/>
      <c r="N1453"/>
      <c r="O1453"/>
      <c r="P1453"/>
      <c r="Q1453"/>
    </row>
    <row r="1454" spans="11:17" x14ac:dyDescent="0.25">
      <c r="K1454"/>
      <c r="L1454"/>
      <c r="M1454"/>
      <c r="N1454"/>
      <c r="O1454"/>
      <c r="P1454"/>
      <c r="Q1454"/>
    </row>
    <row r="1455" spans="11:17" x14ac:dyDescent="0.25">
      <c r="K1455"/>
      <c r="L1455"/>
      <c r="M1455"/>
      <c r="N1455"/>
      <c r="O1455"/>
      <c r="P1455"/>
      <c r="Q1455"/>
    </row>
    <row r="1456" spans="11:17" x14ac:dyDescent="0.25">
      <c r="K1456"/>
      <c r="L1456"/>
      <c r="M1456"/>
      <c r="N1456"/>
      <c r="O1456"/>
      <c r="P1456"/>
      <c r="Q1456"/>
    </row>
    <row r="1457" spans="11:17" x14ac:dyDescent="0.25">
      <c r="K1457"/>
      <c r="L1457"/>
      <c r="M1457"/>
      <c r="N1457"/>
      <c r="O1457"/>
      <c r="P1457"/>
      <c r="Q1457"/>
    </row>
    <row r="1458" spans="11:17" x14ac:dyDescent="0.25">
      <c r="K1458"/>
      <c r="L1458"/>
      <c r="M1458"/>
      <c r="N1458"/>
      <c r="O1458"/>
      <c r="P1458"/>
      <c r="Q1458"/>
    </row>
    <row r="1459" spans="11:17" x14ac:dyDescent="0.25">
      <c r="K1459"/>
      <c r="L1459"/>
      <c r="M1459"/>
      <c r="N1459"/>
      <c r="O1459"/>
      <c r="P1459"/>
      <c r="Q1459"/>
    </row>
    <row r="1460" spans="11:17" x14ac:dyDescent="0.25">
      <c r="K1460"/>
      <c r="L1460"/>
      <c r="M1460"/>
      <c r="N1460"/>
      <c r="O1460"/>
      <c r="P1460"/>
      <c r="Q1460"/>
    </row>
    <row r="1461" spans="11:17" x14ac:dyDescent="0.25">
      <c r="K1461"/>
      <c r="L1461"/>
      <c r="M1461"/>
      <c r="N1461"/>
      <c r="O1461"/>
      <c r="P1461"/>
      <c r="Q1461"/>
    </row>
    <row r="1462" spans="11:17" x14ac:dyDescent="0.25">
      <c r="K1462"/>
      <c r="L1462"/>
      <c r="M1462"/>
      <c r="N1462"/>
      <c r="O1462"/>
      <c r="P1462"/>
      <c r="Q1462"/>
    </row>
    <row r="1463" spans="11:17" x14ac:dyDescent="0.25">
      <c r="K1463"/>
      <c r="L1463"/>
      <c r="M1463"/>
      <c r="N1463"/>
      <c r="O1463"/>
      <c r="P1463"/>
      <c r="Q1463"/>
    </row>
    <row r="1464" spans="11:17" x14ac:dyDescent="0.25">
      <c r="K1464"/>
      <c r="L1464"/>
      <c r="M1464"/>
      <c r="N1464"/>
      <c r="O1464"/>
      <c r="P1464"/>
      <c r="Q1464"/>
    </row>
    <row r="1465" spans="11:17" x14ac:dyDescent="0.25">
      <c r="K1465"/>
      <c r="L1465"/>
      <c r="M1465"/>
      <c r="N1465"/>
      <c r="O1465"/>
      <c r="P1465"/>
      <c r="Q1465"/>
    </row>
    <row r="1466" spans="11:17" x14ac:dyDescent="0.25">
      <c r="K1466"/>
      <c r="L1466"/>
      <c r="M1466"/>
      <c r="N1466"/>
      <c r="O1466"/>
      <c r="P1466"/>
      <c r="Q1466"/>
    </row>
    <row r="1467" spans="11:17" x14ac:dyDescent="0.25">
      <c r="K1467"/>
      <c r="L1467"/>
      <c r="M1467"/>
      <c r="N1467"/>
      <c r="O1467"/>
      <c r="P1467"/>
      <c r="Q1467"/>
    </row>
    <row r="1468" spans="11:17" x14ac:dyDescent="0.25">
      <c r="K1468"/>
      <c r="L1468"/>
      <c r="M1468"/>
      <c r="N1468"/>
      <c r="O1468"/>
      <c r="P1468"/>
      <c r="Q1468"/>
    </row>
    <row r="1469" spans="11:17" x14ac:dyDescent="0.25">
      <c r="K1469"/>
      <c r="L1469"/>
      <c r="M1469"/>
      <c r="N1469"/>
      <c r="O1469"/>
      <c r="P1469"/>
      <c r="Q1469"/>
    </row>
    <row r="1470" spans="11:17" x14ac:dyDescent="0.25">
      <c r="K1470"/>
      <c r="L1470"/>
      <c r="M1470"/>
      <c r="N1470"/>
      <c r="O1470"/>
      <c r="P1470"/>
      <c r="Q1470"/>
    </row>
    <row r="1471" spans="11:17" x14ac:dyDescent="0.25">
      <c r="K1471"/>
      <c r="L1471"/>
      <c r="M1471"/>
      <c r="N1471"/>
      <c r="O1471"/>
      <c r="P1471"/>
      <c r="Q1471"/>
    </row>
    <row r="1472" spans="11:17" x14ac:dyDescent="0.25">
      <c r="K1472"/>
      <c r="L1472"/>
      <c r="M1472"/>
      <c r="N1472"/>
      <c r="O1472"/>
      <c r="P1472"/>
      <c r="Q1472"/>
    </row>
    <row r="1473" spans="11:17" x14ac:dyDescent="0.25">
      <c r="K1473"/>
      <c r="L1473"/>
      <c r="M1473"/>
      <c r="N1473"/>
      <c r="O1473"/>
      <c r="P1473"/>
      <c r="Q1473"/>
    </row>
    <row r="1474" spans="11:17" x14ac:dyDescent="0.25">
      <c r="K1474"/>
      <c r="L1474"/>
      <c r="M1474"/>
      <c r="N1474"/>
      <c r="O1474"/>
      <c r="P1474"/>
      <c r="Q1474"/>
    </row>
    <row r="1475" spans="11:17" x14ac:dyDescent="0.25">
      <c r="K1475"/>
      <c r="L1475"/>
      <c r="M1475"/>
      <c r="N1475"/>
      <c r="O1475"/>
      <c r="P1475"/>
      <c r="Q1475"/>
    </row>
    <row r="1476" spans="11:17" x14ac:dyDescent="0.25">
      <c r="K1476"/>
      <c r="L1476"/>
      <c r="M1476"/>
      <c r="N1476"/>
      <c r="O1476"/>
      <c r="P1476"/>
      <c r="Q1476"/>
    </row>
    <row r="1477" spans="11:17" x14ac:dyDescent="0.25">
      <c r="K1477"/>
      <c r="L1477"/>
      <c r="M1477"/>
      <c r="N1477"/>
      <c r="O1477"/>
      <c r="P1477"/>
      <c r="Q1477"/>
    </row>
    <row r="1478" spans="11:17" x14ac:dyDescent="0.25">
      <c r="K1478"/>
      <c r="L1478"/>
      <c r="M1478"/>
      <c r="N1478"/>
      <c r="O1478"/>
      <c r="P1478"/>
      <c r="Q1478"/>
    </row>
    <row r="1479" spans="11:17" x14ac:dyDescent="0.25">
      <c r="K1479"/>
      <c r="L1479"/>
      <c r="M1479"/>
      <c r="N1479"/>
      <c r="O1479"/>
      <c r="P1479"/>
      <c r="Q1479"/>
    </row>
    <row r="1480" spans="11:17" x14ac:dyDescent="0.25">
      <c r="K1480"/>
      <c r="L1480"/>
      <c r="M1480"/>
      <c r="N1480"/>
      <c r="O1480"/>
      <c r="P1480"/>
      <c r="Q1480"/>
    </row>
    <row r="1481" spans="11:17" x14ac:dyDescent="0.25">
      <c r="K1481"/>
      <c r="L1481"/>
      <c r="M1481"/>
      <c r="N1481"/>
      <c r="O1481"/>
      <c r="P1481"/>
      <c r="Q1481"/>
    </row>
    <row r="1482" spans="11:17" x14ac:dyDescent="0.25">
      <c r="K1482"/>
      <c r="L1482"/>
      <c r="M1482"/>
      <c r="N1482"/>
      <c r="O1482"/>
      <c r="P1482"/>
      <c r="Q1482"/>
    </row>
    <row r="1483" spans="11:17" x14ac:dyDescent="0.25">
      <c r="K1483"/>
      <c r="L1483"/>
      <c r="M1483"/>
      <c r="N1483"/>
      <c r="O1483"/>
      <c r="P1483"/>
      <c r="Q1483"/>
    </row>
    <row r="1484" spans="11:17" x14ac:dyDescent="0.25">
      <c r="K1484"/>
      <c r="L1484"/>
      <c r="M1484"/>
      <c r="N1484"/>
      <c r="O1484"/>
      <c r="P1484"/>
      <c r="Q1484"/>
    </row>
    <row r="1485" spans="11:17" x14ac:dyDescent="0.25">
      <c r="K1485"/>
      <c r="L1485"/>
      <c r="M1485"/>
      <c r="N1485"/>
      <c r="O1485"/>
      <c r="P1485"/>
      <c r="Q1485"/>
    </row>
    <row r="1486" spans="11:17" x14ac:dyDescent="0.25">
      <c r="K1486"/>
      <c r="L1486"/>
      <c r="M1486"/>
      <c r="N1486"/>
      <c r="O1486"/>
      <c r="P1486"/>
      <c r="Q1486"/>
    </row>
    <row r="1487" spans="11:17" x14ac:dyDescent="0.25">
      <c r="K1487"/>
      <c r="L1487"/>
      <c r="M1487"/>
      <c r="N1487"/>
      <c r="O1487"/>
      <c r="P1487"/>
      <c r="Q1487"/>
    </row>
    <row r="1488" spans="11:17" x14ac:dyDescent="0.25">
      <c r="K1488"/>
      <c r="L1488"/>
      <c r="M1488"/>
      <c r="N1488"/>
      <c r="O1488"/>
      <c r="P1488"/>
      <c r="Q1488"/>
    </row>
    <row r="1489" spans="11:17" x14ac:dyDescent="0.25">
      <c r="K1489"/>
      <c r="L1489"/>
      <c r="M1489"/>
      <c r="N1489"/>
      <c r="O1489"/>
      <c r="P1489"/>
      <c r="Q1489"/>
    </row>
    <row r="1490" spans="11:17" x14ac:dyDescent="0.25">
      <c r="K1490"/>
      <c r="L1490"/>
      <c r="M1490"/>
      <c r="N1490"/>
      <c r="O1490"/>
      <c r="P1490"/>
      <c r="Q1490"/>
    </row>
    <row r="1491" spans="11:17" x14ac:dyDescent="0.25">
      <c r="K1491"/>
      <c r="L1491"/>
      <c r="M1491"/>
      <c r="N1491"/>
      <c r="O1491"/>
      <c r="P1491"/>
      <c r="Q1491"/>
    </row>
    <row r="1492" spans="11:17" x14ac:dyDescent="0.25">
      <c r="K1492"/>
      <c r="L1492"/>
      <c r="M1492"/>
      <c r="N1492"/>
      <c r="O1492"/>
      <c r="P1492"/>
      <c r="Q1492"/>
    </row>
    <row r="1493" spans="11:17" x14ac:dyDescent="0.25">
      <c r="K1493"/>
      <c r="L1493"/>
      <c r="M1493"/>
      <c r="N1493"/>
      <c r="O1493"/>
      <c r="P1493"/>
      <c r="Q1493"/>
    </row>
    <row r="1494" spans="11:17" x14ac:dyDescent="0.25">
      <c r="K1494"/>
      <c r="L1494"/>
      <c r="M1494"/>
      <c r="N1494"/>
      <c r="O1494"/>
      <c r="P1494"/>
      <c r="Q1494"/>
    </row>
    <row r="1495" spans="11:17" x14ac:dyDescent="0.25">
      <c r="K1495"/>
      <c r="L1495"/>
      <c r="M1495"/>
      <c r="N1495"/>
      <c r="O1495"/>
      <c r="P1495"/>
      <c r="Q1495"/>
    </row>
    <row r="1496" spans="11:17" x14ac:dyDescent="0.25">
      <c r="K1496"/>
      <c r="L1496"/>
      <c r="M1496"/>
      <c r="N1496"/>
      <c r="O1496"/>
      <c r="P1496"/>
      <c r="Q1496"/>
    </row>
    <row r="1497" spans="11:17" x14ac:dyDescent="0.25">
      <c r="K1497"/>
      <c r="L1497"/>
      <c r="M1497"/>
      <c r="N1497"/>
      <c r="O1497"/>
      <c r="P1497"/>
      <c r="Q1497"/>
    </row>
    <row r="1498" spans="11:17" x14ac:dyDescent="0.25">
      <c r="K1498"/>
      <c r="L1498"/>
      <c r="M1498"/>
      <c r="N1498"/>
      <c r="O1498"/>
      <c r="P1498"/>
      <c r="Q1498"/>
    </row>
    <row r="1499" spans="11:17" x14ac:dyDescent="0.25">
      <c r="K1499"/>
      <c r="L1499"/>
      <c r="M1499"/>
      <c r="N1499"/>
      <c r="O1499"/>
      <c r="P1499"/>
      <c r="Q1499"/>
    </row>
    <row r="1500" spans="11:17" x14ac:dyDescent="0.25">
      <c r="K1500"/>
      <c r="L1500"/>
      <c r="M1500"/>
      <c r="N1500"/>
      <c r="O1500"/>
      <c r="P1500"/>
      <c r="Q1500"/>
    </row>
    <row r="1501" spans="11:17" x14ac:dyDescent="0.25">
      <c r="K1501"/>
      <c r="L1501"/>
      <c r="M1501"/>
      <c r="N1501"/>
      <c r="O1501"/>
      <c r="P1501"/>
      <c r="Q1501"/>
    </row>
    <row r="1502" spans="11:17" x14ac:dyDescent="0.25">
      <c r="K1502"/>
      <c r="L1502"/>
      <c r="M1502"/>
      <c r="N1502"/>
      <c r="O1502"/>
      <c r="P1502"/>
      <c r="Q1502"/>
    </row>
    <row r="1503" spans="11:17" x14ac:dyDescent="0.25">
      <c r="K1503"/>
      <c r="L1503"/>
      <c r="M1503"/>
      <c r="N1503"/>
      <c r="O1503"/>
      <c r="P1503"/>
      <c r="Q1503"/>
    </row>
    <row r="1504" spans="11:17" x14ac:dyDescent="0.25">
      <c r="K1504"/>
      <c r="L1504"/>
      <c r="M1504"/>
      <c r="N1504"/>
      <c r="O1504"/>
      <c r="P1504"/>
      <c r="Q1504"/>
    </row>
    <row r="1505" spans="11:17" x14ac:dyDescent="0.25">
      <c r="K1505"/>
      <c r="L1505"/>
      <c r="M1505"/>
      <c r="N1505"/>
      <c r="O1505"/>
      <c r="P1505"/>
      <c r="Q1505"/>
    </row>
    <row r="1506" spans="11:17" x14ac:dyDescent="0.25">
      <c r="K1506"/>
      <c r="L1506"/>
      <c r="M1506"/>
      <c r="N1506"/>
      <c r="O1506"/>
      <c r="P1506"/>
      <c r="Q1506"/>
    </row>
    <row r="1507" spans="11:17" x14ac:dyDescent="0.25">
      <c r="K1507"/>
      <c r="L1507"/>
      <c r="M1507"/>
      <c r="N1507"/>
      <c r="O1507"/>
      <c r="P1507"/>
      <c r="Q1507"/>
    </row>
    <row r="1508" spans="11:17" x14ac:dyDescent="0.25">
      <c r="K1508"/>
      <c r="L1508"/>
      <c r="M1508"/>
      <c r="N1508"/>
      <c r="O1508"/>
      <c r="P1508"/>
      <c r="Q1508"/>
    </row>
    <row r="1509" spans="11:17" x14ac:dyDescent="0.25">
      <c r="K1509"/>
      <c r="L1509"/>
      <c r="M1509"/>
      <c r="N1509"/>
      <c r="O1509"/>
      <c r="P1509"/>
      <c r="Q1509"/>
    </row>
    <row r="1510" spans="11:17" x14ac:dyDescent="0.25">
      <c r="K1510"/>
      <c r="L1510"/>
      <c r="M1510"/>
      <c r="N1510"/>
      <c r="O1510"/>
      <c r="P1510"/>
      <c r="Q1510"/>
    </row>
    <row r="1511" spans="11:17" x14ac:dyDescent="0.25">
      <c r="K1511"/>
      <c r="L1511"/>
      <c r="M1511"/>
      <c r="N1511"/>
      <c r="O1511"/>
      <c r="P1511"/>
      <c r="Q1511"/>
    </row>
    <row r="1512" spans="11:17" x14ac:dyDescent="0.25">
      <c r="K1512"/>
      <c r="L1512"/>
      <c r="M1512"/>
      <c r="N1512"/>
      <c r="O1512"/>
      <c r="P1512"/>
      <c r="Q1512"/>
    </row>
    <row r="1513" spans="11:17" x14ac:dyDescent="0.25">
      <c r="K1513"/>
      <c r="L1513"/>
      <c r="M1513"/>
      <c r="N1513"/>
      <c r="O1513"/>
      <c r="P1513"/>
      <c r="Q1513"/>
    </row>
    <row r="1514" spans="11:17" x14ac:dyDescent="0.25">
      <c r="K1514"/>
      <c r="L1514"/>
      <c r="M1514"/>
      <c r="N1514"/>
      <c r="O1514"/>
      <c r="P1514"/>
      <c r="Q1514"/>
    </row>
    <row r="1515" spans="11:17" x14ac:dyDescent="0.25">
      <c r="K1515"/>
      <c r="L1515"/>
      <c r="M1515"/>
      <c r="N1515"/>
      <c r="O1515"/>
      <c r="P1515"/>
      <c r="Q1515"/>
    </row>
    <row r="1516" spans="11:17" x14ac:dyDescent="0.25">
      <c r="K1516"/>
      <c r="L1516"/>
      <c r="M1516"/>
      <c r="N1516"/>
      <c r="O1516"/>
      <c r="P1516"/>
      <c r="Q1516"/>
    </row>
    <row r="1517" spans="11:17" x14ac:dyDescent="0.25">
      <c r="K1517"/>
      <c r="L1517"/>
      <c r="M1517"/>
      <c r="N1517"/>
      <c r="O1517"/>
      <c r="P1517"/>
      <c r="Q1517"/>
    </row>
    <row r="1518" spans="11:17" x14ac:dyDescent="0.25">
      <c r="K1518"/>
      <c r="L1518"/>
      <c r="M1518"/>
      <c r="N1518"/>
      <c r="O1518"/>
      <c r="P1518"/>
      <c r="Q1518"/>
    </row>
    <row r="1519" spans="11:17" x14ac:dyDescent="0.25">
      <c r="K1519"/>
      <c r="L1519"/>
      <c r="M1519"/>
      <c r="N1519"/>
      <c r="O1519"/>
      <c r="P1519"/>
      <c r="Q1519"/>
    </row>
    <row r="1520" spans="11:17" x14ac:dyDescent="0.25">
      <c r="K1520"/>
      <c r="L1520"/>
      <c r="M1520"/>
      <c r="N1520"/>
      <c r="O1520"/>
      <c r="P1520"/>
      <c r="Q1520"/>
    </row>
    <row r="1521" spans="11:17" x14ac:dyDescent="0.25">
      <c r="K1521"/>
      <c r="L1521"/>
      <c r="M1521"/>
      <c r="N1521"/>
      <c r="O1521"/>
      <c r="P1521"/>
      <c r="Q1521"/>
    </row>
    <row r="1522" spans="11:17" x14ac:dyDescent="0.25">
      <c r="K1522"/>
      <c r="L1522"/>
      <c r="M1522"/>
      <c r="N1522"/>
      <c r="O1522"/>
      <c r="P1522"/>
      <c r="Q1522"/>
    </row>
    <row r="1523" spans="11:17" x14ac:dyDescent="0.25">
      <c r="K1523"/>
      <c r="L1523"/>
      <c r="M1523"/>
      <c r="N1523"/>
      <c r="O1523"/>
      <c r="P1523"/>
      <c r="Q1523"/>
    </row>
    <row r="1524" spans="11:17" x14ac:dyDescent="0.25">
      <c r="K1524"/>
      <c r="L1524"/>
      <c r="M1524"/>
      <c r="N1524"/>
      <c r="O1524"/>
      <c r="P1524"/>
      <c r="Q1524"/>
    </row>
    <row r="1525" spans="11:17" x14ac:dyDescent="0.25">
      <c r="K1525"/>
      <c r="L1525"/>
      <c r="M1525"/>
      <c r="N1525"/>
      <c r="O1525"/>
      <c r="P1525"/>
      <c r="Q1525"/>
    </row>
    <row r="1526" spans="11:17" x14ac:dyDescent="0.25">
      <c r="K1526"/>
      <c r="L1526"/>
      <c r="M1526"/>
      <c r="N1526"/>
      <c r="O1526"/>
      <c r="P1526"/>
      <c r="Q1526"/>
    </row>
    <row r="1527" spans="11:17" x14ac:dyDescent="0.25">
      <c r="K1527"/>
      <c r="L1527"/>
      <c r="M1527"/>
      <c r="N1527"/>
      <c r="O1527"/>
      <c r="P1527"/>
      <c r="Q1527"/>
    </row>
    <row r="1528" spans="11:17" x14ac:dyDescent="0.25">
      <c r="K1528"/>
      <c r="L1528"/>
      <c r="M1528"/>
      <c r="N1528"/>
      <c r="O1528"/>
      <c r="P1528"/>
      <c r="Q1528"/>
    </row>
    <row r="1529" spans="11:17" x14ac:dyDescent="0.25">
      <c r="K1529"/>
      <c r="L1529"/>
      <c r="M1529"/>
      <c r="N1529"/>
      <c r="O1529"/>
      <c r="P1529"/>
      <c r="Q1529"/>
    </row>
    <row r="1530" spans="11:17" x14ac:dyDescent="0.25">
      <c r="K1530"/>
      <c r="L1530"/>
      <c r="M1530"/>
      <c r="N1530"/>
      <c r="O1530"/>
      <c r="P1530"/>
      <c r="Q1530"/>
    </row>
    <row r="1531" spans="11:17" x14ac:dyDescent="0.25">
      <c r="K1531"/>
      <c r="L1531"/>
      <c r="M1531"/>
      <c r="N1531"/>
      <c r="O1531"/>
      <c r="P1531"/>
      <c r="Q1531"/>
    </row>
    <row r="1532" spans="11:17" x14ac:dyDescent="0.25">
      <c r="K1532"/>
      <c r="L1532"/>
      <c r="M1532"/>
      <c r="N1532"/>
      <c r="O1532"/>
      <c r="P1532"/>
      <c r="Q1532"/>
    </row>
    <row r="1533" spans="11:17" x14ac:dyDescent="0.25">
      <c r="K1533"/>
      <c r="L1533"/>
      <c r="M1533"/>
      <c r="N1533"/>
      <c r="O1533"/>
      <c r="P1533"/>
      <c r="Q1533"/>
    </row>
    <row r="1534" spans="11:17" x14ac:dyDescent="0.25">
      <c r="K1534"/>
      <c r="L1534"/>
      <c r="M1534"/>
      <c r="N1534"/>
      <c r="O1534"/>
      <c r="P1534"/>
      <c r="Q1534"/>
    </row>
    <row r="1535" spans="11:17" x14ac:dyDescent="0.25">
      <c r="K1535"/>
      <c r="L1535"/>
      <c r="M1535"/>
      <c r="N1535"/>
      <c r="O1535"/>
      <c r="P1535"/>
      <c r="Q1535"/>
    </row>
    <row r="1536" spans="11:17" x14ac:dyDescent="0.25">
      <c r="K1536"/>
      <c r="L1536"/>
      <c r="M1536"/>
      <c r="N1536"/>
      <c r="O1536"/>
      <c r="P1536"/>
      <c r="Q1536"/>
    </row>
    <row r="1537" spans="11:17" x14ac:dyDescent="0.25">
      <c r="K1537"/>
      <c r="L1537"/>
      <c r="M1537"/>
      <c r="N1537"/>
      <c r="O1537"/>
      <c r="P1537"/>
      <c r="Q1537"/>
    </row>
    <row r="1538" spans="11:17" x14ac:dyDescent="0.25">
      <c r="K1538"/>
      <c r="L1538"/>
      <c r="M1538"/>
      <c r="N1538"/>
      <c r="O1538"/>
      <c r="P1538"/>
      <c r="Q1538"/>
    </row>
    <row r="1539" spans="11:17" x14ac:dyDescent="0.25">
      <c r="K1539"/>
      <c r="L1539"/>
      <c r="M1539"/>
      <c r="N1539"/>
      <c r="O1539"/>
      <c r="P1539"/>
      <c r="Q1539"/>
    </row>
    <row r="1540" spans="11:17" x14ac:dyDescent="0.25">
      <c r="K1540"/>
      <c r="L1540"/>
      <c r="M1540"/>
      <c r="N1540"/>
      <c r="O1540"/>
      <c r="P1540"/>
      <c r="Q1540"/>
    </row>
  </sheetData>
  <autoFilter ref="A2:U1176">
    <filterColumn colId="17" showButton="0"/>
  </autoFilter>
  <mergeCells count="19">
    <mergeCell ref="H1108:H1109"/>
    <mergeCell ref="D1102:D1120"/>
    <mergeCell ref="D1121:D1125"/>
    <mergeCell ref="D1126:D1144"/>
    <mergeCell ref="A881:G881"/>
    <mergeCell ref="A990:G990"/>
    <mergeCell ref="V741:V744"/>
    <mergeCell ref="V856:V858"/>
    <mergeCell ref="T2:T3"/>
    <mergeCell ref="R2:S2"/>
    <mergeCell ref="A42:J42"/>
    <mergeCell ref="A92:J92"/>
    <mergeCell ref="A156:J156"/>
    <mergeCell ref="A774:H774"/>
    <mergeCell ref="A220:J220"/>
    <mergeCell ref="A325:J325"/>
    <mergeCell ref="A431:J431"/>
    <mergeCell ref="A607:J607"/>
    <mergeCell ref="A686:J686"/>
  </mergeCells>
  <pageMargins left="0.7" right="0.7" top="0.75" bottom="0.75" header="0.3" footer="0.3"/>
  <pageSetup orientation="portrait" horizontalDpi="4294967293"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R1093"/>
  <sheetViews>
    <sheetView tabSelected="1" topLeftCell="F1" zoomScale="84" zoomScaleNormal="84" workbookViewId="0">
      <pane ySplit="3" topLeftCell="A496" activePane="bottomLeft" state="frozen"/>
      <selection activeCell="E1" sqref="E1"/>
      <selection pane="bottomLeft" activeCell="R501" sqref="R501"/>
    </sheetView>
  </sheetViews>
  <sheetFormatPr defaultRowHeight="15" x14ac:dyDescent="0.25"/>
  <cols>
    <col min="1" max="1" width="8.42578125" customWidth="1"/>
    <col min="2" max="2" width="12.5703125" style="472" customWidth="1"/>
    <col min="3" max="3" width="13.7109375" style="606" customWidth="1"/>
    <col min="4" max="4" width="13.28515625" style="883" customWidth="1"/>
    <col min="5" max="5" width="28.5703125" style="490" hidden="1" customWidth="1"/>
    <col min="6" max="6" width="32.140625" style="490" customWidth="1"/>
    <col min="7" max="7" width="21.140625" style="490" customWidth="1"/>
    <col min="8" max="8" width="13.28515625" style="9" customWidth="1"/>
    <col min="9" max="9" width="15.7109375" style="385" customWidth="1"/>
    <col min="10" max="10" width="13.140625" style="522" customWidth="1"/>
    <col min="11" max="11" width="14.5703125" style="11" customWidth="1"/>
    <col min="12" max="12" width="14.28515625" style="11" customWidth="1"/>
    <col min="13" max="13" width="12.5703125" style="11" customWidth="1"/>
    <col min="14" max="14" width="12.7109375" style="11" customWidth="1"/>
    <col min="15" max="15" width="13.28515625" style="34" customWidth="1"/>
    <col min="16" max="16" width="13.42578125" style="11" customWidth="1"/>
    <col min="17" max="17" width="23.140625" style="11" customWidth="1"/>
    <col min="18" max="18" width="12" customWidth="1"/>
    <col min="19" max="19" width="12.140625" style="130" customWidth="1"/>
    <col min="20" max="20" width="8.42578125" customWidth="1"/>
    <col min="21" max="21" width="17.42578125" style="130" customWidth="1"/>
    <col min="22" max="22" width="40" customWidth="1"/>
    <col min="23" max="23" width="12.5703125" bestFit="1" customWidth="1"/>
    <col min="24" max="25" width="12.5703125" customWidth="1"/>
    <col min="26" max="28" width="15.28515625" bestFit="1" customWidth="1"/>
    <col min="29" max="29" width="12.5703125" bestFit="1" customWidth="1"/>
  </cols>
  <sheetData>
    <row r="2" spans="1:44" ht="42" customHeight="1" x14ac:dyDescent="0.25">
      <c r="A2" s="777" t="s">
        <v>6</v>
      </c>
      <c r="B2" s="778" t="s">
        <v>0</v>
      </c>
      <c r="C2" s="779" t="s">
        <v>7</v>
      </c>
      <c r="D2" s="780" t="s">
        <v>2495</v>
      </c>
      <c r="E2" s="780" t="s">
        <v>1384</v>
      </c>
      <c r="F2" s="777" t="s">
        <v>8</v>
      </c>
      <c r="G2" s="777" t="s">
        <v>9</v>
      </c>
      <c r="H2" s="781" t="s">
        <v>10</v>
      </c>
      <c r="I2" s="777" t="s">
        <v>11</v>
      </c>
      <c r="J2" s="782" t="s">
        <v>138</v>
      </c>
      <c r="K2" s="255" t="s">
        <v>49</v>
      </c>
      <c r="L2" s="783" t="s">
        <v>1</v>
      </c>
      <c r="M2" s="783" t="s">
        <v>47</v>
      </c>
      <c r="N2" s="783" t="s">
        <v>185</v>
      </c>
      <c r="O2" s="784" t="s">
        <v>48</v>
      </c>
      <c r="P2" s="783" t="s">
        <v>40</v>
      </c>
      <c r="Q2" s="257" t="s">
        <v>2</v>
      </c>
      <c r="R2" s="1005" t="s">
        <v>3</v>
      </c>
      <c r="S2" s="1006"/>
      <c r="T2" s="1007" t="s">
        <v>2228</v>
      </c>
      <c r="U2" s="785" t="s">
        <v>554</v>
      </c>
      <c r="V2" s="793" t="s">
        <v>1666</v>
      </c>
    </row>
    <row r="3" spans="1:44" ht="21" customHeight="1" x14ac:dyDescent="0.25">
      <c r="A3" s="777"/>
      <c r="B3" s="778"/>
      <c r="C3" s="779"/>
      <c r="D3" s="786"/>
      <c r="E3" s="885"/>
      <c r="F3" s="787"/>
      <c r="G3" s="787"/>
      <c r="H3" s="781"/>
      <c r="I3" s="777"/>
      <c r="J3" s="782"/>
      <c r="K3" s="255"/>
      <c r="L3" s="783"/>
      <c r="M3" s="783"/>
      <c r="N3" s="783"/>
      <c r="O3" s="784"/>
      <c r="P3" s="783"/>
      <c r="Q3" s="257"/>
      <c r="R3" s="783" t="s">
        <v>1</v>
      </c>
      <c r="S3" s="783" t="s">
        <v>40</v>
      </c>
      <c r="T3" s="1007"/>
      <c r="U3" s="785"/>
      <c r="V3" s="794"/>
    </row>
    <row r="4" spans="1:44" s="10" customFormat="1" ht="15.75" customHeight="1" x14ac:dyDescent="0.25">
      <c r="A4" s="55">
        <v>1</v>
      </c>
      <c r="B4" s="633">
        <v>44567</v>
      </c>
      <c r="C4" s="755">
        <v>403496</v>
      </c>
      <c r="D4" s="755" t="s">
        <v>3322</v>
      </c>
      <c r="E4" s="884"/>
      <c r="F4" s="6" t="s">
        <v>412</v>
      </c>
      <c r="G4" s="404" t="s">
        <v>417</v>
      </c>
      <c r="H4" s="45">
        <v>2376238</v>
      </c>
      <c r="I4" s="377" t="s">
        <v>3321</v>
      </c>
      <c r="J4" s="772">
        <v>44207</v>
      </c>
      <c r="K4" s="763">
        <f t="shared" ref="K4:K66" si="0">H4</f>
        <v>2376238</v>
      </c>
      <c r="L4" s="763"/>
      <c r="M4" s="763"/>
      <c r="N4" s="28">
        <f>K4*1%</f>
        <v>23762.38</v>
      </c>
      <c r="O4" s="28">
        <f>K4*2%</f>
        <v>47524.76</v>
      </c>
      <c r="P4" s="763">
        <v>2352475.62</v>
      </c>
      <c r="Q4" s="28">
        <f t="shared" ref="Q4:Q66" si="1">K4-L4-M4-O4-P4+N4</f>
        <v>1.127773430198431E-10</v>
      </c>
      <c r="R4" s="55"/>
      <c r="S4" s="301">
        <v>44648</v>
      </c>
      <c r="T4" s="55">
        <v>30</v>
      </c>
      <c r="U4" s="24">
        <f t="shared" ref="U4:U45" si="2">J4+T4</f>
        <v>44237</v>
      </c>
      <c r="V4" s="5"/>
      <c r="W4"/>
      <c r="X4"/>
      <c r="Y4"/>
      <c r="Z4"/>
      <c r="AA4"/>
      <c r="AB4"/>
      <c r="AC4"/>
      <c r="AD4"/>
      <c r="AE4"/>
      <c r="AF4"/>
      <c r="AG4"/>
      <c r="AH4"/>
      <c r="AI4"/>
      <c r="AJ4"/>
      <c r="AK4"/>
      <c r="AL4"/>
      <c r="AM4"/>
      <c r="AN4"/>
      <c r="AO4"/>
      <c r="AP4"/>
      <c r="AQ4"/>
      <c r="AR4"/>
    </row>
    <row r="5" spans="1:44" s="10" customFormat="1" ht="15.75" customHeight="1" x14ac:dyDescent="0.25">
      <c r="A5" s="55">
        <f t="shared" ref="A5:A36" si="3">A4+1</f>
        <v>2</v>
      </c>
      <c r="B5" s="633">
        <v>44565</v>
      </c>
      <c r="C5" s="755">
        <v>403493</v>
      </c>
      <c r="D5" s="755" t="s">
        <v>3324</v>
      </c>
      <c r="E5" s="884"/>
      <c r="F5" s="6" t="s">
        <v>412</v>
      </c>
      <c r="G5" s="404" t="s">
        <v>811</v>
      </c>
      <c r="H5" s="45">
        <v>3712871</v>
      </c>
      <c r="I5" s="377" t="s">
        <v>3323</v>
      </c>
      <c r="J5" s="772">
        <v>44207</v>
      </c>
      <c r="K5" s="928">
        <f t="shared" si="0"/>
        <v>3712871</v>
      </c>
      <c r="L5" s="763"/>
      <c r="M5" s="763"/>
      <c r="N5" s="28">
        <f t="shared" ref="N5:N61" si="4">K5*1%</f>
        <v>37128.71</v>
      </c>
      <c r="O5" s="28">
        <f t="shared" ref="O5:O61" si="5">K5*2%</f>
        <v>74257.42</v>
      </c>
      <c r="P5" s="763">
        <v>3675742.29</v>
      </c>
      <c r="Q5" s="28">
        <f t="shared" si="1"/>
        <v>0</v>
      </c>
      <c r="R5" s="55"/>
      <c r="S5" s="301">
        <v>44648</v>
      </c>
      <c r="T5" s="55">
        <v>30</v>
      </c>
      <c r="U5" s="24">
        <f t="shared" si="2"/>
        <v>44237</v>
      </c>
      <c r="V5" s="5"/>
      <c r="W5"/>
      <c r="X5"/>
      <c r="Y5"/>
      <c r="Z5"/>
      <c r="AA5"/>
      <c r="AB5"/>
      <c r="AC5"/>
      <c r="AD5"/>
      <c r="AE5"/>
      <c r="AF5"/>
      <c r="AG5"/>
      <c r="AH5"/>
      <c r="AI5"/>
      <c r="AJ5"/>
      <c r="AK5"/>
      <c r="AL5"/>
      <c r="AM5"/>
      <c r="AN5"/>
      <c r="AO5"/>
      <c r="AP5"/>
      <c r="AQ5"/>
      <c r="AR5"/>
    </row>
    <row r="6" spans="1:44" s="10" customFormat="1" ht="15.75" customHeight="1" x14ac:dyDescent="0.25">
      <c r="A6" s="55">
        <f t="shared" si="3"/>
        <v>3</v>
      </c>
      <c r="B6" s="633">
        <v>44565</v>
      </c>
      <c r="C6" s="755">
        <v>403489</v>
      </c>
      <c r="D6" s="755" t="s">
        <v>3326</v>
      </c>
      <c r="E6" s="884"/>
      <c r="F6" s="6" t="s">
        <v>412</v>
      </c>
      <c r="G6" s="404" t="s">
        <v>421</v>
      </c>
      <c r="H6" s="45">
        <v>1287129</v>
      </c>
      <c r="I6" s="377" t="s">
        <v>3325</v>
      </c>
      <c r="J6" s="772">
        <v>44207</v>
      </c>
      <c r="K6" s="928">
        <f t="shared" si="0"/>
        <v>1287129</v>
      </c>
      <c r="L6" s="763"/>
      <c r="M6" s="763"/>
      <c r="N6" s="28">
        <f t="shared" si="4"/>
        <v>12871.29</v>
      </c>
      <c r="O6" s="28">
        <f t="shared" si="5"/>
        <v>25742.58</v>
      </c>
      <c r="P6" s="763">
        <v>1274257</v>
      </c>
      <c r="Q6" s="28">
        <f t="shared" si="1"/>
        <v>0.70999999992636731</v>
      </c>
      <c r="R6" s="55"/>
      <c r="S6" s="301">
        <v>44607</v>
      </c>
      <c r="T6" s="55">
        <v>30</v>
      </c>
      <c r="U6" s="24">
        <f t="shared" si="2"/>
        <v>44237</v>
      </c>
      <c r="V6" s="5"/>
      <c r="W6"/>
      <c r="X6"/>
      <c r="Y6"/>
      <c r="Z6"/>
      <c r="AA6"/>
      <c r="AB6"/>
      <c r="AC6"/>
      <c r="AD6"/>
      <c r="AE6"/>
      <c r="AF6"/>
      <c r="AG6"/>
      <c r="AH6"/>
      <c r="AI6"/>
      <c r="AJ6"/>
      <c r="AK6"/>
      <c r="AL6"/>
      <c r="AM6"/>
      <c r="AN6"/>
      <c r="AO6"/>
      <c r="AP6"/>
      <c r="AQ6"/>
      <c r="AR6"/>
    </row>
    <row r="7" spans="1:44" s="10" customFormat="1" ht="15.75" customHeight="1" x14ac:dyDescent="0.25">
      <c r="A7" s="55">
        <f t="shared" si="3"/>
        <v>4</v>
      </c>
      <c r="B7" s="633">
        <v>44566</v>
      </c>
      <c r="C7" s="755" t="s">
        <v>3329</v>
      </c>
      <c r="D7" s="755" t="s">
        <v>3330</v>
      </c>
      <c r="E7" s="884" t="s">
        <v>3331</v>
      </c>
      <c r="F7" s="6" t="s">
        <v>2694</v>
      </c>
      <c r="G7" s="404" t="s">
        <v>3188</v>
      </c>
      <c r="H7" s="45">
        <v>2000000</v>
      </c>
      <c r="I7" s="377" t="s">
        <v>3328</v>
      </c>
      <c r="J7" s="772">
        <v>44573</v>
      </c>
      <c r="K7" s="928">
        <f t="shared" si="0"/>
        <v>2000000</v>
      </c>
      <c r="L7" s="763">
        <v>955000</v>
      </c>
      <c r="M7" s="763">
        <v>62575</v>
      </c>
      <c r="N7" s="28">
        <f t="shared" si="4"/>
        <v>20000</v>
      </c>
      <c r="O7" s="28">
        <f t="shared" si="5"/>
        <v>40000</v>
      </c>
      <c r="P7" s="763">
        <v>962425</v>
      </c>
      <c r="Q7" s="28">
        <f t="shared" si="1"/>
        <v>0</v>
      </c>
      <c r="R7" s="301">
        <v>44567</v>
      </c>
      <c r="S7" s="301">
        <v>44587</v>
      </c>
      <c r="T7" s="55">
        <v>14</v>
      </c>
      <c r="U7" s="24">
        <f t="shared" si="2"/>
        <v>44587</v>
      </c>
      <c r="V7" s="5"/>
      <c r="W7"/>
      <c r="X7"/>
      <c r="Y7"/>
      <c r="Z7"/>
      <c r="AA7"/>
      <c r="AB7"/>
      <c r="AC7"/>
      <c r="AD7"/>
      <c r="AE7"/>
      <c r="AF7"/>
      <c r="AG7"/>
      <c r="AH7"/>
      <c r="AI7"/>
      <c r="AJ7"/>
      <c r="AK7"/>
      <c r="AL7"/>
      <c r="AM7"/>
      <c r="AN7"/>
      <c r="AO7"/>
      <c r="AP7"/>
      <c r="AQ7"/>
      <c r="AR7"/>
    </row>
    <row r="8" spans="1:44" s="10" customFormat="1" ht="15.75" customHeight="1" x14ac:dyDescent="0.25">
      <c r="A8" s="55">
        <f t="shared" si="3"/>
        <v>5</v>
      </c>
      <c r="B8" s="633">
        <v>44566</v>
      </c>
      <c r="C8" s="755" t="s">
        <v>3334</v>
      </c>
      <c r="D8" s="755" t="s">
        <v>3335</v>
      </c>
      <c r="E8" s="884" t="s">
        <v>3333</v>
      </c>
      <c r="F8" s="6" t="s">
        <v>2694</v>
      </c>
      <c r="G8" s="404" t="s">
        <v>3336</v>
      </c>
      <c r="H8" s="45">
        <v>800000</v>
      </c>
      <c r="I8" s="377" t="s">
        <v>3332</v>
      </c>
      <c r="J8" s="772">
        <v>44573</v>
      </c>
      <c r="K8" s="928">
        <f t="shared" si="0"/>
        <v>800000</v>
      </c>
      <c r="L8" s="763"/>
      <c r="M8" s="763">
        <v>25860</v>
      </c>
      <c r="N8" s="28">
        <f t="shared" si="4"/>
        <v>8000</v>
      </c>
      <c r="O8" s="28">
        <f t="shared" si="5"/>
        <v>16000</v>
      </c>
      <c r="P8" s="763">
        <v>766140</v>
      </c>
      <c r="Q8" s="28">
        <f t="shared" si="1"/>
        <v>0</v>
      </c>
      <c r="R8" s="55"/>
      <c r="S8" s="301">
        <v>44587</v>
      </c>
      <c r="T8" s="55">
        <v>14</v>
      </c>
      <c r="U8" s="24">
        <f t="shared" ref="U8" si="6">J8+T8</f>
        <v>44587</v>
      </c>
      <c r="V8" s="5"/>
      <c r="W8"/>
      <c r="X8"/>
      <c r="Y8"/>
      <c r="Z8"/>
      <c r="AA8"/>
      <c r="AB8"/>
      <c r="AC8"/>
      <c r="AD8"/>
      <c r="AE8"/>
      <c r="AF8"/>
      <c r="AG8"/>
      <c r="AH8"/>
      <c r="AI8"/>
      <c r="AJ8"/>
      <c r="AK8"/>
      <c r="AL8"/>
      <c r="AM8"/>
      <c r="AN8"/>
      <c r="AO8"/>
      <c r="AP8"/>
      <c r="AQ8"/>
      <c r="AR8"/>
    </row>
    <row r="9" spans="1:44" s="10" customFormat="1" ht="15.75" customHeight="1" x14ac:dyDescent="0.25">
      <c r="A9" s="55">
        <f t="shared" si="3"/>
        <v>6</v>
      </c>
      <c r="B9" s="633">
        <v>44572</v>
      </c>
      <c r="C9" s="755">
        <v>403102</v>
      </c>
      <c r="D9" s="756" t="s">
        <v>3362</v>
      </c>
      <c r="E9" s="884"/>
      <c r="F9" s="6" t="s">
        <v>412</v>
      </c>
      <c r="G9" s="404" t="s">
        <v>421</v>
      </c>
      <c r="H9" s="45">
        <v>1287129</v>
      </c>
      <c r="I9" s="377" t="s">
        <v>3359</v>
      </c>
      <c r="J9" s="774">
        <v>44574</v>
      </c>
      <c r="K9" s="928">
        <f t="shared" si="0"/>
        <v>1287129</v>
      </c>
      <c r="L9" s="763"/>
      <c r="M9" s="763"/>
      <c r="N9" s="28">
        <f t="shared" si="4"/>
        <v>12871.29</v>
      </c>
      <c r="O9" s="28">
        <f t="shared" si="5"/>
        <v>25742.58</v>
      </c>
      <c r="P9" s="763">
        <v>1274257.71</v>
      </c>
      <c r="Q9" s="28">
        <f t="shared" si="1"/>
        <v>-3.637978807091713E-11</v>
      </c>
      <c r="R9" s="301"/>
      <c r="S9" s="301">
        <v>44648</v>
      </c>
      <c r="T9" s="55">
        <v>30</v>
      </c>
      <c r="U9" s="24">
        <f t="shared" si="2"/>
        <v>44604</v>
      </c>
      <c r="V9" s="5"/>
      <c r="W9"/>
      <c r="X9"/>
      <c r="Y9"/>
      <c r="Z9"/>
      <c r="AA9"/>
      <c r="AB9"/>
      <c r="AC9"/>
      <c r="AD9"/>
      <c r="AE9"/>
      <c r="AF9"/>
      <c r="AG9"/>
      <c r="AH9"/>
      <c r="AI9"/>
      <c r="AJ9"/>
      <c r="AK9"/>
      <c r="AL9"/>
      <c r="AM9"/>
      <c r="AN9"/>
      <c r="AO9"/>
      <c r="AP9"/>
      <c r="AQ9"/>
      <c r="AR9"/>
    </row>
    <row r="10" spans="1:44" s="10" customFormat="1" ht="15.75" customHeight="1" x14ac:dyDescent="0.25">
      <c r="A10" s="55">
        <f t="shared" si="3"/>
        <v>7</v>
      </c>
      <c r="B10" s="633">
        <v>44573</v>
      </c>
      <c r="C10" s="755">
        <v>405869</v>
      </c>
      <c r="D10" s="756" t="s">
        <v>3363</v>
      </c>
      <c r="E10" s="884"/>
      <c r="F10" s="33" t="s">
        <v>3361</v>
      </c>
      <c r="G10" s="404" t="s">
        <v>521</v>
      </c>
      <c r="H10" s="45">
        <v>260000</v>
      </c>
      <c r="I10" s="377" t="s">
        <v>3360</v>
      </c>
      <c r="J10" s="774">
        <v>44574</v>
      </c>
      <c r="K10" s="928">
        <f t="shared" si="0"/>
        <v>260000</v>
      </c>
      <c r="L10" s="763"/>
      <c r="M10" s="763">
        <v>2600</v>
      </c>
      <c r="N10" s="28">
        <f t="shared" si="4"/>
        <v>2600</v>
      </c>
      <c r="O10" s="28">
        <f t="shared" si="5"/>
        <v>5200</v>
      </c>
      <c r="P10" s="763">
        <v>254800</v>
      </c>
      <c r="Q10" s="28">
        <f t="shared" si="1"/>
        <v>0</v>
      </c>
      <c r="R10" s="301"/>
      <c r="S10" s="301">
        <v>44574</v>
      </c>
      <c r="T10" s="55">
        <v>14</v>
      </c>
      <c r="U10" s="24">
        <f t="shared" si="2"/>
        <v>44588</v>
      </c>
      <c r="V10" s="5"/>
      <c r="W10"/>
      <c r="X10"/>
      <c r="Y10"/>
      <c r="Z10"/>
      <c r="AA10"/>
      <c r="AB10"/>
      <c r="AC10"/>
      <c r="AD10"/>
      <c r="AE10"/>
      <c r="AF10"/>
      <c r="AG10"/>
      <c r="AH10"/>
      <c r="AI10"/>
      <c r="AJ10"/>
      <c r="AK10"/>
      <c r="AL10"/>
      <c r="AM10"/>
      <c r="AN10"/>
      <c r="AO10"/>
      <c r="AP10"/>
      <c r="AQ10"/>
      <c r="AR10"/>
    </row>
    <row r="11" spans="1:44" s="10" customFormat="1" ht="15.75" customHeight="1" x14ac:dyDescent="0.25">
      <c r="A11" s="55">
        <f t="shared" si="3"/>
        <v>8</v>
      </c>
      <c r="B11" s="633">
        <v>44567</v>
      </c>
      <c r="C11" s="755">
        <v>402885</v>
      </c>
      <c r="D11" s="756" t="s">
        <v>3447</v>
      </c>
      <c r="E11" s="884" t="s">
        <v>3446</v>
      </c>
      <c r="F11" s="33" t="s">
        <v>3445</v>
      </c>
      <c r="G11" s="404" t="s">
        <v>1861</v>
      </c>
      <c r="H11" s="45">
        <v>1500000</v>
      </c>
      <c r="I11" s="377" t="s">
        <v>3444</v>
      </c>
      <c r="J11" s="774">
        <v>44580</v>
      </c>
      <c r="K11" s="928">
        <f t="shared" si="0"/>
        <v>1500000</v>
      </c>
      <c r="L11" s="790"/>
      <c r="M11" s="790"/>
      <c r="N11" s="28">
        <f t="shared" si="4"/>
        <v>15000</v>
      </c>
      <c r="O11" s="28">
        <f t="shared" si="5"/>
        <v>30000</v>
      </c>
      <c r="P11" s="790">
        <v>1485000</v>
      </c>
      <c r="Q11" s="28">
        <f t="shared" si="1"/>
        <v>0</v>
      </c>
      <c r="R11" s="301"/>
      <c r="S11" s="301">
        <v>44622</v>
      </c>
      <c r="T11" s="55">
        <v>14</v>
      </c>
      <c r="U11" s="24">
        <f t="shared" si="2"/>
        <v>44594</v>
      </c>
      <c r="V11" s="5"/>
      <c r="W11"/>
      <c r="X11"/>
      <c r="Y11"/>
      <c r="Z11"/>
      <c r="AA11"/>
      <c r="AB11"/>
      <c r="AC11"/>
      <c r="AD11"/>
      <c r="AE11"/>
      <c r="AF11"/>
      <c r="AG11"/>
      <c r="AH11"/>
      <c r="AI11"/>
      <c r="AJ11"/>
      <c r="AK11"/>
      <c r="AL11"/>
      <c r="AM11"/>
      <c r="AN11"/>
      <c r="AO11"/>
      <c r="AP11"/>
      <c r="AQ11"/>
      <c r="AR11"/>
    </row>
    <row r="12" spans="1:44" s="10" customFormat="1" ht="15.75" customHeight="1" x14ac:dyDescent="0.25">
      <c r="A12" s="55">
        <f t="shared" si="3"/>
        <v>9</v>
      </c>
      <c r="B12" s="633">
        <v>44575</v>
      </c>
      <c r="C12" s="755">
        <v>403105</v>
      </c>
      <c r="D12" s="756" t="s">
        <v>3453</v>
      </c>
      <c r="E12" s="884"/>
      <c r="F12" s="6" t="s">
        <v>412</v>
      </c>
      <c r="G12" s="404" t="s">
        <v>417</v>
      </c>
      <c r="H12" s="45">
        <v>1782178</v>
      </c>
      <c r="I12" s="377" t="s">
        <v>3452</v>
      </c>
      <c r="J12" s="774">
        <v>44580</v>
      </c>
      <c r="K12" s="928">
        <f t="shared" si="0"/>
        <v>1782178</v>
      </c>
      <c r="L12" s="790"/>
      <c r="M12" s="790"/>
      <c r="N12" s="28">
        <f t="shared" si="4"/>
        <v>17821.78</v>
      </c>
      <c r="O12" s="28">
        <f t="shared" si="5"/>
        <v>35643.56</v>
      </c>
      <c r="P12" s="790">
        <v>1764356.22</v>
      </c>
      <c r="Q12" s="28">
        <f t="shared" si="1"/>
        <v>-2.9103830456733704E-11</v>
      </c>
      <c r="R12" s="301"/>
      <c r="S12" s="301">
        <v>44648</v>
      </c>
      <c r="T12" s="55">
        <v>30</v>
      </c>
      <c r="U12" s="24">
        <f t="shared" si="2"/>
        <v>44610</v>
      </c>
      <c r="V12" s="5"/>
      <c r="W12"/>
      <c r="X12"/>
      <c r="Y12"/>
      <c r="Z12"/>
      <c r="AA12"/>
      <c r="AB12"/>
      <c r="AC12"/>
      <c r="AD12"/>
      <c r="AE12"/>
      <c r="AF12"/>
      <c r="AG12"/>
      <c r="AH12"/>
      <c r="AI12"/>
      <c r="AJ12"/>
      <c r="AK12"/>
      <c r="AL12"/>
      <c r="AM12"/>
      <c r="AN12"/>
      <c r="AO12"/>
      <c r="AP12"/>
      <c r="AQ12"/>
      <c r="AR12"/>
    </row>
    <row r="13" spans="1:44" s="10" customFormat="1" ht="15.75" customHeight="1" x14ac:dyDescent="0.25">
      <c r="A13" s="55">
        <f t="shared" si="3"/>
        <v>10</v>
      </c>
      <c r="B13" s="633">
        <v>44579</v>
      </c>
      <c r="C13" s="755">
        <v>403107</v>
      </c>
      <c r="D13" s="756" t="s">
        <v>3455</v>
      </c>
      <c r="E13" s="884"/>
      <c r="F13" s="6" t="s">
        <v>412</v>
      </c>
      <c r="G13" s="404" t="s">
        <v>161</v>
      </c>
      <c r="H13" s="45">
        <v>1188119</v>
      </c>
      <c r="I13" s="377" t="s">
        <v>3454</v>
      </c>
      <c r="J13" s="774">
        <v>44580</v>
      </c>
      <c r="K13" s="928">
        <f t="shared" si="0"/>
        <v>1188119</v>
      </c>
      <c r="L13" s="790"/>
      <c r="M13" s="790"/>
      <c r="N13" s="28">
        <f t="shared" si="4"/>
        <v>11881.19</v>
      </c>
      <c r="O13" s="28">
        <f t="shared" si="5"/>
        <v>23762.38</v>
      </c>
      <c r="P13" s="790">
        <v>1176237.81</v>
      </c>
      <c r="Q13" s="28">
        <f t="shared" si="1"/>
        <v>5.6388671509921551E-11</v>
      </c>
      <c r="R13" s="301"/>
      <c r="S13" s="301">
        <v>44648</v>
      </c>
      <c r="T13" s="55">
        <v>30</v>
      </c>
      <c r="U13" s="24">
        <f t="shared" si="2"/>
        <v>44610</v>
      </c>
      <c r="V13" s="5"/>
      <c r="W13"/>
      <c r="X13"/>
      <c r="Y13"/>
      <c r="Z13"/>
      <c r="AA13"/>
      <c r="AB13"/>
      <c r="AC13"/>
      <c r="AD13"/>
      <c r="AE13"/>
      <c r="AF13"/>
      <c r="AG13"/>
      <c r="AH13"/>
      <c r="AI13"/>
      <c r="AJ13"/>
      <c r="AK13"/>
      <c r="AL13"/>
      <c r="AM13"/>
      <c r="AN13"/>
      <c r="AO13"/>
      <c r="AP13"/>
      <c r="AQ13"/>
      <c r="AR13"/>
    </row>
    <row r="14" spans="1:44" s="10" customFormat="1" ht="15.75" customHeight="1" x14ac:dyDescent="0.25">
      <c r="A14" s="55">
        <f t="shared" si="3"/>
        <v>11</v>
      </c>
      <c r="B14" s="633">
        <v>44580</v>
      </c>
      <c r="C14" s="755">
        <v>403110</v>
      </c>
      <c r="D14" s="756" t="s">
        <v>3457</v>
      </c>
      <c r="E14" s="884"/>
      <c r="F14" s="6" t="s">
        <v>412</v>
      </c>
      <c r="G14" s="404" t="s">
        <v>421</v>
      </c>
      <c r="H14" s="45">
        <v>1287129</v>
      </c>
      <c r="I14" s="377" t="s">
        <v>3456</v>
      </c>
      <c r="J14" s="774">
        <v>44581</v>
      </c>
      <c r="K14" s="928">
        <f t="shared" si="0"/>
        <v>1287129</v>
      </c>
      <c r="L14" s="790"/>
      <c r="M14" s="790"/>
      <c r="N14" s="28">
        <f t="shared" si="4"/>
        <v>12871.29</v>
      </c>
      <c r="O14" s="28">
        <f t="shared" si="5"/>
        <v>25742.58</v>
      </c>
      <c r="P14" s="790">
        <v>1274257.71</v>
      </c>
      <c r="Q14" s="28">
        <f t="shared" si="1"/>
        <v>-3.637978807091713E-11</v>
      </c>
      <c r="R14" s="301"/>
      <c r="S14" s="301">
        <v>44648</v>
      </c>
      <c r="T14" s="55">
        <v>30</v>
      </c>
      <c r="U14" s="24">
        <f t="shared" si="2"/>
        <v>44611</v>
      </c>
      <c r="V14" s="5"/>
      <c r="W14"/>
      <c r="X14"/>
      <c r="Y14"/>
      <c r="Z14"/>
      <c r="AA14"/>
      <c r="AB14"/>
      <c r="AC14"/>
      <c r="AD14"/>
      <c r="AE14"/>
      <c r="AF14"/>
      <c r="AG14"/>
      <c r="AH14"/>
      <c r="AI14"/>
      <c r="AJ14"/>
      <c r="AK14"/>
      <c r="AL14"/>
      <c r="AM14"/>
      <c r="AN14"/>
      <c r="AO14"/>
      <c r="AP14"/>
      <c r="AQ14"/>
      <c r="AR14"/>
    </row>
    <row r="15" spans="1:44" s="10" customFormat="1" ht="15.75" customHeight="1" x14ac:dyDescent="0.25">
      <c r="A15" s="55">
        <f t="shared" si="3"/>
        <v>12</v>
      </c>
      <c r="B15" s="633">
        <v>44568</v>
      </c>
      <c r="C15" s="755" t="s">
        <v>3462</v>
      </c>
      <c r="D15" s="756" t="s">
        <v>3461</v>
      </c>
      <c r="E15" s="884" t="s">
        <v>3463</v>
      </c>
      <c r="F15" s="6" t="s">
        <v>2694</v>
      </c>
      <c r="G15" s="404" t="s">
        <v>3464</v>
      </c>
      <c r="H15" s="45">
        <v>1300000</v>
      </c>
      <c r="I15" s="377" t="s">
        <v>3460</v>
      </c>
      <c r="J15" s="774">
        <v>44581</v>
      </c>
      <c r="K15" s="928">
        <f t="shared" si="0"/>
        <v>1300000</v>
      </c>
      <c r="L15" s="790"/>
      <c r="M15" s="790">
        <v>29749</v>
      </c>
      <c r="N15" s="28">
        <f t="shared" si="4"/>
        <v>13000</v>
      </c>
      <c r="O15" s="28">
        <f t="shared" si="5"/>
        <v>26000</v>
      </c>
      <c r="P15" s="790">
        <v>1257251</v>
      </c>
      <c r="Q15" s="28">
        <f t="shared" si="1"/>
        <v>0</v>
      </c>
      <c r="R15" s="301"/>
      <c r="S15" s="301">
        <v>44599</v>
      </c>
      <c r="T15" s="55">
        <v>14</v>
      </c>
      <c r="U15" s="24">
        <f t="shared" ref="U15:U19" si="7">J15+T15</f>
        <v>44595</v>
      </c>
      <c r="V15" s="5"/>
      <c r="W15"/>
      <c r="X15"/>
      <c r="Y15"/>
      <c r="Z15"/>
      <c r="AA15"/>
      <c r="AB15"/>
      <c r="AC15"/>
      <c r="AD15"/>
      <c r="AE15"/>
      <c r="AF15"/>
      <c r="AG15"/>
      <c r="AH15"/>
      <c r="AI15"/>
      <c r="AJ15"/>
      <c r="AK15"/>
      <c r="AL15"/>
      <c r="AM15"/>
      <c r="AN15"/>
      <c r="AO15"/>
      <c r="AP15"/>
      <c r="AQ15"/>
      <c r="AR15"/>
    </row>
    <row r="16" spans="1:44" s="10" customFormat="1" ht="15.75" customHeight="1" x14ac:dyDescent="0.25">
      <c r="A16" s="55">
        <f t="shared" si="3"/>
        <v>13</v>
      </c>
      <c r="B16" s="633">
        <v>44566</v>
      </c>
      <c r="C16" s="755" t="s">
        <v>3329</v>
      </c>
      <c r="D16" s="756" t="s">
        <v>3467</v>
      </c>
      <c r="E16" s="884" t="s">
        <v>3466</v>
      </c>
      <c r="F16" s="6" t="s">
        <v>2694</v>
      </c>
      <c r="G16" s="404" t="s">
        <v>3336</v>
      </c>
      <c r="H16" s="45">
        <v>800000</v>
      </c>
      <c r="I16" s="377" t="s">
        <v>3465</v>
      </c>
      <c r="J16" s="774">
        <v>44581</v>
      </c>
      <c r="K16" s="928">
        <f t="shared" si="0"/>
        <v>800000</v>
      </c>
      <c r="L16" s="790"/>
      <c r="M16" s="790">
        <v>25860</v>
      </c>
      <c r="N16" s="28">
        <f t="shared" si="4"/>
        <v>8000</v>
      </c>
      <c r="O16" s="28">
        <f t="shared" si="5"/>
        <v>16000</v>
      </c>
      <c r="P16" s="790">
        <v>766140</v>
      </c>
      <c r="Q16" s="28">
        <f t="shared" si="1"/>
        <v>0</v>
      </c>
      <c r="R16" s="301"/>
      <c r="S16" s="301">
        <v>44599</v>
      </c>
      <c r="T16" s="55">
        <v>14</v>
      </c>
      <c r="U16" s="24">
        <f t="shared" si="7"/>
        <v>44595</v>
      </c>
      <c r="V16" s="5"/>
      <c r="W16"/>
      <c r="X16"/>
      <c r="Y16"/>
      <c r="Z16"/>
      <c r="AA16"/>
      <c r="AB16"/>
      <c r="AC16"/>
      <c r="AD16"/>
      <c r="AE16"/>
      <c r="AF16"/>
      <c r="AG16"/>
      <c r="AH16"/>
      <c r="AI16"/>
      <c r="AJ16"/>
      <c r="AK16"/>
      <c r="AL16"/>
      <c r="AM16"/>
      <c r="AN16"/>
      <c r="AO16"/>
      <c r="AP16"/>
      <c r="AQ16"/>
      <c r="AR16"/>
    </row>
    <row r="17" spans="1:44" s="10" customFormat="1" ht="15.75" customHeight="1" x14ac:dyDescent="0.25">
      <c r="A17" s="55">
        <f t="shared" si="3"/>
        <v>14</v>
      </c>
      <c r="B17" s="633">
        <v>44565</v>
      </c>
      <c r="C17" s="755" t="s">
        <v>3470</v>
      </c>
      <c r="D17" s="756" t="s">
        <v>3469</v>
      </c>
      <c r="E17" s="884" t="s">
        <v>3471</v>
      </c>
      <c r="F17" s="6" t="s">
        <v>2694</v>
      </c>
      <c r="G17" s="404" t="s">
        <v>147</v>
      </c>
      <c r="H17" s="45">
        <v>900000</v>
      </c>
      <c r="I17" s="377" t="s">
        <v>3468</v>
      </c>
      <c r="J17" s="774">
        <v>44581</v>
      </c>
      <c r="K17" s="928">
        <f t="shared" si="0"/>
        <v>900000</v>
      </c>
      <c r="L17" s="790"/>
      <c r="M17" s="790">
        <v>18749</v>
      </c>
      <c r="N17" s="28">
        <f t="shared" si="4"/>
        <v>9000</v>
      </c>
      <c r="O17" s="28">
        <f t="shared" si="5"/>
        <v>18000</v>
      </c>
      <c r="P17" s="790">
        <v>872251</v>
      </c>
      <c r="Q17" s="28">
        <f t="shared" si="1"/>
        <v>0</v>
      </c>
      <c r="R17" s="301"/>
      <c r="S17" s="301">
        <v>44599</v>
      </c>
      <c r="T17" s="55">
        <v>14</v>
      </c>
      <c r="U17" s="24">
        <f t="shared" si="7"/>
        <v>44595</v>
      </c>
      <c r="V17" s="5"/>
      <c r="W17"/>
      <c r="X17"/>
      <c r="Y17"/>
      <c r="Z17"/>
      <c r="AA17"/>
      <c r="AB17"/>
      <c r="AC17"/>
      <c r="AD17"/>
      <c r="AE17"/>
      <c r="AF17"/>
      <c r="AG17"/>
      <c r="AH17"/>
      <c r="AI17"/>
      <c r="AJ17"/>
      <c r="AK17"/>
      <c r="AL17"/>
      <c r="AM17"/>
      <c r="AN17"/>
      <c r="AO17"/>
      <c r="AP17"/>
      <c r="AQ17"/>
      <c r="AR17"/>
    </row>
    <row r="18" spans="1:44" s="10" customFormat="1" ht="15.75" customHeight="1" x14ac:dyDescent="0.25">
      <c r="A18" s="55">
        <f t="shared" si="3"/>
        <v>15</v>
      </c>
      <c r="B18" s="633">
        <v>44572</v>
      </c>
      <c r="C18" s="755" t="s">
        <v>3488</v>
      </c>
      <c r="D18" s="756" t="s">
        <v>3487</v>
      </c>
      <c r="E18" s="884" t="s">
        <v>3486</v>
      </c>
      <c r="F18" s="6" t="s">
        <v>2694</v>
      </c>
      <c r="G18" s="404" t="s">
        <v>1496</v>
      </c>
      <c r="H18" s="45">
        <v>1500000</v>
      </c>
      <c r="I18" s="377" t="s">
        <v>3485</v>
      </c>
      <c r="J18" s="774">
        <v>44581</v>
      </c>
      <c r="K18" s="928">
        <f t="shared" si="0"/>
        <v>1500000</v>
      </c>
      <c r="L18" s="812"/>
      <c r="M18" s="812">
        <v>31249</v>
      </c>
      <c r="N18" s="28">
        <f t="shared" si="4"/>
        <v>15000</v>
      </c>
      <c r="O18" s="28">
        <f t="shared" si="5"/>
        <v>30000</v>
      </c>
      <c r="P18" s="812">
        <v>1453751</v>
      </c>
      <c r="Q18" s="28">
        <f t="shared" si="1"/>
        <v>0</v>
      </c>
      <c r="R18" s="301"/>
      <c r="S18" s="301">
        <v>44599</v>
      </c>
      <c r="T18" s="55">
        <v>14</v>
      </c>
      <c r="U18" s="24">
        <f t="shared" si="7"/>
        <v>44595</v>
      </c>
      <c r="V18" s="5"/>
      <c r="W18"/>
      <c r="X18"/>
      <c r="Y18"/>
      <c r="Z18"/>
      <c r="AA18"/>
      <c r="AB18"/>
      <c r="AC18"/>
      <c r="AD18"/>
      <c r="AE18"/>
      <c r="AF18"/>
      <c r="AG18"/>
      <c r="AH18"/>
      <c r="AI18"/>
      <c r="AJ18"/>
      <c r="AK18"/>
      <c r="AL18"/>
      <c r="AM18"/>
      <c r="AN18"/>
      <c r="AO18"/>
      <c r="AP18"/>
      <c r="AQ18"/>
      <c r="AR18"/>
    </row>
    <row r="19" spans="1:44" s="10" customFormat="1" ht="15.75" customHeight="1" x14ac:dyDescent="0.25">
      <c r="A19" s="55">
        <f t="shared" si="3"/>
        <v>16</v>
      </c>
      <c r="B19" s="633">
        <v>44572</v>
      </c>
      <c r="C19" s="755" t="s">
        <v>3492</v>
      </c>
      <c r="D19" s="756" t="s">
        <v>3491</v>
      </c>
      <c r="E19" s="884" t="s">
        <v>3490</v>
      </c>
      <c r="F19" s="6" t="s">
        <v>2694</v>
      </c>
      <c r="G19" s="404" t="s">
        <v>1179</v>
      </c>
      <c r="H19" s="45">
        <v>950000</v>
      </c>
      <c r="I19" s="377" t="s">
        <v>3489</v>
      </c>
      <c r="J19" s="774">
        <v>44581</v>
      </c>
      <c r="K19" s="928">
        <f t="shared" si="0"/>
        <v>950000</v>
      </c>
      <c r="L19" s="812"/>
      <c r="M19" s="812">
        <v>28459</v>
      </c>
      <c r="N19" s="28">
        <f t="shared" si="4"/>
        <v>9500</v>
      </c>
      <c r="O19" s="28">
        <f t="shared" si="5"/>
        <v>19000</v>
      </c>
      <c r="P19" s="812">
        <v>912041</v>
      </c>
      <c r="Q19" s="28">
        <f t="shared" si="1"/>
        <v>0</v>
      </c>
      <c r="R19" s="301"/>
      <c r="S19" s="301">
        <v>44599</v>
      </c>
      <c r="T19" s="55">
        <v>14</v>
      </c>
      <c r="U19" s="24">
        <f t="shared" si="7"/>
        <v>44595</v>
      </c>
      <c r="V19" s="5"/>
      <c r="W19"/>
      <c r="X19"/>
      <c r="Y19"/>
      <c r="Z19"/>
      <c r="AA19"/>
      <c r="AB19"/>
      <c r="AC19"/>
      <c r="AD19"/>
      <c r="AE19"/>
      <c r="AF19"/>
      <c r="AG19"/>
      <c r="AH19"/>
      <c r="AI19"/>
      <c r="AJ19"/>
      <c r="AK19"/>
      <c r="AL19"/>
      <c r="AM19"/>
      <c r="AN19"/>
      <c r="AO19"/>
      <c r="AP19"/>
      <c r="AQ19"/>
      <c r="AR19"/>
    </row>
    <row r="20" spans="1:44" s="10" customFormat="1" ht="15.75" customHeight="1" x14ac:dyDescent="0.25">
      <c r="A20" s="55">
        <f t="shared" si="3"/>
        <v>17</v>
      </c>
      <c r="B20" s="633">
        <v>44575</v>
      </c>
      <c r="C20" s="755"/>
      <c r="D20" s="756" t="s">
        <v>3497</v>
      </c>
      <c r="E20" s="884"/>
      <c r="F20" s="33" t="s">
        <v>3496</v>
      </c>
      <c r="G20" s="404" t="s">
        <v>201</v>
      </c>
      <c r="H20" s="45">
        <v>27000000</v>
      </c>
      <c r="I20" s="377" t="s">
        <v>3495</v>
      </c>
      <c r="J20" s="774">
        <v>44585</v>
      </c>
      <c r="K20" s="928">
        <f t="shared" si="0"/>
        <v>27000000</v>
      </c>
      <c r="L20" s="812"/>
      <c r="M20" s="812"/>
      <c r="N20" s="28">
        <f t="shared" si="4"/>
        <v>270000</v>
      </c>
      <c r="O20" s="28">
        <f t="shared" si="5"/>
        <v>540000</v>
      </c>
      <c r="P20" s="812">
        <v>26730000</v>
      </c>
      <c r="Q20" s="28">
        <f t="shared" si="1"/>
        <v>0</v>
      </c>
      <c r="R20" s="301"/>
      <c r="S20" s="301">
        <v>44613</v>
      </c>
      <c r="T20" s="55">
        <v>30</v>
      </c>
      <c r="U20" s="24">
        <f t="shared" si="2"/>
        <v>44615</v>
      </c>
      <c r="V20" s="5"/>
      <c r="W20"/>
      <c r="X20"/>
      <c r="Y20"/>
      <c r="Z20"/>
      <c r="AA20"/>
      <c r="AB20"/>
      <c r="AC20"/>
      <c r="AD20"/>
      <c r="AE20"/>
      <c r="AF20"/>
      <c r="AG20"/>
      <c r="AH20"/>
      <c r="AI20"/>
      <c r="AJ20"/>
      <c r="AK20"/>
      <c r="AL20"/>
      <c r="AM20"/>
      <c r="AN20"/>
      <c r="AO20"/>
      <c r="AP20"/>
      <c r="AQ20"/>
      <c r="AR20"/>
    </row>
    <row r="21" spans="1:44" s="10" customFormat="1" ht="15.75" customHeight="1" x14ac:dyDescent="0.25">
      <c r="A21" s="55">
        <f t="shared" si="3"/>
        <v>18</v>
      </c>
      <c r="B21" s="633">
        <v>44575</v>
      </c>
      <c r="C21" s="755"/>
      <c r="D21" s="756" t="s">
        <v>3499</v>
      </c>
      <c r="E21" s="884"/>
      <c r="F21" s="33" t="s">
        <v>3496</v>
      </c>
      <c r="G21" s="404" t="s">
        <v>467</v>
      </c>
      <c r="H21" s="45">
        <v>20000000</v>
      </c>
      <c r="I21" s="377" t="s">
        <v>3498</v>
      </c>
      <c r="J21" s="774">
        <v>44585</v>
      </c>
      <c r="K21" s="928">
        <f t="shared" si="0"/>
        <v>20000000</v>
      </c>
      <c r="L21" s="812"/>
      <c r="M21" s="812"/>
      <c r="N21" s="28">
        <f t="shared" si="4"/>
        <v>200000</v>
      </c>
      <c r="O21" s="28">
        <f t="shared" si="5"/>
        <v>400000</v>
      </c>
      <c r="P21" s="812">
        <v>19800000</v>
      </c>
      <c r="Q21" s="28">
        <f t="shared" si="1"/>
        <v>0</v>
      </c>
      <c r="R21" s="301"/>
      <c r="S21" s="301">
        <v>44613</v>
      </c>
      <c r="T21" s="55">
        <v>30</v>
      </c>
      <c r="U21" s="24">
        <f t="shared" si="2"/>
        <v>44615</v>
      </c>
      <c r="V21" s="5"/>
      <c r="W21"/>
      <c r="X21"/>
      <c r="Y21"/>
      <c r="Z21"/>
      <c r="AA21"/>
      <c r="AB21"/>
      <c r="AC21"/>
      <c r="AD21"/>
      <c r="AE21"/>
      <c r="AF21"/>
      <c r="AG21"/>
      <c r="AH21"/>
      <c r="AI21"/>
      <c r="AJ21"/>
      <c r="AK21"/>
      <c r="AL21"/>
      <c r="AM21"/>
      <c r="AN21"/>
      <c r="AO21"/>
      <c r="AP21"/>
      <c r="AQ21"/>
      <c r="AR21"/>
    </row>
    <row r="22" spans="1:44" s="10" customFormat="1" ht="15.75" customHeight="1" x14ac:dyDescent="0.25">
      <c r="A22" s="55">
        <f t="shared" si="3"/>
        <v>19</v>
      </c>
      <c r="B22" s="633">
        <v>44573</v>
      </c>
      <c r="C22" s="755">
        <v>403103</v>
      </c>
      <c r="D22" s="756" t="s">
        <v>3505</v>
      </c>
      <c r="E22" s="884"/>
      <c r="F22" s="6" t="s">
        <v>412</v>
      </c>
      <c r="G22" s="404" t="s">
        <v>516</v>
      </c>
      <c r="H22" s="45">
        <v>3712871</v>
      </c>
      <c r="I22" s="377" t="s">
        <v>3502</v>
      </c>
      <c r="J22" s="774">
        <v>44585</v>
      </c>
      <c r="K22" s="928">
        <f t="shared" si="0"/>
        <v>3712871</v>
      </c>
      <c r="L22" s="812"/>
      <c r="M22" s="812"/>
      <c r="N22" s="28">
        <f t="shared" si="4"/>
        <v>37128.71</v>
      </c>
      <c r="O22" s="28">
        <f t="shared" si="5"/>
        <v>74257.42</v>
      </c>
      <c r="P22" s="812">
        <v>3675742.29</v>
      </c>
      <c r="Q22" s="28">
        <f t="shared" si="1"/>
        <v>0</v>
      </c>
      <c r="R22" s="301"/>
      <c r="S22" s="301">
        <v>44648</v>
      </c>
      <c r="T22" s="55">
        <v>30</v>
      </c>
      <c r="U22" s="24">
        <f t="shared" si="2"/>
        <v>44615</v>
      </c>
      <c r="V22" s="5"/>
      <c r="W22"/>
      <c r="X22"/>
      <c r="Y22"/>
      <c r="Z22"/>
      <c r="AA22"/>
      <c r="AB22"/>
      <c r="AC22"/>
      <c r="AD22"/>
      <c r="AE22"/>
      <c r="AF22"/>
      <c r="AG22"/>
      <c r="AH22"/>
      <c r="AI22"/>
      <c r="AJ22"/>
      <c r="AK22"/>
      <c r="AL22"/>
      <c r="AM22"/>
      <c r="AN22"/>
      <c r="AO22"/>
      <c r="AP22"/>
      <c r="AQ22"/>
      <c r="AR22"/>
    </row>
    <row r="23" spans="1:44" s="10" customFormat="1" ht="15.75" customHeight="1" x14ac:dyDescent="0.25">
      <c r="A23" s="55">
        <f t="shared" si="3"/>
        <v>20</v>
      </c>
      <c r="B23" s="633">
        <v>44585</v>
      </c>
      <c r="C23" s="755">
        <v>403119</v>
      </c>
      <c r="D23" s="756" t="s">
        <v>3532</v>
      </c>
      <c r="E23" s="884"/>
      <c r="F23" s="6" t="s">
        <v>412</v>
      </c>
      <c r="G23" s="792" t="s">
        <v>161</v>
      </c>
      <c r="H23" s="45">
        <v>1188119</v>
      </c>
      <c r="I23" s="377" t="s">
        <v>3531</v>
      </c>
      <c r="J23" s="774">
        <v>44587</v>
      </c>
      <c r="K23" s="928">
        <f t="shared" si="0"/>
        <v>1188119</v>
      </c>
      <c r="L23" s="814"/>
      <c r="M23" s="814"/>
      <c r="N23" s="28">
        <f t="shared" si="4"/>
        <v>11881.19</v>
      </c>
      <c r="O23" s="28">
        <f t="shared" si="5"/>
        <v>23762.38</v>
      </c>
      <c r="P23" s="814">
        <v>1176237.81</v>
      </c>
      <c r="Q23" s="28">
        <f t="shared" si="1"/>
        <v>5.6388671509921551E-11</v>
      </c>
      <c r="R23" s="301"/>
      <c r="S23" s="301">
        <v>44648</v>
      </c>
      <c r="T23" s="55">
        <v>30</v>
      </c>
      <c r="U23" s="24">
        <f t="shared" si="2"/>
        <v>44617</v>
      </c>
      <c r="V23" s="5"/>
      <c r="W23"/>
      <c r="X23"/>
      <c r="Y23"/>
      <c r="Z23"/>
      <c r="AA23"/>
      <c r="AB23"/>
      <c r="AC23"/>
      <c r="AD23"/>
      <c r="AE23"/>
      <c r="AF23"/>
      <c r="AG23"/>
      <c r="AH23"/>
      <c r="AI23"/>
      <c r="AJ23"/>
      <c r="AK23"/>
      <c r="AL23"/>
      <c r="AM23"/>
      <c r="AN23"/>
      <c r="AO23"/>
      <c r="AP23"/>
      <c r="AQ23"/>
      <c r="AR23"/>
    </row>
    <row r="24" spans="1:44" s="10" customFormat="1" ht="15.75" customHeight="1" x14ac:dyDescent="0.25">
      <c r="A24" s="55">
        <f t="shared" si="3"/>
        <v>21</v>
      </c>
      <c r="B24" s="633">
        <v>44566</v>
      </c>
      <c r="C24" s="755">
        <v>402882</v>
      </c>
      <c r="D24" s="756" t="s">
        <v>3534</v>
      </c>
      <c r="E24" s="884"/>
      <c r="F24" s="6" t="s">
        <v>412</v>
      </c>
      <c r="G24" s="792" t="s">
        <v>2413</v>
      </c>
      <c r="H24" s="45">
        <v>1485149</v>
      </c>
      <c r="I24" s="377" t="s">
        <v>3533</v>
      </c>
      <c r="J24" s="774">
        <v>44587</v>
      </c>
      <c r="K24" s="928">
        <f t="shared" si="0"/>
        <v>1485149</v>
      </c>
      <c r="L24" s="814"/>
      <c r="M24" s="814"/>
      <c r="N24" s="28">
        <f t="shared" si="4"/>
        <v>14851.49</v>
      </c>
      <c r="O24" s="28">
        <f t="shared" si="5"/>
        <v>29702.98</v>
      </c>
      <c r="P24" s="814">
        <v>1470297.51</v>
      </c>
      <c r="Q24" s="28">
        <f t="shared" si="1"/>
        <v>0</v>
      </c>
      <c r="R24" s="301"/>
      <c r="S24" s="301">
        <v>44648</v>
      </c>
      <c r="T24" s="55">
        <v>30</v>
      </c>
      <c r="U24" s="24">
        <f t="shared" si="2"/>
        <v>44617</v>
      </c>
      <c r="V24" s="5"/>
      <c r="W24"/>
      <c r="X24"/>
      <c r="Y24"/>
      <c r="Z24"/>
      <c r="AA24"/>
      <c r="AB24"/>
      <c r="AC24"/>
      <c r="AD24"/>
      <c r="AE24"/>
      <c r="AF24"/>
      <c r="AG24"/>
      <c r="AH24"/>
      <c r="AI24"/>
      <c r="AJ24"/>
      <c r="AK24"/>
      <c r="AL24"/>
      <c r="AM24"/>
      <c r="AN24"/>
      <c r="AO24"/>
      <c r="AP24"/>
      <c r="AQ24"/>
      <c r="AR24"/>
    </row>
    <row r="25" spans="1:44" s="10" customFormat="1" ht="15.75" customHeight="1" x14ac:dyDescent="0.25">
      <c r="A25" s="55">
        <f t="shared" si="3"/>
        <v>22</v>
      </c>
      <c r="B25" s="633">
        <v>44585</v>
      </c>
      <c r="C25" s="755">
        <v>403124</v>
      </c>
      <c r="D25" s="756" t="s">
        <v>3536</v>
      </c>
      <c r="E25" s="884"/>
      <c r="F25" s="6" t="s">
        <v>412</v>
      </c>
      <c r="G25" s="792" t="s">
        <v>421</v>
      </c>
      <c r="H25" s="45">
        <v>1138614</v>
      </c>
      <c r="I25" s="377" t="s">
        <v>3535</v>
      </c>
      <c r="J25" s="774">
        <v>44588</v>
      </c>
      <c r="K25" s="928">
        <f t="shared" si="0"/>
        <v>1138614</v>
      </c>
      <c r="L25" s="814"/>
      <c r="M25" s="814"/>
      <c r="N25" s="28">
        <f t="shared" si="4"/>
        <v>11386.14</v>
      </c>
      <c r="O25" s="28">
        <f t="shared" si="5"/>
        <v>22772.28</v>
      </c>
      <c r="P25" s="814">
        <v>1127227.8599999999</v>
      </c>
      <c r="Q25" s="28">
        <f t="shared" si="1"/>
        <v>1.0186340659856796E-10</v>
      </c>
      <c r="R25" s="301"/>
      <c r="S25" s="301">
        <v>44648</v>
      </c>
      <c r="T25" s="55">
        <v>30</v>
      </c>
      <c r="U25" s="24">
        <f t="shared" si="2"/>
        <v>44618</v>
      </c>
      <c r="V25" s="5"/>
      <c r="W25"/>
      <c r="X25"/>
      <c r="Y25"/>
      <c r="Z25"/>
      <c r="AA25"/>
      <c r="AB25"/>
      <c r="AC25"/>
      <c r="AD25"/>
      <c r="AE25"/>
      <c r="AF25"/>
      <c r="AG25"/>
      <c r="AH25"/>
      <c r="AI25"/>
      <c r="AJ25"/>
      <c r="AK25"/>
      <c r="AL25"/>
      <c r="AM25"/>
      <c r="AN25"/>
      <c r="AO25"/>
      <c r="AP25"/>
      <c r="AQ25"/>
      <c r="AR25"/>
    </row>
    <row r="26" spans="1:44" s="10" customFormat="1" ht="15.75" customHeight="1" x14ac:dyDescent="0.25">
      <c r="A26" s="55">
        <f t="shared" si="3"/>
        <v>23</v>
      </c>
      <c r="B26" s="633">
        <v>44586</v>
      </c>
      <c r="C26" s="755"/>
      <c r="D26" s="756" t="s">
        <v>3542</v>
      </c>
      <c r="E26" s="884"/>
      <c r="F26" s="33" t="s">
        <v>401</v>
      </c>
      <c r="G26" s="792" t="s">
        <v>1179</v>
      </c>
      <c r="H26" s="45">
        <v>800000</v>
      </c>
      <c r="I26" s="377" t="s">
        <v>3541</v>
      </c>
      <c r="J26" s="774">
        <v>44592</v>
      </c>
      <c r="K26" s="928">
        <f t="shared" si="0"/>
        <v>800000</v>
      </c>
      <c r="L26" s="814"/>
      <c r="M26" s="814"/>
      <c r="N26" s="28">
        <f t="shared" si="4"/>
        <v>8000</v>
      </c>
      <c r="O26" s="28">
        <f t="shared" si="5"/>
        <v>16000</v>
      </c>
      <c r="P26" s="814">
        <v>792000</v>
      </c>
      <c r="Q26" s="28">
        <f t="shared" si="1"/>
        <v>0</v>
      </c>
      <c r="R26" s="301"/>
      <c r="S26" s="301">
        <v>44614</v>
      </c>
      <c r="T26" s="55">
        <v>14</v>
      </c>
      <c r="U26" s="24">
        <f t="shared" si="2"/>
        <v>44606</v>
      </c>
      <c r="V26" s="5"/>
      <c r="W26"/>
      <c r="X26"/>
      <c r="Y26"/>
      <c r="Z26"/>
      <c r="AA26"/>
      <c r="AB26"/>
      <c r="AC26"/>
      <c r="AD26"/>
      <c r="AE26"/>
      <c r="AF26"/>
      <c r="AG26"/>
      <c r="AH26"/>
      <c r="AI26"/>
      <c r="AJ26"/>
      <c r="AK26"/>
      <c r="AL26"/>
      <c r="AM26"/>
      <c r="AN26"/>
      <c r="AO26"/>
      <c r="AP26"/>
      <c r="AQ26"/>
      <c r="AR26"/>
    </row>
    <row r="27" spans="1:44" s="10" customFormat="1" ht="15.75" customHeight="1" x14ac:dyDescent="0.25">
      <c r="A27" s="55">
        <f t="shared" si="3"/>
        <v>24</v>
      </c>
      <c r="B27" s="633">
        <v>44589</v>
      </c>
      <c r="C27" s="755">
        <v>403126</v>
      </c>
      <c r="D27" s="756" t="s">
        <v>3543</v>
      </c>
      <c r="E27" s="884"/>
      <c r="F27" s="6" t="s">
        <v>412</v>
      </c>
      <c r="G27" s="792" t="s">
        <v>417</v>
      </c>
      <c r="H27" s="45">
        <v>1831683</v>
      </c>
      <c r="I27" s="377" t="s">
        <v>3544</v>
      </c>
      <c r="J27" s="774">
        <v>44595</v>
      </c>
      <c r="K27" s="928">
        <f t="shared" si="0"/>
        <v>1831683</v>
      </c>
      <c r="L27" s="814"/>
      <c r="M27" s="814"/>
      <c r="N27" s="28">
        <f t="shared" si="4"/>
        <v>18316.830000000002</v>
      </c>
      <c r="O27" s="28">
        <f t="shared" si="5"/>
        <v>36633.660000000003</v>
      </c>
      <c r="P27" s="814">
        <v>1813366.1700000002</v>
      </c>
      <c r="Q27" s="28">
        <f t="shared" si="1"/>
        <v>-7.2759576141834259E-11</v>
      </c>
      <c r="R27" s="301"/>
      <c r="S27" s="301">
        <v>44648</v>
      </c>
      <c r="T27" s="55">
        <v>30</v>
      </c>
      <c r="U27" s="24">
        <f t="shared" si="2"/>
        <v>44625</v>
      </c>
      <c r="V27" s="5"/>
      <c r="W27"/>
      <c r="X27"/>
      <c r="Y27"/>
      <c r="Z27"/>
      <c r="AA27"/>
      <c r="AB27"/>
      <c r="AC27"/>
      <c r="AD27"/>
      <c r="AE27"/>
      <c r="AF27"/>
      <c r="AG27"/>
      <c r="AH27"/>
      <c r="AI27"/>
      <c r="AJ27"/>
      <c r="AK27"/>
      <c r="AL27"/>
      <c r="AM27"/>
      <c r="AN27"/>
      <c r="AO27"/>
      <c r="AP27"/>
      <c r="AQ27"/>
      <c r="AR27"/>
    </row>
    <row r="28" spans="1:44" s="10" customFormat="1" ht="15.75" customHeight="1" x14ac:dyDescent="0.25">
      <c r="A28" s="55">
        <f t="shared" si="3"/>
        <v>25</v>
      </c>
      <c r="B28" s="633">
        <v>44593</v>
      </c>
      <c r="C28" s="755">
        <v>403052</v>
      </c>
      <c r="D28" s="756" t="s">
        <v>3571</v>
      </c>
      <c r="E28" s="884"/>
      <c r="F28" s="6" t="s">
        <v>412</v>
      </c>
      <c r="G28" s="792" t="s">
        <v>161</v>
      </c>
      <c r="H28" s="45">
        <v>1138614</v>
      </c>
      <c r="I28" s="377" t="s">
        <v>3570</v>
      </c>
      <c r="J28" s="774">
        <v>44595</v>
      </c>
      <c r="K28" s="928">
        <f t="shared" si="0"/>
        <v>1138614</v>
      </c>
      <c r="L28" s="814"/>
      <c r="M28" s="814"/>
      <c r="N28" s="28">
        <f t="shared" si="4"/>
        <v>11386.14</v>
      </c>
      <c r="O28" s="28">
        <f t="shared" si="5"/>
        <v>22772.28</v>
      </c>
      <c r="P28" s="814">
        <v>1127227.8599999999</v>
      </c>
      <c r="Q28" s="28">
        <f t="shared" si="1"/>
        <v>1.0186340659856796E-10</v>
      </c>
      <c r="R28" s="301"/>
      <c r="S28" s="301">
        <v>44648</v>
      </c>
      <c r="T28" s="55">
        <v>30</v>
      </c>
      <c r="U28" s="24">
        <f t="shared" si="2"/>
        <v>44625</v>
      </c>
      <c r="V28" s="5"/>
      <c r="W28"/>
      <c r="X28"/>
      <c r="Y28"/>
      <c r="Z28"/>
      <c r="AA28"/>
      <c r="AB28"/>
      <c r="AC28"/>
      <c r="AD28"/>
      <c r="AE28"/>
      <c r="AF28"/>
      <c r="AG28"/>
      <c r="AH28"/>
      <c r="AI28"/>
      <c r="AJ28"/>
      <c r="AK28"/>
      <c r="AL28"/>
      <c r="AM28"/>
      <c r="AN28"/>
      <c r="AO28"/>
      <c r="AP28"/>
      <c r="AQ28"/>
      <c r="AR28"/>
    </row>
    <row r="29" spans="1:44" s="10" customFormat="1" ht="15.75" customHeight="1" x14ac:dyDescent="0.25">
      <c r="A29" s="55">
        <f t="shared" si="3"/>
        <v>26</v>
      </c>
      <c r="B29" s="633">
        <v>44594</v>
      </c>
      <c r="C29" s="755">
        <v>403054</v>
      </c>
      <c r="D29" s="756" t="s">
        <v>3573</v>
      </c>
      <c r="E29" s="884"/>
      <c r="F29" s="6" t="s">
        <v>412</v>
      </c>
      <c r="G29" s="792" t="s">
        <v>421</v>
      </c>
      <c r="H29" s="45">
        <v>1138614</v>
      </c>
      <c r="I29" s="377" t="s">
        <v>3572</v>
      </c>
      <c r="J29" s="774">
        <v>44595</v>
      </c>
      <c r="K29" s="928">
        <f t="shared" si="0"/>
        <v>1138614</v>
      </c>
      <c r="L29" s="814"/>
      <c r="M29" s="814"/>
      <c r="N29" s="28">
        <f t="shared" si="4"/>
        <v>11386.14</v>
      </c>
      <c r="O29" s="28">
        <f t="shared" si="5"/>
        <v>22772.28</v>
      </c>
      <c r="P29" s="814">
        <v>1127227.8599999999</v>
      </c>
      <c r="Q29" s="28">
        <f t="shared" si="1"/>
        <v>1.0186340659856796E-10</v>
      </c>
      <c r="R29" s="301"/>
      <c r="S29" s="301">
        <v>44648</v>
      </c>
      <c r="T29" s="55">
        <v>30</v>
      </c>
      <c r="U29" s="24">
        <f t="shared" si="2"/>
        <v>44625</v>
      </c>
      <c r="V29" s="5"/>
      <c r="W29"/>
      <c r="X29"/>
      <c r="Y29"/>
      <c r="Z29"/>
      <c r="AA29"/>
      <c r="AB29"/>
      <c r="AC29"/>
      <c r="AD29"/>
      <c r="AE29"/>
      <c r="AF29"/>
      <c r="AG29"/>
      <c r="AH29"/>
      <c r="AI29"/>
      <c r="AJ29"/>
      <c r="AK29"/>
      <c r="AL29"/>
      <c r="AM29"/>
      <c r="AN29"/>
      <c r="AO29"/>
      <c r="AP29"/>
      <c r="AQ29"/>
      <c r="AR29"/>
    </row>
    <row r="30" spans="1:44" s="10" customFormat="1" ht="15.75" customHeight="1" x14ac:dyDescent="0.25">
      <c r="A30" s="55">
        <f t="shared" si="3"/>
        <v>27</v>
      </c>
      <c r="B30" s="633">
        <v>44581</v>
      </c>
      <c r="C30" s="755">
        <v>403293</v>
      </c>
      <c r="D30" s="756" t="s">
        <v>2969</v>
      </c>
      <c r="E30" s="884"/>
      <c r="F30" s="33" t="s">
        <v>401</v>
      </c>
      <c r="G30" s="792" t="s">
        <v>521</v>
      </c>
      <c r="H30" s="45">
        <v>44136000</v>
      </c>
      <c r="I30" s="377" t="s">
        <v>3569</v>
      </c>
      <c r="J30" s="774">
        <v>44595</v>
      </c>
      <c r="K30" s="928">
        <f t="shared" si="0"/>
        <v>44136000</v>
      </c>
      <c r="L30" s="814"/>
      <c r="M30" s="814"/>
      <c r="N30" s="28">
        <f t="shared" si="4"/>
        <v>441360</v>
      </c>
      <c r="O30" s="28">
        <f t="shared" si="5"/>
        <v>882720</v>
      </c>
      <c r="P30" s="814">
        <v>43694640</v>
      </c>
      <c r="Q30" s="28">
        <f t="shared" si="1"/>
        <v>0</v>
      </c>
      <c r="R30" s="301"/>
      <c r="S30" s="301"/>
      <c r="T30" s="55">
        <v>14</v>
      </c>
      <c r="U30" s="24">
        <f t="shared" ref="U30:U44" si="8">J30+T30</f>
        <v>44609</v>
      </c>
      <c r="V30" s="5"/>
      <c r="W30"/>
      <c r="X30"/>
      <c r="Y30"/>
      <c r="Z30"/>
      <c r="AA30"/>
      <c r="AB30"/>
      <c r="AC30"/>
      <c r="AD30"/>
      <c r="AE30"/>
      <c r="AF30"/>
      <c r="AG30"/>
      <c r="AH30"/>
      <c r="AI30"/>
      <c r="AJ30"/>
      <c r="AK30"/>
      <c r="AL30"/>
      <c r="AM30"/>
      <c r="AN30"/>
      <c r="AO30"/>
      <c r="AP30"/>
      <c r="AQ30"/>
      <c r="AR30"/>
    </row>
    <row r="31" spans="1:44" s="10" customFormat="1" ht="15.75" customHeight="1" x14ac:dyDescent="0.25">
      <c r="A31" s="55">
        <f t="shared" si="3"/>
        <v>28</v>
      </c>
      <c r="B31" s="633">
        <v>44230</v>
      </c>
      <c r="C31" s="755"/>
      <c r="D31" s="756" t="s">
        <v>3577</v>
      </c>
      <c r="E31" s="884"/>
      <c r="F31" s="33" t="s">
        <v>401</v>
      </c>
      <c r="G31" s="792" t="s">
        <v>3576</v>
      </c>
      <c r="H31" s="45">
        <v>800000</v>
      </c>
      <c r="I31" s="377" t="s">
        <v>3575</v>
      </c>
      <c r="J31" s="774">
        <v>44595</v>
      </c>
      <c r="K31" s="928">
        <f t="shared" si="0"/>
        <v>800000</v>
      </c>
      <c r="L31" s="814"/>
      <c r="M31" s="814"/>
      <c r="N31" s="28">
        <f t="shared" si="4"/>
        <v>8000</v>
      </c>
      <c r="O31" s="28">
        <f t="shared" si="5"/>
        <v>16000</v>
      </c>
      <c r="P31" s="814">
        <v>792000</v>
      </c>
      <c r="Q31" s="28">
        <f t="shared" si="1"/>
        <v>0</v>
      </c>
      <c r="R31" s="301"/>
      <c r="S31" s="301"/>
      <c r="T31" s="55">
        <v>14</v>
      </c>
      <c r="U31" s="24">
        <f t="shared" si="8"/>
        <v>44609</v>
      </c>
      <c r="V31" s="5"/>
      <c r="W31"/>
      <c r="X31"/>
      <c r="Y31"/>
      <c r="Z31"/>
      <c r="AA31"/>
      <c r="AB31"/>
      <c r="AC31"/>
      <c r="AD31"/>
      <c r="AE31"/>
      <c r="AF31"/>
      <c r="AG31"/>
      <c r="AH31"/>
      <c r="AI31"/>
      <c r="AJ31"/>
      <c r="AK31"/>
      <c r="AL31"/>
      <c r="AM31"/>
      <c r="AN31"/>
      <c r="AO31"/>
      <c r="AP31"/>
      <c r="AQ31"/>
      <c r="AR31"/>
    </row>
    <row r="32" spans="1:44" s="10" customFormat="1" ht="15.75" customHeight="1" x14ac:dyDescent="0.25">
      <c r="A32" s="55">
        <f t="shared" si="3"/>
        <v>29</v>
      </c>
      <c r="B32" s="633">
        <v>44221</v>
      </c>
      <c r="C32" s="755" t="s">
        <v>3593</v>
      </c>
      <c r="D32" s="756" t="s">
        <v>3597</v>
      </c>
      <c r="E32" s="884" t="s">
        <v>3594</v>
      </c>
      <c r="F32" s="6" t="s">
        <v>2694</v>
      </c>
      <c r="G32" s="404" t="s">
        <v>2264</v>
      </c>
      <c r="H32" s="45">
        <v>900000</v>
      </c>
      <c r="I32" s="377" t="s">
        <v>3592</v>
      </c>
      <c r="J32" s="774">
        <v>44596</v>
      </c>
      <c r="K32" s="928">
        <f t="shared" si="0"/>
        <v>900000</v>
      </c>
      <c r="L32" s="821"/>
      <c r="M32" s="821">
        <v>27593</v>
      </c>
      <c r="N32" s="28">
        <f t="shared" si="4"/>
        <v>9000</v>
      </c>
      <c r="O32" s="28">
        <f t="shared" si="5"/>
        <v>18000</v>
      </c>
      <c r="P32" s="821">
        <v>863407</v>
      </c>
      <c r="Q32" s="28">
        <f t="shared" si="1"/>
        <v>0</v>
      </c>
      <c r="R32" s="301"/>
      <c r="S32" s="301">
        <v>44611</v>
      </c>
      <c r="T32" s="55">
        <v>14</v>
      </c>
      <c r="U32" s="24">
        <f t="shared" si="8"/>
        <v>44610</v>
      </c>
      <c r="V32" s="5"/>
      <c r="W32"/>
      <c r="X32"/>
      <c r="Y32"/>
      <c r="Z32"/>
      <c r="AA32"/>
      <c r="AB32"/>
      <c r="AC32"/>
      <c r="AD32"/>
      <c r="AE32"/>
      <c r="AF32"/>
      <c r="AG32"/>
      <c r="AH32"/>
      <c r="AI32"/>
      <c r="AJ32"/>
      <c r="AK32"/>
      <c r="AL32"/>
      <c r="AM32"/>
      <c r="AN32"/>
      <c r="AO32"/>
      <c r="AP32"/>
      <c r="AQ32"/>
      <c r="AR32"/>
    </row>
    <row r="33" spans="1:44" s="10" customFormat="1" ht="15.75" customHeight="1" x14ac:dyDescent="0.25">
      <c r="A33" s="55">
        <f t="shared" si="3"/>
        <v>30</v>
      </c>
      <c r="B33" s="633">
        <v>44216</v>
      </c>
      <c r="C33" s="755" t="s">
        <v>3599</v>
      </c>
      <c r="D33" s="755" t="s">
        <v>3598</v>
      </c>
      <c r="E33" s="884" t="s">
        <v>3596</v>
      </c>
      <c r="F33" s="6" t="s">
        <v>2694</v>
      </c>
      <c r="G33" s="404" t="s">
        <v>1270</v>
      </c>
      <c r="H33" s="45">
        <v>900000</v>
      </c>
      <c r="I33" s="377" t="s">
        <v>3595</v>
      </c>
      <c r="J33" s="774">
        <v>44596</v>
      </c>
      <c r="K33" s="928">
        <f t="shared" si="0"/>
        <v>900000</v>
      </c>
      <c r="L33" s="821"/>
      <c r="M33" s="821">
        <v>27593</v>
      </c>
      <c r="N33" s="28">
        <f t="shared" si="4"/>
        <v>9000</v>
      </c>
      <c r="O33" s="28">
        <f t="shared" si="5"/>
        <v>18000</v>
      </c>
      <c r="P33" s="821">
        <v>863407</v>
      </c>
      <c r="Q33" s="28">
        <f t="shared" si="1"/>
        <v>0</v>
      </c>
      <c r="R33" s="301"/>
      <c r="S33" s="301">
        <v>44611</v>
      </c>
      <c r="T33" s="55">
        <v>14</v>
      </c>
      <c r="U33" s="24">
        <f t="shared" si="8"/>
        <v>44610</v>
      </c>
      <c r="V33" s="5"/>
      <c r="W33"/>
      <c r="X33"/>
      <c r="Y33"/>
      <c r="Z33"/>
      <c r="AA33"/>
      <c r="AB33"/>
      <c r="AC33"/>
      <c r="AD33"/>
      <c r="AE33"/>
      <c r="AF33"/>
      <c r="AG33"/>
      <c r="AH33"/>
      <c r="AI33"/>
      <c r="AJ33"/>
      <c r="AK33"/>
      <c r="AL33"/>
      <c r="AM33"/>
      <c r="AN33"/>
      <c r="AO33"/>
      <c r="AP33"/>
      <c r="AQ33"/>
      <c r="AR33"/>
    </row>
    <row r="34" spans="1:44" s="10" customFormat="1" ht="15.75" customHeight="1" x14ac:dyDescent="0.25">
      <c r="A34" s="55">
        <f t="shared" si="3"/>
        <v>31</v>
      </c>
      <c r="B34" s="633">
        <v>44216</v>
      </c>
      <c r="C34" s="755" t="s">
        <v>3603</v>
      </c>
      <c r="D34" s="755" t="s">
        <v>3604</v>
      </c>
      <c r="E34" s="884" t="s">
        <v>3602</v>
      </c>
      <c r="F34" s="6" t="s">
        <v>2694</v>
      </c>
      <c r="G34" s="404" t="s">
        <v>3601</v>
      </c>
      <c r="H34" s="45">
        <v>1600000</v>
      </c>
      <c r="I34" s="377" t="s">
        <v>3600</v>
      </c>
      <c r="J34" s="774">
        <v>44596</v>
      </c>
      <c r="K34" s="928">
        <f t="shared" si="0"/>
        <v>1600000</v>
      </c>
      <c r="L34" s="821"/>
      <c r="M34" s="821">
        <v>47720</v>
      </c>
      <c r="N34" s="28">
        <f t="shared" si="4"/>
        <v>16000</v>
      </c>
      <c r="O34" s="28">
        <f t="shared" si="5"/>
        <v>32000</v>
      </c>
      <c r="P34" s="821">
        <v>1536280</v>
      </c>
      <c r="Q34" s="28">
        <f t="shared" si="1"/>
        <v>0</v>
      </c>
      <c r="R34" s="301"/>
      <c r="S34" s="301">
        <v>44611</v>
      </c>
      <c r="T34" s="55">
        <v>14</v>
      </c>
      <c r="U34" s="24">
        <f t="shared" si="8"/>
        <v>44610</v>
      </c>
      <c r="V34" s="5"/>
      <c r="W34"/>
      <c r="X34"/>
      <c r="Y34"/>
      <c r="Z34"/>
      <c r="AA34"/>
      <c r="AB34"/>
      <c r="AC34"/>
      <c r="AD34"/>
      <c r="AE34"/>
      <c r="AF34"/>
      <c r="AG34"/>
      <c r="AH34"/>
      <c r="AI34"/>
      <c r="AJ34"/>
      <c r="AK34"/>
      <c r="AL34"/>
      <c r="AM34"/>
      <c r="AN34"/>
      <c r="AO34"/>
      <c r="AP34"/>
      <c r="AQ34"/>
      <c r="AR34"/>
    </row>
    <row r="35" spans="1:44" s="10" customFormat="1" ht="15.75" customHeight="1" x14ac:dyDescent="0.25">
      <c r="A35" s="55">
        <f t="shared" si="3"/>
        <v>32</v>
      </c>
      <c r="B35" s="633">
        <v>44216</v>
      </c>
      <c r="C35" s="755" t="s">
        <v>3608</v>
      </c>
      <c r="D35" s="755" t="s">
        <v>3609</v>
      </c>
      <c r="E35" s="884" t="s">
        <v>3607</v>
      </c>
      <c r="F35" s="6" t="s">
        <v>2694</v>
      </c>
      <c r="G35" s="404" t="s">
        <v>3606</v>
      </c>
      <c r="H35" s="45">
        <v>1170000</v>
      </c>
      <c r="I35" s="377" t="s">
        <v>3605</v>
      </c>
      <c r="J35" s="774">
        <v>44596</v>
      </c>
      <c r="K35" s="928">
        <f t="shared" si="0"/>
        <v>1170000</v>
      </c>
      <c r="L35" s="821"/>
      <c r="M35" s="821">
        <v>40270</v>
      </c>
      <c r="N35" s="28">
        <f t="shared" si="4"/>
        <v>11700</v>
      </c>
      <c r="O35" s="28">
        <f t="shared" si="5"/>
        <v>23400</v>
      </c>
      <c r="P35" s="821">
        <v>1118030</v>
      </c>
      <c r="Q35" s="28">
        <f t="shared" si="1"/>
        <v>0</v>
      </c>
      <c r="R35" s="301"/>
      <c r="S35" s="301">
        <v>44611</v>
      </c>
      <c r="T35" s="55">
        <v>14</v>
      </c>
      <c r="U35" s="24">
        <f t="shared" si="8"/>
        <v>44610</v>
      </c>
      <c r="V35" s="5"/>
      <c r="W35"/>
      <c r="X35"/>
      <c r="Y35"/>
      <c r="Z35"/>
      <c r="AA35"/>
      <c r="AB35"/>
      <c r="AC35"/>
      <c r="AD35"/>
      <c r="AE35"/>
      <c r="AF35"/>
      <c r="AG35"/>
      <c r="AH35"/>
      <c r="AI35"/>
      <c r="AJ35"/>
      <c r="AK35"/>
      <c r="AL35"/>
      <c r="AM35"/>
      <c r="AN35"/>
      <c r="AO35"/>
      <c r="AP35"/>
      <c r="AQ35"/>
      <c r="AR35"/>
    </row>
    <row r="36" spans="1:44" s="10" customFormat="1" ht="15.75" customHeight="1" x14ac:dyDescent="0.25">
      <c r="A36" s="55">
        <f t="shared" si="3"/>
        <v>33</v>
      </c>
      <c r="B36" s="633">
        <v>44217</v>
      </c>
      <c r="C36" s="755" t="s">
        <v>3614</v>
      </c>
      <c r="D36" s="755" t="s">
        <v>3613</v>
      </c>
      <c r="E36" s="884" t="s">
        <v>3612</v>
      </c>
      <c r="F36" s="6" t="s">
        <v>2694</v>
      </c>
      <c r="G36" s="404" t="s">
        <v>3611</v>
      </c>
      <c r="H36" s="45">
        <v>1100000</v>
      </c>
      <c r="I36" s="377" t="s">
        <v>3610</v>
      </c>
      <c r="J36" s="774">
        <v>44596</v>
      </c>
      <c r="K36" s="928">
        <f t="shared" si="0"/>
        <v>1100000</v>
      </c>
      <c r="L36" s="821"/>
      <c r="M36" s="821">
        <v>39058</v>
      </c>
      <c r="N36" s="28">
        <f t="shared" si="4"/>
        <v>11000</v>
      </c>
      <c r="O36" s="28">
        <f t="shared" si="5"/>
        <v>22000</v>
      </c>
      <c r="P36" s="821">
        <v>1049942</v>
      </c>
      <c r="Q36" s="28">
        <f t="shared" si="1"/>
        <v>0</v>
      </c>
      <c r="R36" s="301"/>
      <c r="S36" s="301">
        <v>44611</v>
      </c>
      <c r="T36" s="55">
        <v>14</v>
      </c>
      <c r="U36" s="24">
        <f t="shared" si="8"/>
        <v>44610</v>
      </c>
      <c r="V36" s="5"/>
      <c r="W36"/>
      <c r="X36"/>
      <c r="Y36"/>
      <c r="Z36"/>
      <c r="AA36"/>
      <c r="AB36"/>
      <c r="AC36"/>
      <c r="AD36"/>
      <c r="AE36"/>
      <c r="AF36"/>
      <c r="AG36"/>
      <c r="AH36"/>
      <c r="AI36"/>
      <c r="AJ36"/>
      <c r="AK36"/>
      <c r="AL36"/>
      <c r="AM36"/>
      <c r="AN36"/>
      <c r="AO36"/>
      <c r="AP36"/>
      <c r="AQ36"/>
      <c r="AR36"/>
    </row>
    <row r="37" spans="1:44" s="10" customFormat="1" ht="15.75" customHeight="1" x14ac:dyDescent="0.25">
      <c r="A37" s="55">
        <f t="shared" ref="A37:A103" si="9">A36+1</f>
        <v>34</v>
      </c>
      <c r="B37" s="633">
        <v>44217</v>
      </c>
      <c r="C37" s="755" t="s">
        <v>3617</v>
      </c>
      <c r="D37" s="755" t="s">
        <v>3618</v>
      </c>
      <c r="E37" s="884" t="s">
        <v>3616</v>
      </c>
      <c r="F37" s="6" t="s">
        <v>2694</v>
      </c>
      <c r="G37" s="404" t="s">
        <v>3611</v>
      </c>
      <c r="H37" s="45">
        <v>1100000</v>
      </c>
      <c r="I37" s="377" t="s">
        <v>3615</v>
      </c>
      <c r="J37" s="774">
        <v>44596</v>
      </c>
      <c r="K37" s="928">
        <f t="shared" si="0"/>
        <v>1100000</v>
      </c>
      <c r="L37" s="821"/>
      <c r="M37" s="821">
        <v>39058</v>
      </c>
      <c r="N37" s="28">
        <f t="shared" si="4"/>
        <v>11000</v>
      </c>
      <c r="O37" s="28">
        <f t="shared" si="5"/>
        <v>22000</v>
      </c>
      <c r="P37" s="821">
        <v>1049942</v>
      </c>
      <c r="Q37" s="28">
        <f t="shared" si="1"/>
        <v>0</v>
      </c>
      <c r="R37" s="301"/>
      <c r="S37" s="301">
        <v>44611</v>
      </c>
      <c r="T37" s="55">
        <v>14</v>
      </c>
      <c r="U37" s="24">
        <f t="shared" si="8"/>
        <v>44610</v>
      </c>
      <c r="V37" s="5"/>
      <c r="W37"/>
      <c r="X37"/>
      <c r="Y37"/>
      <c r="Z37"/>
      <c r="AA37"/>
      <c r="AB37"/>
      <c r="AC37"/>
      <c r="AD37"/>
      <c r="AE37"/>
      <c r="AF37"/>
      <c r="AG37"/>
      <c r="AH37"/>
      <c r="AI37"/>
      <c r="AJ37"/>
      <c r="AK37"/>
      <c r="AL37"/>
      <c r="AM37"/>
      <c r="AN37"/>
      <c r="AO37"/>
      <c r="AP37"/>
      <c r="AQ37"/>
      <c r="AR37"/>
    </row>
    <row r="38" spans="1:44" s="10" customFormat="1" ht="15.75" customHeight="1" x14ac:dyDescent="0.25">
      <c r="A38" s="55">
        <f t="shared" si="9"/>
        <v>35</v>
      </c>
      <c r="B38" s="633">
        <v>44217</v>
      </c>
      <c r="C38" s="755" t="s">
        <v>3621</v>
      </c>
      <c r="D38" s="755" t="s">
        <v>3622</v>
      </c>
      <c r="E38" s="884" t="s">
        <v>3620</v>
      </c>
      <c r="F38" s="6" t="s">
        <v>2694</v>
      </c>
      <c r="G38" s="404" t="s">
        <v>3611</v>
      </c>
      <c r="H38" s="45">
        <v>1100000</v>
      </c>
      <c r="I38" s="377" t="s">
        <v>3619</v>
      </c>
      <c r="J38" s="774">
        <v>44596</v>
      </c>
      <c r="K38" s="928">
        <f t="shared" si="0"/>
        <v>1100000</v>
      </c>
      <c r="L38" s="821"/>
      <c r="M38" s="821">
        <v>39058</v>
      </c>
      <c r="N38" s="28">
        <f t="shared" si="4"/>
        <v>11000</v>
      </c>
      <c r="O38" s="28">
        <f t="shared" si="5"/>
        <v>22000</v>
      </c>
      <c r="P38" s="821">
        <v>1049942</v>
      </c>
      <c r="Q38" s="28">
        <f t="shared" si="1"/>
        <v>0</v>
      </c>
      <c r="R38" s="301"/>
      <c r="S38" s="301">
        <v>44611</v>
      </c>
      <c r="T38" s="55">
        <v>14</v>
      </c>
      <c r="U38" s="24">
        <f t="shared" si="8"/>
        <v>44610</v>
      </c>
      <c r="V38" s="5"/>
      <c r="W38"/>
      <c r="X38"/>
      <c r="Y38"/>
      <c r="Z38"/>
      <c r="AA38"/>
      <c r="AB38"/>
      <c r="AC38"/>
      <c r="AD38"/>
      <c r="AE38"/>
      <c r="AF38"/>
      <c r="AG38"/>
      <c r="AH38"/>
      <c r="AI38"/>
      <c r="AJ38"/>
      <c r="AK38"/>
      <c r="AL38"/>
      <c r="AM38"/>
      <c r="AN38"/>
      <c r="AO38"/>
      <c r="AP38"/>
      <c r="AQ38"/>
      <c r="AR38"/>
    </row>
    <row r="39" spans="1:44" s="10" customFormat="1" ht="15.75" customHeight="1" x14ac:dyDescent="0.25">
      <c r="A39" s="55">
        <f t="shared" si="9"/>
        <v>36</v>
      </c>
      <c r="B39" s="633">
        <v>44214</v>
      </c>
      <c r="C39" s="755" t="s">
        <v>3626</v>
      </c>
      <c r="D39" s="755" t="s">
        <v>3627</v>
      </c>
      <c r="E39" s="884" t="s">
        <v>3625</v>
      </c>
      <c r="F39" s="6" t="s">
        <v>2694</v>
      </c>
      <c r="G39" s="404" t="s">
        <v>3624</v>
      </c>
      <c r="H39" s="45">
        <v>900000</v>
      </c>
      <c r="I39" s="377" t="s">
        <v>3623</v>
      </c>
      <c r="J39" s="774">
        <v>44596</v>
      </c>
      <c r="K39" s="928">
        <f t="shared" si="0"/>
        <v>900000</v>
      </c>
      <c r="L39" s="821"/>
      <c r="M39" s="821">
        <v>27593</v>
      </c>
      <c r="N39" s="28">
        <f t="shared" si="4"/>
        <v>9000</v>
      </c>
      <c r="O39" s="28">
        <f t="shared" si="5"/>
        <v>18000</v>
      </c>
      <c r="P39" s="821">
        <v>863407</v>
      </c>
      <c r="Q39" s="28">
        <f t="shared" si="1"/>
        <v>0</v>
      </c>
      <c r="R39" s="301"/>
      <c r="S39" s="301">
        <v>44611</v>
      </c>
      <c r="T39" s="55">
        <v>14</v>
      </c>
      <c r="U39" s="24">
        <f t="shared" si="8"/>
        <v>44610</v>
      </c>
      <c r="V39" s="5"/>
      <c r="W39"/>
      <c r="X39"/>
      <c r="Y39"/>
      <c r="Z39"/>
      <c r="AA39"/>
      <c r="AB39"/>
      <c r="AC39"/>
      <c r="AD39"/>
      <c r="AE39"/>
      <c r="AF39"/>
      <c r="AG39"/>
      <c r="AH39"/>
      <c r="AI39"/>
      <c r="AJ39"/>
      <c r="AK39"/>
      <c r="AL39"/>
      <c r="AM39"/>
      <c r="AN39"/>
      <c r="AO39"/>
      <c r="AP39"/>
      <c r="AQ39"/>
      <c r="AR39"/>
    </row>
    <row r="40" spans="1:44" s="10" customFormat="1" ht="15.75" customHeight="1" x14ac:dyDescent="0.25">
      <c r="A40" s="55">
        <f t="shared" si="9"/>
        <v>37</v>
      </c>
      <c r="B40" s="633">
        <v>44213</v>
      </c>
      <c r="C40" s="755" t="s">
        <v>3631</v>
      </c>
      <c r="D40" s="755" t="s">
        <v>3630</v>
      </c>
      <c r="E40" s="884" t="s">
        <v>3629</v>
      </c>
      <c r="F40" s="6" t="s">
        <v>2694</v>
      </c>
      <c r="G40" s="404" t="s">
        <v>3624</v>
      </c>
      <c r="H40" s="45">
        <v>900000</v>
      </c>
      <c r="I40" s="377" t="s">
        <v>3628</v>
      </c>
      <c r="J40" s="774">
        <v>44596</v>
      </c>
      <c r="K40" s="928">
        <f t="shared" si="0"/>
        <v>900000</v>
      </c>
      <c r="L40" s="821"/>
      <c r="M40" s="821">
        <v>27593</v>
      </c>
      <c r="N40" s="28">
        <f t="shared" si="4"/>
        <v>9000</v>
      </c>
      <c r="O40" s="28">
        <f t="shared" si="5"/>
        <v>18000</v>
      </c>
      <c r="P40" s="821">
        <v>863407</v>
      </c>
      <c r="Q40" s="28">
        <f t="shared" si="1"/>
        <v>0</v>
      </c>
      <c r="R40" s="301"/>
      <c r="S40" s="301">
        <v>44611</v>
      </c>
      <c r="T40" s="55">
        <v>14</v>
      </c>
      <c r="U40" s="24">
        <f t="shared" si="8"/>
        <v>44610</v>
      </c>
      <c r="V40" s="5"/>
      <c r="W40"/>
      <c r="X40"/>
      <c r="Y40"/>
      <c r="Z40"/>
      <c r="AA40"/>
      <c r="AB40"/>
      <c r="AC40"/>
      <c r="AD40"/>
      <c r="AE40"/>
      <c r="AF40"/>
      <c r="AG40"/>
      <c r="AH40"/>
      <c r="AI40"/>
      <c r="AJ40"/>
      <c r="AK40"/>
      <c r="AL40"/>
      <c r="AM40"/>
      <c r="AN40"/>
      <c r="AO40"/>
      <c r="AP40"/>
      <c r="AQ40"/>
      <c r="AR40"/>
    </row>
    <row r="41" spans="1:44" s="10" customFormat="1" ht="15.75" customHeight="1" x14ac:dyDescent="0.25">
      <c r="A41" s="55">
        <f t="shared" si="9"/>
        <v>38</v>
      </c>
      <c r="B41" s="633">
        <v>44213</v>
      </c>
      <c r="C41" s="755" t="s">
        <v>3636</v>
      </c>
      <c r="D41" s="755" t="s">
        <v>3635</v>
      </c>
      <c r="E41" s="884" t="s">
        <v>3634</v>
      </c>
      <c r="F41" s="6" t="s">
        <v>2694</v>
      </c>
      <c r="G41" s="333" t="s">
        <v>3633</v>
      </c>
      <c r="H41" s="45">
        <v>1100000</v>
      </c>
      <c r="I41" s="377" t="s">
        <v>3632</v>
      </c>
      <c r="J41" s="774">
        <v>44596</v>
      </c>
      <c r="K41" s="928">
        <f t="shared" si="0"/>
        <v>1100000</v>
      </c>
      <c r="L41" s="821"/>
      <c r="M41" s="821">
        <v>39058</v>
      </c>
      <c r="N41" s="28">
        <f t="shared" si="4"/>
        <v>11000</v>
      </c>
      <c r="O41" s="28">
        <f t="shared" si="5"/>
        <v>22000</v>
      </c>
      <c r="P41" s="821">
        <v>1049942</v>
      </c>
      <c r="Q41" s="28">
        <f t="shared" si="1"/>
        <v>0</v>
      </c>
      <c r="R41" s="301"/>
      <c r="S41" s="301">
        <v>44611</v>
      </c>
      <c r="T41" s="55">
        <v>14</v>
      </c>
      <c r="U41" s="24">
        <f t="shared" si="8"/>
        <v>44610</v>
      </c>
      <c r="V41" s="5"/>
      <c r="W41"/>
      <c r="X41"/>
      <c r="Y41"/>
      <c r="Z41"/>
      <c r="AA41"/>
      <c r="AB41"/>
      <c r="AC41"/>
      <c r="AD41"/>
      <c r="AE41"/>
      <c r="AF41"/>
      <c r="AG41"/>
      <c r="AH41"/>
      <c r="AI41"/>
      <c r="AJ41"/>
      <c r="AK41"/>
      <c r="AL41"/>
      <c r="AM41"/>
      <c r="AN41"/>
      <c r="AO41"/>
      <c r="AP41"/>
      <c r="AQ41"/>
      <c r="AR41"/>
    </row>
    <row r="42" spans="1:44" s="10" customFormat="1" ht="15.75" customHeight="1" x14ac:dyDescent="0.25">
      <c r="A42" s="55">
        <f t="shared" si="9"/>
        <v>39</v>
      </c>
      <c r="B42" s="633">
        <v>44214</v>
      </c>
      <c r="C42" s="755" t="s">
        <v>3641</v>
      </c>
      <c r="D42" s="755" t="s">
        <v>3640</v>
      </c>
      <c r="E42" s="884" t="s">
        <v>3639</v>
      </c>
      <c r="F42" s="6" t="s">
        <v>2694</v>
      </c>
      <c r="G42" s="404" t="s">
        <v>3638</v>
      </c>
      <c r="H42" s="45">
        <v>800000</v>
      </c>
      <c r="I42" s="377" t="s">
        <v>3637</v>
      </c>
      <c r="J42" s="774">
        <v>44596</v>
      </c>
      <c r="K42" s="928">
        <f t="shared" si="0"/>
        <v>800000</v>
      </c>
      <c r="L42" s="821"/>
      <c r="M42" s="821">
        <v>25860</v>
      </c>
      <c r="N42" s="28">
        <f t="shared" si="4"/>
        <v>8000</v>
      </c>
      <c r="O42" s="28">
        <f t="shared" si="5"/>
        <v>16000</v>
      </c>
      <c r="P42" s="821">
        <v>766140</v>
      </c>
      <c r="Q42" s="28">
        <f t="shared" si="1"/>
        <v>0</v>
      </c>
      <c r="R42" s="301"/>
      <c r="S42" s="301">
        <v>44611</v>
      </c>
      <c r="T42" s="55">
        <v>14</v>
      </c>
      <c r="U42" s="24">
        <f t="shared" si="8"/>
        <v>44610</v>
      </c>
      <c r="V42" s="5"/>
      <c r="W42"/>
      <c r="X42"/>
      <c r="Y42"/>
      <c r="Z42"/>
      <c r="AA42"/>
      <c r="AB42"/>
      <c r="AC42"/>
      <c r="AD42"/>
      <c r="AE42"/>
      <c r="AF42"/>
      <c r="AG42"/>
      <c r="AH42"/>
      <c r="AI42"/>
      <c r="AJ42"/>
      <c r="AK42"/>
      <c r="AL42"/>
      <c r="AM42"/>
      <c r="AN42"/>
      <c r="AO42"/>
      <c r="AP42"/>
      <c r="AQ42"/>
      <c r="AR42"/>
    </row>
    <row r="43" spans="1:44" s="10" customFormat="1" ht="15.75" customHeight="1" x14ac:dyDescent="0.25">
      <c r="A43" s="55">
        <f t="shared" si="9"/>
        <v>40</v>
      </c>
      <c r="B43" s="633">
        <v>44210</v>
      </c>
      <c r="C43" s="755" t="s">
        <v>3645</v>
      </c>
      <c r="D43" s="755" t="s">
        <v>3644</v>
      </c>
      <c r="E43" s="884" t="s">
        <v>3643</v>
      </c>
      <c r="F43" s="6" t="s">
        <v>2694</v>
      </c>
      <c r="G43" s="404" t="s">
        <v>2264</v>
      </c>
      <c r="H43" s="45">
        <v>900000</v>
      </c>
      <c r="I43" s="377" t="s">
        <v>3642</v>
      </c>
      <c r="J43" s="774">
        <v>44596</v>
      </c>
      <c r="K43" s="928">
        <f t="shared" si="0"/>
        <v>900000</v>
      </c>
      <c r="L43" s="821"/>
      <c r="M43" s="821">
        <v>27593</v>
      </c>
      <c r="N43" s="28">
        <f t="shared" si="4"/>
        <v>9000</v>
      </c>
      <c r="O43" s="28">
        <f t="shared" si="5"/>
        <v>18000</v>
      </c>
      <c r="P43" s="821">
        <v>863407</v>
      </c>
      <c r="Q43" s="28">
        <f t="shared" si="1"/>
        <v>0</v>
      </c>
      <c r="R43" s="301"/>
      <c r="S43" s="301">
        <v>44611</v>
      </c>
      <c r="T43" s="55">
        <v>14</v>
      </c>
      <c r="U43" s="24">
        <f t="shared" si="8"/>
        <v>44610</v>
      </c>
      <c r="V43" s="5"/>
      <c r="W43"/>
      <c r="X43"/>
      <c r="Y43"/>
      <c r="Z43"/>
      <c r="AA43"/>
      <c r="AB43"/>
      <c r="AC43"/>
      <c r="AD43"/>
      <c r="AE43"/>
      <c r="AF43"/>
      <c r="AG43"/>
      <c r="AH43"/>
      <c r="AI43"/>
      <c r="AJ43"/>
      <c r="AK43"/>
      <c r="AL43"/>
      <c r="AM43"/>
      <c r="AN43"/>
      <c r="AO43"/>
      <c r="AP43"/>
      <c r="AQ43"/>
      <c r="AR43"/>
    </row>
    <row r="44" spans="1:44" s="10" customFormat="1" ht="15.75" customHeight="1" x14ac:dyDescent="0.25">
      <c r="A44" s="55">
        <f t="shared" si="9"/>
        <v>41</v>
      </c>
      <c r="B44" s="633">
        <v>44208</v>
      </c>
      <c r="C44" s="755" t="s">
        <v>3648</v>
      </c>
      <c r="D44" s="755" t="s">
        <v>3649</v>
      </c>
      <c r="E44" s="884" t="s">
        <v>3647</v>
      </c>
      <c r="F44" s="6" t="s">
        <v>2694</v>
      </c>
      <c r="G44" s="404" t="s">
        <v>2264</v>
      </c>
      <c r="H44" s="45">
        <v>900000</v>
      </c>
      <c r="I44" s="377" t="s">
        <v>3646</v>
      </c>
      <c r="J44" s="774">
        <v>44596</v>
      </c>
      <c r="K44" s="928">
        <f t="shared" si="0"/>
        <v>900000</v>
      </c>
      <c r="L44" s="821"/>
      <c r="M44" s="821">
        <v>27593</v>
      </c>
      <c r="N44" s="28">
        <f t="shared" si="4"/>
        <v>9000</v>
      </c>
      <c r="O44" s="28">
        <f t="shared" si="5"/>
        <v>18000</v>
      </c>
      <c r="P44" s="821">
        <v>863407</v>
      </c>
      <c r="Q44" s="28">
        <f t="shared" si="1"/>
        <v>0</v>
      </c>
      <c r="R44" s="301"/>
      <c r="S44" s="301">
        <v>44611</v>
      </c>
      <c r="T44" s="55">
        <v>14</v>
      </c>
      <c r="U44" s="24">
        <f t="shared" si="8"/>
        <v>44610</v>
      </c>
      <c r="V44" s="5"/>
      <c r="W44"/>
      <c r="X44"/>
      <c r="Y44"/>
      <c r="Z44"/>
      <c r="AA44"/>
      <c r="AB44"/>
      <c r="AC44"/>
      <c r="AD44"/>
      <c r="AE44"/>
      <c r="AF44"/>
      <c r="AG44"/>
      <c r="AH44"/>
      <c r="AI44"/>
      <c r="AJ44"/>
      <c r="AK44"/>
      <c r="AL44"/>
      <c r="AM44"/>
      <c r="AN44"/>
      <c r="AO44"/>
      <c r="AP44"/>
      <c r="AQ44"/>
      <c r="AR44"/>
    </row>
    <row r="45" spans="1:44" s="10" customFormat="1" ht="15.75" customHeight="1" x14ac:dyDescent="0.25">
      <c r="A45" s="55">
        <f t="shared" si="9"/>
        <v>42</v>
      </c>
      <c r="B45" s="633">
        <v>44575</v>
      </c>
      <c r="C45" s="755"/>
      <c r="D45" s="755" t="s">
        <v>3657</v>
      </c>
      <c r="E45" s="884"/>
      <c r="F45" s="33" t="s">
        <v>3658</v>
      </c>
      <c r="G45" s="404" t="s">
        <v>774</v>
      </c>
      <c r="H45" s="45">
        <v>13861386</v>
      </c>
      <c r="I45" s="377" t="s">
        <v>3656</v>
      </c>
      <c r="J45" s="774">
        <v>44599</v>
      </c>
      <c r="K45" s="928">
        <f t="shared" si="0"/>
        <v>13861386</v>
      </c>
      <c r="L45" s="821">
        <v>6924193</v>
      </c>
      <c r="M45" s="821">
        <v>9000</v>
      </c>
      <c r="N45" s="28">
        <f t="shared" si="4"/>
        <v>138613.86000000002</v>
      </c>
      <c r="O45" s="28">
        <f t="shared" si="5"/>
        <v>277227.72000000003</v>
      </c>
      <c r="P45" s="821">
        <v>6789579</v>
      </c>
      <c r="Q45" s="28">
        <f t="shared" si="1"/>
        <v>0.14000000027590431</v>
      </c>
      <c r="R45" s="301">
        <v>44586</v>
      </c>
      <c r="S45" s="301">
        <v>44606</v>
      </c>
      <c r="T45" s="55">
        <v>14</v>
      </c>
      <c r="U45" s="24">
        <f t="shared" si="2"/>
        <v>44613</v>
      </c>
      <c r="V45" s="5"/>
      <c r="W45"/>
      <c r="X45"/>
      <c r="Y45"/>
      <c r="Z45"/>
      <c r="AA45"/>
      <c r="AB45"/>
      <c r="AC45"/>
      <c r="AD45"/>
      <c r="AE45"/>
      <c r="AF45"/>
      <c r="AG45"/>
      <c r="AH45"/>
      <c r="AI45"/>
      <c r="AJ45"/>
      <c r="AK45"/>
      <c r="AL45"/>
      <c r="AM45"/>
      <c r="AN45"/>
      <c r="AO45"/>
      <c r="AP45"/>
      <c r="AQ45"/>
      <c r="AR45"/>
    </row>
    <row r="46" spans="1:44" s="10" customFormat="1" ht="15.75" customHeight="1" x14ac:dyDescent="0.25">
      <c r="A46" s="55">
        <f t="shared" si="9"/>
        <v>43</v>
      </c>
      <c r="B46" s="197">
        <v>44581</v>
      </c>
      <c r="C46" s="755">
        <v>404154</v>
      </c>
      <c r="D46" s="755" t="s">
        <v>3693</v>
      </c>
      <c r="E46" s="884"/>
      <c r="F46" s="53" t="s">
        <v>3694</v>
      </c>
      <c r="G46" s="404" t="s">
        <v>30</v>
      </c>
      <c r="H46" s="45">
        <v>1500000</v>
      </c>
      <c r="I46" s="377" t="s">
        <v>3819</v>
      </c>
      <c r="J46" s="774">
        <v>44601</v>
      </c>
      <c r="K46" s="928">
        <f t="shared" si="0"/>
        <v>1500000</v>
      </c>
      <c r="L46" s="821"/>
      <c r="M46" s="821"/>
      <c r="N46" s="28">
        <f t="shared" si="4"/>
        <v>15000</v>
      </c>
      <c r="O46" s="28">
        <f t="shared" si="5"/>
        <v>30000</v>
      </c>
      <c r="P46" s="821"/>
      <c r="Q46" s="28">
        <f t="shared" si="1"/>
        <v>1485000</v>
      </c>
      <c r="R46" s="301"/>
      <c r="S46" s="301"/>
      <c r="T46" s="55">
        <v>30</v>
      </c>
      <c r="U46" s="24">
        <f t="shared" ref="U46:U72" si="10">J46+T46</f>
        <v>44631</v>
      </c>
      <c r="V46" s="5"/>
      <c r="W46"/>
      <c r="X46"/>
      <c r="Y46"/>
      <c r="Z46"/>
      <c r="AA46"/>
      <c r="AB46"/>
      <c r="AC46"/>
      <c r="AD46"/>
      <c r="AE46"/>
      <c r="AF46"/>
      <c r="AG46"/>
      <c r="AH46"/>
      <c r="AI46"/>
      <c r="AJ46"/>
      <c r="AK46"/>
      <c r="AL46"/>
      <c r="AM46"/>
      <c r="AN46"/>
      <c r="AO46"/>
      <c r="AP46"/>
      <c r="AQ46"/>
      <c r="AR46"/>
    </row>
    <row r="47" spans="1:44" s="10" customFormat="1" ht="15.75" customHeight="1" x14ac:dyDescent="0.25">
      <c r="A47" s="55">
        <f t="shared" si="9"/>
        <v>44</v>
      </c>
      <c r="B47" s="197">
        <v>44581</v>
      </c>
      <c r="C47" s="755">
        <v>404153</v>
      </c>
      <c r="D47" s="755" t="s">
        <v>3693</v>
      </c>
      <c r="E47" s="884"/>
      <c r="F47" s="53" t="s">
        <v>3694</v>
      </c>
      <c r="G47" s="404" t="s">
        <v>3820</v>
      </c>
      <c r="H47" s="45">
        <v>2897500</v>
      </c>
      <c r="I47" s="377" t="s">
        <v>3821</v>
      </c>
      <c r="J47" s="774">
        <v>44601</v>
      </c>
      <c r="K47" s="928">
        <f t="shared" si="0"/>
        <v>2897500</v>
      </c>
      <c r="L47" s="821"/>
      <c r="M47" s="821"/>
      <c r="N47" s="28">
        <f t="shared" si="4"/>
        <v>28975</v>
      </c>
      <c r="O47" s="28">
        <f t="shared" si="5"/>
        <v>57950</v>
      </c>
      <c r="P47" s="821"/>
      <c r="Q47" s="28">
        <f t="shared" si="1"/>
        <v>2868525</v>
      </c>
      <c r="R47" s="301"/>
      <c r="S47" s="301"/>
      <c r="T47" s="55">
        <v>30</v>
      </c>
      <c r="U47" s="24">
        <f t="shared" si="10"/>
        <v>44631</v>
      </c>
      <c r="V47" s="5"/>
      <c r="W47"/>
      <c r="X47"/>
      <c r="Y47"/>
      <c r="Z47"/>
      <c r="AA47"/>
      <c r="AB47"/>
      <c r="AC47"/>
      <c r="AD47"/>
      <c r="AE47"/>
      <c r="AF47"/>
      <c r="AG47"/>
      <c r="AH47"/>
      <c r="AI47"/>
      <c r="AJ47"/>
      <c r="AK47"/>
      <c r="AL47"/>
      <c r="AM47"/>
      <c r="AN47"/>
      <c r="AO47"/>
      <c r="AP47"/>
      <c r="AQ47"/>
      <c r="AR47"/>
    </row>
    <row r="48" spans="1:44" s="10" customFormat="1" ht="15.75" customHeight="1" x14ac:dyDescent="0.25">
      <c r="A48" s="55">
        <f t="shared" si="9"/>
        <v>45</v>
      </c>
      <c r="B48" s="633" t="s">
        <v>3750</v>
      </c>
      <c r="C48" s="755" t="s">
        <v>3708</v>
      </c>
      <c r="D48" s="755" t="s">
        <v>3736</v>
      </c>
      <c r="E48" s="884" t="s">
        <v>3721</v>
      </c>
      <c r="F48" s="6" t="s">
        <v>2694</v>
      </c>
      <c r="G48" s="404" t="s">
        <v>13</v>
      </c>
      <c r="H48" s="45">
        <v>12800000</v>
      </c>
      <c r="I48" s="377" t="s">
        <v>3805</v>
      </c>
      <c r="J48" s="774">
        <v>44601</v>
      </c>
      <c r="K48" s="928">
        <f t="shared" si="0"/>
        <v>12800000</v>
      </c>
      <c r="L48" s="821">
        <v>6190000</v>
      </c>
      <c r="M48" s="821">
        <v>327176.53333333333</v>
      </c>
      <c r="N48" s="28">
        <f t="shared" si="4"/>
        <v>128000</v>
      </c>
      <c r="O48" s="28">
        <f t="shared" si="5"/>
        <v>256000</v>
      </c>
      <c r="P48" s="821">
        <v>6154823.4666666668</v>
      </c>
      <c r="Q48" s="28">
        <f t="shared" si="1"/>
        <v>0</v>
      </c>
      <c r="R48" s="301">
        <v>44582</v>
      </c>
      <c r="S48" s="301">
        <v>44615</v>
      </c>
      <c r="T48" s="55">
        <v>14</v>
      </c>
      <c r="U48" s="24">
        <f t="shared" si="10"/>
        <v>44615</v>
      </c>
      <c r="V48" s="5"/>
      <c r="W48"/>
      <c r="X48"/>
      <c r="Y48"/>
      <c r="Z48"/>
      <c r="AA48"/>
      <c r="AB48"/>
      <c r="AC48"/>
      <c r="AD48"/>
      <c r="AE48"/>
      <c r="AF48"/>
      <c r="AG48"/>
      <c r="AH48"/>
      <c r="AI48"/>
      <c r="AJ48"/>
      <c r="AK48"/>
      <c r="AL48"/>
      <c r="AM48"/>
      <c r="AN48"/>
      <c r="AO48"/>
      <c r="AP48"/>
      <c r="AQ48"/>
      <c r="AR48"/>
    </row>
    <row r="49" spans="1:44" s="10" customFormat="1" ht="15.75" customHeight="1" x14ac:dyDescent="0.25">
      <c r="A49" s="55">
        <f t="shared" si="9"/>
        <v>46</v>
      </c>
      <c r="B49" s="633" t="s">
        <v>3751</v>
      </c>
      <c r="C49" s="755" t="s">
        <v>3709</v>
      </c>
      <c r="D49" s="755" t="s">
        <v>3737</v>
      </c>
      <c r="E49" s="884" t="s">
        <v>3722</v>
      </c>
      <c r="F49" s="6" t="s">
        <v>2694</v>
      </c>
      <c r="G49" s="404" t="s">
        <v>32</v>
      </c>
      <c r="H49" s="45">
        <v>800000</v>
      </c>
      <c r="I49" s="377" t="s">
        <v>3806</v>
      </c>
      <c r="J49" s="774">
        <v>44601</v>
      </c>
      <c r="K49" s="928">
        <f t="shared" si="0"/>
        <v>800000</v>
      </c>
      <c r="L49" s="821"/>
      <c r="M49" s="821">
        <v>20448.533333333333</v>
      </c>
      <c r="N49" s="28">
        <f t="shared" si="4"/>
        <v>8000</v>
      </c>
      <c r="O49" s="28">
        <f t="shared" si="5"/>
        <v>16000</v>
      </c>
      <c r="P49" s="821">
        <v>771551.46666666667</v>
      </c>
      <c r="Q49" s="28">
        <f t="shared" si="1"/>
        <v>0</v>
      </c>
      <c r="R49" s="301"/>
      <c r="S49" s="301">
        <v>44615</v>
      </c>
      <c r="T49" s="55">
        <v>14</v>
      </c>
      <c r="U49" s="24">
        <f t="shared" si="10"/>
        <v>44615</v>
      </c>
      <c r="V49" s="5"/>
      <c r="W49"/>
      <c r="X49"/>
      <c r="Y49"/>
      <c r="Z49"/>
      <c r="AA49"/>
      <c r="AB49"/>
      <c r="AC49"/>
      <c r="AD49"/>
      <c r="AE49"/>
      <c r="AF49"/>
      <c r="AG49"/>
      <c r="AH49"/>
      <c r="AI49"/>
      <c r="AJ49"/>
      <c r="AK49"/>
      <c r="AL49"/>
      <c r="AM49"/>
      <c r="AN49"/>
      <c r="AO49"/>
      <c r="AP49"/>
      <c r="AQ49"/>
      <c r="AR49"/>
    </row>
    <row r="50" spans="1:44" s="10" customFormat="1" ht="15.75" customHeight="1" x14ac:dyDescent="0.25">
      <c r="A50" s="55">
        <f t="shared" si="9"/>
        <v>47</v>
      </c>
      <c r="B50" s="633" t="s">
        <v>3751</v>
      </c>
      <c r="C50" s="755" t="s">
        <v>3710</v>
      </c>
      <c r="D50" s="755" t="s">
        <v>3738</v>
      </c>
      <c r="E50" s="884" t="s">
        <v>3723</v>
      </c>
      <c r="F50" s="6" t="s">
        <v>2694</v>
      </c>
      <c r="G50" s="404" t="s">
        <v>334</v>
      </c>
      <c r="H50" s="45">
        <v>9800000</v>
      </c>
      <c r="I50" s="377" t="s">
        <v>3807</v>
      </c>
      <c r="J50" s="774">
        <v>44601</v>
      </c>
      <c r="K50" s="928">
        <f t="shared" si="0"/>
        <v>9800000</v>
      </c>
      <c r="L50" s="821">
        <v>4727500</v>
      </c>
      <c r="M50" s="821">
        <v>250494.53333333333</v>
      </c>
      <c r="N50" s="28">
        <f t="shared" si="4"/>
        <v>98000</v>
      </c>
      <c r="O50" s="28">
        <f t="shared" si="5"/>
        <v>196000</v>
      </c>
      <c r="P50" s="821">
        <v>4724005.4666666668</v>
      </c>
      <c r="Q50" s="28">
        <f t="shared" si="1"/>
        <v>0</v>
      </c>
      <c r="R50" s="301">
        <v>44586</v>
      </c>
      <c r="S50" s="301">
        <v>44615</v>
      </c>
      <c r="T50" s="55">
        <v>14</v>
      </c>
      <c r="U50" s="24">
        <f t="shared" si="10"/>
        <v>44615</v>
      </c>
      <c r="V50" s="5"/>
      <c r="W50"/>
      <c r="X50"/>
      <c r="Y50"/>
      <c r="Z50"/>
      <c r="AA50"/>
      <c r="AB50"/>
      <c r="AC50"/>
      <c r="AD50"/>
      <c r="AE50"/>
      <c r="AF50"/>
      <c r="AG50"/>
      <c r="AH50"/>
      <c r="AI50"/>
      <c r="AJ50"/>
      <c r="AK50"/>
      <c r="AL50"/>
      <c r="AM50"/>
      <c r="AN50"/>
      <c r="AO50"/>
      <c r="AP50"/>
      <c r="AQ50"/>
      <c r="AR50"/>
    </row>
    <row r="51" spans="1:44" s="10" customFormat="1" ht="15.75" customHeight="1" x14ac:dyDescent="0.25">
      <c r="A51" s="55">
        <f t="shared" si="9"/>
        <v>48</v>
      </c>
      <c r="B51" s="633" t="s">
        <v>3752</v>
      </c>
      <c r="C51" s="755" t="s">
        <v>3711</v>
      </c>
      <c r="D51" s="755" t="s">
        <v>3739</v>
      </c>
      <c r="E51" s="884" t="s">
        <v>3724</v>
      </c>
      <c r="F51" s="6" t="s">
        <v>2694</v>
      </c>
      <c r="G51" s="404" t="s">
        <v>927</v>
      </c>
      <c r="H51" s="45">
        <v>1000000</v>
      </c>
      <c r="I51" s="377" t="s">
        <v>3803</v>
      </c>
      <c r="J51" s="774">
        <v>44601</v>
      </c>
      <c r="K51" s="928">
        <f t="shared" si="0"/>
        <v>1000000</v>
      </c>
      <c r="L51" s="821"/>
      <c r="M51" s="821">
        <v>25560.666666666664</v>
      </c>
      <c r="N51" s="28">
        <f t="shared" si="4"/>
        <v>10000</v>
      </c>
      <c r="O51" s="28">
        <f t="shared" si="5"/>
        <v>20000</v>
      </c>
      <c r="P51" s="821">
        <v>964439.33333333337</v>
      </c>
      <c r="Q51" s="28">
        <f t="shared" si="1"/>
        <v>0</v>
      </c>
      <c r="R51" s="301"/>
      <c r="S51" s="301">
        <v>44615</v>
      </c>
      <c r="T51" s="55">
        <v>14</v>
      </c>
      <c r="U51" s="24">
        <f t="shared" si="10"/>
        <v>44615</v>
      </c>
      <c r="V51" s="5"/>
      <c r="W51"/>
      <c r="X51"/>
      <c r="Y51"/>
      <c r="Z51"/>
      <c r="AA51"/>
      <c r="AB51"/>
      <c r="AC51"/>
      <c r="AD51"/>
      <c r="AE51"/>
      <c r="AF51"/>
      <c r="AG51"/>
      <c r="AH51"/>
      <c r="AI51"/>
      <c r="AJ51"/>
      <c r="AK51"/>
      <c r="AL51"/>
      <c r="AM51"/>
      <c r="AN51"/>
      <c r="AO51"/>
      <c r="AP51"/>
      <c r="AQ51"/>
      <c r="AR51"/>
    </row>
    <row r="52" spans="1:44" s="10" customFormat="1" ht="15.75" customHeight="1" x14ac:dyDescent="0.25">
      <c r="A52" s="55">
        <f t="shared" si="9"/>
        <v>49</v>
      </c>
      <c r="B52" s="633" t="s">
        <v>3753</v>
      </c>
      <c r="C52" s="755" t="s">
        <v>3712</v>
      </c>
      <c r="D52" s="755" t="s">
        <v>3740</v>
      </c>
      <c r="E52" s="884" t="s">
        <v>3725</v>
      </c>
      <c r="F52" s="6" t="s">
        <v>2694</v>
      </c>
      <c r="G52" s="404" t="s">
        <v>408</v>
      </c>
      <c r="H52" s="45">
        <v>900000</v>
      </c>
      <c r="I52" s="377" t="s">
        <v>3801</v>
      </c>
      <c r="J52" s="774">
        <v>44601</v>
      </c>
      <c r="K52" s="928">
        <f t="shared" si="0"/>
        <v>900000</v>
      </c>
      <c r="L52" s="821"/>
      <c r="M52" s="821">
        <v>23004.6</v>
      </c>
      <c r="N52" s="28">
        <f t="shared" si="4"/>
        <v>9000</v>
      </c>
      <c r="O52" s="28">
        <f t="shared" si="5"/>
        <v>18000</v>
      </c>
      <c r="P52" s="821">
        <v>867995.4</v>
      </c>
      <c r="Q52" s="28">
        <f t="shared" si="1"/>
        <v>0</v>
      </c>
      <c r="R52" s="301"/>
      <c r="S52" s="301">
        <v>44615</v>
      </c>
      <c r="T52" s="55">
        <v>14</v>
      </c>
      <c r="U52" s="24">
        <f t="shared" si="10"/>
        <v>44615</v>
      </c>
      <c r="V52" s="5"/>
      <c r="W52"/>
      <c r="X52"/>
      <c r="Y52"/>
      <c r="Z52"/>
      <c r="AA52"/>
      <c r="AB52"/>
      <c r="AC52"/>
      <c r="AD52"/>
      <c r="AE52"/>
      <c r="AF52"/>
      <c r="AG52"/>
      <c r="AH52"/>
      <c r="AI52"/>
      <c r="AJ52"/>
      <c r="AK52"/>
      <c r="AL52"/>
      <c r="AM52"/>
      <c r="AN52"/>
      <c r="AO52"/>
      <c r="AP52"/>
      <c r="AQ52"/>
      <c r="AR52"/>
    </row>
    <row r="53" spans="1:44" s="10" customFormat="1" ht="15.75" customHeight="1" x14ac:dyDescent="0.25">
      <c r="A53" s="55">
        <f t="shared" si="9"/>
        <v>50</v>
      </c>
      <c r="B53" s="633" t="s">
        <v>3753</v>
      </c>
      <c r="C53" s="755" t="s">
        <v>3713</v>
      </c>
      <c r="D53" s="755" t="s">
        <v>3741</v>
      </c>
      <c r="E53" s="884" t="s">
        <v>3726</v>
      </c>
      <c r="F53" s="6" t="s">
        <v>2694</v>
      </c>
      <c r="G53" s="404" t="s">
        <v>2120</v>
      </c>
      <c r="H53" s="45">
        <v>1100000</v>
      </c>
      <c r="I53" s="377" t="s">
        <v>3809</v>
      </c>
      <c r="J53" s="774">
        <v>44601</v>
      </c>
      <c r="K53" s="928">
        <f t="shared" si="0"/>
        <v>1100000</v>
      </c>
      <c r="L53" s="821"/>
      <c r="M53" s="821"/>
      <c r="N53" s="28">
        <f t="shared" si="4"/>
        <v>11000</v>
      </c>
      <c r="O53" s="28">
        <f t="shared" si="5"/>
        <v>22000</v>
      </c>
      <c r="P53" s="821"/>
      <c r="Q53" s="28">
        <f t="shared" si="1"/>
        <v>1089000</v>
      </c>
      <c r="R53" s="301"/>
      <c r="S53" s="301"/>
      <c r="T53" s="55">
        <v>14</v>
      </c>
      <c r="U53" s="24">
        <f t="shared" si="10"/>
        <v>44615</v>
      </c>
      <c r="V53" s="5"/>
      <c r="W53"/>
      <c r="X53"/>
      <c r="Y53"/>
      <c r="Z53"/>
      <c r="AA53"/>
      <c r="AB53"/>
      <c r="AC53"/>
      <c r="AD53"/>
      <c r="AE53"/>
      <c r="AF53"/>
      <c r="AG53"/>
      <c r="AH53"/>
      <c r="AI53"/>
      <c r="AJ53"/>
      <c r="AK53"/>
      <c r="AL53"/>
      <c r="AM53"/>
      <c r="AN53"/>
      <c r="AO53"/>
      <c r="AP53"/>
      <c r="AQ53"/>
      <c r="AR53"/>
    </row>
    <row r="54" spans="1:44" s="10" customFormat="1" ht="15.75" customHeight="1" x14ac:dyDescent="0.25">
      <c r="A54" s="55">
        <f t="shared" si="9"/>
        <v>51</v>
      </c>
      <c r="B54" s="633" t="s">
        <v>3753</v>
      </c>
      <c r="C54" s="755" t="s">
        <v>3714</v>
      </c>
      <c r="D54" s="755" t="s">
        <v>3742</v>
      </c>
      <c r="E54" s="884" t="s">
        <v>3727</v>
      </c>
      <c r="F54" s="6" t="s">
        <v>2694</v>
      </c>
      <c r="G54" s="404" t="s">
        <v>3757</v>
      </c>
      <c r="H54" s="45">
        <v>700000</v>
      </c>
      <c r="I54" s="377" t="s">
        <v>3800</v>
      </c>
      <c r="J54" s="774">
        <v>44601</v>
      </c>
      <c r="K54" s="928">
        <f t="shared" si="0"/>
        <v>700000</v>
      </c>
      <c r="L54" s="821"/>
      <c r="M54" s="821">
        <v>17892.466666666667</v>
      </c>
      <c r="N54" s="28">
        <f t="shared" si="4"/>
        <v>7000</v>
      </c>
      <c r="O54" s="28">
        <f t="shared" si="5"/>
        <v>14000</v>
      </c>
      <c r="P54" s="821">
        <v>675107.53333333333</v>
      </c>
      <c r="Q54" s="28">
        <f t="shared" si="1"/>
        <v>0</v>
      </c>
      <c r="R54" s="301"/>
      <c r="S54" s="301">
        <v>44615</v>
      </c>
      <c r="T54" s="55">
        <v>14</v>
      </c>
      <c r="U54" s="24">
        <f t="shared" si="10"/>
        <v>44615</v>
      </c>
      <c r="V54" s="5"/>
      <c r="W54"/>
      <c r="X54"/>
      <c r="Y54"/>
      <c r="Z54"/>
      <c r="AA54"/>
      <c r="AB54"/>
      <c r="AC54"/>
      <c r="AD54"/>
      <c r="AE54"/>
      <c r="AF54"/>
      <c r="AG54"/>
      <c r="AH54"/>
      <c r="AI54"/>
      <c r="AJ54"/>
      <c r="AK54"/>
      <c r="AL54"/>
      <c r="AM54"/>
      <c r="AN54"/>
      <c r="AO54"/>
      <c r="AP54"/>
      <c r="AQ54"/>
      <c r="AR54"/>
    </row>
    <row r="55" spans="1:44" s="10" customFormat="1" ht="15.75" customHeight="1" x14ac:dyDescent="0.25">
      <c r="A55" s="55">
        <f t="shared" si="9"/>
        <v>52</v>
      </c>
      <c r="B55" s="633" t="s">
        <v>3753</v>
      </c>
      <c r="C55" s="755" t="s">
        <v>3715</v>
      </c>
      <c r="D55" s="755" t="s">
        <v>3743</v>
      </c>
      <c r="E55" s="884" t="s">
        <v>3728</v>
      </c>
      <c r="F55" s="6" t="s">
        <v>2694</v>
      </c>
      <c r="G55" s="404" t="s">
        <v>3758</v>
      </c>
      <c r="H55" s="45">
        <v>800000</v>
      </c>
      <c r="I55" s="377" t="s">
        <v>3799</v>
      </c>
      <c r="J55" s="774">
        <v>44601</v>
      </c>
      <c r="K55" s="928">
        <f t="shared" si="0"/>
        <v>800000</v>
      </c>
      <c r="L55" s="821"/>
      <c r="M55" s="821">
        <v>20448.533333333333</v>
      </c>
      <c r="N55" s="28">
        <f t="shared" si="4"/>
        <v>8000</v>
      </c>
      <c r="O55" s="28">
        <f t="shared" si="5"/>
        <v>16000</v>
      </c>
      <c r="P55" s="821">
        <v>771551.46666666667</v>
      </c>
      <c r="Q55" s="28">
        <f t="shared" si="1"/>
        <v>0</v>
      </c>
      <c r="R55" s="301"/>
      <c r="S55" s="301">
        <v>44615</v>
      </c>
      <c r="T55" s="55">
        <v>14</v>
      </c>
      <c r="U55" s="24">
        <f t="shared" si="10"/>
        <v>44615</v>
      </c>
      <c r="V55" s="5"/>
      <c r="W55"/>
      <c r="X55"/>
      <c r="Y55"/>
      <c r="Z55"/>
      <c r="AA55"/>
      <c r="AB55"/>
      <c r="AC55"/>
      <c r="AD55"/>
      <c r="AE55"/>
      <c r="AF55"/>
      <c r="AG55"/>
      <c r="AH55"/>
      <c r="AI55"/>
      <c r="AJ55"/>
      <c r="AK55"/>
      <c r="AL55"/>
      <c r="AM55"/>
      <c r="AN55"/>
      <c r="AO55"/>
      <c r="AP55"/>
      <c r="AQ55"/>
      <c r="AR55"/>
    </row>
    <row r="56" spans="1:44" s="10" customFormat="1" ht="15.75" customHeight="1" x14ac:dyDescent="0.25">
      <c r="A56" s="55">
        <f t="shared" si="9"/>
        <v>53</v>
      </c>
      <c r="B56" s="633" t="s">
        <v>3753</v>
      </c>
      <c r="C56" s="755" t="s">
        <v>3716</v>
      </c>
      <c r="D56" s="755" t="s">
        <v>3744</v>
      </c>
      <c r="E56" s="884" t="s">
        <v>3729</v>
      </c>
      <c r="F56" s="6" t="s">
        <v>2694</v>
      </c>
      <c r="G56" s="404" t="s">
        <v>3759</v>
      </c>
      <c r="H56" s="45">
        <v>900000</v>
      </c>
      <c r="I56" s="377" t="s">
        <v>3808</v>
      </c>
      <c r="J56" s="774">
        <v>44601</v>
      </c>
      <c r="K56" s="928">
        <f t="shared" si="0"/>
        <v>900000</v>
      </c>
      <c r="L56" s="821"/>
      <c r="M56" s="821">
        <v>23004.6</v>
      </c>
      <c r="N56" s="28">
        <f t="shared" si="4"/>
        <v>9000</v>
      </c>
      <c r="O56" s="28">
        <f t="shared" si="5"/>
        <v>18000</v>
      </c>
      <c r="P56" s="821">
        <v>867995.4</v>
      </c>
      <c r="Q56" s="28">
        <f t="shared" si="1"/>
        <v>0</v>
      </c>
      <c r="R56" s="301"/>
      <c r="S56" s="301">
        <v>44615</v>
      </c>
      <c r="T56" s="55">
        <v>14</v>
      </c>
      <c r="U56" s="24">
        <f t="shared" si="10"/>
        <v>44615</v>
      </c>
      <c r="V56" s="5"/>
      <c r="W56"/>
      <c r="X56"/>
      <c r="Y56"/>
      <c r="Z56"/>
      <c r="AA56"/>
      <c r="AB56"/>
      <c r="AC56"/>
      <c r="AD56"/>
      <c r="AE56"/>
      <c r="AF56"/>
      <c r="AG56"/>
      <c r="AH56"/>
      <c r="AI56"/>
      <c r="AJ56"/>
      <c r="AK56"/>
      <c r="AL56"/>
      <c r="AM56"/>
      <c r="AN56"/>
      <c r="AO56"/>
      <c r="AP56"/>
      <c r="AQ56"/>
      <c r="AR56"/>
    </row>
    <row r="57" spans="1:44" s="10" customFormat="1" ht="15.75" customHeight="1" x14ac:dyDescent="0.25">
      <c r="A57" s="55">
        <f t="shared" si="9"/>
        <v>54</v>
      </c>
      <c r="B57" s="633" t="s">
        <v>3754</v>
      </c>
      <c r="C57" s="755" t="s">
        <v>3717</v>
      </c>
      <c r="D57" s="755" t="s">
        <v>3745</v>
      </c>
      <c r="E57" s="884" t="s">
        <v>3730</v>
      </c>
      <c r="F57" s="6" t="s">
        <v>2694</v>
      </c>
      <c r="G57" s="404" t="s">
        <v>3760</v>
      </c>
      <c r="H57" s="45">
        <v>700000</v>
      </c>
      <c r="I57" s="377" t="s">
        <v>3802</v>
      </c>
      <c r="J57" s="774">
        <v>44601</v>
      </c>
      <c r="K57" s="928">
        <f t="shared" si="0"/>
        <v>700000</v>
      </c>
      <c r="L57" s="821"/>
      <c r="M57" s="821">
        <v>17892.466666666667</v>
      </c>
      <c r="N57" s="28">
        <f t="shared" si="4"/>
        <v>7000</v>
      </c>
      <c r="O57" s="28">
        <f t="shared" si="5"/>
        <v>14000</v>
      </c>
      <c r="P57" s="821">
        <v>675107.53333333333</v>
      </c>
      <c r="Q57" s="28">
        <f t="shared" si="1"/>
        <v>0</v>
      </c>
      <c r="R57" s="301"/>
      <c r="S57" s="301">
        <v>44615</v>
      </c>
      <c r="T57" s="55">
        <v>14</v>
      </c>
      <c r="U57" s="24">
        <f t="shared" si="10"/>
        <v>44615</v>
      </c>
      <c r="V57" s="5"/>
      <c r="W57"/>
      <c r="X57"/>
      <c r="Y57"/>
      <c r="Z57"/>
      <c r="AA57"/>
      <c r="AB57"/>
      <c r="AC57"/>
      <c r="AD57"/>
      <c r="AE57"/>
      <c r="AF57"/>
      <c r="AG57"/>
      <c r="AH57"/>
      <c r="AI57"/>
      <c r="AJ57"/>
      <c r="AK57"/>
      <c r="AL57"/>
      <c r="AM57"/>
      <c r="AN57"/>
      <c r="AO57"/>
      <c r="AP57"/>
      <c r="AQ57"/>
      <c r="AR57"/>
    </row>
    <row r="58" spans="1:44" s="10" customFormat="1" ht="15.75" customHeight="1" x14ac:dyDescent="0.25">
      <c r="A58" s="55">
        <f t="shared" si="9"/>
        <v>55</v>
      </c>
      <c r="B58" s="633" t="s">
        <v>3755</v>
      </c>
      <c r="C58" s="755" t="s">
        <v>3718</v>
      </c>
      <c r="D58" s="755" t="s">
        <v>3746</v>
      </c>
      <c r="E58" s="884" t="s">
        <v>3731</v>
      </c>
      <c r="F58" s="6" t="s">
        <v>2694</v>
      </c>
      <c r="G58" s="404" t="s">
        <v>3761</v>
      </c>
      <c r="H58" s="45">
        <v>900000</v>
      </c>
      <c r="I58" s="377" t="s">
        <v>3804</v>
      </c>
      <c r="J58" s="774">
        <v>44601</v>
      </c>
      <c r="K58" s="928">
        <f t="shared" si="0"/>
        <v>900000</v>
      </c>
      <c r="L58" s="821"/>
      <c r="M58" s="821">
        <v>23004.6</v>
      </c>
      <c r="N58" s="28">
        <f t="shared" si="4"/>
        <v>9000</v>
      </c>
      <c r="O58" s="28">
        <f t="shared" si="5"/>
        <v>18000</v>
      </c>
      <c r="P58" s="821">
        <v>867995.4</v>
      </c>
      <c r="Q58" s="28">
        <f t="shared" si="1"/>
        <v>0</v>
      </c>
      <c r="R58" s="301"/>
      <c r="S58" s="301">
        <v>44615</v>
      </c>
      <c r="T58" s="55">
        <v>14</v>
      </c>
      <c r="U58" s="24">
        <f t="shared" si="10"/>
        <v>44615</v>
      </c>
      <c r="V58" s="5"/>
      <c r="W58"/>
      <c r="X58"/>
      <c r="Y58"/>
      <c r="Z58"/>
      <c r="AA58"/>
      <c r="AB58"/>
      <c r="AC58"/>
      <c r="AD58"/>
      <c r="AE58"/>
      <c r="AF58"/>
      <c r="AG58"/>
      <c r="AH58"/>
      <c r="AI58"/>
      <c r="AJ58"/>
      <c r="AK58"/>
      <c r="AL58"/>
      <c r="AM58"/>
      <c r="AN58"/>
      <c r="AO58"/>
      <c r="AP58"/>
      <c r="AQ58"/>
      <c r="AR58"/>
    </row>
    <row r="59" spans="1:44" s="10" customFormat="1" ht="15.75" customHeight="1" x14ac:dyDescent="0.25">
      <c r="A59" s="55" t="e">
        <f>#REF!+1</f>
        <v>#REF!</v>
      </c>
      <c r="B59" s="633" t="s">
        <v>3756</v>
      </c>
      <c r="C59" s="755" t="s">
        <v>3720</v>
      </c>
      <c r="D59" s="755" t="s">
        <v>3748</v>
      </c>
      <c r="E59" s="884" t="s">
        <v>3734</v>
      </c>
      <c r="F59" s="6" t="s">
        <v>2694</v>
      </c>
      <c r="G59" s="404" t="s">
        <v>2120</v>
      </c>
      <c r="H59" s="45">
        <v>1100000</v>
      </c>
      <c r="I59" s="377" t="s">
        <v>3798</v>
      </c>
      <c r="J59" s="774">
        <v>44601</v>
      </c>
      <c r="K59" s="928">
        <f t="shared" si="0"/>
        <v>1100000</v>
      </c>
      <c r="L59" s="821"/>
      <c r="M59" s="821">
        <v>28116.733333333334</v>
      </c>
      <c r="N59" s="28">
        <f t="shared" si="4"/>
        <v>11000</v>
      </c>
      <c r="O59" s="28">
        <f t="shared" si="5"/>
        <v>22000</v>
      </c>
      <c r="P59" s="821">
        <v>1060883.2666666666</v>
      </c>
      <c r="Q59" s="28">
        <f t="shared" si="1"/>
        <v>0</v>
      </c>
      <c r="R59" s="301"/>
      <c r="S59" s="301">
        <v>44615</v>
      </c>
      <c r="T59" s="55">
        <v>14</v>
      </c>
      <c r="U59" s="24">
        <f t="shared" si="10"/>
        <v>44615</v>
      </c>
      <c r="V59" s="5"/>
      <c r="W59"/>
      <c r="X59"/>
      <c r="Y59"/>
      <c r="Z59"/>
      <c r="AA59"/>
      <c r="AB59"/>
      <c r="AC59"/>
      <c r="AD59"/>
      <c r="AE59"/>
      <c r="AF59"/>
      <c r="AG59"/>
      <c r="AH59"/>
      <c r="AI59"/>
      <c r="AJ59"/>
      <c r="AK59"/>
      <c r="AL59"/>
      <c r="AM59"/>
      <c r="AN59"/>
      <c r="AO59"/>
      <c r="AP59"/>
      <c r="AQ59"/>
      <c r="AR59"/>
    </row>
    <row r="60" spans="1:44" s="10" customFormat="1" ht="15.75" customHeight="1" x14ac:dyDescent="0.25">
      <c r="A60" s="55" t="e">
        <f t="shared" si="9"/>
        <v>#REF!</v>
      </c>
      <c r="B60" s="633" t="s">
        <v>3756</v>
      </c>
      <c r="C60" s="755" t="s">
        <v>3797</v>
      </c>
      <c r="D60" s="755" t="s">
        <v>3749</v>
      </c>
      <c r="E60" s="884" t="s">
        <v>3735</v>
      </c>
      <c r="F60" s="6" t="s">
        <v>2694</v>
      </c>
      <c r="G60" s="404" t="s">
        <v>2120</v>
      </c>
      <c r="H60" s="45">
        <v>1100000</v>
      </c>
      <c r="I60" s="377" t="s">
        <v>3796</v>
      </c>
      <c r="J60" s="774">
        <v>44601</v>
      </c>
      <c r="K60" s="928">
        <f t="shared" si="0"/>
        <v>1100000</v>
      </c>
      <c r="L60" s="821"/>
      <c r="M60" s="821">
        <v>28116.733333333334</v>
      </c>
      <c r="N60" s="28">
        <f t="shared" si="4"/>
        <v>11000</v>
      </c>
      <c r="O60" s="28">
        <f t="shared" si="5"/>
        <v>22000</v>
      </c>
      <c r="P60" s="821">
        <v>1060883.2666666666</v>
      </c>
      <c r="Q60" s="28">
        <f t="shared" si="1"/>
        <v>0</v>
      </c>
      <c r="R60" s="301"/>
      <c r="S60" s="301">
        <v>44615</v>
      </c>
      <c r="T60" s="55">
        <v>14</v>
      </c>
      <c r="U60" s="24">
        <f t="shared" si="10"/>
        <v>44615</v>
      </c>
      <c r="V60" s="5"/>
      <c r="W60"/>
      <c r="X60"/>
      <c r="Y60"/>
      <c r="Z60"/>
      <c r="AA60"/>
      <c r="AB60"/>
      <c r="AC60"/>
      <c r="AD60"/>
      <c r="AE60"/>
      <c r="AF60"/>
      <c r="AG60"/>
      <c r="AH60"/>
      <c r="AI60"/>
      <c r="AJ60"/>
      <c r="AK60"/>
      <c r="AL60"/>
      <c r="AM60"/>
      <c r="AN60"/>
      <c r="AO60"/>
      <c r="AP60"/>
      <c r="AQ60"/>
      <c r="AR60"/>
    </row>
    <row r="61" spans="1:44" s="10" customFormat="1" ht="15.75" customHeight="1" x14ac:dyDescent="0.25">
      <c r="A61" s="55" t="e">
        <f t="shared" si="9"/>
        <v>#REF!</v>
      </c>
      <c r="B61" s="633">
        <v>44580</v>
      </c>
      <c r="C61" s="755">
        <v>403116</v>
      </c>
      <c r="D61" s="824" t="s">
        <v>3689</v>
      </c>
      <c r="E61" s="884"/>
      <c r="F61" s="6" t="s">
        <v>412</v>
      </c>
      <c r="G61" s="404" t="s">
        <v>811</v>
      </c>
      <c r="H61" s="45">
        <v>3712871</v>
      </c>
      <c r="I61" s="377" t="s">
        <v>3876</v>
      </c>
      <c r="J61" s="774">
        <v>44609</v>
      </c>
      <c r="K61" s="928">
        <f t="shared" si="0"/>
        <v>3712871</v>
      </c>
      <c r="L61" s="821"/>
      <c r="M61" s="821"/>
      <c r="N61" s="28">
        <f t="shared" si="4"/>
        <v>37128.71</v>
      </c>
      <c r="O61" s="28">
        <f t="shared" si="5"/>
        <v>74257.42</v>
      </c>
      <c r="P61" s="28">
        <v>3675742.29</v>
      </c>
      <c r="Q61" s="28">
        <f t="shared" si="1"/>
        <v>0</v>
      </c>
      <c r="R61" s="55"/>
      <c r="S61" s="301">
        <v>44634</v>
      </c>
      <c r="T61" s="55">
        <v>30</v>
      </c>
      <c r="U61" s="24">
        <f t="shared" si="10"/>
        <v>44639</v>
      </c>
      <c r="V61" s="5"/>
      <c r="W61"/>
      <c r="X61"/>
      <c r="Y61"/>
      <c r="Z61"/>
      <c r="AA61"/>
      <c r="AB61"/>
      <c r="AC61"/>
      <c r="AD61"/>
      <c r="AE61"/>
      <c r="AF61"/>
      <c r="AG61"/>
      <c r="AH61"/>
      <c r="AI61"/>
      <c r="AJ61"/>
      <c r="AK61"/>
      <c r="AL61"/>
      <c r="AM61"/>
      <c r="AN61"/>
      <c r="AO61"/>
      <c r="AP61"/>
      <c r="AQ61"/>
      <c r="AR61"/>
    </row>
    <row r="62" spans="1:44" s="10" customFormat="1" ht="15.75" customHeight="1" x14ac:dyDescent="0.25">
      <c r="A62" s="55" t="e">
        <f t="shared" si="9"/>
        <v>#REF!</v>
      </c>
      <c r="B62" s="633">
        <v>44562</v>
      </c>
      <c r="C62" s="755">
        <v>403995</v>
      </c>
      <c r="D62" s="824"/>
      <c r="E62" s="884"/>
      <c r="F62" s="33" t="s">
        <v>1195</v>
      </c>
      <c r="G62" s="404" t="s">
        <v>3868</v>
      </c>
      <c r="H62" s="45">
        <v>288776929.23749995</v>
      </c>
      <c r="I62" s="377" t="s">
        <v>3867</v>
      </c>
      <c r="J62" s="774">
        <v>44607</v>
      </c>
      <c r="K62" s="928">
        <f t="shared" si="0"/>
        <v>288776929.23749995</v>
      </c>
      <c r="L62" s="830"/>
      <c r="M62" s="830">
        <v>28877692.923749998</v>
      </c>
      <c r="N62" s="830">
        <v>2598992.3631374999</v>
      </c>
      <c r="O62" s="830">
        <v>5197984.7262749998</v>
      </c>
      <c r="P62" s="28">
        <v>257300243.95061249</v>
      </c>
      <c r="Q62" s="28">
        <f t="shared" si="1"/>
        <v>-1.3504177331924438E-8</v>
      </c>
      <c r="R62" s="55"/>
      <c r="S62" s="301">
        <v>44638</v>
      </c>
      <c r="T62" s="55">
        <v>14</v>
      </c>
      <c r="U62" s="24">
        <f t="shared" si="10"/>
        <v>44621</v>
      </c>
      <c r="V62" s="5"/>
      <c r="W62"/>
      <c r="X62"/>
      <c r="Y62"/>
      <c r="Z62"/>
      <c r="AA62"/>
      <c r="AB62"/>
      <c r="AC62"/>
      <c r="AD62"/>
      <c r="AE62"/>
      <c r="AF62"/>
      <c r="AG62"/>
      <c r="AH62"/>
      <c r="AI62"/>
      <c r="AJ62"/>
      <c r="AK62"/>
      <c r="AL62"/>
      <c r="AM62"/>
      <c r="AN62"/>
      <c r="AO62"/>
      <c r="AP62"/>
      <c r="AQ62"/>
      <c r="AR62"/>
    </row>
    <row r="63" spans="1:44" s="10" customFormat="1" ht="15.75" customHeight="1" x14ac:dyDescent="0.25">
      <c r="A63" s="55" t="e">
        <f>#REF!+1</f>
        <v>#REF!</v>
      </c>
      <c r="B63" s="633">
        <v>44562</v>
      </c>
      <c r="C63" s="755">
        <v>406141</v>
      </c>
      <c r="D63" s="755"/>
      <c r="E63" s="884"/>
      <c r="F63" s="33" t="s">
        <v>1195</v>
      </c>
      <c r="G63" s="404" t="s">
        <v>3766</v>
      </c>
      <c r="H63" s="45">
        <v>549804165.75</v>
      </c>
      <c r="I63" s="377" t="s">
        <v>3795</v>
      </c>
      <c r="J63" s="774">
        <v>44600</v>
      </c>
      <c r="K63" s="928">
        <f t="shared" si="0"/>
        <v>549804165.75</v>
      </c>
      <c r="L63" s="823"/>
      <c r="M63" s="823"/>
      <c r="N63" s="28">
        <f>K63*1%</f>
        <v>5498041.6574999997</v>
      </c>
      <c r="O63" s="28">
        <f>K63*2%</f>
        <v>10996083.314999999</v>
      </c>
      <c r="P63" s="28">
        <v>544306124.09249997</v>
      </c>
      <c r="Q63" s="28">
        <f t="shared" si="1"/>
        <v>-2.8870999813079834E-8</v>
      </c>
      <c r="R63" s="301"/>
      <c r="S63" s="301">
        <v>44615</v>
      </c>
      <c r="T63" s="55">
        <v>14</v>
      </c>
      <c r="U63" s="24">
        <f t="shared" si="10"/>
        <v>44614</v>
      </c>
      <c r="V63" s="5"/>
      <c r="W63"/>
      <c r="X63"/>
      <c r="Y63"/>
      <c r="Z63"/>
      <c r="AA63"/>
      <c r="AB63"/>
      <c r="AC63"/>
      <c r="AD63"/>
      <c r="AE63"/>
      <c r="AF63"/>
      <c r="AG63"/>
      <c r="AH63"/>
      <c r="AI63"/>
      <c r="AJ63"/>
      <c r="AK63"/>
      <c r="AL63"/>
      <c r="AM63"/>
      <c r="AN63"/>
      <c r="AO63"/>
      <c r="AP63"/>
      <c r="AQ63"/>
      <c r="AR63"/>
    </row>
    <row r="64" spans="1:44" s="10" customFormat="1" ht="15.75" customHeight="1" x14ac:dyDescent="0.25">
      <c r="A64" s="55">
        <f>A311+1</f>
        <v>10</v>
      </c>
      <c r="B64" s="633">
        <v>44568</v>
      </c>
      <c r="C64" s="755">
        <v>402774</v>
      </c>
      <c r="D64" s="824"/>
      <c r="E64" s="884"/>
      <c r="F64" s="33" t="s">
        <v>1195</v>
      </c>
      <c r="G64" s="404" t="s">
        <v>4696</v>
      </c>
      <c r="H64" s="45">
        <v>14360220</v>
      </c>
      <c r="I64" s="377" t="s">
        <v>4377</v>
      </c>
      <c r="J64" s="774">
        <v>44630</v>
      </c>
      <c r="K64" s="928">
        <f t="shared" si="0"/>
        <v>14360220</v>
      </c>
      <c r="L64" s="866"/>
      <c r="M64" s="866">
        <v>1436022</v>
      </c>
      <c r="N64" s="866">
        <v>129241.98</v>
      </c>
      <c r="O64" s="866">
        <v>258483.96</v>
      </c>
      <c r="P64" s="866">
        <v>12794956.02</v>
      </c>
      <c r="Q64" s="28">
        <f t="shared" si="1"/>
        <v>-4.5110937207937241E-10</v>
      </c>
      <c r="R64" s="55"/>
      <c r="S64" s="301">
        <v>44642</v>
      </c>
      <c r="T64" s="55"/>
      <c r="U64" s="24"/>
      <c r="V64" s="5"/>
      <c r="W64"/>
      <c r="X64"/>
      <c r="Y64"/>
      <c r="Z64"/>
      <c r="AA64"/>
      <c r="AB64"/>
      <c r="AC64"/>
      <c r="AD64"/>
      <c r="AE64"/>
      <c r="AF64"/>
      <c r="AG64"/>
      <c r="AH64"/>
      <c r="AI64"/>
      <c r="AJ64"/>
      <c r="AK64"/>
      <c r="AL64"/>
      <c r="AM64"/>
      <c r="AN64"/>
      <c r="AO64"/>
      <c r="AP64"/>
      <c r="AQ64"/>
      <c r="AR64"/>
    </row>
    <row r="65" spans="1:44" s="10" customFormat="1" ht="15.75" customHeight="1" x14ac:dyDescent="0.25">
      <c r="A65" s="55">
        <f t="shared" ref="A65:A71" si="11">A64+1</f>
        <v>11</v>
      </c>
      <c r="B65" s="633">
        <v>44585</v>
      </c>
      <c r="C65" s="755">
        <v>403357</v>
      </c>
      <c r="D65" s="824"/>
      <c r="E65" s="884"/>
      <c r="F65" s="33" t="s">
        <v>1195</v>
      </c>
      <c r="G65" s="404" t="s">
        <v>4697</v>
      </c>
      <c r="H65" s="45">
        <v>4134780</v>
      </c>
      <c r="I65" s="377" t="s">
        <v>4378</v>
      </c>
      <c r="J65" s="774">
        <v>44630</v>
      </c>
      <c r="K65" s="928">
        <f t="shared" si="0"/>
        <v>4134780</v>
      </c>
      <c r="L65" s="866"/>
      <c r="M65" s="866">
        <v>413478</v>
      </c>
      <c r="N65" s="866">
        <v>37213.020000000004</v>
      </c>
      <c r="O65" s="866">
        <v>74426.040000000008</v>
      </c>
      <c r="P65" s="866">
        <v>3684088.98</v>
      </c>
      <c r="Q65" s="28">
        <f t="shared" si="1"/>
        <v>0</v>
      </c>
      <c r="R65" s="55"/>
      <c r="S65" s="301">
        <v>44642</v>
      </c>
      <c r="T65" s="55"/>
      <c r="U65" s="24"/>
      <c r="V65" s="5"/>
      <c r="W65"/>
      <c r="X65"/>
      <c r="Y65"/>
      <c r="Z65"/>
      <c r="AA65"/>
      <c r="AB65"/>
      <c r="AC65"/>
      <c r="AD65"/>
      <c r="AE65"/>
      <c r="AF65"/>
      <c r="AG65"/>
      <c r="AH65"/>
      <c r="AI65"/>
      <c r="AJ65"/>
      <c r="AK65"/>
      <c r="AL65"/>
      <c r="AM65"/>
      <c r="AN65"/>
      <c r="AO65"/>
      <c r="AP65"/>
      <c r="AQ65"/>
      <c r="AR65"/>
    </row>
    <row r="66" spans="1:44" s="10" customFormat="1" ht="15.75" customHeight="1" x14ac:dyDescent="0.25">
      <c r="A66" s="55">
        <f t="shared" si="11"/>
        <v>12</v>
      </c>
      <c r="B66" s="633">
        <v>44562</v>
      </c>
      <c r="C66" s="755">
        <v>402768</v>
      </c>
      <c r="D66" s="824"/>
      <c r="E66" s="884"/>
      <c r="F66" s="33" t="s">
        <v>1195</v>
      </c>
      <c r="G66" s="404" t="s">
        <v>4698</v>
      </c>
      <c r="H66" s="45">
        <v>7138225.5</v>
      </c>
      <c r="I66" s="377" t="s">
        <v>4379</v>
      </c>
      <c r="J66" s="774">
        <v>44630</v>
      </c>
      <c r="K66" s="928">
        <f t="shared" si="0"/>
        <v>7138225.5</v>
      </c>
      <c r="L66" s="866"/>
      <c r="M66" s="866">
        <v>713822.55</v>
      </c>
      <c r="N66" s="866">
        <v>64244.029500000004</v>
      </c>
      <c r="O66" s="866">
        <v>128488.05900000001</v>
      </c>
      <c r="P66" s="866">
        <v>6360158.9400000004</v>
      </c>
      <c r="Q66" s="28">
        <f t="shared" si="1"/>
        <v>-1.9500000576954335E-2</v>
      </c>
      <c r="R66" s="55"/>
      <c r="S66" s="301">
        <v>44642</v>
      </c>
      <c r="T66" s="55"/>
      <c r="U66" s="24"/>
      <c r="V66" s="5"/>
      <c r="W66"/>
      <c r="X66"/>
      <c r="Y66"/>
      <c r="Z66"/>
      <c r="AA66"/>
      <c r="AB66"/>
      <c r="AC66"/>
      <c r="AD66"/>
      <c r="AE66"/>
      <c r="AF66"/>
      <c r="AG66"/>
      <c r="AH66"/>
      <c r="AI66"/>
      <c r="AJ66"/>
      <c r="AK66"/>
      <c r="AL66"/>
      <c r="AM66"/>
      <c r="AN66"/>
      <c r="AO66"/>
      <c r="AP66"/>
      <c r="AQ66"/>
      <c r="AR66"/>
    </row>
    <row r="67" spans="1:44" s="10" customFormat="1" ht="15.75" customHeight="1" x14ac:dyDescent="0.25">
      <c r="A67" s="55">
        <f t="shared" si="11"/>
        <v>13</v>
      </c>
      <c r="B67" s="633">
        <v>44568</v>
      </c>
      <c r="C67" s="755">
        <v>402798</v>
      </c>
      <c r="D67" s="824"/>
      <c r="E67" s="884"/>
      <c r="F67" s="33" t="s">
        <v>1195</v>
      </c>
      <c r="G67" s="404" t="s">
        <v>4699</v>
      </c>
      <c r="H67" s="45">
        <v>10955000</v>
      </c>
      <c r="I67" s="377" t="s">
        <v>4380</v>
      </c>
      <c r="J67" s="774">
        <v>44630</v>
      </c>
      <c r="K67" s="928">
        <f t="shared" ref="K67:K129" si="12">H67</f>
        <v>10955000</v>
      </c>
      <c r="L67" s="866"/>
      <c r="M67" s="866">
        <v>1095500</v>
      </c>
      <c r="N67" s="866">
        <v>98595</v>
      </c>
      <c r="O67" s="866">
        <v>197190</v>
      </c>
      <c r="P67" s="866">
        <v>9760905</v>
      </c>
      <c r="Q67" s="28">
        <f t="shared" ref="Q67:Q129" si="13">K67-L67-M67-O67-P67+N67</f>
        <v>0</v>
      </c>
      <c r="R67" s="55"/>
      <c r="S67" s="301">
        <v>44642</v>
      </c>
      <c r="T67" s="55"/>
      <c r="U67" s="24"/>
      <c r="V67" s="5"/>
      <c r="W67"/>
      <c r="X67"/>
      <c r="Y67"/>
      <c r="Z67"/>
      <c r="AA67"/>
      <c r="AB67"/>
      <c r="AC67"/>
      <c r="AD67"/>
      <c r="AE67"/>
      <c r="AF67"/>
      <c r="AG67"/>
      <c r="AH67"/>
      <c r="AI67"/>
      <c r="AJ67"/>
      <c r="AK67"/>
      <c r="AL67"/>
      <c r="AM67"/>
      <c r="AN67"/>
      <c r="AO67"/>
      <c r="AP67"/>
      <c r="AQ67"/>
      <c r="AR67"/>
    </row>
    <row r="68" spans="1:44" s="10" customFormat="1" ht="15.75" customHeight="1" x14ac:dyDescent="0.25">
      <c r="A68" s="55">
        <f t="shared" si="11"/>
        <v>14</v>
      </c>
      <c r="B68" s="633">
        <v>44537</v>
      </c>
      <c r="C68" s="755">
        <v>405853</v>
      </c>
      <c r="D68" s="824"/>
      <c r="E68" s="884"/>
      <c r="F68" s="33" t="s">
        <v>1195</v>
      </c>
      <c r="G68" s="404" t="s">
        <v>4700</v>
      </c>
      <c r="H68" s="45">
        <v>297000</v>
      </c>
      <c r="I68" s="377" t="s">
        <v>4381</v>
      </c>
      <c r="J68" s="774">
        <v>44630</v>
      </c>
      <c r="K68" s="928">
        <f t="shared" si="12"/>
        <v>297000</v>
      </c>
      <c r="L68" s="866"/>
      <c r="M68" s="866">
        <v>29700</v>
      </c>
      <c r="N68" s="866">
        <v>2673</v>
      </c>
      <c r="O68" s="866">
        <v>5346</v>
      </c>
      <c r="P68" s="866">
        <v>264627</v>
      </c>
      <c r="Q68" s="28">
        <f t="shared" si="13"/>
        <v>0</v>
      </c>
      <c r="R68" s="55"/>
      <c r="S68" s="301">
        <v>44642</v>
      </c>
      <c r="T68" s="55"/>
      <c r="U68" s="24"/>
      <c r="V68" s="5"/>
      <c r="W68"/>
      <c r="X68"/>
      <c r="Y68"/>
      <c r="Z68"/>
      <c r="AA68"/>
      <c r="AB68"/>
      <c r="AC68"/>
      <c r="AD68"/>
      <c r="AE68"/>
      <c r="AF68"/>
      <c r="AG68"/>
      <c r="AH68"/>
      <c r="AI68"/>
      <c r="AJ68"/>
      <c r="AK68"/>
      <c r="AL68"/>
      <c r="AM68"/>
      <c r="AN68"/>
      <c r="AO68"/>
      <c r="AP68"/>
      <c r="AQ68"/>
      <c r="AR68"/>
    </row>
    <row r="69" spans="1:44" s="10" customFormat="1" ht="15.75" customHeight="1" x14ac:dyDescent="0.25">
      <c r="A69" s="55">
        <f t="shared" si="11"/>
        <v>15</v>
      </c>
      <c r="B69" s="633">
        <v>44585</v>
      </c>
      <c r="C69" s="755">
        <v>402775</v>
      </c>
      <c r="D69" s="824"/>
      <c r="E69" s="884"/>
      <c r="F69" s="33" t="s">
        <v>1195</v>
      </c>
      <c r="G69" s="404" t="s">
        <v>4701</v>
      </c>
      <c r="H69" s="45">
        <v>9917145</v>
      </c>
      <c r="I69" s="377" t="s">
        <v>4382</v>
      </c>
      <c r="J69" s="774">
        <v>44630</v>
      </c>
      <c r="K69" s="928">
        <f t="shared" si="12"/>
        <v>9917145</v>
      </c>
      <c r="L69" s="866"/>
      <c r="M69" s="866">
        <v>991714.5</v>
      </c>
      <c r="N69" s="866">
        <v>89254.305000000008</v>
      </c>
      <c r="O69" s="866">
        <v>178508.61000000002</v>
      </c>
      <c r="P69" s="866">
        <v>8836176.1950000003</v>
      </c>
      <c r="Q69" s="28">
        <f t="shared" si="13"/>
        <v>3.0559021979570389E-10</v>
      </c>
      <c r="R69" s="55"/>
      <c r="S69" s="301">
        <v>44642</v>
      </c>
      <c r="T69" s="55"/>
      <c r="U69" s="24"/>
      <c r="V69" s="5"/>
      <c r="W69"/>
      <c r="X69"/>
      <c r="Y69"/>
      <c r="Z69"/>
      <c r="AA69"/>
      <c r="AB69"/>
      <c r="AC69"/>
      <c r="AD69"/>
      <c r="AE69"/>
      <c r="AF69"/>
      <c r="AG69"/>
      <c r="AH69"/>
      <c r="AI69"/>
      <c r="AJ69"/>
      <c r="AK69"/>
      <c r="AL69"/>
      <c r="AM69"/>
      <c r="AN69"/>
      <c r="AO69"/>
      <c r="AP69"/>
      <c r="AQ69"/>
      <c r="AR69"/>
    </row>
    <row r="70" spans="1:44" s="10" customFormat="1" ht="15.75" customHeight="1" x14ac:dyDescent="0.25">
      <c r="A70" s="55">
        <f t="shared" si="11"/>
        <v>16</v>
      </c>
      <c r="B70" s="633">
        <v>44568</v>
      </c>
      <c r="C70" s="755">
        <v>402776</v>
      </c>
      <c r="D70" s="824"/>
      <c r="E70" s="884"/>
      <c r="F70" s="33" t="s">
        <v>1195</v>
      </c>
      <c r="G70" s="404" t="s">
        <v>4702</v>
      </c>
      <c r="H70" s="45">
        <v>13045812.5</v>
      </c>
      <c r="I70" s="377" t="s">
        <v>4383</v>
      </c>
      <c r="J70" s="774">
        <v>44630</v>
      </c>
      <c r="K70" s="928">
        <f t="shared" si="12"/>
        <v>13045812.5</v>
      </c>
      <c r="L70" s="866"/>
      <c r="M70" s="866">
        <v>1304581.25</v>
      </c>
      <c r="N70" s="866">
        <v>117412.3125</v>
      </c>
      <c r="O70" s="866">
        <v>234824.625</v>
      </c>
      <c r="P70" s="866">
        <v>11623818.9375</v>
      </c>
      <c r="Q70" s="28">
        <f t="shared" si="13"/>
        <v>0</v>
      </c>
      <c r="R70" s="55"/>
      <c r="S70" s="301">
        <v>44644</v>
      </c>
      <c r="T70" s="55"/>
      <c r="U70" s="24"/>
      <c r="V70" s="5"/>
      <c r="W70"/>
      <c r="X70"/>
      <c r="Y70"/>
      <c r="Z70"/>
      <c r="AA70"/>
      <c r="AB70"/>
      <c r="AC70"/>
      <c r="AD70"/>
      <c r="AE70"/>
      <c r="AF70"/>
      <c r="AG70"/>
      <c r="AH70"/>
      <c r="AI70"/>
      <c r="AJ70"/>
      <c r="AK70"/>
      <c r="AL70"/>
      <c r="AM70"/>
      <c r="AN70"/>
      <c r="AO70"/>
      <c r="AP70"/>
      <c r="AQ70"/>
      <c r="AR70"/>
    </row>
    <row r="71" spans="1:44" s="10" customFormat="1" ht="15.75" customHeight="1" x14ac:dyDescent="0.25">
      <c r="A71" s="55">
        <f t="shared" si="11"/>
        <v>17</v>
      </c>
      <c r="B71" s="633">
        <v>44563</v>
      </c>
      <c r="C71" s="755">
        <v>402772</v>
      </c>
      <c r="D71" s="824"/>
      <c r="E71" s="884"/>
      <c r="F71" s="33" t="s">
        <v>1195</v>
      </c>
      <c r="G71" s="404" t="s">
        <v>4703</v>
      </c>
      <c r="H71" s="45">
        <v>7062333</v>
      </c>
      <c r="I71" s="377" t="s">
        <v>4384</v>
      </c>
      <c r="J71" s="774">
        <v>44630</v>
      </c>
      <c r="K71" s="928">
        <f t="shared" si="12"/>
        <v>7062333</v>
      </c>
      <c r="L71" s="866"/>
      <c r="M71" s="866">
        <v>706233.3</v>
      </c>
      <c r="N71" s="866">
        <v>63560.997000000003</v>
      </c>
      <c r="O71" s="866">
        <v>127121.99400000001</v>
      </c>
      <c r="P71" s="866">
        <v>6292538.7030000007</v>
      </c>
      <c r="Q71" s="28">
        <f t="shared" si="13"/>
        <v>-4.3655745685100555E-10</v>
      </c>
      <c r="R71" s="55"/>
      <c r="S71" s="301">
        <v>44644</v>
      </c>
      <c r="T71" s="55"/>
      <c r="U71" s="24"/>
      <c r="V71" s="5"/>
      <c r="W71"/>
      <c r="X71"/>
      <c r="Y71"/>
      <c r="Z71"/>
      <c r="AA71"/>
      <c r="AB71"/>
      <c r="AC71"/>
      <c r="AD71"/>
      <c r="AE71"/>
      <c r="AF71"/>
      <c r="AG71"/>
      <c r="AH71"/>
      <c r="AI71"/>
      <c r="AJ71"/>
      <c r="AK71"/>
      <c r="AL71"/>
      <c r="AM71"/>
      <c r="AN71"/>
      <c r="AO71"/>
      <c r="AP71"/>
      <c r="AQ71"/>
      <c r="AR71"/>
    </row>
    <row r="72" spans="1:44" s="10" customFormat="1" ht="15.75" customHeight="1" x14ac:dyDescent="0.25">
      <c r="A72" s="55" t="e">
        <f>#REF!+1</f>
        <v>#REF!</v>
      </c>
      <c r="B72" s="633">
        <v>44576</v>
      </c>
      <c r="C72" s="755">
        <v>402829</v>
      </c>
      <c r="D72" s="824"/>
      <c r="E72" s="884"/>
      <c r="F72" s="33" t="s">
        <v>1195</v>
      </c>
      <c r="G72" s="404" t="s">
        <v>3938</v>
      </c>
      <c r="H72" s="45">
        <v>316121899.77499998</v>
      </c>
      <c r="I72" s="377" t="s">
        <v>3937</v>
      </c>
      <c r="J72" s="774">
        <v>44614</v>
      </c>
      <c r="K72" s="928">
        <f t="shared" si="12"/>
        <v>316121899.77499998</v>
      </c>
      <c r="L72" s="832"/>
      <c r="M72" s="832">
        <v>31612189.977499999</v>
      </c>
      <c r="N72" s="832">
        <v>2845097.0979749998</v>
      </c>
      <c r="O72" s="832">
        <v>5690194.1959499996</v>
      </c>
      <c r="P72" s="832">
        <v>281664612.699525</v>
      </c>
      <c r="Q72" s="28">
        <f t="shared" si="13"/>
        <v>-1.5832483768463135E-8</v>
      </c>
      <c r="R72" s="55"/>
      <c r="S72" s="301">
        <v>44638</v>
      </c>
      <c r="T72" s="55">
        <v>14</v>
      </c>
      <c r="U72" s="24">
        <f t="shared" si="10"/>
        <v>44628</v>
      </c>
      <c r="V72" s="5"/>
      <c r="W72"/>
      <c r="X72"/>
      <c r="Y72"/>
      <c r="Z72"/>
      <c r="AA72"/>
      <c r="AB72"/>
      <c r="AC72"/>
      <c r="AD72"/>
      <c r="AE72"/>
      <c r="AF72"/>
      <c r="AG72"/>
      <c r="AH72"/>
      <c r="AI72"/>
      <c r="AJ72"/>
      <c r="AK72"/>
      <c r="AL72"/>
      <c r="AM72"/>
      <c r="AN72"/>
      <c r="AO72"/>
      <c r="AP72"/>
      <c r="AQ72"/>
      <c r="AR72"/>
    </row>
    <row r="73" spans="1:44" s="10" customFormat="1" ht="15.75" customHeight="1" x14ac:dyDescent="0.25">
      <c r="A73" s="55" t="e">
        <f t="shared" si="9"/>
        <v>#REF!</v>
      </c>
      <c r="B73" s="633">
        <v>44586</v>
      </c>
      <c r="C73" s="755">
        <v>404513</v>
      </c>
      <c r="D73" s="756" t="s">
        <v>3700</v>
      </c>
      <c r="E73" s="884" t="s">
        <v>3811</v>
      </c>
      <c r="F73" s="33" t="s">
        <v>3445</v>
      </c>
      <c r="G73" s="404" t="s">
        <v>715</v>
      </c>
      <c r="H73" s="45">
        <v>2400000</v>
      </c>
      <c r="I73" s="377" t="s">
        <v>3810</v>
      </c>
      <c r="J73" s="774">
        <v>44601</v>
      </c>
      <c r="K73" s="928">
        <f t="shared" si="12"/>
        <v>2400000</v>
      </c>
      <c r="L73" s="821"/>
      <c r="M73" s="821"/>
      <c r="N73" s="28">
        <f t="shared" ref="N73:N76" si="14">K73*1%</f>
        <v>24000</v>
      </c>
      <c r="O73" s="28">
        <f t="shared" ref="O73:O76" si="15">K73*2%</f>
        <v>48000</v>
      </c>
      <c r="P73" s="821">
        <v>2376000</v>
      </c>
      <c r="Q73" s="28">
        <f t="shared" si="13"/>
        <v>0</v>
      </c>
      <c r="R73" s="55"/>
      <c r="S73" s="301">
        <v>44622</v>
      </c>
      <c r="T73" s="55">
        <v>14</v>
      </c>
      <c r="U73" s="24">
        <f t="shared" ref="U73:U112" si="16">J73+T73</f>
        <v>44615</v>
      </c>
      <c r="V73" s="5"/>
      <c r="W73"/>
      <c r="X73"/>
      <c r="Y73"/>
      <c r="Z73"/>
      <c r="AA73"/>
      <c r="AB73"/>
      <c r="AC73"/>
      <c r="AD73"/>
      <c r="AE73"/>
      <c r="AF73"/>
      <c r="AG73"/>
      <c r="AH73"/>
      <c r="AI73"/>
      <c r="AJ73"/>
      <c r="AK73"/>
      <c r="AL73"/>
      <c r="AM73"/>
      <c r="AN73"/>
      <c r="AO73"/>
      <c r="AP73"/>
      <c r="AQ73"/>
      <c r="AR73"/>
    </row>
    <row r="74" spans="1:44" s="10" customFormat="1" ht="15.75" customHeight="1" x14ac:dyDescent="0.25">
      <c r="A74" s="55" t="e">
        <f t="shared" si="9"/>
        <v>#REF!</v>
      </c>
      <c r="B74" s="633">
        <v>44590</v>
      </c>
      <c r="C74" s="755">
        <v>404467</v>
      </c>
      <c r="D74" s="824" t="s">
        <v>2952</v>
      </c>
      <c r="E74" s="884"/>
      <c r="F74" s="33" t="s">
        <v>1741</v>
      </c>
      <c r="G74" s="404" t="s">
        <v>477</v>
      </c>
      <c r="H74" s="45">
        <v>2200000</v>
      </c>
      <c r="I74" s="377" t="s">
        <v>3881</v>
      </c>
      <c r="J74" s="774">
        <v>44609</v>
      </c>
      <c r="K74" s="928">
        <f t="shared" si="12"/>
        <v>2200000</v>
      </c>
      <c r="L74" s="821"/>
      <c r="M74" s="821"/>
      <c r="N74" s="28">
        <f t="shared" si="14"/>
        <v>22000</v>
      </c>
      <c r="O74" s="28">
        <f t="shared" si="15"/>
        <v>44000</v>
      </c>
      <c r="P74" s="821"/>
      <c r="Q74" s="28">
        <f t="shared" si="13"/>
        <v>2178000</v>
      </c>
      <c r="R74" s="55"/>
      <c r="S74" s="301"/>
      <c r="T74" s="55">
        <v>30</v>
      </c>
      <c r="U74" s="24">
        <f t="shared" si="16"/>
        <v>44639</v>
      </c>
      <c r="V74" s="5"/>
      <c r="W74"/>
      <c r="X74"/>
      <c r="Y74"/>
      <c r="Z74"/>
      <c r="AA74"/>
      <c r="AB74"/>
      <c r="AC74"/>
      <c r="AD74"/>
      <c r="AE74"/>
      <c r="AF74"/>
      <c r="AG74"/>
      <c r="AH74"/>
      <c r="AI74"/>
      <c r="AJ74"/>
      <c r="AK74"/>
      <c r="AL74"/>
      <c r="AM74"/>
      <c r="AN74"/>
      <c r="AO74"/>
      <c r="AP74"/>
      <c r="AQ74"/>
      <c r="AR74"/>
    </row>
    <row r="75" spans="1:44" s="10" customFormat="1" ht="15.75" customHeight="1" x14ac:dyDescent="0.25">
      <c r="A75" s="55" t="e">
        <f t="shared" si="9"/>
        <v>#REF!</v>
      </c>
      <c r="B75" s="633">
        <v>44583</v>
      </c>
      <c r="C75" s="755">
        <v>404451</v>
      </c>
      <c r="D75" s="756" t="s">
        <v>3697</v>
      </c>
      <c r="E75" s="884"/>
      <c r="F75" s="33" t="s">
        <v>3695</v>
      </c>
      <c r="G75" s="404" t="s">
        <v>1938</v>
      </c>
      <c r="H75" s="45">
        <v>871500</v>
      </c>
      <c r="I75" s="377" t="s">
        <v>3794</v>
      </c>
      <c r="J75" s="774">
        <v>44599</v>
      </c>
      <c r="K75" s="928">
        <f t="shared" si="12"/>
        <v>871500</v>
      </c>
      <c r="L75" s="821"/>
      <c r="M75" s="821"/>
      <c r="N75" s="28">
        <f t="shared" si="14"/>
        <v>8715</v>
      </c>
      <c r="O75" s="28">
        <f t="shared" si="15"/>
        <v>17430</v>
      </c>
      <c r="P75" s="821">
        <v>862785</v>
      </c>
      <c r="Q75" s="28">
        <f t="shared" si="13"/>
        <v>0</v>
      </c>
      <c r="R75" s="55"/>
      <c r="S75" s="301">
        <v>44630</v>
      </c>
      <c r="T75" s="55">
        <v>30</v>
      </c>
      <c r="U75" s="24">
        <f t="shared" si="16"/>
        <v>44629</v>
      </c>
      <c r="V75" s="5"/>
      <c r="W75"/>
      <c r="X75"/>
      <c r="Y75"/>
      <c r="Z75"/>
      <c r="AA75"/>
      <c r="AB75"/>
      <c r="AC75"/>
      <c r="AD75"/>
      <c r="AE75"/>
      <c r="AF75"/>
      <c r="AG75"/>
      <c r="AH75"/>
      <c r="AI75"/>
      <c r="AJ75"/>
      <c r="AK75"/>
      <c r="AL75"/>
      <c r="AM75"/>
      <c r="AN75"/>
      <c r="AO75"/>
      <c r="AP75"/>
      <c r="AQ75"/>
      <c r="AR75"/>
    </row>
    <row r="76" spans="1:44" s="10" customFormat="1" ht="15.75" customHeight="1" x14ac:dyDescent="0.25">
      <c r="A76" s="55" t="e">
        <f>#REF!+1</f>
        <v>#REF!</v>
      </c>
      <c r="B76" s="633">
        <v>44592</v>
      </c>
      <c r="C76" s="755" t="s">
        <v>3719</v>
      </c>
      <c r="D76" s="824" t="s">
        <v>3747</v>
      </c>
      <c r="E76" s="884" t="s">
        <v>3733</v>
      </c>
      <c r="F76" s="33" t="s">
        <v>2694</v>
      </c>
      <c r="G76" s="33" t="s">
        <v>2264</v>
      </c>
      <c r="H76" s="45">
        <v>900000</v>
      </c>
      <c r="I76" s="377" t="s">
        <v>4385</v>
      </c>
      <c r="J76" s="774">
        <v>44631</v>
      </c>
      <c r="K76" s="928">
        <f t="shared" si="12"/>
        <v>900000</v>
      </c>
      <c r="L76" s="866"/>
      <c r="M76" s="866"/>
      <c r="N76" s="28">
        <f t="shared" si="14"/>
        <v>9000</v>
      </c>
      <c r="O76" s="28">
        <f t="shared" si="15"/>
        <v>18000</v>
      </c>
      <c r="P76" s="866"/>
      <c r="Q76" s="28">
        <f t="shared" si="13"/>
        <v>891000</v>
      </c>
      <c r="R76" s="55"/>
      <c r="S76" s="301"/>
      <c r="T76" s="55">
        <v>14</v>
      </c>
      <c r="U76" s="24">
        <f t="shared" si="16"/>
        <v>44645</v>
      </c>
      <c r="V76" s="5"/>
      <c r="W76"/>
      <c r="X76"/>
      <c r="Y76"/>
      <c r="Z76"/>
      <c r="AA76"/>
      <c r="AB76"/>
      <c r="AC76"/>
      <c r="AD76"/>
      <c r="AE76"/>
      <c r="AF76"/>
      <c r="AG76"/>
      <c r="AH76"/>
      <c r="AI76"/>
      <c r="AJ76"/>
      <c r="AK76"/>
      <c r="AL76"/>
      <c r="AM76"/>
      <c r="AN76"/>
      <c r="AO76"/>
      <c r="AP76"/>
      <c r="AQ76"/>
      <c r="AR76"/>
    </row>
    <row r="77" spans="1:44" s="10" customFormat="1" ht="15.75" customHeight="1" x14ac:dyDescent="0.25">
      <c r="A77" s="55"/>
      <c r="B77" s="633">
        <v>44562</v>
      </c>
      <c r="C77" s="755">
        <v>403354</v>
      </c>
      <c r="D77" s="824"/>
      <c r="E77" s="884"/>
      <c r="F77" s="33" t="s">
        <v>1195</v>
      </c>
      <c r="G77" s="33" t="s">
        <v>4704</v>
      </c>
      <c r="H77" s="45">
        <v>1900000</v>
      </c>
      <c r="I77" s="377" t="s">
        <v>4413</v>
      </c>
      <c r="J77" s="774">
        <v>44631</v>
      </c>
      <c r="K77" s="928">
        <f t="shared" si="12"/>
        <v>1900000</v>
      </c>
      <c r="L77" s="894"/>
      <c r="M77" s="894">
        <v>190000</v>
      </c>
      <c r="N77" s="894">
        <v>17100</v>
      </c>
      <c r="O77" s="894">
        <v>34200</v>
      </c>
      <c r="P77" s="894">
        <v>1692900</v>
      </c>
      <c r="Q77" s="28">
        <f t="shared" si="13"/>
        <v>0</v>
      </c>
      <c r="R77" s="55"/>
      <c r="S77" s="301">
        <v>44644</v>
      </c>
      <c r="T77" s="55"/>
      <c r="U77" s="24"/>
      <c r="V77" s="5"/>
      <c r="W77"/>
      <c r="X77"/>
      <c r="Y77"/>
      <c r="Z77"/>
      <c r="AA77"/>
      <c r="AB77"/>
      <c r="AC77"/>
      <c r="AD77"/>
      <c r="AE77"/>
      <c r="AF77"/>
      <c r="AG77"/>
      <c r="AH77"/>
      <c r="AI77"/>
      <c r="AJ77"/>
      <c r="AK77"/>
      <c r="AL77"/>
      <c r="AM77"/>
      <c r="AN77"/>
      <c r="AO77"/>
      <c r="AP77"/>
      <c r="AQ77"/>
      <c r="AR77"/>
    </row>
    <row r="78" spans="1:44" s="10" customFormat="1" ht="15.75" customHeight="1" x14ac:dyDescent="0.25">
      <c r="A78" s="55"/>
      <c r="B78" s="633">
        <v>44563</v>
      </c>
      <c r="C78" s="755">
        <v>402771</v>
      </c>
      <c r="D78" s="824"/>
      <c r="E78" s="884"/>
      <c r="F78" s="33" t="s">
        <v>1195</v>
      </c>
      <c r="G78" s="33" t="s">
        <v>4705</v>
      </c>
      <c r="H78" s="45">
        <v>23369557.250000007</v>
      </c>
      <c r="I78" s="377" t="s">
        <v>4414</v>
      </c>
      <c r="J78" s="774">
        <v>44631</v>
      </c>
      <c r="K78" s="928">
        <f t="shared" si="12"/>
        <v>23369557.250000007</v>
      </c>
      <c r="L78" s="894"/>
      <c r="M78" s="894">
        <v>2336955.725000001</v>
      </c>
      <c r="N78" s="894">
        <v>210326.01525000005</v>
      </c>
      <c r="O78" s="894">
        <v>420652.03050000011</v>
      </c>
      <c r="P78" s="894">
        <v>20822275.509750009</v>
      </c>
      <c r="Q78" s="28">
        <f t="shared" si="13"/>
        <v>-1.0477378964424133E-9</v>
      </c>
      <c r="R78" s="55"/>
      <c r="S78" s="301">
        <v>44644</v>
      </c>
      <c r="T78" s="55"/>
      <c r="U78" s="24"/>
      <c r="V78" s="5"/>
      <c r="W78"/>
      <c r="X78"/>
      <c r="Y78"/>
      <c r="Z78"/>
      <c r="AA78"/>
      <c r="AB78"/>
      <c r="AC78"/>
      <c r="AD78"/>
      <c r="AE78"/>
      <c r="AF78"/>
      <c r="AG78"/>
      <c r="AH78"/>
      <c r="AI78"/>
      <c r="AJ78"/>
      <c r="AK78"/>
      <c r="AL78"/>
      <c r="AM78"/>
      <c r="AN78"/>
      <c r="AO78"/>
      <c r="AP78"/>
      <c r="AQ78"/>
      <c r="AR78"/>
    </row>
    <row r="79" spans="1:44" s="10" customFormat="1" ht="15.75" customHeight="1" x14ac:dyDescent="0.25">
      <c r="A79" s="55"/>
      <c r="B79" s="633">
        <v>44568</v>
      </c>
      <c r="C79" s="755">
        <v>402773</v>
      </c>
      <c r="D79" s="824"/>
      <c r="E79" s="884"/>
      <c r="F79" s="33" t="s">
        <v>1195</v>
      </c>
      <c r="G79" s="33" t="s">
        <v>4706</v>
      </c>
      <c r="H79" s="45">
        <v>3055738.5</v>
      </c>
      <c r="I79" s="377" t="s">
        <v>4415</v>
      </c>
      <c r="J79" s="774">
        <v>44635</v>
      </c>
      <c r="K79" s="928">
        <f t="shared" si="12"/>
        <v>3055738.5</v>
      </c>
      <c r="L79" s="894"/>
      <c r="M79" s="894">
        <v>305573.85000000003</v>
      </c>
      <c r="N79" s="894">
        <v>27501.646499999999</v>
      </c>
      <c r="O79" s="894">
        <v>55003.292999999998</v>
      </c>
      <c r="P79" s="894">
        <v>2722663.0034999996</v>
      </c>
      <c r="Q79" s="28">
        <f t="shared" si="13"/>
        <v>2.0008883439004421E-10</v>
      </c>
      <c r="R79" s="55"/>
      <c r="S79" s="301">
        <v>44644</v>
      </c>
      <c r="T79" s="55"/>
      <c r="U79" s="24"/>
      <c r="V79" s="5"/>
      <c r="W79"/>
      <c r="X79"/>
      <c r="Y79"/>
      <c r="Z79"/>
      <c r="AA79"/>
      <c r="AB79"/>
      <c r="AC79"/>
      <c r="AD79"/>
      <c r="AE79"/>
      <c r="AF79"/>
      <c r="AG79"/>
      <c r="AH79"/>
      <c r="AI79"/>
      <c r="AJ79"/>
      <c r="AK79"/>
      <c r="AL79"/>
      <c r="AM79"/>
      <c r="AN79"/>
      <c r="AO79"/>
      <c r="AP79"/>
      <c r="AQ79"/>
      <c r="AR79"/>
    </row>
    <row r="80" spans="1:44" s="10" customFormat="1" ht="15.75" customHeight="1" x14ac:dyDescent="0.25">
      <c r="A80" s="55"/>
      <c r="B80" s="633">
        <v>44542</v>
      </c>
      <c r="C80" s="755">
        <v>404384</v>
      </c>
      <c r="D80" s="824"/>
      <c r="E80" s="884"/>
      <c r="F80" s="33" t="s">
        <v>1195</v>
      </c>
      <c r="G80" s="33" t="s">
        <v>4636</v>
      </c>
      <c r="H80" s="45">
        <v>10260000</v>
      </c>
      <c r="I80" s="377" t="s">
        <v>4635</v>
      </c>
      <c r="J80" s="774">
        <v>44646</v>
      </c>
      <c r="K80" s="928">
        <f t="shared" si="12"/>
        <v>10260000</v>
      </c>
      <c r="L80" s="894"/>
      <c r="M80" s="894">
        <v>1026000</v>
      </c>
      <c r="N80" s="894">
        <v>92340</v>
      </c>
      <c r="O80" s="894">
        <v>184680</v>
      </c>
      <c r="P80" s="894"/>
      <c r="Q80" s="28">
        <f t="shared" si="13"/>
        <v>9141660</v>
      </c>
      <c r="R80" s="55"/>
      <c r="S80" s="301"/>
      <c r="T80" s="55"/>
      <c r="U80" s="24"/>
      <c r="V80" s="5"/>
      <c r="W80"/>
      <c r="X80"/>
      <c r="Y80"/>
      <c r="Z80"/>
      <c r="AA80"/>
      <c r="AB80"/>
      <c r="AC80"/>
      <c r="AD80"/>
      <c r="AE80"/>
      <c r="AF80"/>
      <c r="AG80"/>
      <c r="AH80"/>
      <c r="AI80"/>
      <c r="AJ80"/>
      <c r="AK80"/>
      <c r="AL80"/>
      <c r="AM80"/>
      <c r="AN80"/>
      <c r="AO80"/>
      <c r="AP80"/>
      <c r="AQ80"/>
      <c r="AR80"/>
    </row>
    <row r="81" spans="1:44" s="10" customFormat="1" ht="15.75" customHeight="1" x14ac:dyDescent="0.25">
      <c r="A81" s="55"/>
      <c r="B81" s="633">
        <v>44558</v>
      </c>
      <c r="C81" s="755">
        <v>403004</v>
      </c>
      <c r="D81" s="824"/>
      <c r="E81" s="884"/>
      <c r="F81" s="33" t="s">
        <v>1195</v>
      </c>
      <c r="G81" s="33" t="s">
        <v>4638</v>
      </c>
      <c r="H81" s="45">
        <v>14100000</v>
      </c>
      <c r="I81" s="377" t="s">
        <v>4637</v>
      </c>
      <c r="J81" s="774">
        <v>44646</v>
      </c>
      <c r="K81" s="928">
        <f t="shared" si="12"/>
        <v>14100000</v>
      </c>
      <c r="L81" s="894"/>
      <c r="M81" s="894">
        <v>1410000</v>
      </c>
      <c r="N81" s="894">
        <v>126900</v>
      </c>
      <c r="O81" s="894">
        <v>253800</v>
      </c>
      <c r="P81" s="894"/>
      <c r="Q81" s="28">
        <f t="shared" si="13"/>
        <v>12563100</v>
      </c>
      <c r="R81" s="55"/>
      <c r="S81" s="301"/>
      <c r="T81" s="55"/>
      <c r="U81" s="24"/>
      <c r="V81" s="5"/>
      <c r="W81"/>
      <c r="X81"/>
      <c r="Y81"/>
      <c r="Z81"/>
      <c r="AA81"/>
      <c r="AB81"/>
      <c r="AC81"/>
      <c r="AD81"/>
      <c r="AE81"/>
      <c r="AF81"/>
      <c r="AG81"/>
      <c r="AH81"/>
      <c r="AI81"/>
      <c r="AJ81"/>
      <c r="AK81"/>
      <c r="AL81"/>
      <c r="AM81"/>
      <c r="AN81"/>
      <c r="AO81"/>
      <c r="AP81"/>
      <c r="AQ81"/>
      <c r="AR81"/>
    </row>
    <row r="82" spans="1:44" s="10" customFormat="1" ht="15.75" customHeight="1" x14ac:dyDescent="0.25">
      <c r="A82" s="55"/>
      <c r="B82" s="633">
        <v>44541</v>
      </c>
      <c r="C82" s="755">
        <v>405183</v>
      </c>
      <c r="D82" s="824"/>
      <c r="E82" s="884"/>
      <c r="F82" s="33" t="s">
        <v>1195</v>
      </c>
      <c r="G82" s="33" t="s">
        <v>4648</v>
      </c>
      <c r="H82" s="45">
        <v>6688000</v>
      </c>
      <c r="I82" s="377" t="s">
        <v>4647</v>
      </c>
      <c r="J82" s="774">
        <v>44646</v>
      </c>
      <c r="K82" s="928">
        <f t="shared" si="12"/>
        <v>6688000</v>
      </c>
      <c r="L82" s="894"/>
      <c r="M82" s="894">
        <v>668800</v>
      </c>
      <c r="N82" s="894">
        <v>60192</v>
      </c>
      <c r="O82" s="894">
        <v>120384</v>
      </c>
      <c r="P82" s="894">
        <v>5959008</v>
      </c>
      <c r="Q82" s="28">
        <f t="shared" si="13"/>
        <v>0</v>
      </c>
      <c r="R82" s="55"/>
      <c r="S82" s="301">
        <v>44664</v>
      </c>
      <c r="T82" s="55"/>
      <c r="U82" s="24"/>
      <c r="V82" s="5"/>
      <c r="W82"/>
      <c r="X82"/>
      <c r="Y82"/>
      <c r="Z82"/>
      <c r="AA82"/>
      <c r="AB82"/>
      <c r="AC82"/>
      <c r="AD82"/>
      <c r="AE82"/>
      <c r="AF82"/>
      <c r="AG82"/>
      <c r="AH82"/>
      <c r="AI82"/>
      <c r="AJ82"/>
      <c r="AK82"/>
      <c r="AL82"/>
      <c r="AM82"/>
      <c r="AN82"/>
      <c r="AO82"/>
      <c r="AP82"/>
      <c r="AQ82"/>
      <c r="AR82"/>
    </row>
    <row r="83" spans="1:44" s="10" customFormat="1" ht="15.75" customHeight="1" x14ac:dyDescent="0.25">
      <c r="A83" s="55" t="e">
        <f>A75+1</f>
        <v>#REF!</v>
      </c>
      <c r="B83" s="633">
        <v>44565</v>
      </c>
      <c r="C83" s="755"/>
      <c r="D83" s="756"/>
      <c r="E83" s="884"/>
      <c r="F83" s="33" t="s">
        <v>3370</v>
      </c>
      <c r="G83" s="404" t="s">
        <v>161</v>
      </c>
      <c r="H83" s="45">
        <v>7000000</v>
      </c>
      <c r="I83" s="377" t="s">
        <v>3369</v>
      </c>
      <c r="J83" s="774">
        <v>44565</v>
      </c>
      <c r="K83" s="928">
        <f t="shared" si="12"/>
        <v>7000000</v>
      </c>
      <c r="L83" s="763"/>
      <c r="M83" s="763"/>
      <c r="N83" s="763"/>
      <c r="O83" s="763"/>
      <c r="P83" s="763">
        <v>7000000</v>
      </c>
      <c r="Q83" s="28">
        <f t="shared" si="13"/>
        <v>0</v>
      </c>
      <c r="R83" s="301"/>
      <c r="S83" s="301">
        <v>44566</v>
      </c>
      <c r="T83" s="55">
        <v>14</v>
      </c>
      <c r="U83" s="24">
        <f t="shared" si="16"/>
        <v>44579</v>
      </c>
      <c r="V83" s="5"/>
      <c r="W83"/>
      <c r="X83"/>
      <c r="Y83"/>
      <c r="Z83"/>
      <c r="AA83"/>
      <c r="AB83"/>
      <c r="AC83"/>
      <c r="AD83"/>
      <c r="AE83"/>
      <c r="AF83"/>
      <c r="AG83"/>
      <c r="AH83"/>
      <c r="AI83"/>
      <c r="AJ83"/>
      <c r="AK83"/>
      <c r="AL83"/>
      <c r="AM83"/>
      <c r="AN83"/>
      <c r="AO83"/>
      <c r="AP83"/>
      <c r="AQ83"/>
      <c r="AR83"/>
    </row>
    <row r="84" spans="1:44" s="10" customFormat="1" ht="15.75" customHeight="1" x14ac:dyDescent="0.25">
      <c r="A84" s="55" t="e">
        <f t="shared" si="9"/>
        <v>#REF!</v>
      </c>
      <c r="B84" s="633">
        <v>44566</v>
      </c>
      <c r="C84" s="755"/>
      <c r="D84" s="756" t="s">
        <v>3373</v>
      </c>
      <c r="E84" s="884"/>
      <c r="F84" s="33" t="s">
        <v>3372</v>
      </c>
      <c r="G84" s="404" t="s">
        <v>988</v>
      </c>
      <c r="H84" s="45">
        <v>684000</v>
      </c>
      <c r="I84" s="377" t="s">
        <v>3371</v>
      </c>
      <c r="J84" s="774">
        <v>44566</v>
      </c>
      <c r="K84" s="928">
        <f t="shared" si="12"/>
        <v>684000</v>
      </c>
      <c r="L84" s="763"/>
      <c r="M84" s="763"/>
      <c r="N84" s="763"/>
      <c r="O84" s="763"/>
      <c r="P84" s="763">
        <v>684000</v>
      </c>
      <c r="Q84" s="28">
        <f t="shared" si="13"/>
        <v>0</v>
      </c>
      <c r="R84" s="301"/>
      <c r="S84" s="301">
        <v>44599</v>
      </c>
      <c r="T84" s="55">
        <v>14</v>
      </c>
      <c r="U84" s="24">
        <f t="shared" si="16"/>
        <v>44580</v>
      </c>
      <c r="V84" s="5"/>
      <c r="W84"/>
      <c r="X84"/>
      <c r="Y84"/>
      <c r="Z84"/>
      <c r="AA84"/>
      <c r="AB84"/>
      <c r="AC84"/>
      <c r="AD84"/>
      <c r="AE84"/>
      <c r="AF84"/>
      <c r="AG84"/>
      <c r="AH84"/>
      <c r="AI84"/>
      <c r="AJ84"/>
      <c r="AK84"/>
      <c r="AL84"/>
      <c r="AM84"/>
      <c r="AN84"/>
      <c r="AO84"/>
      <c r="AP84"/>
      <c r="AQ84"/>
      <c r="AR84"/>
    </row>
    <row r="85" spans="1:44" s="10" customFormat="1" ht="15.75" customHeight="1" x14ac:dyDescent="0.25">
      <c r="A85" s="55" t="e">
        <f t="shared" si="9"/>
        <v>#REF!</v>
      </c>
      <c r="B85" s="633">
        <v>44567</v>
      </c>
      <c r="C85" s="755">
        <v>403151</v>
      </c>
      <c r="D85" s="755" t="s">
        <v>3385</v>
      </c>
      <c r="E85" s="884"/>
      <c r="F85" s="404" t="s">
        <v>1451</v>
      </c>
      <c r="G85" s="404" t="s">
        <v>988</v>
      </c>
      <c r="H85" s="45">
        <v>2450000</v>
      </c>
      <c r="I85" s="377" t="s">
        <v>3384</v>
      </c>
      <c r="J85" s="774">
        <v>44567</v>
      </c>
      <c r="K85" s="928">
        <f t="shared" si="12"/>
        <v>2450000</v>
      </c>
      <c r="L85" s="763"/>
      <c r="M85" s="763"/>
      <c r="N85" s="763"/>
      <c r="O85" s="763"/>
      <c r="P85" s="763">
        <v>2450000</v>
      </c>
      <c r="Q85" s="28">
        <f t="shared" si="13"/>
        <v>0</v>
      </c>
      <c r="R85" s="55"/>
      <c r="S85" s="301">
        <v>44572</v>
      </c>
      <c r="T85" s="55">
        <v>14</v>
      </c>
      <c r="U85" s="24">
        <f t="shared" si="16"/>
        <v>44581</v>
      </c>
      <c r="V85" s="5"/>
      <c r="W85"/>
      <c r="X85"/>
      <c r="Y85"/>
      <c r="Z85"/>
      <c r="AA85"/>
      <c r="AB85"/>
      <c r="AC85"/>
      <c r="AD85"/>
      <c r="AE85"/>
      <c r="AF85"/>
      <c r="AG85"/>
      <c r="AH85"/>
      <c r="AI85"/>
      <c r="AJ85"/>
      <c r="AK85"/>
      <c r="AL85"/>
      <c r="AM85"/>
      <c r="AN85"/>
      <c r="AO85"/>
      <c r="AP85"/>
      <c r="AQ85"/>
      <c r="AR85"/>
    </row>
    <row r="86" spans="1:44" s="10" customFormat="1" ht="15.75" customHeight="1" x14ac:dyDescent="0.25">
      <c r="A86" s="55" t="e">
        <f t="shared" si="9"/>
        <v>#REF!</v>
      </c>
      <c r="B86" s="633">
        <v>44568</v>
      </c>
      <c r="C86" s="755">
        <v>403016</v>
      </c>
      <c r="D86" s="755"/>
      <c r="E86" s="884"/>
      <c r="F86" s="404" t="s">
        <v>2671</v>
      </c>
      <c r="G86" s="404" t="s">
        <v>988</v>
      </c>
      <c r="H86" s="45">
        <v>1436500</v>
      </c>
      <c r="I86" s="377" t="s">
        <v>3386</v>
      </c>
      <c r="J86" s="772">
        <v>44568</v>
      </c>
      <c r="K86" s="928">
        <f t="shared" si="12"/>
        <v>1436500</v>
      </c>
      <c r="L86" s="763"/>
      <c r="M86" s="763"/>
      <c r="N86" s="763"/>
      <c r="O86" s="763"/>
      <c r="P86" s="763">
        <v>1436500</v>
      </c>
      <c r="Q86" s="28">
        <f t="shared" si="13"/>
        <v>0</v>
      </c>
      <c r="R86" s="55"/>
      <c r="S86" s="301">
        <v>44599</v>
      </c>
      <c r="T86" s="55">
        <v>14</v>
      </c>
      <c r="U86" s="24">
        <f t="shared" si="16"/>
        <v>44582</v>
      </c>
      <c r="V86" s="5"/>
      <c r="W86"/>
      <c r="X86"/>
      <c r="Y86"/>
      <c r="Z86"/>
      <c r="AA86"/>
      <c r="AB86"/>
      <c r="AC86"/>
      <c r="AD86"/>
      <c r="AE86"/>
      <c r="AF86"/>
      <c r="AG86"/>
      <c r="AH86"/>
      <c r="AI86"/>
      <c r="AJ86"/>
      <c r="AK86"/>
      <c r="AL86"/>
      <c r="AM86"/>
      <c r="AN86"/>
      <c r="AO86"/>
      <c r="AP86"/>
      <c r="AQ86"/>
      <c r="AR86"/>
    </row>
    <row r="87" spans="1:44" s="10" customFormat="1" ht="15.75" customHeight="1" x14ac:dyDescent="0.25">
      <c r="A87" s="55" t="e">
        <f t="shared" si="9"/>
        <v>#REF!</v>
      </c>
      <c r="B87" s="633">
        <v>44568</v>
      </c>
      <c r="C87" s="755"/>
      <c r="D87" s="755" t="s">
        <v>3388</v>
      </c>
      <c r="E87" s="884"/>
      <c r="F87" s="404" t="s">
        <v>2182</v>
      </c>
      <c r="G87" s="404" t="s">
        <v>417</v>
      </c>
      <c r="H87" s="45">
        <v>3500000</v>
      </c>
      <c r="I87" s="377" t="s">
        <v>3387</v>
      </c>
      <c r="J87" s="772">
        <v>44568</v>
      </c>
      <c r="K87" s="928">
        <f t="shared" si="12"/>
        <v>3500000</v>
      </c>
      <c r="L87" s="763"/>
      <c r="M87" s="763"/>
      <c r="N87" s="763"/>
      <c r="O87" s="763"/>
      <c r="P87" s="763">
        <v>3500000</v>
      </c>
      <c r="Q87" s="28">
        <f t="shared" si="13"/>
        <v>0</v>
      </c>
      <c r="R87" s="55"/>
      <c r="S87" s="301">
        <v>44568</v>
      </c>
      <c r="T87" s="55">
        <v>14</v>
      </c>
      <c r="U87" s="24">
        <f t="shared" si="16"/>
        <v>44582</v>
      </c>
      <c r="V87" s="5"/>
      <c r="W87"/>
      <c r="X87"/>
      <c r="Y87"/>
      <c r="Z87"/>
      <c r="AA87"/>
      <c r="AB87"/>
      <c r="AC87"/>
      <c r="AD87"/>
      <c r="AE87"/>
      <c r="AF87"/>
      <c r="AG87"/>
      <c r="AH87"/>
      <c r="AI87"/>
      <c r="AJ87"/>
      <c r="AK87"/>
      <c r="AL87"/>
      <c r="AM87"/>
      <c r="AN87"/>
      <c r="AO87"/>
      <c r="AP87"/>
      <c r="AQ87"/>
      <c r="AR87"/>
    </row>
    <row r="88" spans="1:44" s="10" customFormat="1" ht="15.75" customHeight="1" x14ac:dyDescent="0.25">
      <c r="A88" s="55" t="e">
        <f t="shared" si="9"/>
        <v>#REF!</v>
      </c>
      <c r="B88" s="79">
        <v>44568</v>
      </c>
      <c r="C88" s="602"/>
      <c r="D88" s="453" t="s">
        <v>3391</v>
      </c>
      <c r="E88" s="884"/>
      <c r="F88" s="126" t="s">
        <v>53</v>
      </c>
      <c r="G88" s="126" t="s">
        <v>1179</v>
      </c>
      <c r="H88" s="45">
        <v>1100000</v>
      </c>
      <c r="I88" s="377" t="s">
        <v>3390</v>
      </c>
      <c r="J88" s="633">
        <v>44571</v>
      </c>
      <c r="K88" s="928">
        <f t="shared" si="12"/>
        <v>1100000</v>
      </c>
      <c r="L88" s="763"/>
      <c r="M88" s="763"/>
      <c r="N88" s="28"/>
      <c r="O88" s="28"/>
      <c r="P88" s="763">
        <v>1100000</v>
      </c>
      <c r="Q88" s="28">
        <f t="shared" si="13"/>
        <v>0</v>
      </c>
      <c r="R88" s="55"/>
      <c r="S88" s="79">
        <v>44575</v>
      </c>
      <c r="T88" s="55">
        <v>14</v>
      </c>
      <c r="U88" s="24">
        <f t="shared" si="16"/>
        <v>44585</v>
      </c>
      <c r="V88" s="5"/>
      <c r="W88"/>
      <c r="X88"/>
      <c r="Y88"/>
      <c r="Z88"/>
      <c r="AA88"/>
      <c r="AB88"/>
      <c r="AC88"/>
      <c r="AD88"/>
      <c r="AE88"/>
      <c r="AF88"/>
      <c r="AG88"/>
      <c r="AH88"/>
      <c r="AI88"/>
      <c r="AJ88"/>
      <c r="AK88"/>
      <c r="AL88"/>
      <c r="AM88"/>
      <c r="AN88"/>
      <c r="AO88"/>
      <c r="AP88"/>
      <c r="AQ88"/>
      <c r="AR88"/>
    </row>
    <row r="89" spans="1:44" s="10" customFormat="1" ht="15.75" customHeight="1" x14ac:dyDescent="0.25">
      <c r="A89" s="55" t="e">
        <f t="shared" si="9"/>
        <v>#REF!</v>
      </c>
      <c r="B89" s="79">
        <v>44566</v>
      </c>
      <c r="C89" s="330">
        <v>403013</v>
      </c>
      <c r="D89" s="330" t="s">
        <v>3393</v>
      </c>
      <c r="E89" s="884"/>
      <c r="F89" s="33" t="s">
        <v>4199</v>
      </c>
      <c r="G89" s="126" t="s">
        <v>1094</v>
      </c>
      <c r="H89" s="45">
        <v>2900000</v>
      </c>
      <c r="I89" s="377" t="s">
        <v>3392</v>
      </c>
      <c r="J89" s="301">
        <v>44572</v>
      </c>
      <c r="K89" s="928">
        <f t="shared" si="12"/>
        <v>2900000</v>
      </c>
      <c r="L89" s="763"/>
      <c r="M89" s="763"/>
      <c r="N89" s="28"/>
      <c r="O89" s="28"/>
      <c r="P89" s="763">
        <v>2900000</v>
      </c>
      <c r="Q89" s="28">
        <f t="shared" si="13"/>
        <v>0</v>
      </c>
      <c r="R89" s="55"/>
      <c r="S89" s="301">
        <v>44607</v>
      </c>
      <c r="T89" s="55">
        <v>14</v>
      </c>
      <c r="U89" s="24">
        <f t="shared" si="16"/>
        <v>44586</v>
      </c>
      <c r="V89" s="5"/>
      <c r="W89"/>
      <c r="X89"/>
      <c r="Y89"/>
      <c r="Z89"/>
      <c r="AA89"/>
      <c r="AB89"/>
      <c r="AC89"/>
      <c r="AD89"/>
      <c r="AE89"/>
      <c r="AF89"/>
      <c r="AG89"/>
      <c r="AH89"/>
      <c r="AI89"/>
      <c r="AJ89"/>
      <c r="AK89"/>
      <c r="AL89"/>
      <c r="AM89"/>
      <c r="AN89"/>
      <c r="AO89"/>
      <c r="AP89"/>
      <c r="AQ89"/>
      <c r="AR89"/>
    </row>
    <row r="90" spans="1:44" s="10" customFormat="1" ht="15.75" customHeight="1" x14ac:dyDescent="0.25">
      <c r="A90" s="55" t="e">
        <f t="shared" si="9"/>
        <v>#REF!</v>
      </c>
      <c r="B90" s="79">
        <v>44567</v>
      </c>
      <c r="C90" s="330">
        <v>403014</v>
      </c>
      <c r="D90" s="440" t="s">
        <v>3395</v>
      </c>
      <c r="E90" s="884"/>
      <c r="F90" s="6" t="s">
        <v>3396</v>
      </c>
      <c r="G90" s="126" t="s">
        <v>3397</v>
      </c>
      <c r="H90" s="45">
        <v>2200000</v>
      </c>
      <c r="I90" s="377" t="s">
        <v>3394</v>
      </c>
      <c r="J90" s="301">
        <v>44574</v>
      </c>
      <c r="K90" s="928">
        <f t="shared" si="12"/>
        <v>2200000</v>
      </c>
      <c r="L90" s="763"/>
      <c r="M90" s="763"/>
      <c r="N90" s="28"/>
      <c r="O90" s="28"/>
      <c r="P90" s="763">
        <v>2200000</v>
      </c>
      <c r="Q90" s="28">
        <f t="shared" si="13"/>
        <v>0</v>
      </c>
      <c r="R90" s="55"/>
      <c r="S90" s="301">
        <v>44574</v>
      </c>
      <c r="T90" s="55">
        <v>14</v>
      </c>
      <c r="U90" s="24">
        <f t="shared" si="16"/>
        <v>44588</v>
      </c>
      <c r="V90" s="5"/>
      <c r="W90"/>
      <c r="X90"/>
      <c r="Y90"/>
      <c r="Z90"/>
      <c r="AA90"/>
      <c r="AB90"/>
      <c r="AC90"/>
      <c r="AD90"/>
      <c r="AE90"/>
      <c r="AF90"/>
      <c r="AG90"/>
      <c r="AH90"/>
      <c r="AI90"/>
      <c r="AJ90"/>
      <c r="AK90"/>
      <c r="AL90"/>
      <c r="AM90"/>
      <c r="AN90"/>
      <c r="AO90"/>
      <c r="AP90"/>
      <c r="AQ90"/>
      <c r="AR90"/>
    </row>
    <row r="91" spans="1:44" s="10" customFormat="1" ht="15.75" customHeight="1" x14ac:dyDescent="0.25">
      <c r="A91" s="55" t="e">
        <f t="shared" si="9"/>
        <v>#REF!</v>
      </c>
      <c r="B91" s="79">
        <v>44574</v>
      </c>
      <c r="C91" s="440"/>
      <c r="D91" s="440" t="s">
        <v>3399</v>
      </c>
      <c r="E91" s="886"/>
      <c r="F91" s="6" t="s">
        <v>3396</v>
      </c>
      <c r="G91" s="33" t="s">
        <v>521</v>
      </c>
      <c r="H91" s="763">
        <v>847000</v>
      </c>
      <c r="I91" s="39" t="s">
        <v>3398</v>
      </c>
      <c r="J91" s="301">
        <v>44574</v>
      </c>
      <c r="K91" s="928">
        <f t="shared" si="12"/>
        <v>847000</v>
      </c>
      <c r="L91" s="763"/>
      <c r="M91" s="763"/>
      <c r="N91" s="28"/>
      <c r="O91" s="28"/>
      <c r="P91" s="763">
        <v>847000</v>
      </c>
      <c r="Q91" s="28">
        <f t="shared" si="13"/>
        <v>0</v>
      </c>
      <c r="R91" s="39"/>
      <c r="S91" s="301">
        <v>44574</v>
      </c>
      <c r="T91" s="55">
        <v>14</v>
      </c>
      <c r="U91" s="24">
        <f t="shared" ref="U91" si="17">J91+T91</f>
        <v>44588</v>
      </c>
      <c r="V91" s="5"/>
      <c r="W91"/>
      <c r="X91"/>
      <c r="Y91"/>
      <c r="Z91"/>
      <c r="AA91"/>
      <c r="AB91"/>
      <c r="AC91"/>
      <c r="AD91"/>
      <c r="AE91"/>
      <c r="AF91"/>
      <c r="AG91"/>
      <c r="AH91"/>
      <c r="AI91"/>
      <c r="AJ91"/>
      <c r="AK91"/>
      <c r="AL91"/>
      <c r="AM91"/>
      <c r="AN91"/>
      <c r="AO91"/>
      <c r="AP91"/>
      <c r="AQ91"/>
      <c r="AR91"/>
    </row>
    <row r="92" spans="1:44" s="10" customFormat="1" ht="15.75" customHeight="1" x14ac:dyDescent="0.25">
      <c r="A92" s="55" t="e">
        <f t="shared" si="9"/>
        <v>#REF!</v>
      </c>
      <c r="B92" s="79">
        <v>44564</v>
      </c>
      <c r="C92" s="330"/>
      <c r="D92" s="330" t="s">
        <v>3401</v>
      </c>
      <c r="E92" s="884"/>
      <c r="F92" s="6" t="s">
        <v>1023</v>
      </c>
      <c r="G92" s="126" t="s">
        <v>653</v>
      </c>
      <c r="H92" s="45">
        <v>5300000</v>
      </c>
      <c r="I92" s="377" t="s">
        <v>3400</v>
      </c>
      <c r="J92" s="301">
        <v>44574</v>
      </c>
      <c r="K92" s="928">
        <f t="shared" si="12"/>
        <v>5300000</v>
      </c>
      <c r="L92" s="763"/>
      <c r="M92" s="763"/>
      <c r="N92" s="28"/>
      <c r="O92" s="28"/>
      <c r="P92" s="763">
        <v>5300000</v>
      </c>
      <c r="Q92" s="28">
        <f t="shared" si="13"/>
        <v>0</v>
      </c>
      <c r="R92" s="55"/>
      <c r="S92" s="301">
        <v>44578</v>
      </c>
      <c r="T92" s="55">
        <v>14</v>
      </c>
      <c r="U92" s="24">
        <f t="shared" ref="U92:U93" si="18">J92+T92</f>
        <v>44588</v>
      </c>
      <c r="V92" s="5"/>
      <c r="W92"/>
      <c r="X92"/>
      <c r="Y92"/>
      <c r="Z92"/>
      <c r="AA92"/>
      <c r="AB92"/>
      <c r="AC92"/>
      <c r="AD92"/>
      <c r="AE92"/>
      <c r="AF92"/>
      <c r="AG92"/>
      <c r="AH92"/>
      <c r="AI92"/>
      <c r="AJ92"/>
      <c r="AK92"/>
      <c r="AL92"/>
      <c r="AM92"/>
      <c r="AN92"/>
      <c r="AO92"/>
      <c r="AP92"/>
      <c r="AQ92"/>
      <c r="AR92"/>
    </row>
    <row r="93" spans="1:44" s="10" customFormat="1" ht="15.75" customHeight="1" x14ac:dyDescent="0.25">
      <c r="A93" s="55" t="e">
        <f t="shared" si="9"/>
        <v>#REF!</v>
      </c>
      <c r="B93" s="79">
        <v>44566</v>
      </c>
      <c r="C93" s="330">
        <v>402875</v>
      </c>
      <c r="D93" s="330"/>
      <c r="E93" s="884" t="s">
        <v>3331</v>
      </c>
      <c r="F93" s="6" t="s">
        <v>2694</v>
      </c>
      <c r="G93" s="126" t="s">
        <v>2264</v>
      </c>
      <c r="H93" s="45">
        <v>60000</v>
      </c>
      <c r="I93" s="377" t="s">
        <v>3405</v>
      </c>
      <c r="J93" s="301">
        <v>44575</v>
      </c>
      <c r="K93" s="928">
        <f t="shared" si="12"/>
        <v>60000</v>
      </c>
      <c r="L93" s="763"/>
      <c r="M93" s="763"/>
      <c r="N93" s="28"/>
      <c r="O93" s="28"/>
      <c r="P93" s="763"/>
      <c r="Q93" s="28">
        <f t="shared" si="13"/>
        <v>60000</v>
      </c>
      <c r="R93" s="55"/>
      <c r="S93" s="55"/>
      <c r="T93" s="55">
        <v>14</v>
      </c>
      <c r="U93" s="24">
        <f t="shared" si="18"/>
        <v>44589</v>
      </c>
      <c r="V93" s="5"/>
      <c r="W93"/>
      <c r="X93"/>
      <c r="Y93"/>
      <c r="Z93"/>
      <c r="AA93"/>
      <c r="AB93"/>
      <c r="AC93"/>
      <c r="AD93"/>
      <c r="AE93"/>
      <c r="AF93"/>
      <c r="AG93"/>
      <c r="AH93"/>
      <c r="AI93"/>
      <c r="AJ93"/>
      <c r="AK93"/>
      <c r="AL93"/>
      <c r="AM93"/>
      <c r="AN93"/>
      <c r="AO93"/>
      <c r="AP93"/>
      <c r="AQ93"/>
      <c r="AR93"/>
    </row>
    <row r="94" spans="1:44" s="10" customFormat="1" ht="15.75" customHeight="1" x14ac:dyDescent="0.25">
      <c r="A94" s="55" t="e">
        <f t="shared" si="9"/>
        <v>#REF!</v>
      </c>
      <c r="B94" s="79">
        <v>44568</v>
      </c>
      <c r="C94" s="330"/>
      <c r="D94" s="330" t="s">
        <v>3421</v>
      </c>
      <c r="E94" s="884"/>
      <c r="F94" s="33" t="s">
        <v>53</v>
      </c>
      <c r="G94" s="404" t="s">
        <v>3422</v>
      </c>
      <c r="H94" s="45">
        <v>2800000</v>
      </c>
      <c r="I94" s="377" t="s">
        <v>3420</v>
      </c>
      <c r="J94" s="301">
        <v>44580</v>
      </c>
      <c r="K94" s="928">
        <f t="shared" si="12"/>
        <v>2800000</v>
      </c>
      <c r="L94" s="763"/>
      <c r="M94" s="763"/>
      <c r="N94" s="763"/>
      <c r="O94" s="763"/>
      <c r="P94" s="763">
        <v>2800000</v>
      </c>
      <c r="Q94" s="28">
        <f t="shared" si="13"/>
        <v>0</v>
      </c>
      <c r="R94" s="55"/>
      <c r="S94" s="301">
        <v>44596</v>
      </c>
      <c r="T94" s="55">
        <v>14</v>
      </c>
      <c r="U94" s="24">
        <f t="shared" si="16"/>
        <v>44594</v>
      </c>
      <c r="V94" s="5"/>
      <c r="W94"/>
      <c r="X94"/>
      <c r="Y94"/>
      <c r="Z94"/>
      <c r="AA94"/>
      <c r="AB94"/>
      <c r="AC94"/>
      <c r="AD94"/>
      <c r="AE94"/>
      <c r="AF94"/>
      <c r="AG94"/>
      <c r="AH94"/>
      <c r="AI94"/>
      <c r="AJ94"/>
      <c r="AK94"/>
      <c r="AL94"/>
      <c r="AM94"/>
      <c r="AN94"/>
      <c r="AO94"/>
      <c r="AP94"/>
      <c r="AQ94"/>
      <c r="AR94"/>
    </row>
    <row r="95" spans="1:44" s="10" customFormat="1" ht="15.75" customHeight="1" x14ac:dyDescent="0.25">
      <c r="A95" s="55" t="e">
        <f t="shared" si="9"/>
        <v>#REF!</v>
      </c>
      <c r="B95" s="79">
        <v>44579</v>
      </c>
      <c r="C95" s="330"/>
      <c r="D95" s="330" t="s">
        <v>3424</v>
      </c>
      <c r="E95" s="884"/>
      <c r="F95" s="126" t="s">
        <v>3425</v>
      </c>
      <c r="G95" s="404" t="s">
        <v>161</v>
      </c>
      <c r="H95" s="45">
        <v>6000000</v>
      </c>
      <c r="I95" s="377" t="s">
        <v>3423</v>
      </c>
      <c r="J95" s="301">
        <v>44580</v>
      </c>
      <c r="K95" s="928">
        <f t="shared" si="12"/>
        <v>6000000</v>
      </c>
      <c r="L95" s="763">
        <v>3000000</v>
      </c>
      <c r="M95" s="763"/>
      <c r="N95" s="28"/>
      <c r="O95" s="28"/>
      <c r="P95" s="763">
        <v>3000000</v>
      </c>
      <c r="Q95" s="28">
        <f t="shared" si="13"/>
        <v>0</v>
      </c>
      <c r="R95" s="301">
        <v>44580</v>
      </c>
      <c r="S95" s="301">
        <v>44587</v>
      </c>
      <c r="T95" s="55">
        <v>14</v>
      </c>
      <c r="U95" s="24">
        <f t="shared" si="16"/>
        <v>44594</v>
      </c>
      <c r="V95" s="5"/>
      <c r="W95"/>
      <c r="X95"/>
      <c r="Y95"/>
      <c r="Z95"/>
      <c r="AA95"/>
      <c r="AB95"/>
      <c r="AC95"/>
      <c r="AD95"/>
      <c r="AE95"/>
      <c r="AF95"/>
      <c r="AG95"/>
      <c r="AH95"/>
      <c r="AI95"/>
      <c r="AJ95"/>
      <c r="AK95"/>
      <c r="AL95"/>
      <c r="AM95"/>
      <c r="AN95"/>
      <c r="AO95"/>
      <c r="AP95"/>
      <c r="AQ95"/>
      <c r="AR95"/>
    </row>
    <row r="96" spans="1:44" s="10" customFormat="1" ht="15.75" customHeight="1" x14ac:dyDescent="0.25">
      <c r="A96" s="55" t="e">
        <f t="shared" si="9"/>
        <v>#REF!</v>
      </c>
      <c r="B96" s="79">
        <v>44580</v>
      </c>
      <c r="C96" s="330">
        <v>403025</v>
      </c>
      <c r="D96" s="330" t="s">
        <v>3427</v>
      </c>
      <c r="E96" s="884"/>
      <c r="F96" s="33" t="s">
        <v>3428</v>
      </c>
      <c r="G96" s="404" t="s">
        <v>521</v>
      </c>
      <c r="H96" s="45">
        <v>1495000</v>
      </c>
      <c r="I96" s="377" t="s">
        <v>3426</v>
      </c>
      <c r="J96" s="301">
        <v>44580</v>
      </c>
      <c r="K96" s="928">
        <f t="shared" si="12"/>
        <v>1495000</v>
      </c>
      <c r="L96" s="763"/>
      <c r="M96" s="763"/>
      <c r="N96" s="28"/>
      <c r="O96" s="28"/>
      <c r="P96" s="763">
        <v>1495000</v>
      </c>
      <c r="Q96" s="28">
        <f t="shared" si="13"/>
        <v>0</v>
      </c>
      <c r="R96" s="55"/>
      <c r="S96" s="301">
        <v>44580</v>
      </c>
      <c r="T96" s="55">
        <v>14</v>
      </c>
      <c r="U96" s="24">
        <f t="shared" si="16"/>
        <v>44594</v>
      </c>
      <c r="V96" s="5"/>
      <c r="W96"/>
      <c r="X96"/>
      <c r="Y96"/>
      <c r="Z96"/>
      <c r="AA96"/>
      <c r="AB96"/>
      <c r="AC96"/>
      <c r="AD96"/>
      <c r="AE96"/>
      <c r="AF96"/>
      <c r="AG96"/>
      <c r="AH96"/>
      <c r="AI96"/>
      <c r="AJ96"/>
      <c r="AK96"/>
      <c r="AL96"/>
      <c r="AM96"/>
      <c r="AN96"/>
      <c r="AO96"/>
      <c r="AP96"/>
      <c r="AQ96"/>
      <c r="AR96"/>
    </row>
    <row r="97" spans="1:44" s="10" customFormat="1" ht="15.75" customHeight="1" x14ac:dyDescent="0.25">
      <c r="A97" s="55" t="e">
        <f t="shared" si="9"/>
        <v>#REF!</v>
      </c>
      <c r="B97" s="79">
        <v>44567</v>
      </c>
      <c r="C97" s="330">
        <v>403289</v>
      </c>
      <c r="D97" s="330" t="s">
        <v>3430</v>
      </c>
      <c r="E97" s="884" t="s">
        <v>3431</v>
      </c>
      <c r="F97" s="33" t="s">
        <v>622</v>
      </c>
      <c r="G97" s="404" t="s">
        <v>3432</v>
      </c>
      <c r="H97" s="45">
        <v>1200000</v>
      </c>
      <c r="I97" s="377" t="s">
        <v>3429</v>
      </c>
      <c r="J97" s="301">
        <v>44580</v>
      </c>
      <c r="K97" s="928">
        <f t="shared" si="12"/>
        <v>1200000</v>
      </c>
      <c r="L97" s="763"/>
      <c r="M97" s="763"/>
      <c r="N97" s="28"/>
      <c r="O97" s="28"/>
      <c r="P97" s="763">
        <v>1200000</v>
      </c>
      <c r="Q97" s="28">
        <f t="shared" si="13"/>
        <v>0</v>
      </c>
      <c r="R97" s="55"/>
      <c r="S97" s="301">
        <v>44582</v>
      </c>
      <c r="T97" s="55">
        <v>14</v>
      </c>
      <c r="U97" s="24">
        <f t="shared" ref="U97" si="19">J97+T97</f>
        <v>44594</v>
      </c>
      <c r="V97" s="5"/>
      <c r="W97"/>
      <c r="X97"/>
      <c r="Y97"/>
      <c r="Z97"/>
      <c r="AA97"/>
      <c r="AB97"/>
      <c r="AC97"/>
      <c r="AD97"/>
      <c r="AE97"/>
      <c r="AF97"/>
      <c r="AG97"/>
      <c r="AH97"/>
      <c r="AI97"/>
      <c r="AJ97"/>
      <c r="AK97"/>
      <c r="AL97"/>
      <c r="AM97"/>
      <c r="AN97"/>
      <c r="AO97"/>
      <c r="AP97"/>
      <c r="AQ97"/>
      <c r="AR97"/>
    </row>
    <row r="98" spans="1:44" s="10" customFormat="1" ht="15.75" customHeight="1" x14ac:dyDescent="0.25">
      <c r="A98" s="55" t="e">
        <f t="shared" si="9"/>
        <v>#REF!</v>
      </c>
      <c r="B98" s="633">
        <v>44575</v>
      </c>
      <c r="C98" s="755">
        <v>403020</v>
      </c>
      <c r="D98" s="756" t="s">
        <v>3434</v>
      </c>
      <c r="E98" s="884"/>
      <c r="F98" s="404" t="s">
        <v>3435</v>
      </c>
      <c r="G98" s="404" t="s">
        <v>531</v>
      </c>
      <c r="H98" s="45">
        <v>300000</v>
      </c>
      <c r="I98" s="377" t="s">
        <v>3433</v>
      </c>
      <c r="J98" s="301">
        <v>44580</v>
      </c>
      <c r="K98" s="928">
        <f t="shared" si="12"/>
        <v>300000</v>
      </c>
      <c r="L98" s="763"/>
      <c r="M98" s="763"/>
      <c r="N98" s="763"/>
      <c r="O98" s="763"/>
      <c r="P98" s="763">
        <v>300000</v>
      </c>
      <c r="Q98" s="28">
        <f t="shared" si="13"/>
        <v>0</v>
      </c>
      <c r="R98" s="301"/>
      <c r="S98" s="301">
        <v>44583</v>
      </c>
      <c r="T98" s="55">
        <v>14</v>
      </c>
      <c r="U98" s="24">
        <f t="shared" si="16"/>
        <v>44594</v>
      </c>
      <c r="V98" s="5"/>
      <c r="W98"/>
      <c r="X98"/>
      <c r="Y98"/>
      <c r="Z98"/>
      <c r="AA98"/>
      <c r="AB98"/>
      <c r="AC98"/>
      <c r="AD98"/>
      <c r="AE98"/>
      <c r="AF98"/>
      <c r="AG98"/>
      <c r="AH98"/>
      <c r="AI98"/>
      <c r="AJ98"/>
      <c r="AK98"/>
      <c r="AL98"/>
      <c r="AM98"/>
      <c r="AN98"/>
      <c r="AO98"/>
      <c r="AP98"/>
      <c r="AQ98"/>
      <c r="AR98"/>
    </row>
    <row r="99" spans="1:44" s="10" customFormat="1" ht="15.75" customHeight="1" x14ac:dyDescent="0.25">
      <c r="A99" s="55" t="e">
        <f t="shared" si="9"/>
        <v>#REF!</v>
      </c>
      <c r="B99" s="633">
        <v>44581</v>
      </c>
      <c r="C99" s="330"/>
      <c r="D99" s="330" t="s">
        <v>3437</v>
      </c>
      <c r="E99" s="884"/>
      <c r="F99" s="33" t="s">
        <v>3438</v>
      </c>
      <c r="G99" s="757" t="s">
        <v>988</v>
      </c>
      <c r="H99" s="45">
        <v>1708000</v>
      </c>
      <c r="I99" s="377" t="s">
        <v>3436</v>
      </c>
      <c r="J99" s="301">
        <v>44581</v>
      </c>
      <c r="K99" s="928">
        <f t="shared" si="12"/>
        <v>1708000</v>
      </c>
      <c r="L99" s="763"/>
      <c r="M99" s="763"/>
      <c r="N99" s="763"/>
      <c r="O99" s="763"/>
      <c r="P99" s="763">
        <v>1708000</v>
      </c>
      <c r="Q99" s="28">
        <f t="shared" si="13"/>
        <v>0</v>
      </c>
      <c r="R99" s="55"/>
      <c r="S99" s="301">
        <v>44581</v>
      </c>
      <c r="T99" s="55">
        <v>14</v>
      </c>
      <c r="U99" s="24">
        <f t="shared" si="16"/>
        <v>44595</v>
      </c>
      <c r="V99" s="5"/>
      <c r="W99"/>
      <c r="X99"/>
      <c r="Y99"/>
      <c r="Z99"/>
      <c r="AA99"/>
      <c r="AB99"/>
      <c r="AC99"/>
      <c r="AD99"/>
      <c r="AE99"/>
      <c r="AF99"/>
      <c r="AG99"/>
      <c r="AH99"/>
      <c r="AI99"/>
      <c r="AJ99"/>
      <c r="AK99"/>
      <c r="AL99"/>
      <c r="AM99"/>
      <c r="AN99"/>
      <c r="AO99"/>
      <c r="AP99"/>
      <c r="AQ99"/>
      <c r="AR99"/>
    </row>
    <row r="100" spans="1:44" s="10" customFormat="1" ht="15.75" customHeight="1" x14ac:dyDescent="0.25">
      <c r="A100" s="55" t="e">
        <f t="shared" si="9"/>
        <v>#REF!</v>
      </c>
      <c r="B100" s="633">
        <v>44572</v>
      </c>
      <c r="C100" s="755"/>
      <c r="D100" s="756" t="s">
        <v>3441</v>
      </c>
      <c r="E100" s="884"/>
      <c r="F100" s="33" t="s">
        <v>4199</v>
      </c>
      <c r="G100" s="404" t="s">
        <v>3440</v>
      </c>
      <c r="H100" s="45">
        <v>6000000</v>
      </c>
      <c r="I100" s="377" t="s">
        <v>3439</v>
      </c>
      <c r="J100" s="301">
        <v>44585</v>
      </c>
      <c r="K100" s="928">
        <f t="shared" si="12"/>
        <v>6000000</v>
      </c>
      <c r="L100" s="763"/>
      <c r="M100" s="763"/>
      <c r="N100" s="763"/>
      <c r="O100" s="763"/>
      <c r="P100" s="763">
        <v>6000000</v>
      </c>
      <c r="Q100" s="28">
        <f t="shared" si="13"/>
        <v>0</v>
      </c>
      <c r="R100" s="301"/>
      <c r="S100" s="301">
        <v>44230</v>
      </c>
      <c r="T100" s="55">
        <v>14</v>
      </c>
      <c r="U100" s="24">
        <f t="shared" si="16"/>
        <v>44599</v>
      </c>
      <c r="V100" s="5"/>
      <c r="W100"/>
      <c r="X100"/>
      <c r="Y100"/>
      <c r="Z100"/>
      <c r="AA100"/>
      <c r="AB100"/>
      <c r="AC100"/>
      <c r="AD100"/>
      <c r="AE100"/>
      <c r="AF100"/>
      <c r="AG100"/>
      <c r="AH100"/>
      <c r="AI100"/>
      <c r="AJ100"/>
      <c r="AK100"/>
      <c r="AL100"/>
      <c r="AM100"/>
      <c r="AN100"/>
      <c r="AO100"/>
      <c r="AP100"/>
      <c r="AQ100"/>
      <c r="AR100"/>
    </row>
    <row r="101" spans="1:44" s="10" customFormat="1" ht="15.75" customHeight="1" x14ac:dyDescent="0.25">
      <c r="A101" s="55" t="e">
        <f t="shared" si="9"/>
        <v>#REF!</v>
      </c>
      <c r="B101" s="633">
        <v>44578</v>
      </c>
      <c r="C101" s="755">
        <v>403021</v>
      </c>
      <c r="D101" s="755" t="s">
        <v>3443</v>
      </c>
      <c r="E101" s="884"/>
      <c r="F101" s="33" t="s">
        <v>4199</v>
      </c>
      <c r="G101" s="404" t="s">
        <v>653</v>
      </c>
      <c r="H101" s="45">
        <v>2349000</v>
      </c>
      <c r="I101" s="377" t="s">
        <v>3442</v>
      </c>
      <c r="J101" s="301">
        <v>44585</v>
      </c>
      <c r="K101" s="928">
        <f t="shared" si="12"/>
        <v>2349000</v>
      </c>
      <c r="L101" s="763"/>
      <c r="M101" s="763"/>
      <c r="N101" s="763"/>
      <c r="O101" s="763"/>
      <c r="P101" s="763">
        <v>2349000</v>
      </c>
      <c r="Q101" s="28">
        <f t="shared" si="13"/>
        <v>0</v>
      </c>
      <c r="R101" s="168"/>
      <c r="S101" s="301">
        <v>44230</v>
      </c>
      <c r="T101" s="55">
        <v>14</v>
      </c>
      <c r="U101" s="24">
        <f t="shared" si="16"/>
        <v>44599</v>
      </c>
      <c r="V101" s="5"/>
      <c r="W101"/>
      <c r="X101"/>
      <c r="Y101"/>
      <c r="Z101"/>
      <c r="AA101"/>
      <c r="AB101"/>
      <c r="AC101"/>
      <c r="AD101"/>
      <c r="AE101"/>
      <c r="AF101"/>
      <c r="AG101"/>
      <c r="AH101"/>
      <c r="AI101"/>
      <c r="AJ101"/>
      <c r="AK101"/>
      <c r="AL101"/>
      <c r="AM101"/>
      <c r="AN101"/>
      <c r="AO101"/>
      <c r="AP101"/>
      <c r="AQ101"/>
      <c r="AR101"/>
    </row>
    <row r="102" spans="1:44" s="10" customFormat="1" ht="15.75" customHeight="1" x14ac:dyDescent="0.25">
      <c r="A102" s="55" t="e">
        <f t="shared" si="9"/>
        <v>#REF!</v>
      </c>
      <c r="B102" s="633">
        <v>44582</v>
      </c>
      <c r="C102" s="755"/>
      <c r="D102" s="756" t="s">
        <v>3501</v>
      </c>
      <c r="E102" s="884"/>
      <c r="F102" s="33" t="s">
        <v>3425</v>
      </c>
      <c r="G102" s="404" t="s">
        <v>161</v>
      </c>
      <c r="H102" s="45">
        <v>1500000</v>
      </c>
      <c r="I102" s="377" t="s">
        <v>3500</v>
      </c>
      <c r="J102" s="301">
        <v>44585</v>
      </c>
      <c r="K102" s="928">
        <f t="shared" si="12"/>
        <v>1500000</v>
      </c>
      <c r="L102" s="763"/>
      <c r="M102" s="763"/>
      <c r="N102" s="763"/>
      <c r="O102" s="763"/>
      <c r="P102" s="763">
        <v>1500000</v>
      </c>
      <c r="Q102" s="28">
        <f t="shared" si="13"/>
        <v>0</v>
      </c>
      <c r="R102" s="168"/>
      <c r="S102" s="301">
        <v>44585</v>
      </c>
      <c r="T102" s="55">
        <v>14</v>
      </c>
      <c r="U102" s="24">
        <f t="shared" si="16"/>
        <v>44599</v>
      </c>
      <c r="V102" s="5"/>
      <c r="W102"/>
      <c r="X102"/>
      <c r="Y102"/>
      <c r="Z102"/>
      <c r="AA102"/>
      <c r="AB102"/>
      <c r="AC102"/>
      <c r="AD102"/>
      <c r="AE102"/>
      <c r="AF102"/>
      <c r="AG102"/>
      <c r="AH102"/>
      <c r="AI102"/>
      <c r="AJ102"/>
      <c r="AK102"/>
      <c r="AL102"/>
      <c r="AM102"/>
      <c r="AN102"/>
      <c r="AO102"/>
      <c r="AP102"/>
      <c r="AQ102"/>
      <c r="AR102"/>
    </row>
    <row r="103" spans="1:44" s="10" customFormat="1" ht="15.75" customHeight="1" x14ac:dyDescent="0.25">
      <c r="A103" s="55" t="e">
        <f t="shared" si="9"/>
        <v>#REF!</v>
      </c>
      <c r="B103" s="79">
        <v>44574</v>
      </c>
      <c r="C103" s="330"/>
      <c r="D103" s="330" t="s">
        <v>3510</v>
      </c>
      <c r="E103" s="884"/>
      <c r="F103" s="33" t="s">
        <v>3509</v>
      </c>
      <c r="G103" s="757" t="s">
        <v>988</v>
      </c>
      <c r="H103" s="45">
        <v>27000000</v>
      </c>
      <c r="I103" s="377" t="s">
        <v>3508</v>
      </c>
      <c r="J103" s="301">
        <v>44586</v>
      </c>
      <c r="K103" s="928">
        <f t="shared" si="12"/>
        <v>27000000</v>
      </c>
      <c r="L103" s="763"/>
      <c r="M103" s="763"/>
      <c r="N103" s="763"/>
      <c r="O103" s="763"/>
      <c r="P103" s="763"/>
      <c r="Q103" s="28">
        <f t="shared" si="13"/>
        <v>27000000</v>
      </c>
      <c r="R103" s="55"/>
      <c r="S103" s="301"/>
      <c r="T103" s="55">
        <v>14</v>
      </c>
      <c r="U103" s="24">
        <f t="shared" ref="U103" si="20">J103+T103</f>
        <v>44600</v>
      </c>
      <c r="V103" s="5"/>
      <c r="W103"/>
      <c r="X103"/>
      <c r="Y103"/>
      <c r="Z103"/>
      <c r="AA103"/>
      <c r="AB103"/>
      <c r="AC103"/>
      <c r="AD103"/>
      <c r="AE103"/>
      <c r="AF103"/>
      <c r="AG103"/>
      <c r="AH103"/>
      <c r="AI103"/>
      <c r="AJ103"/>
      <c r="AK103"/>
      <c r="AL103"/>
      <c r="AM103"/>
      <c r="AN103"/>
      <c r="AO103"/>
      <c r="AP103"/>
      <c r="AQ103"/>
      <c r="AR103"/>
    </row>
    <row r="104" spans="1:44" s="10" customFormat="1" ht="15.75" customHeight="1" x14ac:dyDescent="0.25">
      <c r="A104" s="55" t="e">
        <f t="shared" ref="A104:A142" si="21">A103+1</f>
        <v>#REF!</v>
      </c>
      <c r="B104" s="633">
        <v>44221</v>
      </c>
      <c r="C104" s="755"/>
      <c r="D104" s="756" t="s">
        <v>3512</v>
      </c>
      <c r="E104" s="884"/>
      <c r="F104" s="33" t="s">
        <v>3948</v>
      </c>
      <c r="G104" s="404" t="s">
        <v>988</v>
      </c>
      <c r="H104" s="45">
        <v>1457700</v>
      </c>
      <c r="I104" s="377" t="s">
        <v>3511</v>
      </c>
      <c r="J104" s="772">
        <v>44587</v>
      </c>
      <c r="K104" s="928">
        <f t="shared" si="12"/>
        <v>1457700</v>
      </c>
      <c r="L104" s="763"/>
      <c r="M104" s="763"/>
      <c r="N104" s="763"/>
      <c r="O104" s="763"/>
      <c r="P104" s="763">
        <v>1457700</v>
      </c>
      <c r="Q104" s="28">
        <f t="shared" si="13"/>
        <v>0</v>
      </c>
      <c r="R104" s="301"/>
      <c r="S104" s="301">
        <v>44587</v>
      </c>
      <c r="T104" s="55">
        <v>14</v>
      </c>
      <c r="U104" s="24">
        <f t="shared" si="16"/>
        <v>44601</v>
      </c>
      <c r="V104" s="5"/>
      <c r="W104"/>
      <c r="X104"/>
      <c r="Y104"/>
      <c r="Z104"/>
      <c r="AA104"/>
      <c r="AB104"/>
      <c r="AC104"/>
      <c r="AD104"/>
      <c r="AE104"/>
      <c r="AF104"/>
      <c r="AG104"/>
      <c r="AH104"/>
      <c r="AI104"/>
      <c r="AJ104"/>
      <c r="AK104"/>
      <c r="AL104"/>
      <c r="AM104"/>
      <c r="AN104"/>
      <c r="AO104"/>
      <c r="AP104"/>
      <c r="AQ104"/>
      <c r="AR104"/>
    </row>
    <row r="105" spans="1:44" s="10" customFormat="1" ht="15.75" customHeight="1" x14ac:dyDescent="0.25">
      <c r="A105" s="55" t="e">
        <f t="shared" si="21"/>
        <v>#REF!</v>
      </c>
      <c r="B105" s="633">
        <v>44587</v>
      </c>
      <c r="C105" s="755">
        <v>404458</v>
      </c>
      <c r="D105" s="756" t="s">
        <v>2776</v>
      </c>
      <c r="E105" s="884"/>
      <c r="F105" s="33" t="s">
        <v>2671</v>
      </c>
      <c r="G105" s="404" t="s">
        <v>988</v>
      </c>
      <c r="H105" s="45">
        <v>805500</v>
      </c>
      <c r="I105" s="377" t="s">
        <v>3513</v>
      </c>
      <c r="J105" s="772">
        <v>44587</v>
      </c>
      <c r="K105" s="928">
        <f t="shared" si="12"/>
        <v>805500</v>
      </c>
      <c r="L105" s="763"/>
      <c r="M105" s="763"/>
      <c r="N105" s="763"/>
      <c r="O105" s="763"/>
      <c r="P105" s="763">
        <v>805500</v>
      </c>
      <c r="Q105" s="28">
        <f t="shared" si="13"/>
        <v>0</v>
      </c>
      <c r="R105" s="301"/>
      <c r="S105" s="301"/>
      <c r="T105" s="55">
        <v>14</v>
      </c>
      <c r="U105" s="24">
        <f t="shared" si="16"/>
        <v>44601</v>
      </c>
      <c r="V105" s="5"/>
      <c r="W105"/>
      <c r="X105"/>
      <c r="Y105"/>
      <c r="Z105"/>
      <c r="AA105"/>
      <c r="AB105"/>
      <c r="AC105"/>
      <c r="AD105"/>
      <c r="AE105"/>
      <c r="AF105"/>
      <c r="AG105"/>
      <c r="AH105"/>
      <c r="AI105"/>
      <c r="AJ105"/>
      <c r="AK105"/>
      <c r="AL105"/>
      <c r="AM105"/>
      <c r="AN105"/>
      <c r="AO105"/>
      <c r="AP105"/>
      <c r="AQ105"/>
      <c r="AR105"/>
    </row>
    <row r="106" spans="1:44" s="10" customFormat="1" ht="15.75" customHeight="1" x14ac:dyDescent="0.25">
      <c r="A106" s="55" t="e">
        <f t="shared" si="21"/>
        <v>#REF!</v>
      </c>
      <c r="B106" s="79">
        <v>44586</v>
      </c>
      <c r="C106" s="330"/>
      <c r="D106" s="330" t="s">
        <v>3515</v>
      </c>
      <c r="E106" s="884"/>
      <c r="F106" s="33" t="s">
        <v>3857</v>
      </c>
      <c r="G106" s="126" t="s">
        <v>201</v>
      </c>
      <c r="H106" s="45">
        <v>47650000</v>
      </c>
      <c r="I106" s="377" t="s">
        <v>3514</v>
      </c>
      <c r="J106" s="772">
        <v>44587</v>
      </c>
      <c r="K106" s="928">
        <f t="shared" si="12"/>
        <v>47650000</v>
      </c>
      <c r="L106" s="763">
        <v>33297500</v>
      </c>
      <c r="M106" s="763"/>
      <c r="N106" s="763"/>
      <c r="O106" s="763"/>
      <c r="P106" s="763"/>
      <c r="Q106" s="28">
        <f t="shared" si="13"/>
        <v>14352500</v>
      </c>
      <c r="R106" s="301">
        <v>44588</v>
      </c>
      <c r="S106" s="301"/>
      <c r="T106" s="55">
        <v>14</v>
      </c>
      <c r="U106" s="24">
        <f t="shared" si="16"/>
        <v>44601</v>
      </c>
      <c r="V106" s="5"/>
      <c r="W106"/>
      <c r="X106"/>
      <c r="Y106"/>
      <c r="Z106"/>
      <c r="AA106"/>
      <c r="AB106"/>
      <c r="AC106"/>
      <c r="AD106"/>
      <c r="AE106"/>
      <c r="AF106"/>
      <c r="AG106"/>
      <c r="AH106"/>
      <c r="AI106"/>
      <c r="AJ106"/>
      <c r="AK106"/>
      <c r="AL106"/>
      <c r="AM106"/>
      <c r="AN106"/>
      <c r="AO106"/>
      <c r="AP106"/>
      <c r="AQ106"/>
      <c r="AR106"/>
    </row>
    <row r="107" spans="1:44" s="10" customFormat="1" ht="15.75" customHeight="1" x14ac:dyDescent="0.25">
      <c r="A107" s="55" t="e">
        <f t="shared" si="21"/>
        <v>#REF!</v>
      </c>
      <c r="B107" s="79">
        <v>44566</v>
      </c>
      <c r="C107" s="330">
        <v>405866</v>
      </c>
      <c r="D107" s="330" t="s">
        <v>3521</v>
      </c>
      <c r="E107" s="884"/>
      <c r="F107" s="33" t="s">
        <v>3517</v>
      </c>
      <c r="G107" s="126" t="s">
        <v>988</v>
      </c>
      <c r="H107" s="45">
        <v>495000</v>
      </c>
      <c r="I107" s="377" t="s">
        <v>3516</v>
      </c>
      <c r="J107" s="772">
        <v>44587</v>
      </c>
      <c r="K107" s="928">
        <f t="shared" si="12"/>
        <v>495000</v>
      </c>
      <c r="L107" s="763"/>
      <c r="M107" s="763"/>
      <c r="N107" s="28"/>
      <c r="O107" s="28"/>
      <c r="P107" s="763">
        <v>495000</v>
      </c>
      <c r="Q107" s="28">
        <f t="shared" si="13"/>
        <v>0</v>
      </c>
      <c r="R107" s="55"/>
      <c r="S107" s="301">
        <v>44602</v>
      </c>
      <c r="T107" s="55">
        <v>14</v>
      </c>
      <c r="U107" s="24">
        <f t="shared" si="16"/>
        <v>44601</v>
      </c>
      <c r="V107" s="5"/>
      <c r="W107"/>
      <c r="X107"/>
      <c r="Y107"/>
      <c r="Z107"/>
      <c r="AA107"/>
      <c r="AB107"/>
      <c r="AC107"/>
      <c r="AD107"/>
      <c r="AE107"/>
      <c r="AF107"/>
      <c r="AG107"/>
      <c r="AH107"/>
      <c r="AI107"/>
      <c r="AJ107"/>
      <c r="AK107"/>
      <c r="AL107"/>
      <c r="AM107"/>
      <c r="AN107"/>
      <c r="AO107"/>
      <c r="AP107"/>
      <c r="AQ107"/>
      <c r="AR107"/>
    </row>
    <row r="108" spans="1:44" s="10" customFormat="1" ht="15.75" customHeight="1" x14ac:dyDescent="0.25">
      <c r="A108" s="55" t="e">
        <f t="shared" si="21"/>
        <v>#REF!</v>
      </c>
      <c r="B108" s="79">
        <v>44572</v>
      </c>
      <c r="C108" s="330">
        <v>405868</v>
      </c>
      <c r="D108" s="330" t="s">
        <v>3520</v>
      </c>
      <c r="E108" s="884"/>
      <c r="F108" s="33" t="s">
        <v>3519</v>
      </c>
      <c r="G108" s="404" t="s">
        <v>988</v>
      </c>
      <c r="H108" s="45">
        <v>700000</v>
      </c>
      <c r="I108" s="377" t="s">
        <v>3518</v>
      </c>
      <c r="J108" s="772">
        <v>44587</v>
      </c>
      <c r="K108" s="928">
        <f t="shared" si="12"/>
        <v>700000</v>
      </c>
      <c r="L108" s="763"/>
      <c r="M108" s="763"/>
      <c r="N108" s="763"/>
      <c r="O108" s="763"/>
      <c r="P108" s="763">
        <v>700000</v>
      </c>
      <c r="Q108" s="28">
        <f t="shared" si="13"/>
        <v>0</v>
      </c>
      <c r="R108" s="55"/>
      <c r="S108" s="301"/>
      <c r="T108" s="55">
        <v>14</v>
      </c>
      <c r="U108" s="24">
        <f t="shared" si="16"/>
        <v>44601</v>
      </c>
      <c r="V108" s="5"/>
      <c r="W108"/>
      <c r="X108"/>
      <c r="Y108"/>
      <c r="Z108"/>
      <c r="AA108"/>
      <c r="AB108"/>
      <c r="AC108"/>
      <c r="AD108"/>
      <c r="AE108"/>
      <c r="AF108"/>
      <c r="AG108"/>
      <c r="AH108"/>
      <c r="AI108"/>
      <c r="AJ108"/>
      <c r="AK108"/>
      <c r="AL108"/>
      <c r="AM108"/>
      <c r="AN108"/>
      <c r="AO108"/>
      <c r="AP108"/>
      <c r="AQ108"/>
      <c r="AR108"/>
    </row>
    <row r="109" spans="1:44" s="10" customFormat="1" ht="15.75" customHeight="1" x14ac:dyDescent="0.25">
      <c r="A109" s="55" t="e">
        <f t="shared" si="21"/>
        <v>#REF!</v>
      </c>
      <c r="B109" s="79">
        <v>44586</v>
      </c>
      <c r="C109" s="330"/>
      <c r="D109" s="330" t="s">
        <v>3523</v>
      </c>
      <c r="E109" s="884"/>
      <c r="F109" s="33" t="s">
        <v>4199</v>
      </c>
      <c r="G109" s="404" t="s">
        <v>146</v>
      </c>
      <c r="H109" s="45">
        <v>1200000</v>
      </c>
      <c r="I109" s="377" t="s">
        <v>3522</v>
      </c>
      <c r="J109" s="772">
        <v>44587</v>
      </c>
      <c r="K109" s="928">
        <f t="shared" si="12"/>
        <v>1200000</v>
      </c>
      <c r="L109" s="763"/>
      <c r="M109" s="763"/>
      <c r="N109" s="763"/>
      <c r="O109" s="763"/>
      <c r="P109" s="763">
        <v>1200000</v>
      </c>
      <c r="Q109" s="28">
        <f t="shared" si="13"/>
        <v>0</v>
      </c>
      <c r="R109" s="55"/>
      <c r="S109" s="301">
        <v>44230</v>
      </c>
      <c r="T109" s="55">
        <v>14</v>
      </c>
      <c r="U109" s="24">
        <f t="shared" si="16"/>
        <v>44601</v>
      </c>
      <c r="V109" s="5"/>
      <c r="W109"/>
      <c r="X109"/>
      <c r="Y109"/>
      <c r="Z109"/>
      <c r="AA109"/>
      <c r="AB109"/>
      <c r="AC109"/>
      <c r="AD109"/>
      <c r="AE109"/>
      <c r="AF109"/>
      <c r="AG109"/>
      <c r="AH109"/>
      <c r="AI109"/>
      <c r="AJ109"/>
      <c r="AK109"/>
      <c r="AL109"/>
      <c r="AM109"/>
      <c r="AN109"/>
      <c r="AO109"/>
      <c r="AP109"/>
      <c r="AQ109"/>
      <c r="AR109"/>
    </row>
    <row r="110" spans="1:44" s="10" customFormat="1" ht="15.75" customHeight="1" x14ac:dyDescent="0.25">
      <c r="A110" s="55" t="e">
        <f t="shared" si="21"/>
        <v>#REF!</v>
      </c>
      <c r="B110" s="633">
        <v>44587</v>
      </c>
      <c r="C110" s="330">
        <v>404460</v>
      </c>
      <c r="D110" s="330" t="s">
        <v>3527</v>
      </c>
      <c r="E110" s="884"/>
      <c r="F110" s="33" t="s">
        <v>3949</v>
      </c>
      <c r="G110" s="757" t="s">
        <v>988</v>
      </c>
      <c r="H110" s="45">
        <v>430000</v>
      </c>
      <c r="I110" s="377" t="s">
        <v>3526</v>
      </c>
      <c r="J110" s="772">
        <v>44587</v>
      </c>
      <c r="K110" s="928">
        <f t="shared" si="12"/>
        <v>430000</v>
      </c>
      <c r="L110" s="763"/>
      <c r="M110" s="763"/>
      <c r="N110" s="763"/>
      <c r="O110" s="763"/>
      <c r="P110" s="763">
        <v>430000</v>
      </c>
      <c r="Q110" s="28">
        <f t="shared" si="13"/>
        <v>0</v>
      </c>
      <c r="R110" s="55"/>
      <c r="S110" s="301">
        <v>44588</v>
      </c>
      <c r="T110" s="55">
        <v>14</v>
      </c>
      <c r="U110" s="24">
        <f t="shared" si="16"/>
        <v>44601</v>
      </c>
      <c r="V110" s="5"/>
      <c r="W110"/>
      <c r="X110"/>
      <c r="Y110"/>
      <c r="Z110"/>
      <c r="AA110"/>
      <c r="AB110"/>
      <c r="AC110"/>
      <c r="AD110"/>
      <c r="AE110"/>
      <c r="AF110"/>
      <c r="AG110"/>
      <c r="AH110"/>
      <c r="AI110"/>
      <c r="AJ110"/>
      <c r="AK110"/>
      <c r="AL110"/>
      <c r="AM110"/>
      <c r="AN110"/>
      <c r="AO110"/>
      <c r="AP110"/>
      <c r="AQ110"/>
      <c r="AR110"/>
    </row>
    <row r="111" spans="1:44" s="10" customFormat="1" ht="15.75" customHeight="1" x14ac:dyDescent="0.25">
      <c r="A111" s="55" t="e">
        <f t="shared" si="21"/>
        <v>#REF!</v>
      </c>
      <c r="B111" s="633">
        <v>44588</v>
      </c>
      <c r="C111" s="755"/>
      <c r="D111" s="756" t="s">
        <v>3546</v>
      </c>
      <c r="E111" s="884"/>
      <c r="F111" s="33" t="s">
        <v>4122</v>
      </c>
      <c r="G111" s="404" t="s">
        <v>988</v>
      </c>
      <c r="H111" s="45">
        <v>1498500</v>
      </c>
      <c r="I111" s="377" t="s">
        <v>3545</v>
      </c>
      <c r="J111" s="772">
        <v>44588</v>
      </c>
      <c r="K111" s="928">
        <f t="shared" si="12"/>
        <v>1498500</v>
      </c>
      <c r="L111" s="763"/>
      <c r="M111" s="763"/>
      <c r="N111" s="763"/>
      <c r="O111" s="763"/>
      <c r="P111" s="763">
        <v>1498500</v>
      </c>
      <c r="Q111" s="28">
        <f t="shared" si="13"/>
        <v>0</v>
      </c>
      <c r="R111" s="55"/>
      <c r="S111" s="301">
        <v>44589</v>
      </c>
      <c r="T111" s="55">
        <v>14</v>
      </c>
      <c r="U111" s="24">
        <f t="shared" si="16"/>
        <v>44602</v>
      </c>
      <c r="V111" s="5"/>
      <c r="W111"/>
      <c r="X111"/>
      <c r="Y111"/>
      <c r="Z111"/>
      <c r="AA111"/>
      <c r="AB111"/>
      <c r="AC111"/>
      <c r="AD111"/>
      <c r="AE111"/>
      <c r="AF111"/>
      <c r="AG111"/>
      <c r="AH111"/>
      <c r="AI111"/>
      <c r="AJ111"/>
      <c r="AK111"/>
      <c r="AL111"/>
      <c r="AM111"/>
      <c r="AN111"/>
      <c r="AO111"/>
      <c r="AP111"/>
      <c r="AQ111"/>
      <c r="AR111"/>
    </row>
    <row r="112" spans="1:44" s="10" customFormat="1" ht="15.75" customHeight="1" x14ac:dyDescent="0.25">
      <c r="A112" s="55" t="e">
        <f t="shared" si="21"/>
        <v>#REF!</v>
      </c>
      <c r="B112" s="633">
        <v>44589</v>
      </c>
      <c r="C112" s="755"/>
      <c r="D112" s="756" t="s">
        <v>2763</v>
      </c>
      <c r="E112" s="884"/>
      <c r="F112" s="33" t="s">
        <v>3951</v>
      </c>
      <c r="G112" s="404" t="s">
        <v>988</v>
      </c>
      <c r="H112" s="45">
        <v>589500</v>
      </c>
      <c r="I112" s="377" t="s">
        <v>3547</v>
      </c>
      <c r="J112" s="772">
        <v>44589</v>
      </c>
      <c r="K112" s="928">
        <f t="shared" si="12"/>
        <v>589500</v>
      </c>
      <c r="L112" s="763"/>
      <c r="M112" s="763"/>
      <c r="N112" s="763"/>
      <c r="O112" s="763"/>
      <c r="P112" s="763">
        <v>589500</v>
      </c>
      <c r="Q112" s="28">
        <f t="shared" si="13"/>
        <v>0</v>
      </c>
      <c r="R112" s="301"/>
      <c r="S112" s="301">
        <v>44589</v>
      </c>
      <c r="T112" s="55">
        <v>14</v>
      </c>
      <c r="U112" s="24">
        <f t="shared" si="16"/>
        <v>44603</v>
      </c>
      <c r="V112" s="5"/>
      <c r="W112"/>
      <c r="X112"/>
      <c r="Y112"/>
      <c r="Z112"/>
      <c r="AA112"/>
      <c r="AB112"/>
      <c r="AC112"/>
      <c r="AD112"/>
      <c r="AE112"/>
      <c r="AF112"/>
      <c r="AG112"/>
      <c r="AH112"/>
      <c r="AI112"/>
      <c r="AJ112"/>
      <c r="AK112"/>
      <c r="AL112"/>
      <c r="AM112"/>
      <c r="AN112"/>
      <c r="AO112"/>
      <c r="AP112"/>
      <c r="AQ112"/>
      <c r="AR112"/>
    </row>
    <row r="113" spans="1:44" s="10" customFormat="1" ht="15.75" customHeight="1" x14ac:dyDescent="0.25">
      <c r="A113" s="55" t="e">
        <f t="shared" si="21"/>
        <v>#REF!</v>
      </c>
      <c r="B113" s="633">
        <v>44582</v>
      </c>
      <c r="C113" s="755"/>
      <c r="D113" s="756" t="s">
        <v>3550</v>
      </c>
      <c r="E113" s="884"/>
      <c r="F113" s="33" t="s">
        <v>3549</v>
      </c>
      <c r="G113" s="404" t="s">
        <v>500</v>
      </c>
      <c r="H113" s="45">
        <v>14499000</v>
      </c>
      <c r="I113" s="377" t="s">
        <v>3548</v>
      </c>
      <c r="J113" s="772">
        <v>44589</v>
      </c>
      <c r="K113" s="928">
        <f t="shared" si="12"/>
        <v>14499000</v>
      </c>
      <c r="L113" s="763">
        <v>9300000</v>
      </c>
      <c r="M113" s="763"/>
      <c r="N113" s="763"/>
      <c r="O113" s="763"/>
      <c r="P113" s="763"/>
      <c r="Q113" s="28">
        <f t="shared" si="13"/>
        <v>5199000</v>
      </c>
      <c r="R113" s="301">
        <v>44583</v>
      </c>
      <c r="S113" s="301"/>
      <c r="T113" s="55">
        <v>14</v>
      </c>
      <c r="U113" s="24">
        <f t="shared" ref="U113:U139" si="22">J113+T113</f>
        <v>44603</v>
      </c>
      <c r="V113" s="5"/>
      <c r="W113"/>
      <c r="X113"/>
      <c r="Y113"/>
      <c r="Z113"/>
      <c r="AA113"/>
      <c r="AB113"/>
      <c r="AC113"/>
      <c r="AD113"/>
      <c r="AE113"/>
      <c r="AF113"/>
      <c r="AG113"/>
      <c r="AH113"/>
      <c r="AI113"/>
      <c r="AJ113"/>
      <c r="AK113"/>
      <c r="AL113"/>
      <c r="AM113"/>
      <c r="AN113"/>
      <c r="AO113"/>
      <c r="AP113"/>
      <c r="AQ113"/>
      <c r="AR113"/>
    </row>
    <row r="114" spans="1:44" s="10" customFormat="1" ht="15.75" customHeight="1" x14ac:dyDescent="0.25">
      <c r="A114" s="55" t="e">
        <f t="shared" si="21"/>
        <v>#REF!</v>
      </c>
      <c r="B114" s="633">
        <v>44582</v>
      </c>
      <c r="C114" s="755"/>
      <c r="D114" s="756" t="s">
        <v>3552</v>
      </c>
      <c r="E114" s="884"/>
      <c r="F114" s="33" t="s">
        <v>3549</v>
      </c>
      <c r="G114" s="404" t="s">
        <v>541</v>
      </c>
      <c r="H114" s="45">
        <v>7101500</v>
      </c>
      <c r="I114" s="377" t="s">
        <v>3551</v>
      </c>
      <c r="J114" s="772">
        <v>44589</v>
      </c>
      <c r="K114" s="928">
        <f t="shared" si="12"/>
        <v>7101500</v>
      </c>
      <c r="L114" s="763">
        <v>4000000</v>
      </c>
      <c r="M114" s="763"/>
      <c r="N114" s="763"/>
      <c r="O114" s="763"/>
      <c r="P114" s="763"/>
      <c r="Q114" s="28">
        <f t="shared" si="13"/>
        <v>3101500</v>
      </c>
      <c r="R114" s="301">
        <v>44583</v>
      </c>
      <c r="S114" s="301"/>
      <c r="T114" s="55">
        <v>14</v>
      </c>
      <c r="U114" s="24">
        <f t="shared" si="22"/>
        <v>44603</v>
      </c>
      <c r="V114" s="5"/>
      <c r="W114"/>
      <c r="X114"/>
      <c r="Y114"/>
      <c r="Z114"/>
      <c r="AA114"/>
      <c r="AB114"/>
      <c r="AC114"/>
      <c r="AD114"/>
      <c r="AE114"/>
      <c r="AF114"/>
      <c r="AG114"/>
      <c r="AH114"/>
      <c r="AI114"/>
      <c r="AJ114"/>
      <c r="AK114"/>
      <c r="AL114"/>
      <c r="AM114"/>
      <c r="AN114"/>
      <c r="AO114"/>
      <c r="AP114"/>
      <c r="AQ114"/>
      <c r="AR114"/>
    </row>
    <row r="115" spans="1:44" s="10" customFormat="1" ht="15.75" customHeight="1" x14ac:dyDescent="0.25">
      <c r="A115" s="55" t="e">
        <f t="shared" si="21"/>
        <v>#REF!</v>
      </c>
      <c r="B115" s="633">
        <v>44582</v>
      </c>
      <c r="C115" s="755"/>
      <c r="D115" s="756" t="s">
        <v>3554</v>
      </c>
      <c r="E115" s="884"/>
      <c r="F115" s="33" t="s">
        <v>3549</v>
      </c>
      <c r="G115" s="404" t="s">
        <v>688</v>
      </c>
      <c r="H115" s="45">
        <v>11927000</v>
      </c>
      <c r="I115" s="377" t="s">
        <v>3553</v>
      </c>
      <c r="J115" s="772">
        <v>44589</v>
      </c>
      <c r="K115" s="928">
        <f t="shared" si="12"/>
        <v>11927000</v>
      </c>
      <c r="L115" s="763">
        <v>7900000</v>
      </c>
      <c r="M115" s="763"/>
      <c r="N115" s="763"/>
      <c r="O115" s="763"/>
      <c r="P115" s="763"/>
      <c r="Q115" s="28">
        <f t="shared" si="13"/>
        <v>4027000</v>
      </c>
      <c r="R115" s="301">
        <v>44583</v>
      </c>
      <c r="S115" s="301"/>
      <c r="T115" s="55">
        <v>14</v>
      </c>
      <c r="U115" s="24">
        <f t="shared" si="22"/>
        <v>44603</v>
      </c>
      <c r="V115" s="5"/>
      <c r="W115"/>
      <c r="X115"/>
      <c r="Y115"/>
      <c r="Z115"/>
      <c r="AA115"/>
      <c r="AB115"/>
      <c r="AC115"/>
      <c r="AD115"/>
      <c r="AE115"/>
      <c r="AF115"/>
      <c r="AG115"/>
      <c r="AH115"/>
      <c r="AI115"/>
      <c r="AJ115"/>
      <c r="AK115"/>
      <c r="AL115"/>
      <c r="AM115"/>
      <c r="AN115"/>
      <c r="AO115"/>
      <c r="AP115"/>
      <c r="AQ115"/>
      <c r="AR115"/>
    </row>
    <row r="116" spans="1:44" s="10" customFormat="1" ht="15.75" customHeight="1" x14ac:dyDescent="0.25">
      <c r="A116" s="55" t="e">
        <f t="shared" si="21"/>
        <v>#REF!</v>
      </c>
      <c r="B116" s="776">
        <v>44589</v>
      </c>
      <c r="C116" s="755">
        <v>404466</v>
      </c>
      <c r="D116" s="756" t="s">
        <v>3556</v>
      </c>
      <c r="E116" s="884"/>
      <c r="F116" s="33" t="s">
        <v>3557</v>
      </c>
      <c r="G116" s="404" t="s">
        <v>688</v>
      </c>
      <c r="H116" s="45">
        <v>465500</v>
      </c>
      <c r="I116" s="377" t="s">
        <v>3555</v>
      </c>
      <c r="J116" s="774">
        <v>44590</v>
      </c>
      <c r="K116" s="928">
        <f t="shared" si="12"/>
        <v>465500</v>
      </c>
      <c r="L116" s="763"/>
      <c r="M116" s="763"/>
      <c r="N116" s="763"/>
      <c r="O116" s="763"/>
      <c r="P116" s="763">
        <v>465500</v>
      </c>
      <c r="Q116" s="28">
        <f t="shared" si="13"/>
        <v>0</v>
      </c>
      <c r="R116" s="55"/>
      <c r="S116" s="301">
        <v>44590</v>
      </c>
      <c r="T116" s="55">
        <v>14</v>
      </c>
      <c r="U116" s="24">
        <f t="shared" si="22"/>
        <v>44604</v>
      </c>
      <c r="V116" s="5"/>
      <c r="W116"/>
      <c r="X116"/>
      <c r="Y116"/>
      <c r="Z116"/>
      <c r="AA116"/>
      <c r="AB116"/>
      <c r="AC116"/>
      <c r="AD116"/>
      <c r="AE116"/>
      <c r="AF116"/>
      <c r="AG116"/>
      <c r="AH116"/>
      <c r="AI116"/>
      <c r="AJ116"/>
      <c r="AK116"/>
      <c r="AL116"/>
      <c r="AM116"/>
      <c r="AN116"/>
      <c r="AO116"/>
      <c r="AP116"/>
      <c r="AQ116"/>
      <c r="AR116"/>
    </row>
    <row r="117" spans="1:44" s="10" customFormat="1" ht="15.75" customHeight="1" x14ac:dyDescent="0.25">
      <c r="A117" s="55" t="e">
        <f t="shared" si="21"/>
        <v>#REF!</v>
      </c>
      <c r="B117" s="633">
        <v>44590</v>
      </c>
      <c r="C117" s="755" t="s">
        <v>3704</v>
      </c>
      <c r="D117" s="756" t="s">
        <v>3559</v>
      </c>
      <c r="E117" s="884"/>
      <c r="F117" s="33" t="s">
        <v>2878</v>
      </c>
      <c r="G117" s="404" t="s">
        <v>201</v>
      </c>
      <c r="H117" s="45">
        <v>700000</v>
      </c>
      <c r="I117" s="377" t="s">
        <v>3558</v>
      </c>
      <c r="J117" s="774">
        <v>44592</v>
      </c>
      <c r="K117" s="928">
        <f t="shared" si="12"/>
        <v>700000</v>
      </c>
      <c r="L117" s="763"/>
      <c r="M117" s="763"/>
      <c r="N117" s="763"/>
      <c r="O117" s="763"/>
      <c r="P117" s="763">
        <v>700000</v>
      </c>
      <c r="Q117" s="28">
        <f t="shared" si="13"/>
        <v>0</v>
      </c>
      <c r="R117" s="55"/>
      <c r="S117" s="301"/>
      <c r="T117" s="55">
        <v>14</v>
      </c>
      <c r="U117" s="24">
        <f t="shared" si="22"/>
        <v>44606</v>
      </c>
      <c r="V117" s="5"/>
      <c r="W117"/>
      <c r="X117"/>
      <c r="Y117"/>
      <c r="Z117"/>
      <c r="AA117"/>
      <c r="AB117"/>
      <c r="AC117"/>
      <c r="AD117"/>
      <c r="AE117"/>
      <c r="AF117"/>
      <c r="AG117"/>
      <c r="AH117"/>
      <c r="AI117"/>
      <c r="AJ117"/>
      <c r="AK117"/>
      <c r="AL117"/>
      <c r="AM117"/>
      <c r="AN117"/>
      <c r="AO117"/>
      <c r="AP117"/>
      <c r="AQ117"/>
      <c r="AR117"/>
    </row>
    <row r="118" spans="1:44" s="10" customFormat="1" ht="15.75" customHeight="1" x14ac:dyDescent="0.25">
      <c r="A118" s="55" t="e">
        <f t="shared" si="21"/>
        <v>#REF!</v>
      </c>
      <c r="B118" s="633">
        <v>44592</v>
      </c>
      <c r="C118" s="755"/>
      <c r="D118" s="756" t="s">
        <v>3562</v>
      </c>
      <c r="E118" s="884"/>
      <c r="F118" s="33" t="s">
        <v>3561</v>
      </c>
      <c r="G118" s="404" t="s">
        <v>503</v>
      </c>
      <c r="H118" s="45">
        <v>260000</v>
      </c>
      <c r="I118" s="377" t="s">
        <v>3560</v>
      </c>
      <c r="J118" s="774">
        <v>44592</v>
      </c>
      <c r="K118" s="928">
        <f t="shared" si="12"/>
        <v>260000</v>
      </c>
      <c r="L118" s="763"/>
      <c r="M118" s="763"/>
      <c r="N118" s="763"/>
      <c r="O118" s="763"/>
      <c r="P118" s="763">
        <v>260000</v>
      </c>
      <c r="Q118" s="28">
        <f t="shared" si="13"/>
        <v>0</v>
      </c>
      <c r="R118" s="55"/>
      <c r="S118" s="301">
        <v>44592</v>
      </c>
      <c r="T118" s="55">
        <v>14</v>
      </c>
      <c r="U118" s="24">
        <f t="shared" si="22"/>
        <v>44606</v>
      </c>
      <c r="V118" s="5"/>
      <c r="W118"/>
      <c r="X118"/>
      <c r="Y118"/>
      <c r="Z118"/>
      <c r="AA118"/>
      <c r="AB118"/>
      <c r="AC118"/>
      <c r="AD118"/>
      <c r="AE118"/>
      <c r="AF118"/>
      <c r="AG118"/>
      <c r="AH118"/>
      <c r="AI118"/>
      <c r="AJ118"/>
      <c r="AK118"/>
      <c r="AL118"/>
      <c r="AM118"/>
      <c r="AN118"/>
      <c r="AO118"/>
      <c r="AP118"/>
      <c r="AQ118"/>
      <c r="AR118"/>
    </row>
    <row r="119" spans="1:44" s="10" customFormat="1" ht="15.75" customHeight="1" x14ac:dyDescent="0.25">
      <c r="A119" s="55" t="e">
        <f t="shared" si="21"/>
        <v>#REF!</v>
      </c>
      <c r="B119" s="633">
        <v>44594</v>
      </c>
      <c r="C119" s="755">
        <v>405874</v>
      </c>
      <c r="D119" s="756" t="s">
        <v>3564</v>
      </c>
      <c r="E119" s="884"/>
      <c r="F119" s="33" t="s">
        <v>4019</v>
      </c>
      <c r="G119" s="404" t="s">
        <v>988</v>
      </c>
      <c r="H119" s="45">
        <v>2119900</v>
      </c>
      <c r="I119" s="377" t="s">
        <v>3563</v>
      </c>
      <c r="J119" s="774">
        <v>44594</v>
      </c>
      <c r="K119" s="928">
        <f t="shared" si="12"/>
        <v>2119900</v>
      </c>
      <c r="L119" s="763"/>
      <c r="M119" s="763"/>
      <c r="N119" s="763"/>
      <c r="O119" s="763"/>
      <c r="P119" s="763">
        <v>2119900</v>
      </c>
      <c r="Q119" s="28">
        <f t="shared" si="13"/>
        <v>0</v>
      </c>
      <c r="R119" s="55"/>
      <c r="S119" s="301">
        <v>44595</v>
      </c>
      <c r="T119" s="55">
        <v>14</v>
      </c>
      <c r="U119" s="24">
        <f t="shared" si="22"/>
        <v>44608</v>
      </c>
      <c r="V119" s="5"/>
      <c r="W119"/>
      <c r="X119"/>
      <c r="Y119"/>
      <c r="Z119"/>
      <c r="AA119"/>
      <c r="AB119"/>
      <c r="AC119"/>
      <c r="AD119"/>
      <c r="AE119"/>
      <c r="AF119"/>
      <c r="AG119"/>
      <c r="AH119"/>
      <c r="AI119"/>
      <c r="AJ119"/>
      <c r="AK119"/>
      <c r="AL119"/>
      <c r="AM119"/>
      <c r="AN119"/>
      <c r="AO119"/>
      <c r="AP119"/>
      <c r="AQ119"/>
      <c r="AR119"/>
    </row>
    <row r="120" spans="1:44" s="10" customFormat="1" ht="15.75" customHeight="1" x14ac:dyDescent="0.25">
      <c r="A120" s="55" t="e">
        <f t="shared" si="21"/>
        <v>#REF!</v>
      </c>
      <c r="B120" s="633">
        <v>44582</v>
      </c>
      <c r="C120" s="755"/>
      <c r="D120" s="756" t="s">
        <v>3567</v>
      </c>
      <c r="E120" s="884"/>
      <c r="F120" s="33" t="s">
        <v>3549</v>
      </c>
      <c r="G120" s="404" t="s">
        <v>665</v>
      </c>
      <c r="H120" s="45">
        <v>17694000</v>
      </c>
      <c r="I120" s="377" t="s">
        <v>3566</v>
      </c>
      <c r="J120" s="774">
        <v>44595</v>
      </c>
      <c r="K120" s="928">
        <f t="shared" si="12"/>
        <v>17694000</v>
      </c>
      <c r="L120" s="763">
        <v>11900000</v>
      </c>
      <c r="M120" s="763"/>
      <c r="N120" s="763"/>
      <c r="O120" s="763"/>
      <c r="P120" s="763"/>
      <c r="Q120" s="28">
        <f t="shared" si="13"/>
        <v>5794000</v>
      </c>
      <c r="R120" s="301">
        <v>44583</v>
      </c>
      <c r="S120" s="301"/>
      <c r="T120" s="55">
        <v>14</v>
      </c>
      <c r="U120" s="24">
        <f t="shared" si="22"/>
        <v>44609</v>
      </c>
      <c r="V120" s="5"/>
      <c r="W120"/>
      <c r="X120"/>
      <c r="Y120"/>
      <c r="Z120"/>
      <c r="AA120"/>
      <c r="AB120"/>
      <c r="AC120"/>
      <c r="AD120"/>
      <c r="AE120"/>
      <c r="AF120"/>
      <c r="AG120"/>
      <c r="AH120"/>
      <c r="AI120"/>
      <c r="AJ120"/>
      <c r="AK120"/>
      <c r="AL120"/>
      <c r="AM120"/>
      <c r="AN120"/>
      <c r="AO120"/>
      <c r="AP120"/>
      <c r="AQ120"/>
      <c r="AR120"/>
    </row>
    <row r="121" spans="1:44" s="10" customFormat="1" ht="15.75" customHeight="1" x14ac:dyDescent="0.25">
      <c r="A121" s="55" t="e">
        <f t="shared" si="21"/>
        <v>#REF!</v>
      </c>
      <c r="B121" s="633">
        <v>44592</v>
      </c>
      <c r="C121" s="755"/>
      <c r="D121" s="756" t="s">
        <v>3660</v>
      </c>
      <c r="E121" s="884"/>
      <c r="F121" s="33" t="s">
        <v>53</v>
      </c>
      <c r="G121" s="404" t="s">
        <v>417</v>
      </c>
      <c r="H121" s="45">
        <v>1800000</v>
      </c>
      <c r="I121" s="377" t="s">
        <v>3659</v>
      </c>
      <c r="J121" s="774">
        <v>44595</v>
      </c>
      <c r="K121" s="928">
        <f t="shared" si="12"/>
        <v>1800000</v>
      </c>
      <c r="L121" s="821"/>
      <c r="M121" s="821"/>
      <c r="N121" s="821"/>
      <c r="O121" s="821"/>
      <c r="P121" s="821">
        <v>1800000</v>
      </c>
      <c r="Q121" s="28">
        <f t="shared" si="13"/>
        <v>0</v>
      </c>
      <c r="R121" s="301"/>
      <c r="S121" s="301">
        <v>44607</v>
      </c>
      <c r="T121" s="55">
        <v>14</v>
      </c>
      <c r="U121" s="24">
        <f t="shared" si="22"/>
        <v>44609</v>
      </c>
      <c r="V121" s="5"/>
      <c r="W121"/>
      <c r="X121"/>
      <c r="Y121"/>
      <c r="Z121"/>
      <c r="AA121"/>
      <c r="AB121"/>
      <c r="AC121"/>
      <c r="AD121"/>
      <c r="AE121"/>
      <c r="AF121"/>
      <c r="AG121"/>
      <c r="AH121"/>
      <c r="AI121"/>
      <c r="AJ121"/>
      <c r="AK121"/>
      <c r="AL121"/>
      <c r="AM121"/>
      <c r="AN121"/>
      <c r="AO121"/>
      <c r="AP121"/>
      <c r="AQ121"/>
      <c r="AR121"/>
    </row>
    <row r="122" spans="1:44" s="10" customFormat="1" ht="15.75" customHeight="1" x14ac:dyDescent="0.25">
      <c r="A122" s="55" t="e">
        <f t="shared" si="21"/>
        <v>#REF!</v>
      </c>
      <c r="B122" s="633">
        <v>44590</v>
      </c>
      <c r="C122" s="755"/>
      <c r="D122" s="756" t="s">
        <v>3662</v>
      </c>
      <c r="E122" s="884"/>
      <c r="F122" s="33" t="s">
        <v>3663</v>
      </c>
      <c r="G122" s="404" t="s">
        <v>1502</v>
      </c>
      <c r="H122" s="45">
        <v>750000</v>
      </c>
      <c r="I122" s="377" t="s">
        <v>3661</v>
      </c>
      <c r="J122" s="774">
        <v>44595</v>
      </c>
      <c r="K122" s="928">
        <f t="shared" si="12"/>
        <v>750000</v>
      </c>
      <c r="L122" s="821"/>
      <c r="M122" s="821"/>
      <c r="N122" s="821"/>
      <c r="O122" s="821"/>
      <c r="P122" s="821"/>
      <c r="Q122" s="28">
        <f t="shared" si="13"/>
        <v>750000</v>
      </c>
      <c r="R122" s="301"/>
      <c r="S122" s="301"/>
      <c r="T122" s="55">
        <v>14</v>
      </c>
      <c r="U122" s="24">
        <f t="shared" si="22"/>
        <v>44609</v>
      </c>
      <c r="V122" s="5"/>
      <c r="W122"/>
      <c r="X122"/>
      <c r="Y122"/>
      <c r="Z122"/>
      <c r="AA122"/>
      <c r="AB122"/>
      <c r="AC122"/>
      <c r="AD122"/>
      <c r="AE122"/>
      <c r="AF122"/>
      <c r="AG122"/>
      <c r="AH122"/>
      <c r="AI122"/>
      <c r="AJ122"/>
      <c r="AK122"/>
      <c r="AL122"/>
      <c r="AM122"/>
      <c r="AN122"/>
      <c r="AO122"/>
      <c r="AP122"/>
      <c r="AQ122"/>
      <c r="AR122"/>
    </row>
    <row r="123" spans="1:44" s="10" customFormat="1" ht="15.75" customHeight="1" x14ac:dyDescent="0.25">
      <c r="A123" s="55" t="e">
        <f t="shared" si="21"/>
        <v>#REF!</v>
      </c>
      <c r="B123" s="633">
        <v>44582</v>
      </c>
      <c r="C123" s="755"/>
      <c r="D123" s="756" t="s">
        <v>3665</v>
      </c>
      <c r="E123" s="884"/>
      <c r="F123" s="33" t="s">
        <v>51</v>
      </c>
      <c r="G123" s="404" t="s">
        <v>668</v>
      </c>
      <c r="H123" s="45">
        <v>1204000</v>
      </c>
      <c r="I123" s="377" t="s">
        <v>3664</v>
      </c>
      <c r="J123" s="774">
        <v>44597</v>
      </c>
      <c r="K123" s="928">
        <f t="shared" si="12"/>
        <v>1204000</v>
      </c>
      <c r="L123" s="821"/>
      <c r="M123" s="821"/>
      <c r="N123" s="821"/>
      <c r="O123" s="821"/>
      <c r="P123" s="821">
        <v>1204000</v>
      </c>
      <c r="Q123" s="28">
        <f t="shared" si="13"/>
        <v>0</v>
      </c>
      <c r="R123" s="301"/>
      <c r="S123" s="301">
        <v>44625</v>
      </c>
      <c r="T123" s="55">
        <v>14</v>
      </c>
      <c r="U123" s="24">
        <f t="shared" si="22"/>
        <v>44611</v>
      </c>
      <c r="V123" s="5"/>
      <c r="W123"/>
      <c r="X123"/>
      <c r="Y123"/>
      <c r="Z123"/>
      <c r="AA123"/>
      <c r="AB123"/>
      <c r="AC123"/>
      <c r="AD123"/>
      <c r="AE123"/>
      <c r="AF123"/>
      <c r="AG123"/>
      <c r="AH123"/>
      <c r="AI123"/>
      <c r="AJ123"/>
      <c r="AK123"/>
      <c r="AL123"/>
      <c r="AM123"/>
      <c r="AN123"/>
      <c r="AO123"/>
      <c r="AP123"/>
      <c r="AQ123"/>
      <c r="AR123"/>
    </row>
    <row r="124" spans="1:44" s="10" customFormat="1" ht="15.75" customHeight="1" x14ac:dyDescent="0.25">
      <c r="A124" s="55" t="e">
        <f t="shared" si="21"/>
        <v>#REF!</v>
      </c>
      <c r="B124" s="633">
        <v>44583</v>
      </c>
      <c r="C124" s="755"/>
      <c r="D124" s="756" t="s">
        <v>3667</v>
      </c>
      <c r="E124" s="884"/>
      <c r="F124" s="33" t="s">
        <v>3668</v>
      </c>
      <c r="G124" s="404" t="s">
        <v>201</v>
      </c>
      <c r="H124" s="45">
        <v>1480500</v>
      </c>
      <c r="I124" s="377" t="s">
        <v>3666</v>
      </c>
      <c r="J124" s="774">
        <v>44597</v>
      </c>
      <c r="K124" s="928">
        <f t="shared" si="12"/>
        <v>1480500</v>
      </c>
      <c r="L124" s="821"/>
      <c r="M124" s="821"/>
      <c r="N124" s="821"/>
      <c r="O124" s="821"/>
      <c r="P124" s="821"/>
      <c r="Q124" s="28">
        <f t="shared" si="13"/>
        <v>1480500</v>
      </c>
      <c r="R124" s="301"/>
      <c r="S124" s="301"/>
      <c r="T124" s="55">
        <v>14</v>
      </c>
      <c r="U124" s="24">
        <f t="shared" si="22"/>
        <v>44611</v>
      </c>
      <c r="V124" s="5"/>
      <c r="W124"/>
      <c r="X124"/>
      <c r="Y124"/>
      <c r="Z124"/>
      <c r="AA124"/>
      <c r="AB124"/>
      <c r="AC124"/>
      <c r="AD124"/>
      <c r="AE124"/>
      <c r="AF124"/>
      <c r="AG124"/>
      <c r="AH124"/>
      <c r="AI124"/>
      <c r="AJ124"/>
      <c r="AK124"/>
      <c r="AL124"/>
      <c r="AM124"/>
      <c r="AN124"/>
      <c r="AO124"/>
      <c r="AP124"/>
      <c r="AQ124"/>
      <c r="AR124"/>
    </row>
    <row r="125" spans="1:44" s="10" customFormat="1" ht="15.75" customHeight="1" x14ac:dyDescent="0.25">
      <c r="A125" s="55" t="e">
        <f t="shared" si="21"/>
        <v>#REF!</v>
      </c>
      <c r="B125" s="633">
        <v>44580</v>
      </c>
      <c r="C125" s="755">
        <v>403552</v>
      </c>
      <c r="D125" s="756" t="s">
        <v>3679</v>
      </c>
      <c r="E125" s="884"/>
      <c r="F125" s="33" t="s">
        <v>3678</v>
      </c>
      <c r="G125" s="404" t="s">
        <v>521</v>
      </c>
      <c r="H125" s="45">
        <v>600000</v>
      </c>
      <c r="I125" s="377" t="s">
        <v>3677</v>
      </c>
      <c r="J125" s="774">
        <v>44599</v>
      </c>
      <c r="K125" s="928">
        <f t="shared" si="12"/>
        <v>600000</v>
      </c>
      <c r="L125" s="763"/>
      <c r="M125" s="763">
        <v>2900</v>
      </c>
      <c r="N125" s="763"/>
      <c r="O125" s="763"/>
      <c r="P125" s="763"/>
      <c r="Q125" s="28">
        <f t="shared" si="13"/>
        <v>597100</v>
      </c>
      <c r="R125" s="55"/>
      <c r="S125" s="301">
        <v>44649</v>
      </c>
      <c r="T125" s="55">
        <v>14</v>
      </c>
      <c r="U125" s="24">
        <f t="shared" si="22"/>
        <v>44613</v>
      </c>
      <c r="V125" s="5" t="s">
        <v>3680</v>
      </c>
      <c r="W125"/>
      <c r="X125"/>
      <c r="Y125"/>
      <c r="Z125"/>
      <c r="AA125"/>
      <c r="AB125"/>
      <c r="AC125"/>
      <c r="AD125"/>
      <c r="AE125"/>
      <c r="AF125"/>
      <c r="AG125"/>
      <c r="AH125"/>
      <c r="AI125"/>
      <c r="AJ125"/>
      <c r="AK125"/>
      <c r="AL125"/>
      <c r="AM125"/>
      <c r="AN125"/>
      <c r="AO125"/>
      <c r="AP125"/>
      <c r="AQ125"/>
      <c r="AR125"/>
    </row>
    <row r="126" spans="1:44" s="10" customFormat="1" ht="15.75" customHeight="1" x14ac:dyDescent="0.25">
      <c r="A126" s="55" t="e">
        <f t="shared" si="21"/>
        <v>#REF!</v>
      </c>
      <c r="B126" s="197">
        <v>44565</v>
      </c>
      <c r="C126" s="755">
        <v>405865</v>
      </c>
      <c r="D126" s="756" t="s">
        <v>3683</v>
      </c>
      <c r="E126" s="884"/>
      <c r="F126" s="33" t="s">
        <v>3682</v>
      </c>
      <c r="G126" s="404" t="s">
        <v>13</v>
      </c>
      <c r="H126" s="45">
        <v>1354500</v>
      </c>
      <c r="I126" s="377" t="s">
        <v>3765</v>
      </c>
      <c r="J126" s="774"/>
      <c r="K126" s="928">
        <f t="shared" si="12"/>
        <v>1354500</v>
      </c>
      <c r="L126" s="763"/>
      <c r="M126" s="763"/>
      <c r="N126" s="763"/>
      <c r="O126" s="763"/>
      <c r="P126" s="763">
        <v>1354500</v>
      </c>
      <c r="Q126" s="28">
        <f t="shared" si="13"/>
        <v>0</v>
      </c>
      <c r="R126" s="55"/>
      <c r="S126" s="301">
        <v>44562</v>
      </c>
      <c r="T126" s="55">
        <v>14</v>
      </c>
      <c r="U126" s="24">
        <f t="shared" si="22"/>
        <v>14</v>
      </c>
      <c r="V126" s="5"/>
      <c r="W126"/>
      <c r="X126"/>
      <c r="Y126"/>
      <c r="Z126"/>
      <c r="AA126"/>
      <c r="AB126"/>
      <c r="AC126"/>
      <c r="AD126"/>
      <c r="AE126"/>
      <c r="AF126"/>
      <c r="AG126"/>
      <c r="AH126"/>
      <c r="AI126"/>
      <c r="AJ126"/>
      <c r="AK126"/>
      <c r="AL126"/>
      <c r="AM126"/>
      <c r="AN126"/>
      <c r="AO126"/>
      <c r="AP126"/>
      <c r="AQ126"/>
      <c r="AR126"/>
    </row>
    <row r="127" spans="1:44" s="10" customFormat="1" ht="15.75" customHeight="1" x14ac:dyDescent="0.25">
      <c r="A127" s="55" t="e">
        <f t="shared" si="21"/>
        <v>#REF!</v>
      </c>
      <c r="B127" s="825">
        <v>44566</v>
      </c>
      <c r="C127" s="755">
        <v>403012</v>
      </c>
      <c r="D127" s="824" t="s">
        <v>3685</v>
      </c>
      <c r="E127" s="884"/>
      <c r="F127" s="33" t="s">
        <v>3684</v>
      </c>
      <c r="G127" s="404" t="s">
        <v>27</v>
      </c>
      <c r="H127" s="45"/>
      <c r="I127" s="377"/>
      <c r="J127" s="774"/>
      <c r="K127" s="928">
        <f t="shared" si="12"/>
        <v>0</v>
      </c>
      <c r="L127" s="821"/>
      <c r="M127" s="821"/>
      <c r="N127" s="821"/>
      <c r="O127" s="821"/>
      <c r="P127" s="821"/>
      <c r="Q127" s="28">
        <f t="shared" si="13"/>
        <v>0</v>
      </c>
      <c r="R127" s="55"/>
      <c r="S127" s="301"/>
      <c r="T127" s="55">
        <v>14</v>
      </c>
      <c r="U127" s="24">
        <f t="shared" si="22"/>
        <v>14</v>
      </c>
      <c r="V127" s="5"/>
      <c r="W127"/>
      <c r="X127"/>
      <c r="Y127"/>
      <c r="Z127"/>
      <c r="AA127"/>
      <c r="AB127"/>
      <c r="AC127"/>
      <c r="AD127"/>
      <c r="AE127"/>
      <c r="AF127"/>
      <c r="AG127"/>
      <c r="AH127"/>
      <c r="AI127"/>
      <c r="AJ127"/>
      <c r="AK127"/>
      <c r="AL127"/>
      <c r="AM127"/>
      <c r="AN127"/>
      <c r="AO127"/>
      <c r="AP127"/>
      <c r="AQ127"/>
      <c r="AR127"/>
    </row>
    <row r="128" spans="1:44" s="10" customFormat="1" ht="15.75" customHeight="1" x14ac:dyDescent="0.25">
      <c r="A128" s="55" t="e">
        <f t="shared" si="21"/>
        <v>#REF!</v>
      </c>
      <c r="B128" s="633">
        <v>44574</v>
      </c>
      <c r="C128" s="755"/>
      <c r="D128" s="824" t="s">
        <v>3687</v>
      </c>
      <c r="E128" s="884"/>
      <c r="F128" s="33" t="s">
        <v>3686</v>
      </c>
      <c r="G128" s="404" t="s">
        <v>15</v>
      </c>
      <c r="H128" s="45">
        <v>10500000</v>
      </c>
      <c r="I128" s="377"/>
      <c r="J128" s="774"/>
      <c r="K128" s="928">
        <f t="shared" si="12"/>
        <v>10500000</v>
      </c>
      <c r="L128" s="821"/>
      <c r="M128" s="821"/>
      <c r="N128" s="821"/>
      <c r="O128" s="821"/>
      <c r="P128" s="821"/>
      <c r="Q128" s="28">
        <f t="shared" si="13"/>
        <v>10500000</v>
      </c>
      <c r="R128" s="55"/>
      <c r="S128" s="301"/>
      <c r="T128" s="55"/>
      <c r="U128" s="24">
        <f t="shared" si="22"/>
        <v>0</v>
      </c>
      <c r="V128" s="5"/>
      <c r="W128"/>
      <c r="X128"/>
      <c r="Y128"/>
      <c r="Z128"/>
      <c r="AA128"/>
      <c r="AB128"/>
      <c r="AC128"/>
      <c r="AD128"/>
      <c r="AE128"/>
      <c r="AF128"/>
      <c r="AG128"/>
      <c r="AH128"/>
      <c r="AI128"/>
      <c r="AJ128"/>
      <c r="AK128"/>
      <c r="AL128"/>
      <c r="AM128"/>
      <c r="AN128"/>
      <c r="AO128"/>
      <c r="AP128"/>
      <c r="AQ128"/>
      <c r="AR128"/>
    </row>
    <row r="129" spans="1:44" s="10" customFormat="1" ht="15.75" customHeight="1" x14ac:dyDescent="0.25">
      <c r="A129" s="55" t="e">
        <f>#REF!+1</f>
        <v>#REF!</v>
      </c>
      <c r="B129" s="633">
        <v>44585</v>
      </c>
      <c r="C129" s="755"/>
      <c r="D129" s="756" t="s">
        <v>3699</v>
      </c>
      <c r="E129" s="884"/>
      <c r="F129" s="33" t="s">
        <v>3698</v>
      </c>
      <c r="G129" s="404" t="s">
        <v>1873</v>
      </c>
      <c r="H129" s="45">
        <v>1300000</v>
      </c>
      <c r="I129" s="377"/>
      <c r="J129" s="774"/>
      <c r="K129" s="928">
        <f t="shared" si="12"/>
        <v>1300000</v>
      </c>
      <c r="L129" s="821"/>
      <c r="M129" s="821"/>
      <c r="N129" s="821"/>
      <c r="O129" s="821"/>
      <c r="P129" s="821">
        <v>1300000</v>
      </c>
      <c r="Q129" s="28">
        <f t="shared" si="13"/>
        <v>0</v>
      </c>
      <c r="R129" s="55"/>
      <c r="S129" s="301">
        <v>44588</v>
      </c>
      <c r="T129" s="55">
        <v>14</v>
      </c>
      <c r="U129" s="24">
        <f t="shared" si="22"/>
        <v>14</v>
      </c>
      <c r="V129" s="5"/>
      <c r="W129"/>
      <c r="X129"/>
      <c r="Y129"/>
      <c r="Z129"/>
      <c r="AA129"/>
      <c r="AB129"/>
      <c r="AC129"/>
      <c r="AD129"/>
      <c r="AE129"/>
      <c r="AF129"/>
      <c r="AG129"/>
      <c r="AH129"/>
      <c r="AI129"/>
      <c r="AJ129"/>
      <c r="AK129"/>
      <c r="AL129"/>
      <c r="AM129"/>
      <c r="AN129"/>
      <c r="AO129"/>
      <c r="AP129"/>
      <c r="AQ129"/>
      <c r="AR129"/>
    </row>
    <row r="130" spans="1:44" s="10" customFormat="1" ht="15.75" customHeight="1" x14ac:dyDescent="0.25">
      <c r="A130" s="55" t="e">
        <f>#REF!+1</f>
        <v>#REF!</v>
      </c>
      <c r="B130" s="633">
        <v>44588</v>
      </c>
      <c r="C130" s="755">
        <v>404461</v>
      </c>
      <c r="D130" s="824" t="s">
        <v>3702</v>
      </c>
      <c r="E130" s="884"/>
      <c r="F130" s="33" t="s">
        <v>4199</v>
      </c>
      <c r="G130" s="404" t="s">
        <v>3793</v>
      </c>
      <c r="H130" s="45">
        <v>693000</v>
      </c>
      <c r="I130" s="377" t="s">
        <v>3792</v>
      </c>
      <c r="J130" s="774">
        <v>44601</v>
      </c>
      <c r="K130" s="928">
        <f t="shared" ref="K130:K144" si="23">H130</f>
        <v>693000</v>
      </c>
      <c r="L130" s="830"/>
      <c r="M130" s="830"/>
      <c r="N130" s="830"/>
      <c r="O130" s="830"/>
      <c r="P130" s="830">
        <v>693000</v>
      </c>
      <c r="Q130" s="28">
        <f t="shared" ref="Q130:Q144" si="24">K130-L130-M130-O130-P130+N130</f>
        <v>0</v>
      </c>
      <c r="R130" s="301"/>
      <c r="S130" s="301">
        <v>44617</v>
      </c>
      <c r="T130" s="55">
        <v>14</v>
      </c>
      <c r="U130" s="24">
        <f t="shared" si="22"/>
        <v>44615</v>
      </c>
      <c r="V130" s="5"/>
      <c r="W130"/>
      <c r="X130"/>
      <c r="Y130"/>
      <c r="Z130"/>
      <c r="AA130"/>
      <c r="AB130"/>
      <c r="AC130"/>
      <c r="AD130"/>
      <c r="AE130"/>
      <c r="AF130"/>
      <c r="AG130"/>
      <c r="AH130"/>
      <c r="AI130"/>
      <c r="AJ130"/>
      <c r="AK130"/>
      <c r="AL130"/>
      <c r="AM130"/>
      <c r="AN130"/>
      <c r="AO130"/>
      <c r="AP130"/>
      <c r="AQ130"/>
      <c r="AR130"/>
    </row>
    <row r="131" spans="1:44" s="10" customFormat="1" ht="15.75" customHeight="1" x14ac:dyDescent="0.25">
      <c r="A131" s="55" t="e">
        <f t="shared" si="21"/>
        <v>#REF!</v>
      </c>
      <c r="B131" s="633">
        <v>44568</v>
      </c>
      <c r="C131" s="755">
        <v>403416</v>
      </c>
      <c r="D131" s="824" t="s">
        <v>3706</v>
      </c>
      <c r="E131" s="884"/>
      <c r="F131" s="33" t="s">
        <v>933</v>
      </c>
      <c r="G131" s="404" t="s">
        <v>3781</v>
      </c>
      <c r="H131" s="45">
        <v>49358215</v>
      </c>
      <c r="I131" s="377" t="s">
        <v>3846</v>
      </c>
      <c r="J131" s="774">
        <v>44606</v>
      </c>
      <c r="K131" s="928">
        <f t="shared" si="23"/>
        <v>49358215</v>
      </c>
      <c r="L131" s="831"/>
      <c r="M131" s="831"/>
      <c r="N131" s="831"/>
      <c r="O131" s="831"/>
      <c r="P131" s="831">
        <v>49358215</v>
      </c>
      <c r="Q131" s="28">
        <f t="shared" si="24"/>
        <v>0</v>
      </c>
      <c r="R131" s="301"/>
      <c r="S131" s="301">
        <v>44631</v>
      </c>
      <c r="T131" s="55">
        <v>30</v>
      </c>
      <c r="U131" s="24">
        <f t="shared" si="22"/>
        <v>44636</v>
      </c>
      <c r="V131" s="5"/>
      <c r="W131"/>
      <c r="X131"/>
      <c r="Y131"/>
      <c r="Z131"/>
      <c r="AA131"/>
      <c r="AB131"/>
      <c r="AC131"/>
      <c r="AD131"/>
      <c r="AE131"/>
      <c r="AF131"/>
      <c r="AG131"/>
      <c r="AH131"/>
      <c r="AI131"/>
      <c r="AJ131"/>
      <c r="AK131"/>
      <c r="AL131"/>
      <c r="AM131"/>
      <c r="AN131"/>
      <c r="AO131"/>
      <c r="AP131"/>
      <c r="AQ131"/>
      <c r="AR131"/>
    </row>
    <row r="132" spans="1:44" s="10" customFormat="1" ht="15.75" customHeight="1" x14ac:dyDescent="0.25">
      <c r="A132" s="55" t="e">
        <f t="shared" si="21"/>
        <v>#REF!</v>
      </c>
      <c r="B132" s="633">
        <v>44568</v>
      </c>
      <c r="C132" s="755">
        <v>403286</v>
      </c>
      <c r="D132" s="824" t="s">
        <v>3706</v>
      </c>
      <c r="E132" s="884"/>
      <c r="F132" s="33" t="s">
        <v>933</v>
      </c>
      <c r="G132" s="404" t="s">
        <v>3781</v>
      </c>
      <c r="H132" s="45">
        <v>3585980</v>
      </c>
      <c r="I132" s="377" t="s">
        <v>3961</v>
      </c>
      <c r="J132" s="774">
        <v>44615</v>
      </c>
      <c r="K132" s="928">
        <f t="shared" si="23"/>
        <v>3585980</v>
      </c>
      <c r="L132" s="831"/>
      <c r="M132" s="831"/>
      <c r="N132" s="831"/>
      <c r="O132" s="831"/>
      <c r="P132" s="831">
        <v>3585980</v>
      </c>
      <c r="Q132" s="28">
        <f t="shared" si="24"/>
        <v>0</v>
      </c>
      <c r="R132" s="301"/>
      <c r="S132" s="301">
        <v>44645</v>
      </c>
      <c r="T132" s="55">
        <v>30</v>
      </c>
      <c r="U132" s="24">
        <f t="shared" ref="U132:U134" si="25">J132+T132</f>
        <v>44645</v>
      </c>
      <c r="V132" s="5"/>
      <c r="W132"/>
      <c r="X132"/>
      <c r="Y132"/>
      <c r="Z132"/>
      <c r="AA132"/>
      <c r="AB132"/>
      <c r="AC132"/>
      <c r="AD132"/>
      <c r="AE132"/>
      <c r="AF132"/>
      <c r="AG132"/>
      <c r="AH132"/>
      <c r="AI132"/>
      <c r="AJ132"/>
      <c r="AK132"/>
      <c r="AL132"/>
      <c r="AM132"/>
      <c r="AN132"/>
      <c r="AO132"/>
      <c r="AP132"/>
      <c r="AQ132"/>
      <c r="AR132"/>
    </row>
    <row r="133" spans="1:44" s="10" customFormat="1" ht="15.75" customHeight="1" x14ac:dyDescent="0.25">
      <c r="A133" s="55" t="e">
        <f t="shared" si="21"/>
        <v>#REF!</v>
      </c>
      <c r="B133" s="633">
        <v>44568</v>
      </c>
      <c r="C133" s="755">
        <v>403213</v>
      </c>
      <c r="D133" s="824" t="s">
        <v>3706</v>
      </c>
      <c r="E133" s="884"/>
      <c r="F133" s="33" t="s">
        <v>933</v>
      </c>
      <c r="G133" s="404" t="s">
        <v>3781</v>
      </c>
      <c r="H133" s="45">
        <v>19330610</v>
      </c>
      <c r="I133" s="377" t="s">
        <v>3921</v>
      </c>
      <c r="J133" s="774">
        <v>44613</v>
      </c>
      <c r="K133" s="928">
        <f t="shared" si="23"/>
        <v>19330610</v>
      </c>
      <c r="L133" s="831"/>
      <c r="M133" s="831"/>
      <c r="N133" s="831"/>
      <c r="O133" s="831"/>
      <c r="P133" s="831">
        <v>19330610</v>
      </c>
      <c r="Q133" s="28">
        <f t="shared" si="24"/>
        <v>0</v>
      </c>
      <c r="R133" s="301"/>
      <c r="S133" s="301">
        <v>44645</v>
      </c>
      <c r="T133" s="55">
        <v>30</v>
      </c>
      <c r="U133" s="24">
        <f t="shared" si="25"/>
        <v>44643</v>
      </c>
      <c r="V133" s="5"/>
      <c r="W133"/>
      <c r="X133"/>
      <c r="Y133"/>
      <c r="Z133"/>
      <c r="AA133"/>
      <c r="AB133"/>
      <c r="AC133"/>
      <c r="AD133"/>
      <c r="AE133"/>
      <c r="AF133"/>
      <c r="AG133"/>
      <c r="AH133"/>
      <c r="AI133"/>
      <c r="AJ133"/>
      <c r="AK133"/>
      <c r="AL133"/>
      <c r="AM133"/>
      <c r="AN133"/>
      <c r="AO133"/>
      <c r="AP133"/>
      <c r="AQ133"/>
      <c r="AR133"/>
    </row>
    <row r="134" spans="1:44" s="10" customFormat="1" ht="15.75" customHeight="1" x14ac:dyDescent="0.25">
      <c r="A134" s="55" t="e">
        <f t="shared" si="21"/>
        <v>#REF!</v>
      </c>
      <c r="B134" s="633">
        <v>44580</v>
      </c>
      <c r="C134" s="755">
        <v>403503</v>
      </c>
      <c r="D134" s="824" t="s">
        <v>3706</v>
      </c>
      <c r="E134" s="884"/>
      <c r="F134" s="33" t="s">
        <v>933</v>
      </c>
      <c r="G134" s="404" t="s">
        <v>3781</v>
      </c>
      <c r="H134" s="45">
        <v>124838662.5</v>
      </c>
      <c r="I134" s="377" t="s">
        <v>3780</v>
      </c>
      <c r="J134" s="774">
        <v>44600</v>
      </c>
      <c r="K134" s="928">
        <f t="shared" si="23"/>
        <v>124838662.5</v>
      </c>
      <c r="L134" s="830"/>
      <c r="M134" s="830"/>
      <c r="N134" s="830"/>
      <c r="O134" s="830"/>
      <c r="P134" s="830">
        <v>124838662.5</v>
      </c>
      <c r="Q134" s="28">
        <f t="shared" si="24"/>
        <v>0</v>
      </c>
      <c r="R134" s="301"/>
      <c r="S134" s="301">
        <v>44617</v>
      </c>
      <c r="T134" s="55">
        <v>30</v>
      </c>
      <c r="U134" s="24">
        <f t="shared" si="25"/>
        <v>44630</v>
      </c>
      <c r="V134" s="5"/>
      <c r="W134"/>
      <c r="X134"/>
      <c r="Y134"/>
      <c r="Z134"/>
      <c r="AA134"/>
      <c r="AB134"/>
      <c r="AC134"/>
      <c r="AD134"/>
      <c r="AE134"/>
      <c r="AF134"/>
      <c r="AG134"/>
      <c r="AH134"/>
      <c r="AI134"/>
      <c r="AJ134"/>
      <c r="AK134"/>
      <c r="AL134"/>
      <c r="AM134"/>
      <c r="AN134"/>
      <c r="AO134"/>
      <c r="AP134"/>
      <c r="AQ134"/>
      <c r="AR134"/>
    </row>
    <row r="135" spans="1:44" s="10" customFormat="1" ht="15.75" customHeight="1" x14ac:dyDescent="0.25">
      <c r="A135" s="55" t="e">
        <f t="shared" si="21"/>
        <v>#REF!</v>
      </c>
      <c r="B135" s="633">
        <v>44578</v>
      </c>
      <c r="C135" s="755">
        <v>403023</v>
      </c>
      <c r="D135" s="824" t="s">
        <v>3688</v>
      </c>
      <c r="E135" s="884"/>
      <c r="F135" s="33" t="s">
        <v>4199</v>
      </c>
      <c r="G135" s="404" t="s">
        <v>3825</v>
      </c>
      <c r="H135" s="45">
        <v>962500</v>
      </c>
      <c r="I135" s="377" t="s">
        <v>3824</v>
      </c>
      <c r="J135" s="774">
        <v>44602</v>
      </c>
      <c r="K135" s="928">
        <f t="shared" si="23"/>
        <v>962500</v>
      </c>
      <c r="L135" s="830"/>
      <c r="M135" s="830"/>
      <c r="N135" s="830"/>
      <c r="O135" s="830"/>
      <c r="P135" s="830">
        <v>962500</v>
      </c>
      <c r="Q135" s="28">
        <f t="shared" si="24"/>
        <v>0</v>
      </c>
      <c r="R135" s="301"/>
      <c r="S135" s="301">
        <v>44617</v>
      </c>
      <c r="T135" s="55">
        <v>14</v>
      </c>
      <c r="U135" s="24">
        <f t="shared" si="22"/>
        <v>44616</v>
      </c>
      <c r="V135" s="5"/>
      <c r="W135"/>
      <c r="X135"/>
      <c r="Y135"/>
      <c r="Z135"/>
      <c r="AA135"/>
      <c r="AB135"/>
      <c r="AC135"/>
      <c r="AD135"/>
      <c r="AE135"/>
      <c r="AF135"/>
      <c r="AG135"/>
      <c r="AH135"/>
      <c r="AI135"/>
      <c r="AJ135"/>
      <c r="AK135"/>
      <c r="AL135"/>
      <c r="AM135"/>
      <c r="AN135"/>
      <c r="AO135"/>
      <c r="AP135"/>
      <c r="AQ135"/>
      <c r="AR135"/>
    </row>
    <row r="136" spans="1:44" s="10" customFormat="1" ht="15.75" customHeight="1" x14ac:dyDescent="0.25">
      <c r="A136" s="55" t="e">
        <f t="shared" si="21"/>
        <v>#REF!</v>
      </c>
      <c r="B136" s="633">
        <v>44582</v>
      </c>
      <c r="C136" s="755" t="s">
        <v>3789</v>
      </c>
      <c r="D136" s="824" t="s">
        <v>3692</v>
      </c>
      <c r="E136" s="884"/>
      <c r="F136" s="33" t="s">
        <v>2363</v>
      </c>
      <c r="G136" s="404" t="s">
        <v>161</v>
      </c>
      <c r="H136" s="45">
        <v>1200000</v>
      </c>
      <c r="I136" s="377" t="s">
        <v>3788</v>
      </c>
      <c r="J136" s="774">
        <v>44601</v>
      </c>
      <c r="K136" s="928">
        <f t="shared" si="23"/>
        <v>1200000</v>
      </c>
      <c r="L136" s="830"/>
      <c r="M136" s="830"/>
      <c r="N136" s="830"/>
      <c r="O136" s="830"/>
      <c r="P136" s="830"/>
      <c r="Q136" s="28">
        <f t="shared" si="24"/>
        <v>1200000</v>
      </c>
      <c r="R136" s="301"/>
      <c r="S136" s="301"/>
      <c r="T136" s="55">
        <v>14</v>
      </c>
      <c r="U136" s="24">
        <f t="shared" si="22"/>
        <v>44615</v>
      </c>
      <c r="V136" s="5"/>
      <c r="W136"/>
      <c r="X136"/>
      <c r="Y136"/>
      <c r="Z136"/>
      <c r="AA136"/>
      <c r="AB136"/>
      <c r="AC136"/>
      <c r="AD136"/>
      <c r="AE136"/>
      <c r="AF136"/>
      <c r="AG136"/>
      <c r="AH136"/>
      <c r="AI136"/>
      <c r="AJ136"/>
      <c r="AK136"/>
      <c r="AL136"/>
      <c r="AM136"/>
      <c r="AN136"/>
      <c r="AO136"/>
      <c r="AP136"/>
      <c r="AQ136"/>
      <c r="AR136"/>
    </row>
    <row r="137" spans="1:44" s="10" customFormat="1" ht="15.75" customHeight="1" x14ac:dyDescent="0.25">
      <c r="A137" s="55" t="e">
        <f t="shared" si="21"/>
        <v>#REF!</v>
      </c>
      <c r="B137" s="633">
        <v>44592</v>
      </c>
      <c r="C137" s="755"/>
      <c r="D137" s="824" t="s">
        <v>3705</v>
      </c>
      <c r="E137" s="884"/>
      <c r="F137" s="33" t="s">
        <v>3549</v>
      </c>
      <c r="G137" s="404" t="s">
        <v>3855</v>
      </c>
      <c r="H137" s="45">
        <v>29347000</v>
      </c>
      <c r="I137" s="377" t="s">
        <v>3854</v>
      </c>
      <c r="J137" s="774">
        <v>44607</v>
      </c>
      <c r="K137" s="928">
        <f t="shared" si="23"/>
        <v>29347000</v>
      </c>
      <c r="L137" s="831">
        <v>18300000</v>
      </c>
      <c r="M137" s="831">
        <v>2500</v>
      </c>
      <c r="N137" s="831"/>
      <c r="O137" s="831"/>
      <c r="P137" s="831"/>
      <c r="Q137" s="28">
        <f t="shared" si="24"/>
        <v>11044500</v>
      </c>
      <c r="R137" s="301">
        <v>44594</v>
      </c>
      <c r="S137" s="301"/>
      <c r="T137" s="55">
        <v>14</v>
      </c>
      <c r="U137" s="24">
        <f t="shared" si="22"/>
        <v>44621</v>
      </c>
      <c r="V137" s="5"/>
      <c r="W137"/>
      <c r="X137"/>
      <c r="Y137"/>
      <c r="Z137"/>
      <c r="AA137"/>
      <c r="AB137"/>
      <c r="AC137"/>
      <c r="AD137"/>
      <c r="AE137"/>
      <c r="AF137"/>
      <c r="AG137"/>
      <c r="AH137"/>
      <c r="AI137"/>
      <c r="AJ137"/>
      <c r="AK137"/>
      <c r="AL137"/>
      <c r="AM137"/>
      <c r="AN137"/>
      <c r="AO137"/>
      <c r="AP137"/>
      <c r="AQ137"/>
      <c r="AR137"/>
    </row>
    <row r="138" spans="1:44" s="10" customFormat="1" ht="15.75" customHeight="1" x14ac:dyDescent="0.25">
      <c r="A138" s="55" t="e">
        <f t="shared" si="21"/>
        <v>#REF!</v>
      </c>
      <c r="B138" s="633">
        <v>44581</v>
      </c>
      <c r="C138" s="755">
        <v>403551</v>
      </c>
      <c r="D138" s="824" t="s">
        <v>3691</v>
      </c>
      <c r="E138" s="884"/>
      <c r="F138" s="33" t="s">
        <v>3678</v>
      </c>
      <c r="G138" s="404" t="s">
        <v>2629</v>
      </c>
      <c r="H138" s="45">
        <v>1748500</v>
      </c>
      <c r="I138" s="377" t="s">
        <v>3896</v>
      </c>
      <c r="J138" s="774">
        <v>44608</v>
      </c>
      <c r="K138" s="928">
        <f t="shared" si="23"/>
        <v>1748500</v>
      </c>
      <c r="L138" s="831"/>
      <c r="M138" s="831"/>
      <c r="N138" s="831"/>
      <c r="O138" s="831"/>
      <c r="P138" s="831"/>
      <c r="Q138" s="28">
        <f t="shared" si="24"/>
        <v>1748500</v>
      </c>
      <c r="R138" s="301"/>
      <c r="S138" s="301"/>
      <c r="T138" s="55">
        <v>14</v>
      </c>
      <c r="U138" s="24">
        <f t="shared" si="22"/>
        <v>44622</v>
      </c>
      <c r="V138" s="5"/>
      <c r="W138"/>
      <c r="X138"/>
      <c r="Y138"/>
      <c r="Z138"/>
      <c r="AA138"/>
      <c r="AB138"/>
      <c r="AC138"/>
      <c r="AD138"/>
      <c r="AE138"/>
      <c r="AF138"/>
      <c r="AG138"/>
      <c r="AH138"/>
      <c r="AI138"/>
      <c r="AJ138"/>
      <c r="AK138"/>
      <c r="AL138"/>
      <c r="AM138"/>
      <c r="AN138"/>
      <c r="AO138"/>
      <c r="AP138"/>
      <c r="AQ138"/>
      <c r="AR138"/>
    </row>
    <row r="139" spans="1:44" s="10" customFormat="1" ht="15.75" customHeight="1" x14ac:dyDescent="0.25">
      <c r="A139" s="55" t="e">
        <f t="shared" si="21"/>
        <v>#REF!</v>
      </c>
      <c r="B139" s="633">
        <v>44588</v>
      </c>
      <c r="C139" s="755">
        <v>403418</v>
      </c>
      <c r="D139" s="824" t="s">
        <v>2955</v>
      </c>
      <c r="E139" s="884"/>
      <c r="F139" s="33" t="s">
        <v>933</v>
      </c>
      <c r="G139" s="404" t="s">
        <v>3898</v>
      </c>
      <c r="H139" s="45">
        <v>70000000</v>
      </c>
      <c r="I139" s="377" t="s">
        <v>3897</v>
      </c>
      <c r="J139" s="774">
        <v>44609</v>
      </c>
      <c r="K139" s="928">
        <f t="shared" si="23"/>
        <v>70000000</v>
      </c>
      <c r="L139" s="831"/>
      <c r="M139" s="831"/>
      <c r="N139" s="831"/>
      <c r="O139" s="831"/>
      <c r="P139" s="831">
        <v>70000000</v>
      </c>
      <c r="Q139" s="28">
        <f t="shared" si="24"/>
        <v>0</v>
      </c>
      <c r="R139" s="301"/>
      <c r="S139" s="301">
        <v>44645</v>
      </c>
      <c r="T139" s="55">
        <v>30</v>
      </c>
      <c r="U139" s="24">
        <f t="shared" si="22"/>
        <v>44639</v>
      </c>
      <c r="V139" s="5"/>
      <c r="W139"/>
      <c r="X139"/>
      <c r="Y139"/>
      <c r="Z139"/>
      <c r="AA139"/>
      <c r="AB139"/>
      <c r="AC139"/>
      <c r="AD139"/>
      <c r="AE139"/>
      <c r="AF139"/>
      <c r="AG139"/>
      <c r="AH139"/>
      <c r="AI139"/>
      <c r="AJ139"/>
      <c r="AK139"/>
      <c r="AL139"/>
      <c r="AM139"/>
      <c r="AN139"/>
      <c r="AO139"/>
      <c r="AP139"/>
      <c r="AQ139"/>
      <c r="AR139"/>
    </row>
    <row r="140" spans="1:44" s="10" customFormat="1" ht="15.75" customHeight="1" x14ac:dyDescent="0.25">
      <c r="A140" s="55" t="e">
        <f t="shared" si="21"/>
        <v>#REF!</v>
      </c>
      <c r="B140" s="633">
        <v>44582</v>
      </c>
      <c r="C140" s="755">
        <v>404453</v>
      </c>
      <c r="D140" s="824" t="s">
        <v>3696</v>
      </c>
      <c r="E140" s="884"/>
      <c r="F140" s="33" t="s">
        <v>1317</v>
      </c>
      <c r="G140" s="404" t="s">
        <v>503</v>
      </c>
      <c r="H140" s="45">
        <v>1050000</v>
      </c>
      <c r="I140" s="377" t="s">
        <v>3922</v>
      </c>
      <c r="J140" s="774">
        <v>44614</v>
      </c>
      <c r="K140" s="928">
        <f t="shared" si="23"/>
        <v>1050000</v>
      </c>
      <c r="L140" s="831"/>
      <c r="M140" s="831"/>
      <c r="N140" s="831"/>
      <c r="O140" s="831"/>
      <c r="P140" s="831"/>
      <c r="Q140" s="28">
        <f t="shared" si="24"/>
        <v>1050000</v>
      </c>
      <c r="R140" s="301"/>
      <c r="S140" s="301"/>
      <c r="T140" s="55">
        <v>14</v>
      </c>
      <c r="U140" s="24">
        <f t="shared" ref="U140:U141" si="26">J140+T140</f>
        <v>44628</v>
      </c>
      <c r="V140" s="5"/>
      <c r="W140"/>
      <c r="X140"/>
      <c r="Y140"/>
      <c r="Z140"/>
      <c r="AA140"/>
      <c r="AB140"/>
      <c r="AC140"/>
      <c r="AD140"/>
      <c r="AE140"/>
      <c r="AF140"/>
      <c r="AG140"/>
      <c r="AH140"/>
      <c r="AI140"/>
      <c r="AJ140"/>
      <c r="AK140"/>
      <c r="AL140"/>
      <c r="AM140"/>
      <c r="AN140"/>
      <c r="AO140"/>
      <c r="AP140"/>
      <c r="AQ140"/>
      <c r="AR140"/>
    </row>
    <row r="141" spans="1:44" s="10" customFormat="1" ht="15.75" customHeight="1" x14ac:dyDescent="0.25">
      <c r="A141" s="55" t="e">
        <f t="shared" si="21"/>
        <v>#REF!</v>
      </c>
      <c r="B141" s="633">
        <v>44589</v>
      </c>
      <c r="C141" s="755">
        <v>404502</v>
      </c>
      <c r="D141" s="824" t="s">
        <v>3703</v>
      </c>
      <c r="E141" s="884"/>
      <c r="F141" s="33" t="s">
        <v>3933</v>
      </c>
      <c r="G141" s="404" t="s">
        <v>2330</v>
      </c>
      <c r="H141" s="45">
        <v>7670000</v>
      </c>
      <c r="I141" s="377" t="s">
        <v>3932</v>
      </c>
      <c r="J141" s="774">
        <v>44614</v>
      </c>
      <c r="K141" s="928">
        <f t="shared" si="23"/>
        <v>7670000</v>
      </c>
      <c r="L141" s="831">
        <v>4250000</v>
      </c>
      <c r="M141" s="831"/>
      <c r="N141" s="831"/>
      <c r="O141" s="831"/>
      <c r="P141" s="831">
        <v>3420000</v>
      </c>
      <c r="Q141" s="28">
        <f t="shared" si="24"/>
        <v>0</v>
      </c>
      <c r="R141" s="301">
        <v>44587</v>
      </c>
      <c r="S141" s="301">
        <v>44617</v>
      </c>
      <c r="T141" s="55">
        <v>14</v>
      </c>
      <c r="U141" s="24">
        <f t="shared" si="26"/>
        <v>44628</v>
      </c>
      <c r="V141" s="5"/>
      <c r="W141"/>
      <c r="X141"/>
      <c r="Y141"/>
      <c r="Z141"/>
      <c r="AA141"/>
      <c r="AB141"/>
      <c r="AC141"/>
      <c r="AD141"/>
      <c r="AE141"/>
      <c r="AF141"/>
      <c r="AG141"/>
      <c r="AH141"/>
      <c r="AI141"/>
      <c r="AJ141"/>
      <c r="AK141"/>
      <c r="AL141"/>
      <c r="AM141"/>
      <c r="AN141"/>
      <c r="AO141"/>
      <c r="AP141"/>
      <c r="AQ141"/>
      <c r="AR141"/>
    </row>
    <row r="142" spans="1:44" s="10" customFormat="1" ht="15.75" customHeight="1" x14ac:dyDescent="0.25">
      <c r="A142" s="55" t="e">
        <f t="shared" si="21"/>
        <v>#REF!</v>
      </c>
      <c r="B142" s="633">
        <v>44582</v>
      </c>
      <c r="C142" s="755">
        <v>404454</v>
      </c>
      <c r="D142" s="756" t="s">
        <v>3696</v>
      </c>
      <c r="E142" s="884"/>
      <c r="F142" s="33" t="s">
        <v>1317</v>
      </c>
      <c r="G142" s="404" t="s">
        <v>503</v>
      </c>
      <c r="H142" s="45">
        <v>558000</v>
      </c>
      <c r="I142" s="377" t="s">
        <v>3958</v>
      </c>
      <c r="J142" s="774">
        <v>44617</v>
      </c>
      <c r="K142" s="928">
        <f t="shared" si="23"/>
        <v>558000</v>
      </c>
      <c r="L142" s="830"/>
      <c r="M142" s="830"/>
      <c r="N142" s="830"/>
      <c r="O142" s="830"/>
      <c r="P142" s="830"/>
      <c r="Q142" s="28">
        <f t="shared" si="24"/>
        <v>558000</v>
      </c>
      <c r="R142" s="301"/>
      <c r="S142" s="301"/>
      <c r="T142" s="55">
        <v>14</v>
      </c>
      <c r="U142" s="24">
        <f t="shared" ref="U142:U144" si="27">J142+T142</f>
        <v>44631</v>
      </c>
      <c r="V142" s="5"/>
      <c r="W142"/>
      <c r="X142"/>
      <c r="Y142"/>
      <c r="Z142"/>
      <c r="AA142"/>
      <c r="AB142"/>
      <c r="AC142"/>
      <c r="AD142"/>
      <c r="AE142"/>
      <c r="AF142"/>
      <c r="AG142"/>
      <c r="AH142"/>
      <c r="AI142"/>
      <c r="AJ142"/>
      <c r="AK142"/>
      <c r="AL142"/>
      <c r="AM142"/>
      <c r="AN142"/>
      <c r="AO142"/>
      <c r="AP142"/>
      <c r="AQ142"/>
      <c r="AR142"/>
    </row>
    <row r="143" spans="1:44" s="10" customFormat="1" ht="15.75" customHeight="1" x14ac:dyDescent="0.25">
      <c r="A143" s="55">
        <f>A362+1</f>
        <v>53</v>
      </c>
      <c r="B143" s="633">
        <v>44592</v>
      </c>
      <c r="C143" s="755">
        <v>404632</v>
      </c>
      <c r="D143" s="824" t="s">
        <v>4204</v>
      </c>
      <c r="E143" s="884"/>
      <c r="F143" s="33" t="s">
        <v>933</v>
      </c>
      <c r="G143" s="404" t="s">
        <v>4251</v>
      </c>
      <c r="H143" s="45">
        <v>39000000</v>
      </c>
      <c r="I143" s="925" t="s">
        <v>4250</v>
      </c>
      <c r="J143" s="774">
        <v>44631</v>
      </c>
      <c r="K143" s="928">
        <f t="shared" si="23"/>
        <v>39000000</v>
      </c>
      <c r="L143" s="866"/>
      <c r="M143" s="866"/>
      <c r="N143" s="866"/>
      <c r="O143" s="866"/>
      <c r="P143" s="866"/>
      <c r="Q143" s="28">
        <f t="shared" si="24"/>
        <v>39000000</v>
      </c>
      <c r="R143" s="301"/>
      <c r="S143" s="301"/>
      <c r="T143" s="55"/>
      <c r="U143" s="24"/>
      <c r="V143" s="5"/>
      <c r="W143"/>
      <c r="X143"/>
      <c r="Y143"/>
      <c r="Z143"/>
      <c r="AA143"/>
      <c r="AB143"/>
      <c r="AC143"/>
      <c r="AD143"/>
      <c r="AE143"/>
      <c r="AF143"/>
      <c r="AG143"/>
      <c r="AH143"/>
      <c r="AI143"/>
      <c r="AJ143"/>
      <c r="AK143"/>
      <c r="AL143"/>
      <c r="AM143"/>
      <c r="AN143"/>
      <c r="AO143"/>
      <c r="AP143"/>
      <c r="AQ143"/>
      <c r="AR143"/>
    </row>
    <row r="144" spans="1:44" s="10" customFormat="1" ht="15.75" customHeight="1" x14ac:dyDescent="0.25">
      <c r="A144" s="55" t="e">
        <f>A142+1</f>
        <v>#REF!</v>
      </c>
      <c r="B144" s="633">
        <v>44573</v>
      </c>
      <c r="C144" s="755" t="s">
        <v>4007</v>
      </c>
      <c r="D144" s="756" t="s">
        <v>3707</v>
      </c>
      <c r="E144" s="884"/>
      <c r="F144" s="33" t="s">
        <v>933</v>
      </c>
      <c r="G144" s="404" t="s">
        <v>4006</v>
      </c>
      <c r="H144" s="45">
        <v>21500000</v>
      </c>
      <c r="I144" s="925" t="s">
        <v>4005</v>
      </c>
      <c r="J144" s="774">
        <v>44618</v>
      </c>
      <c r="K144" s="928">
        <f t="shared" si="23"/>
        <v>21500000</v>
      </c>
      <c r="L144" s="821">
        <v>19990532.5</v>
      </c>
      <c r="M144" s="821"/>
      <c r="N144" s="821"/>
      <c r="O144" s="821"/>
      <c r="P144" s="821"/>
      <c r="Q144" s="28">
        <f t="shared" si="24"/>
        <v>1509467.5</v>
      </c>
      <c r="R144" s="301">
        <v>44645</v>
      </c>
      <c r="S144" s="301"/>
      <c r="T144" s="55">
        <v>30</v>
      </c>
      <c r="U144" s="24">
        <f t="shared" si="27"/>
        <v>44648</v>
      </c>
      <c r="V144" s="5"/>
      <c r="W144"/>
      <c r="X144"/>
      <c r="Y144"/>
      <c r="Z144"/>
      <c r="AA144"/>
      <c r="AB144"/>
      <c r="AC144"/>
      <c r="AD144"/>
      <c r="AE144"/>
      <c r="AF144"/>
      <c r="AG144"/>
      <c r="AH144"/>
      <c r="AI144"/>
      <c r="AJ144"/>
      <c r="AK144"/>
      <c r="AL144"/>
      <c r="AM144"/>
      <c r="AN144"/>
      <c r="AO144"/>
      <c r="AP144"/>
      <c r="AQ144"/>
      <c r="AR144"/>
    </row>
    <row r="145" spans="1:44" s="10" customFormat="1" ht="32.25" customHeight="1" x14ac:dyDescent="0.25">
      <c r="A145" s="672" t="s">
        <v>3568</v>
      </c>
      <c r="B145" s="673"/>
      <c r="C145" s="665"/>
      <c r="D145" s="665"/>
      <c r="E145" s="673"/>
      <c r="F145" s="665"/>
      <c r="G145" s="665"/>
      <c r="H145" s="665"/>
      <c r="I145" s="665"/>
      <c r="J145" s="665"/>
      <c r="K145" s="665"/>
      <c r="L145" s="665"/>
      <c r="M145" s="665"/>
      <c r="N145" s="665"/>
      <c r="O145" s="665"/>
      <c r="P145" s="450"/>
      <c r="Q145" s="451">
        <f>SUM(Q4:Q144)</f>
        <v>159188353.33049995</v>
      </c>
      <c r="R145" s="452"/>
      <c r="S145" s="452"/>
      <c r="T145" s="432"/>
      <c r="U145" s="724"/>
      <c r="V145"/>
      <c r="W145"/>
      <c r="X145"/>
      <c r="Y145"/>
      <c r="Z145"/>
      <c r="AA145"/>
      <c r="AB145"/>
      <c r="AC145"/>
      <c r="AD145"/>
      <c r="AE145"/>
      <c r="AF145"/>
      <c r="AG145"/>
      <c r="AH145"/>
      <c r="AI145"/>
      <c r="AJ145"/>
      <c r="AK145"/>
      <c r="AL145"/>
      <c r="AM145"/>
      <c r="AN145"/>
      <c r="AO145"/>
      <c r="AP145"/>
      <c r="AQ145"/>
      <c r="AR145"/>
    </row>
    <row r="146" spans="1:44" s="10" customFormat="1" ht="15.75" customHeight="1" x14ac:dyDescent="0.25">
      <c r="A146" s="55">
        <v>1</v>
      </c>
      <c r="B146" s="633">
        <v>44596</v>
      </c>
      <c r="C146" s="755">
        <v>404512</v>
      </c>
      <c r="D146" s="824" t="s">
        <v>3814</v>
      </c>
      <c r="E146" s="884" t="s">
        <v>3813</v>
      </c>
      <c r="F146" s="33" t="s">
        <v>3445</v>
      </c>
      <c r="G146" s="404" t="s">
        <v>604</v>
      </c>
      <c r="H146" s="45">
        <v>1300000</v>
      </c>
      <c r="I146" s="377" t="s">
        <v>3812</v>
      </c>
      <c r="J146" s="774">
        <v>44601</v>
      </c>
      <c r="K146" s="830">
        <f>H146</f>
        <v>1300000</v>
      </c>
      <c r="L146" s="821"/>
      <c r="M146" s="821"/>
      <c r="N146" s="28">
        <f t="shared" ref="N146:N151" si="28">K146*1%</f>
        <v>13000</v>
      </c>
      <c r="O146" s="28">
        <f t="shared" ref="O146:O151" si="29">K146*2%</f>
        <v>26000</v>
      </c>
      <c r="P146" s="821">
        <v>1287000</v>
      </c>
      <c r="Q146" s="28">
        <f>K146-L146-M146-O146-P146+N146</f>
        <v>0</v>
      </c>
      <c r="R146" s="55"/>
      <c r="S146" s="301">
        <v>44622</v>
      </c>
      <c r="T146" s="55">
        <v>14</v>
      </c>
      <c r="U146" s="24">
        <f t="shared" ref="U146:U168" si="30">J146+T146</f>
        <v>44615</v>
      </c>
      <c r="V146" s="5"/>
      <c r="W146"/>
      <c r="X146"/>
      <c r="Y146"/>
      <c r="Z146"/>
      <c r="AA146"/>
      <c r="AB146"/>
      <c r="AC146"/>
      <c r="AD146"/>
      <c r="AE146"/>
      <c r="AF146"/>
      <c r="AG146"/>
      <c r="AH146"/>
      <c r="AI146"/>
      <c r="AJ146"/>
      <c r="AK146"/>
      <c r="AL146"/>
      <c r="AM146"/>
      <c r="AN146"/>
      <c r="AO146"/>
      <c r="AP146"/>
      <c r="AQ146"/>
      <c r="AR146"/>
    </row>
    <row r="147" spans="1:44" s="10" customFormat="1" ht="15.75" customHeight="1" x14ac:dyDescent="0.25">
      <c r="A147" s="55">
        <f t="shared" ref="A147:A197" si="31">A146+1</f>
        <v>2</v>
      </c>
      <c r="B147" s="633">
        <v>44596</v>
      </c>
      <c r="C147" s="755">
        <v>403059</v>
      </c>
      <c r="D147" s="824" t="s">
        <v>3816</v>
      </c>
      <c r="E147" s="884"/>
      <c r="F147" s="6" t="s">
        <v>412</v>
      </c>
      <c r="G147" s="404" t="s">
        <v>417</v>
      </c>
      <c r="H147" s="45">
        <v>2029703</v>
      </c>
      <c r="I147" s="377" t="s">
        <v>3815</v>
      </c>
      <c r="J147" s="774">
        <v>44601</v>
      </c>
      <c r="K147" s="928">
        <f t="shared" ref="K147:K197" si="32">H147</f>
        <v>2029703</v>
      </c>
      <c r="L147" s="821"/>
      <c r="M147" s="821"/>
      <c r="N147" s="28">
        <f t="shared" si="28"/>
        <v>20297.03</v>
      </c>
      <c r="O147" s="28">
        <f t="shared" si="29"/>
        <v>40594.06</v>
      </c>
      <c r="P147" s="821">
        <v>2009405.97</v>
      </c>
      <c r="Q147" s="28">
        <f t="shared" ref="Q147:Q197" si="33">K147-L147-M147-O147-P147+N147</f>
        <v>-2.9103830456733704E-11</v>
      </c>
      <c r="R147" s="55"/>
      <c r="S147" s="301">
        <v>44648</v>
      </c>
      <c r="T147" s="55">
        <v>30</v>
      </c>
      <c r="U147" s="24">
        <f t="shared" si="30"/>
        <v>44631</v>
      </c>
      <c r="V147" s="5"/>
      <c r="W147"/>
      <c r="X147"/>
      <c r="Y147"/>
      <c r="Z147"/>
      <c r="AA147"/>
      <c r="AB147"/>
      <c r="AC147"/>
      <c r="AD147"/>
      <c r="AE147"/>
      <c r="AF147"/>
      <c r="AG147"/>
      <c r="AH147"/>
      <c r="AI147"/>
      <c r="AJ147"/>
      <c r="AK147"/>
      <c r="AL147"/>
      <c r="AM147"/>
      <c r="AN147"/>
      <c r="AO147"/>
      <c r="AP147"/>
      <c r="AQ147"/>
      <c r="AR147"/>
    </row>
    <row r="148" spans="1:44" s="10" customFormat="1" ht="15.75" customHeight="1" x14ac:dyDescent="0.25">
      <c r="A148" s="55">
        <f t="shared" si="31"/>
        <v>3</v>
      </c>
      <c r="B148" s="633">
        <v>44600</v>
      </c>
      <c r="C148" s="755">
        <v>403064</v>
      </c>
      <c r="D148" s="824" t="s">
        <v>3817</v>
      </c>
      <c r="E148" s="884"/>
      <c r="F148" s="6" t="s">
        <v>412</v>
      </c>
      <c r="G148" s="404" t="s">
        <v>161</v>
      </c>
      <c r="H148" s="45">
        <v>1138614</v>
      </c>
      <c r="I148" s="377" t="s">
        <v>3818</v>
      </c>
      <c r="J148" s="774">
        <v>44601</v>
      </c>
      <c r="K148" s="928">
        <f t="shared" si="32"/>
        <v>1138614</v>
      </c>
      <c r="L148" s="821"/>
      <c r="M148" s="821"/>
      <c r="N148" s="28">
        <f t="shared" si="28"/>
        <v>11386.14</v>
      </c>
      <c r="O148" s="28">
        <f t="shared" si="29"/>
        <v>22772.28</v>
      </c>
      <c r="P148" s="821">
        <v>1127227.8599999999</v>
      </c>
      <c r="Q148" s="28">
        <f t="shared" si="33"/>
        <v>1.0186340659856796E-10</v>
      </c>
      <c r="R148" s="55"/>
      <c r="S148" s="301">
        <v>44648</v>
      </c>
      <c r="T148" s="55">
        <v>30</v>
      </c>
      <c r="U148" s="24">
        <f t="shared" si="30"/>
        <v>44631</v>
      </c>
      <c r="V148" s="5"/>
      <c r="W148"/>
      <c r="X148"/>
      <c r="Y148"/>
      <c r="Z148"/>
      <c r="AA148"/>
      <c r="AB148"/>
      <c r="AC148"/>
      <c r="AD148"/>
      <c r="AE148"/>
      <c r="AF148"/>
      <c r="AG148"/>
      <c r="AH148"/>
      <c r="AI148"/>
      <c r="AJ148"/>
      <c r="AK148"/>
      <c r="AL148"/>
      <c r="AM148"/>
      <c r="AN148"/>
      <c r="AO148"/>
      <c r="AP148"/>
      <c r="AQ148"/>
      <c r="AR148"/>
    </row>
    <row r="149" spans="1:44" s="10" customFormat="1" ht="15.75" customHeight="1" x14ac:dyDescent="0.25">
      <c r="A149" s="55">
        <f t="shared" si="31"/>
        <v>4</v>
      </c>
      <c r="B149" s="633">
        <v>44594</v>
      </c>
      <c r="C149" s="755">
        <v>403057</v>
      </c>
      <c r="D149" s="824" t="s">
        <v>3823</v>
      </c>
      <c r="E149" s="884"/>
      <c r="F149" s="6" t="s">
        <v>412</v>
      </c>
      <c r="G149" s="404" t="s">
        <v>811</v>
      </c>
      <c r="H149" s="45">
        <v>3118812</v>
      </c>
      <c r="I149" s="377" t="s">
        <v>3822</v>
      </c>
      <c r="J149" s="774">
        <v>44601</v>
      </c>
      <c r="K149" s="928">
        <f t="shared" si="32"/>
        <v>3118812</v>
      </c>
      <c r="L149" s="821"/>
      <c r="M149" s="821"/>
      <c r="N149" s="28">
        <f t="shared" si="28"/>
        <v>31188.12</v>
      </c>
      <c r="O149" s="28">
        <f t="shared" si="29"/>
        <v>62376.24</v>
      </c>
      <c r="P149" s="821"/>
      <c r="Q149" s="28">
        <f t="shared" si="33"/>
        <v>3087623.88</v>
      </c>
      <c r="R149" s="55"/>
      <c r="S149" s="301"/>
      <c r="T149" s="55">
        <v>30</v>
      </c>
      <c r="U149" s="24">
        <f t="shared" si="30"/>
        <v>44631</v>
      </c>
      <c r="V149" s="5"/>
      <c r="W149"/>
      <c r="X149"/>
      <c r="Y149"/>
      <c r="Z149"/>
      <c r="AA149"/>
      <c r="AB149"/>
      <c r="AC149"/>
      <c r="AD149"/>
      <c r="AE149"/>
      <c r="AF149"/>
      <c r="AG149"/>
      <c r="AH149"/>
      <c r="AI149"/>
      <c r="AJ149"/>
      <c r="AK149"/>
      <c r="AL149"/>
      <c r="AM149"/>
      <c r="AN149"/>
      <c r="AO149"/>
      <c r="AP149"/>
      <c r="AQ149"/>
      <c r="AR149"/>
    </row>
    <row r="150" spans="1:44" s="10" customFormat="1" ht="15.75" customHeight="1" x14ac:dyDescent="0.25">
      <c r="A150" s="55">
        <f t="shared" si="31"/>
        <v>5</v>
      </c>
      <c r="B150" s="633">
        <v>44600</v>
      </c>
      <c r="C150" s="755"/>
      <c r="D150" s="824" t="s">
        <v>3785</v>
      </c>
      <c r="E150" s="884"/>
      <c r="F150" s="33" t="s">
        <v>3858</v>
      </c>
      <c r="G150" s="404" t="s">
        <v>472</v>
      </c>
      <c r="H150" s="45">
        <v>500000</v>
      </c>
      <c r="I150" s="377" t="s">
        <v>3859</v>
      </c>
      <c r="J150" s="774">
        <v>44601</v>
      </c>
      <c r="K150" s="928">
        <f t="shared" si="32"/>
        <v>500000</v>
      </c>
      <c r="L150" s="821"/>
      <c r="M150" s="821"/>
      <c r="N150" s="28">
        <f t="shared" si="28"/>
        <v>5000</v>
      </c>
      <c r="O150" s="28">
        <f t="shared" si="29"/>
        <v>10000</v>
      </c>
      <c r="P150" s="821"/>
      <c r="Q150" s="28">
        <f t="shared" si="33"/>
        <v>495000</v>
      </c>
      <c r="R150" s="55"/>
      <c r="S150" s="301"/>
      <c r="T150" s="55">
        <v>14</v>
      </c>
      <c r="U150" s="24">
        <f t="shared" si="30"/>
        <v>44615</v>
      </c>
      <c r="V150" s="5"/>
      <c r="W150"/>
      <c r="X150"/>
      <c r="Y150"/>
      <c r="Z150"/>
      <c r="AA150"/>
      <c r="AB150"/>
      <c r="AC150"/>
      <c r="AD150"/>
      <c r="AE150"/>
      <c r="AF150"/>
      <c r="AG150"/>
      <c r="AH150"/>
      <c r="AI150"/>
      <c r="AJ150"/>
      <c r="AK150"/>
      <c r="AL150"/>
      <c r="AM150"/>
      <c r="AN150"/>
      <c r="AO150"/>
      <c r="AP150"/>
      <c r="AQ150"/>
      <c r="AR150"/>
    </row>
    <row r="151" spans="1:44" s="10" customFormat="1" ht="15.75" customHeight="1" x14ac:dyDescent="0.25">
      <c r="A151" s="55">
        <f t="shared" si="31"/>
        <v>6</v>
      </c>
      <c r="B151" s="633">
        <v>44599</v>
      </c>
      <c r="C151" s="755">
        <v>403066</v>
      </c>
      <c r="D151" s="824" t="s">
        <v>3861</v>
      </c>
      <c r="E151" s="884"/>
      <c r="F151" s="6" t="s">
        <v>412</v>
      </c>
      <c r="G151" s="404" t="s">
        <v>421</v>
      </c>
      <c r="H151" s="45">
        <v>1138614</v>
      </c>
      <c r="I151" s="377" t="s">
        <v>3860</v>
      </c>
      <c r="J151" s="774">
        <v>44602</v>
      </c>
      <c r="K151" s="928">
        <f t="shared" si="32"/>
        <v>1138614</v>
      </c>
      <c r="L151" s="830"/>
      <c r="M151" s="830"/>
      <c r="N151" s="28">
        <f t="shared" si="28"/>
        <v>11386.14</v>
      </c>
      <c r="O151" s="28">
        <f t="shared" si="29"/>
        <v>22772.28</v>
      </c>
      <c r="P151" s="830"/>
      <c r="Q151" s="28">
        <f t="shared" si="33"/>
        <v>1127227.8599999999</v>
      </c>
      <c r="R151" s="55"/>
      <c r="S151" s="301"/>
      <c r="T151" s="55">
        <v>30</v>
      </c>
      <c r="U151" s="24">
        <f t="shared" si="30"/>
        <v>44632</v>
      </c>
      <c r="V151" s="5"/>
      <c r="W151"/>
      <c r="X151"/>
      <c r="Y151"/>
      <c r="Z151"/>
      <c r="AA151"/>
      <c r="AB151"/>
      <c r="AC151"/>
      <c r="AD151"/>
      <c r="AE151"/>
      <c r="AF151"/>
      <c r="AG151"/>
      <c r="AH151"/>
      <c r="AI151"/>
      <c r="AJ151"/>
      <c r="AK151"/>
      <c r="AL151"/>
      <c r="AM151"/>
      <c r="AN151"/>
      <c r="AO151"/>
      <c r="AP151"/>
      <c r="AQ151"/>
      <c r="AR151"/>
    </row>
    <row r="152" spans="1:44" s="10" customFormat="1" ht="15.75" customHeight="1" x14ac:dyDescent="0.25">
      <c r="A152" s="55">
        <f t="shared" si="31"/>
        <v>7</v>
      </c>
      <c r="B152" s="633">
        <v>44606</v>
      </c>
      <c r="C152" s="755"/>
      <c r="D152" s="824" t="s">
        <v>3848</v>
      </c>
      <c r="E152" s="884"/>
      <c r="F152" s="33" t="s">
        <v>3870</v>
      </c>
      <c r="G152" s="404" t="s">
        <v>3432</v>
      </c>
      <c r="H152" s="45">
        <v>30000000</v>
      </c>
      <c r="I152" s="377" t="s">
        <v>3869</v>
      </c>
      <c r="J152" s="774">
        <v>44607</v>
      </c>
      <c r="K152" s="928">
        <f t="shared" si="32"/>
        <v>30000000</v>
      </c>
      <c r="L152" s="830"/>
      <c r="M152" s="830"/>
      <c r="N152" s="830">
        <v>3000000</v>
      </c>
      <c r="O152" s="830">
        <f t="shared" ref="O152:O165" si="34">K152*2%</f>
        <v>600000</v>
      </c>
      <c r="P152" s="830">
        <v>32400000</v>
      </c>
      <c r="Q152" s="28">
        <f t="shared" si="33"/>
        <v>0</v>
      </c>
      <c r="R152" s="55"/>
      <c r="S152" s="301">
        <v>44621</v>
      </c>
      <c r="T152" s="55">
        <v>14</v>
      </c>
      <c r="U152" s="24">
        <f t="shared" si="30"/>
        <v>44621</v>
      </c>
      <c r="V152" s="5"/>
      <c r="W152"/>
      <c r="X152"/>
      <c r="Y152"/>
      <c r="Z152"/>
      <c r="AA152"/>
      <c r="AB152"/>
      <c r="AC152"/>
      <c r="AD152"/>
      <c r="AE152"/>
      <c r="AF152"/>
      <c r="AG152"/>
      <c r="AH152"/>
      <c r="AI152"/>
      <c r="AJ152"/>
      <c r="AK152"/>
      <c r="AL152"/>
      <c r="AM152"/>
      <c r="AN152"/>
      <c r="AO152"/>
      <c r="AP152"/>
      <c r="AQ152"/>
      <c r="AR152"/>
    </row>
    <row r="153" spans="1:44" s="10" customFormat="1" ht="15.75" customHeight="1" x14ac:dyDescent="0.25">
      <c r="A153" s="55">
        <f t="shared" si="31"/>
        <v>8</v>
      </c>
      <c r="B153" s="633">
        <v>44608</v>
      </c>
      <c r="C153" s="755">
        <v>404543</v>
      </c>
      <c r="D153" s="824" t="s">
        <v>3872</v>
      </c>
      <c r="E153" s="884"/>
      <c r="F153" s="33" t="s">
        <v>3361</v>
      </c>
      <c r="G153" s="404" t="s">
        <v>521</v>
      </c>
      <c r="H153" s="45">
        <v>829400</v>
      </c>
      <c r="I153" s="377" t="s">
        <v>3871</v>
      </c>
      <c r="J153" s="774">
        <v>44608</v>
      </c>
      <c r="K153" s="928">
        <f t="shared" si="32"/>
        <v>829400</v>
      </c>
      <c r="L153" s="830"/>
      <c r="M153" s="830"/>
      <c r="N153" s="28">
        <f t="shared" ref="N153:N165" si="35">K153*1%</f>
        <v>8294</v>
      </c>
      <c r="O153" s="28">
        <f t="shared" si="34"/>
        <v>16588</v>
      </c>
      <c r="P153" s="830">
        <v>821106</v>
      </c>
      <c r="Q153" s="28">
        <f t="shared" si="33"/>
        <v>0</v>
      </c>
      <c r="R153" s="55"/>
      <c r="S153" s="301">
        <v>44610</v>
      </c>
      <c r="T153" s="55">
        <v>14</v>
      </c>
      <c r="U153" s="24">
        <f t="shared" si="30"/>
        <v>44622</v>
      </c>
      <c r="V153" s="5"/>
      <c r="W153"/>
      <c r="X153"/>
      <c r="Y153"/>
      <c r="Z153"/>
      <c r="AA153"/>
      <c r="AB153"/>
      <c r="AC153"/>
      <c r="AD153"/>
      <c r="AE153"/>
      <c r="AF153"/>
      <c r="AG153"/>
      <c r="AH153"/>
      <c r="AI153"/>
      <c r="AJ153"/>
      <c r="AK153"/>
      <c r="AL153"/>
      <c r="AM153"/>
      <c r="AN153"/>
      <c r="AO153"/>
      <c r="AP153"/>
      <c r="AQ153"/>
      <c r="AR153"/>
    </row>
    <row r="154" spans="1:44" s="10" customFormat="1" ht="15.75" customHeight="1" x14ac:dyDescent="0.25">
      <c r="A154" s="55">
        <f t="shared" si="31"/>
        <v>9</v>
      </c>
      <c r="B154" s="633">
        <v>44603</v>
      </c>
      <c r="C154" s="755">
        <v>403118</v>
      </c>
      <c r="D154" s="824" t="s">
        <v>3690</v>
      </c>
      <c r="E154" s="884"/>
      <c r="F154" s="6" t="s">
        <v>412</v>
      </c>
      <c r="G154" s="404" t="s">
        <v>417</v>
      </c>
      <c r="H154" s="45">
        <v>2029703</v>
      </c>
      <c r="I154" s="377" t="s">
        <v>3873</v>
      </c>
      <c r="J154" s="774">
        <v>44609</v>
      </c>
      <c r="K154" s="928">
        <f t="shared" si="32"/>
        <v>2029703</v>
      </c>
      <c r="L154" s="830"/>
      <c r="M154" s="830"/>
      <c r="N154" s="28">
        <f t="shared" si="35"/>
        <v>20297.03</v>
      </c>
      <c r="O154" s="28">
        <f t="shared" si="34"/>
        <v>40594.06</v>
      </c>
      <c r="P154" s="830">
        <v>2009405.97</v>
      </c>
      <c r="Q154" s="28">
        <f t="shared" si="33"/>
        <v>-2.9103830456733704E-11</v>
      </c>
      <c r="R154" s="55"/>
      <c r="S154" s="301">
        <v>44634</v>
      </c>
      <c r="T154" s="55">
        <v>30</v>
      </c>
      <c r="U154" s="24">
        <f t="shared" si="30"/>
        <v>44639</v>
      </c>
      <c r="V154" s="5"/>
      <c r="W154"/>
      <c r="X154"/>
      <c r="Y154"/>
      <c r="Z154"/>
      <c r="AA154"/>
      <c r="AB154"/>
      <c r="AC154"/>
      <c r="AD154"/>
      <c r="AE154"/>
      <c r="AF154"/>
      <c r="AG154"/>
      <c r="AH154"/>
      <c r="AI154"/>
      <c r="AJ154"/>
      <c r="AK154"/>
      <c r="AL154"/>
      <c r="AM154"/>
      <c r="AN154"/>
      <c r="AO154"/>
      <c r="AP154"/>
      <c r="AQ154"/>
      <c r="AR154"/>
    </row>
    <row r="155" spans="1:44" s="10" customFormat="1" ht="15.75" customHeight="1" x14ac:dyDescent="0.25">
      <c r="A155" s="55">
        <f t="shared" si="31"/>
        <v>10</v>
      </c>
      <c r="B155" s="633">
        <v>44607</v>
      </c>
      <c r="C155" s="755">
        <v>403070</v>
      </c>
      <c r="D155" s="824" t="s">
        <v>3875</v>
      </c>
      <c r="E155" s="884"/>
      <c r="F155" s="6" t="s">
        <v>412</v>
      </c>
      <c r="G155" s="404" t="s">
        <v>161</v>
      </c>
      <c r="H155" s="45">
        <v>1138614</v>
      </c>
      <c r="I155" s="377" t="s">
        <v>3874</v>
      </c>
      <c r="J155" s="774">
        <v>44609</v>
      </c>
      <c r="K155" s="928">
        <f t="shared" si="32"/>
        <v>1138614</v>
      </c>
      <c r="L155" s="821"/>
      <c r="M155" s="821"/>
      <c r="N155" s="28">
        <f t="shared" si="35"/>
        <v>11386.14</v>
      </c>
      <c r="O155" s="28">
        <f t="shared" si="34"/>
        <v>22772.28</v>
      </c>
      <c r="P155" s="821">
        <v>1127227.8599999999</v>
      </c>
      <c r="Q155" s="28">
        <f t="shared" si="33"/>
        <v>1.0186340659856796E-10</v>
      </c>
      <c r="R155" s="55"/>
      <c r="S155" s="301">
        <v>44634</v>
      </c>
      <c r="T155" s="55">
        <v>30</v>
      </c>
      <c r="U155" s="24">
        <f t="shared" si="30"/>
        <v>44639</v>
      </c>
      <c r="V155" s="5"/>
      <c r="W155"/>
      <c r="X155"/>
      <c r="Y155"/>
      <c r="Z155"/>
      <c r="AA155"/>
      <c r="AB155"/>
      <c r="AC155"/>
      <c r="AD155"/>
      <c r="AE155"/>
      <c r="AF155"/>
      <c r="AG155"/>
      <c r="AH155"/>
      <c r="AI155"/>
      <c r="AJ155"/>
      <c r="AK155"/>
      <c r="AL155"/>
      <c r="AM155"/>
      <c r="AN155"/>
      <c r="AO155"/>
      <c r="AP155"/>
      <c r="AQ155"/>
      <c r="AR155"/>
    </row>
    <row r="156" spans="1:44" s="10" customFormat="1" ht="15.75" customHeight="1" x14ac:dyDescent="0.25">
      <c r="A156" s="55">
        <f t="shared" si="31"/>
        <v>11</v>
      </c>
      <c r="B156" s="633">
        <v>44603</v>
      </c>
      <c r="C156" s="755">
        <v>403069</v>
      </c>
      <c r="D156" s="824" t="s">
        <v>3878</v>
      </c>
      <c r="E156" s="884"/>
      <c r="F156" s="6" t="s">
        <v>412</v>
      </c>
      <c r="G156" s="404" t="s">
        <v>417</v>
      </c>
      <c r="H156" s="45">
        <v>1831683</v>
      </c>
      <c r="I156" s="377" t="s">
        <v>3877</v>
      </c>
      <c r="J156" s="774">
        <v>44609</v>
      </c>
      <c r="K156" s="928">
        <f t="shared" si="32"/>
        <v>1831683</v>
      </c>
      <c r="L156" s="821"/>
      <c r="M156" s="821"/>
      <c r="N156" s="28">
        <f t="shared" si="35"/>
        <v>18316.830000000002</v>
      </c>
      <c r="O156" s="28">
        <f t="shared" si="34"/>
        <v>36633.660000000003</v>
      </c>
      <c r="P156" s="821">
        <v>1813366.1700000002</v>
      </c>
      <c r="Q156" s="28">
        <f t="shared" si="33"/>
        <v>-7.2759576141834259E-11</v>
      </c>
      <c r="R156" s="55"/>
      <c r="S156" s="301">
        <v>44634</v>
      </c>
      <c r="T156" s="55">
        <v>30</v>
      </c>
      <c r="U156" s="24">
        <f t="shared" si="30"/>
        <v>44639</v>
      </c>
      <c r="V156" s="5"/>
      <c r="W156"/>
      <c r="X156"/>
      <c r="Y156"/>
      <c r="Z156"/>
      <c r="AA156"/>
      <c r="AB156"/>
      <c r="AC156"/>
      <c r="AD156"/>
      <c r="AE156"/>
      <c r="AF156"/>
      <c r="AG156"/>
      <c r="AH156"/>
      <c r="AI156"/>
      <c r="AJ156"/>
      <c r="AK156"/>
      <c r="AL156"/>
      <c r="AM156"/>
      <c r="AN156"/>
      <c r="AO156"/>
      <c r="AP156"/>
      <c r="AQ156"/>
      <c r="AR156"/>
    </row>
    <row r="157" spans="1:44" s="10" customFormat="1" ht="15.75" customHeight="1" x14ac:dyDescent="0.25">
      <c r="A157" s="55">
        <f t="shared" si="31"/>
        <v>12</v>
      </c>
      <c r="B157" s="633">
        <v>44608</v>
      </c>
      <c r="C157" s="755">
        <v>403128</v>
      </c>
      <c r="D157" s="824" t="s">
        <v>3880</v>
      </c>
      <c r="E157" s="884"/>
      <c r="F157" s="6" t="s">
        <v>412</v>
      </c>
      <c r="G157" s="404" t="s">
        <v>417</v>
      </c>
      <c r="H157" s="45">
        <v>1831683</v>
      </c>
      <c r="I157" s="377" t="s">
        <v>3879</v>
      </c>
      <c r="J157" s="774">
        <v>44609</v>
      </c>
      <c r="K157" s="928">
        <f t="shared" si="32"/>
        <v>1831683</v>
      </c>
      <c r="L157" s="821"/>
      <c r="M157" s="821"/>
      <c r="N157" s="28">
        <f t="shared" si="35"/>
        <v>18316.830000000002</v>
      </c>
      <c r="O157" s="28">
        <f t="shared" si="34"/>
        <v>36633.660000000003</v>
      </c>
      <c r="P157" s="821">
        <v>1813366.1700000002</v>
      </c>
      <c r="Q157" s="28">
        <f t="shared" si="33"/>
        <v>-7.2759576141834259E-11</v>
      </c>
      <c r="R157" s="55"/>
      <c r="S157" s="301">
        <v>44634</v>
      </c>
      <c r="T157" s="55">
        <v>30</v>
      </c>
      <c r="U157" s="24">
        <f t="shared" si="30"/>
        <v>44639</v>
      </c>
      <c r="V157" s="5"/>
      <c r="W157"/>
      <c r="X157"/>
      <c r="Y157"/>
      <c r="Z157"/>
      <c r="AA157"/>
      <c r="AB157"/>
      <c r="AC157"/>
      <c r="AD157"/>
      <c r="AE157"/>
      <c r="AF157"/>
      <c r="AG157"/>
      <c r="AH157"/>
      <c r="AI157"/>
      <c r="AJ157"/>
      <c r="AK157"/>
      <c r="AL157"/>
      <c r="AM157"/>
      <c r="AN157"/>
      <c r="AO157"/>
      <c r="AP157"/>
      <c r="AQ157"/>
      <c r="AR157"/>
    </row>
    <row r="158" spans="1:44" s="10" customFormat="1" ht="15.75" customHeight="1" x14ac:dyDescent="0.25">
      <c r="A158" s="55">
        <f t="shared" si="31"/>
        <v>13</v>
      </c>
      <c r="B158" s="834">
        <v>44610</v>
      </c>
      <c r="C158" s="755"/>
      <c r="D158" s="824" t="s">
        <v>3935</v>
      </c>
      <c r="E158" s="884"/>
      <c r="F158" s="33" t="s">
        <v>3654</v>
      </c>
      <c r="G158" s="404" t="s">
        <v>3936</v>
      </c>
      <c r="H158" s="45">
        <v>1700000</v>
      </c>
      <c r="I158" s="377" t="s">
        <v>3934</v>
      </c>
      <c r="J158" s="774">
        <v>44613</v>
      </c>
      <c r="K158" s="928">
        <f t="shared" si="32"/>
        <v>1700000</v>
      </c>
      <c r="L158" s="832"/>
      <c r="M158" s="832">
        <v>17000</v>
      </c>
      <c r="N158" s="28">
        <f t="shared" si="35"/>
        <v>17000</v>
      </c>
      <c r="O158" s="28">
        <f t="shared" si="34"/>
        <v>34000</v>
      </c>
      <c r="P158" s="832"/>
      <c r="Q158" s="28">
        <f t="shared" si="33"/>
        <v>1666000</v>
      </c>
      <c r="R158" s="55"/>
      <c r="S158" s="301">
        <v>44643</v>
      </c>
      <c r="T158" s="55">
        <v>14</v>
      </c>
      <c r="U158" s="24">
        <f t="shared" si="30"/>
        <v>44627</v>
      </c>
      <c r="V158" s="5"/>
      <c r="W158"/>
      <c r="X158"/>
      <c r="Y158"/>
      <c r="Z158"/>
      <c r="AA158"/>
      <c r="AB158"/>
      <c r="AC158"/>
      <c r="AD158"/>
      <c r="AE158"/>
      <c r="AF158"/>
      <c r="AG158"/>
      <c r="AH158"/>
      <c r="AI158"/>
      <c r="AJ158"/>
      <c r="AK158"/>
      <c r="AL158"/>
      <c r="AM158"/>
      <c r="AN158"/>
      <c r="AO158"/>
      <c r="AP158"/>
      <c r="AQ158"/>
      <c r="AR158"/>
    </row>
    <row r="159" spans="1:44" s="10" customFormat="1" ht="15.75" customHeight="1" x14ac:dyDescent="0.25">
      <c r="A159" s="55">
        <f t="shared" si="31"/>
        <v>14</v>
      </c>
      <c r="B159" s="633">
        <v>44603</v>
      </c>
      <c r="C159" s="755"/>
      <c r="D159" s="824" t="s">
        <v>3940</v>
      </c>
      <c r="E159" s="884"/>
      <c r="F159" s="33" t="s">
        <v>3941</v>
      </c>
      <c r="G159" s="404" t="s">
        <v>774</v>
      </c>
      <c r="H159" s="45">
        <v>13000000</v>
      </c>
      <c r="I159" s="377" t="s">
        <v>3939</v>
      </c>
      <c r="J159" s="774">
        <v>44614</v>
      </c>
      <c r="K159" s="928">
        <f t="shared" si="32"/>
        <v>13000000</v>
      </c>
      <c r="L159" s="832"/>
      <c r="M159" s="832"/>
      <c r="N159" s="28">
        <f t="shared" si="35"/>
        <v>130000</v>
      </c>
      <c r="O159" s="28">
        <f t="shared" si="34"/>
        <v>260000</v>
      </c>
      <c r="P159" s="832">
        <v>12870000</v>
      </c>
      <c r="Q159" s="28">
        <f t="shared" si="33"/>
        <v>0</v>
      </c>
      <c r="R159" s="55"/>
      <c r="S159" s="301">
        <v>44645</v>
      </c>
      <c r="T159" s="55">
        <v>14</v>
      </c>
      <c r="U159" s="24">
        <f t="shared" si="30"/>
        <v>44628</v>
      </c>
      <c r="V159" s="5"/>
      <c r="W159"/>
      <c r="X159"/>
      <c r="Y159"/>
      <c r="Z159"/>
      <c r="AA159"/>
      <c r="AB159"/>
      <c r="AC159"/>
      <c r="AD159"/>
      <c r="AE159"/>
      <c r="AF159"/>
      <c r="AG159"/>
      <c r="AH159"/>
      <c r="AI159"/>
      <c r="AJ159"/>
      <c r="AK159"/>
      <c r="AL159"/>
      <c r="AM159"/>
      <c r="AN159"/>
      <c r="AO159"/>
      <c r="AP159"/>
      <c r="AQ159"/>
      <c r="AR159"/>
    </row>
    <row r="160" spans="1:44" s="10" customFormat="1" ht="15.75" customHeight="1" x14ac:dyDescent="0.25">
      <c r="A160" s="55">
        <f t="shared" si="31"/>
        <v>15</v>
      </c>
      <c r="B160" s="633">
        <v>44608</v>
      </c>
      <c r="C160" s="755">
        <v>403073</v>
      </c>
      <c r="D160" s="824" t="s">
        <v>3943</v>
      </c>
      <c r="E160" s="884"/>
      <c r="F160" s="6" t="s">
        <v>412</v>
      </c>
      <c r="G160" s="404" t="s">
        <v>421</v>
      </c>
      <c r="H160" s="45">
        <v>1138614</v>
      </c>
      <c r="I160" s="377" t="s">
        <v>3942</v>
      </c>
      <c r="J160" s="774">
        <v>44615</v>
      </c>
      <c r="K160" s="928">
        <f t="shared" si="32"/>
        <v>1138614</v>
      </c>
      <c r="L160" s="832"/>
      <c r="M160" s="832"/>
      <c r="N160" s="28">
        <f t="shared" si="35"/>
        <v>11386.14</v>
      </c>
      <c r="O160" s="28">
        <f t="shared" si="34"/>
        <v>22772.28</v>
      </c>
      <c r="P160" s="832"/>
      <c r="Q160" s="28">
        <f t="shared" si="33"/>
        <v>1127227.8599999999</v>
      </c>
      <c r="R160" s="55"/>
      <c r="S160" s="301"/>
      <c r="T160" s="55">
        <v>30</v>
      </c>
      <c r="U160" s="24">
        <f t="shared" si="30"/>
        <v>44645</v>
      </c>
      <c r="V160" s="5"/>
      <c r="W160"/>
      <c r="X160"/>
      <c r="Y160"/>
      <c r="Z160"/>
      <c r="AA160"/>
      <c r="AB160"/>
      <c r="AC160"/>
      <c r="AD160"/>
      <c r="AE160"/>
      <c r="AF160"/>
      <c r="AG160"/>
      <c r="AH160"/>
      <c r="AI160"/>
      <c r="AJ160"/>
      <c r="AK160"/>
      <c r="AL160"/>
      <c r="AM160"/>
      <c r="AN160"/>
      <c r="AO160"/>
      <c r="AP160"/>
      <c r="AQ160"/>
      <c r="AR160"/>
    </row>
    <row r="161" spans="1:44" s="10" customFormat="1" ht="15.75" customHeight="1" x14ac:dyDescent="0.25">
      <c r="A161" s="55">
        <f t="shared" si="31"/>
        <v>16</v>
      </c>
      <c r="B161" s="633">
        <v>44608</v>
      </c>
      <c r="C161" s="755">
        <v>403076</v>
      </c>
      <c r="D161" s="824" t="s">
        <v>3945</v>
      </c>
      <c r="E161" s="884"/>
      <c r="F161" s="6" t="s">
        <v>412</v>
      </c>
      <c r="G161" s="404" t="s">
        <v>811</v>
      </c>
      <c r="H161" s="45">
        <v>3118812</v>
      </c>
      <c r="I161" s="377" t="s">
        <v>3944</v>
      </c>
      <c r="J161" s="774">
        <v>44615</v>
      </c>
      <c r="K161" s="928">
        <f t="shared" si="32"/>
        <v>3118812</v>
      </c>
      <c r="L161" s="832"/>
      <c r="M161" s="832"/>
      <c r="N161" s="28">
        <f t="shared" si="35"/>
        <v>31188.12</v>
      </c>
      <c r="O161" s="28">
        <f t="shared" si="34"/>
        <v>62376.24</v>
      </c>
      <c r="P161" s="832"/>
      <c r="Q161" s="28">
        <f t="shared" si="33"/>
        <v>3087623.88</v>
      </c>
      <c r="R161" s="55"/>
      <c r="S161" s="301"/>
      <c r="T161" s="55">
        <v>30</v>
      </c>
      <c r="U161" s="24">
        <f t="shared" si="30"/>
        <v>44645</v>
      </c>
      <c r="V161" s="5"/>
      <c r="W161"/>
      <c r="X161"/>
      <c r="Y161"/>
      <c r="Z161"/>
      <c r="AA161"/>
      <c r="AB161"/>
      <c r="AC161"/>
      <c r="AD161"/>
      <c r="AE161"/>
      <c r="AF161"/>
      <c r="AG161"/>
      <c r="AH161"/>
      <c r="AI161"/>
      <c r="AJ161"/>
      <c r="AK161"/>
      <c r="AL161"/>
      <c r="AM161"/>
      <c r="AN161"/>
      <c r="AO161"/>
      <c r="AP161"/>
      <c r="AQ161"/>
      <c r="AR161"/>
    </row>
    <row r="162" spans="1:44" s="10" customFormat="1" ht="15.75" customHeight="1" x14ac:dyDescent="0.25">
      <c r="A162" s="55">
        <f t="shared" si="31"/>
        <v>17</v>
      </c>
      <c r="B162" s="633">
        <v>44610</v>
      </c>
      <c r="C162" s="755">
        <v>403083</v>
      </c>
      <c r="D162" s="824" t="s">
        <v>3947</v>
      </c>
      <c r="E162" s="884"/>
      <c r="F162" s="6" t="s">
        <v>412</v>
      </c>
      <c r="G162" s="404" t="s">
        <v>417</v>
      </c>
      <c r="H162" s="45">
        <v>2029703</v>
      </c>
      <c r="I162" s="377" t="s">
        <v>3946</v>
      </c>
      <c r="J162" s="774">
        <v>44615</v>
      </c>
      <c r="K162" s="928">
        <f t="shared" si="32"/>
        <v>2029703</v>
      </c>
      <c r="L162" s="832"/>
      <c r="M162" s="832"/>
      <c r="N162" s="28">
        <f t="shared" si="35"/>
        <v>20297.03</v>
      </c>
      <c r="O162" s="28">
        <f t="shared" si="34"/>
        <v>40594.06</v>
      </c>
      <c r="P162" s="832"/>
      <c r="Q162" s="28">
        <f t="shared" si="33"/>
        <v>2009405.97</v>
      </c>
      <c r="R162" s="55"/>
      <c r="S162" s="301"/>
      <c r="T162" s="55">
        <v>30</v>
      </c>
      <c r="U162" s="24">
        <f t="shared" si="30"/>
        <v>44645</v>
      </c>
      <c r="V162" s="5"/>
      <c r="W162"/>
      <c r="X162"/>
      <c r="Y162"/>
      <c r="Z162"/>
      <c r="AA162"/>
      <c r="AB162"/>
      <c r="AC162"/>
      <c r="AD162"/>
      <c r="AE162"/>
      <c r="AF162"/>
      <c r="AG162"/>
      <c r="AH162"/>
      <c r="AI162"/>
      <c r="AJ162"/>
      <c r="AK162"/>
      <c r="AL162"/>
      <c r="AM162"/>
      <c r="AN162"/>
      <c r="AO162"/>
      <c r="AP162"/>
      <c r="AQ162"/>
      <c r="AR162"/>
    </row>
    <row r="163" spans="1:44" s="10" customFormat="1" ht="15.75" customHeight="1" x14ac:dyDescent="0.25">
      <c r="A163" s="55">
        <f t="shared" si="31"/>
        <v>18</v>
      </c>
      <c r="B163" s="633">
        <v>44614</v>
      </c>
      <c r="C163" s="755">
        <v>403086</v>
      </c>
      <c r="D163" s="824" t="s">
        <v>4000</v>
      </c>
      <c r="E163" s="884"/>
      <c r="F163" s="6" t="s">
        <v>412</v>
      </c>
      <c r="G163" s="404" t="s">
        <v>161</v>
      </c>
      <c r="H163" s="45">
        <v>1138614</v>
      </c>
      <c r="I163" s="377" t="s">
        <v>3999</v>
      </c>
      <c r="J163" s="774">
        <v>44616</v>
      </c>
      <c r="K163" s="928">
        <f t="shared" si="32"/>
        <v>1138614</v>
      </c>
      <c r="L163" s="832"/>
      <c r="M163" s="832"/>
      <c r="N163" s="28">
        <f t="shared" si="35"/>
        <v>11386.14</v>
      </c>
      <c r="O163" s="28">
        <f t="shared" si="34"/>
        <v>22772.28</v>
      </c>
      <c r="P163" s="832"/>
      <c r="Q163" s="28">
        <f t="shared" si="33"/>
        <v>1127227.8599999999</v>
      </c>
      <c r="R163" s="55"/>
      <c r="S163" s="301"/>
      <c r="T163" s="55">
        <v>30</v>
      </c>
      <c r="U163" s="24">
        <f t="shared" si="30"/>
        <v>44646</v>
      </c>
      <c r="V163" s="5"/>
      <c r="W163"/>
      <c r="X163"/>
      <c r="Y163"/>
      <c r="Z163"/>
      <c r="AA163"/>
      <c r="AB163"/>
      <c r="AC163"/>
      <c r="AD163"/>
      <c r="AE163"/>
      <c r="AF163"/>
      <c r="AG163"/>
      <c r="AH163"/>
      <c r="AI163"/>
      <c r="AJ163"/>
      <c r="AK163"/>
      <c r="AL163"/>
      <c r="AM163"/>
      <c r="AN163"/>
      <c r="AO163"/>
      <c r="AP163"/>
      <c r="AQ163"/>
      <c r="AR163"/>
    </row>
    <row r="164" spans="1:44" s="10" customFormat="1" ht="15.75" customHeight="1" x14ac:dyDescent="0.25">
      <c r="A164" s="55">
        <f t="shared" si="31"/>
        <v>19</v>
      </c>
      <c r="B164" s="633">
        <v>44608</v>
      </c>
      <c r="C164" s="755">
        <v>403079</v>
      </c>
      <c r="D164" s="824" t="s">
        <v>4002</v>
      </c>
      <c r="E164" s="884"/>
      <c r="F164" s="6" t="s">
        <v>412</v>
      </c>
      <c r="G164" s="404" t="s">
        <v>730</v>
      </c>
      <c r="H164" s="45">
        <v>3118812</v>
      </c>
      <c r="I164" s="377" t="s">
        <v>4001</v>
      </c>
      <c r="J164" s="774">
        <v>44616</v>
      </c>
      <c r="K164" s="928">
        <f t="shared" si="32"/>
        <v>3118812</v>
      </c>
      <c r="L164" s="832"/>
      <c r="M164" s="832"/>
      <c r="N164" s="28">
        <f t="shared" si="35"/>
        <v>31188.12</v>
      </c>
      <c r="O164" s="28">
        <f t="shared" si="34"/>
        <v>62376.24</v>
      </c>
      <c r="P164" s="832"/>
      <c r="Q164" s="28">
        <f t="shared" si="33"/>
        <v>3087623.88</v>
      </c>
      <c r="R164" s="55"/>
      <c r="S164" s="301"/>
      <c r="T164" s="55">
        <v>30</v>
      </c>
      <c r="U164" s="24">
        <f t="shared" si="30"/>
        <v>44646</v>
      </c>
      <c r="V164" s="5"/>
      <c r="W164"/>
      <c r="X164"/>
      <c r="Y164"/>
      <c r="Z164"/>
      <c r="AA164"/>
      <c r="AB164"/>
      <c r="AC164"/>
      <c r="AD164"/>
      <c r="AE164"/>
      <c r="AF164"/>
      <c r="AG164"/>
      <c r="AH164"/>
      <c r="AI164"/>
      <c r="AJ164"/>
      <c r="AK164"/>
      <c r="AL164"/>
      <c r="AM164"/>
      <c r="AN164"/>
      <c r="AO164"/>
      <c r="AP164"/>
      <c r="AQ164"/>
      <c r="AR164"/>
    </row>
    <row r="165" spans="1:44" s="10" customFormat="1" ht="15.75" customHeight="1" x14ac:dyDescent="0.25">
      <c r="A165" s="55">
        <f t="shared" si="31"/>
        <v>20</v>
      </c>
      <c r="B165" s="633">
        <v>44615</v>
      </c>
      <c r="C165" s="755">
        <v>403088</v>
      </c>
      <c r="D165" s="824" t="s">
        <v>4004</v>
      </c>
      <c r="E165" s="884"/>
      <c r="F165" s="6" t="s">
        <v>412</v>
      </c>
      <c r="G165" s="404" t="s">
        <v>421</v>
      </c>
      <c r="H165" s="45">
        <v>1138614</v>
      </c>
      <c r="I165" s="377" t="s">
        <v>4003</v>
      </c>
      <c r="J165" s="774">
        <v>44616</v>
      </c>
      <c r="K165" s="928">
        <f t="shared" si="32"/>
        <v>1138614</v>
      </c>
      <c r="L165" s="832"/>
      <c r="M165" s="832"/>
      <c r="N165" s="28">
        <f t="shared" si="35"/>
        <v>11386.14</v>
      </c>
      <c r="O165" s="28">
        <f t="shared" si="34"/>
        <v>22772.28</v>
      </c>
      <c r="P165" s="832"/>
      <c r="Q165" s="28">
        <f t="shared" si="33"/>
        <v>1127227.8599999999</v>
      </c>
      <c r="R165" s="55"/>
      <c r="S165" s="301"/>
      <c r="T165" s="55">
        <v>30</v>
      </c>
      <c r="U165" s="24">
        <f t="shared" si="30"/>
        <v>44646</v>
      </c>
      <c r="V165" s="5"/>
      <c r="W165"/>
      <c r="X165"/>
      <c r="Y165"/>
      <c r="Z165"/>
      <c r="AA165"/>
      <c r="AB165"/>
      <c r="AC165"/>
      <c r="AD165"/>
      <c r="AE165"/>
      <c r="AF165"/>
      <c r="AG165"/>
      <c r="AH165"/>
      <c r="AI165"/>
      <c r="AJ165"/>
      <c r="AK165"/>
      <c r="AL165"/>
      <c r="AM165"/>
      <c r="AN165"/>
      <c r="AO165"/>
      <c r="AP165"/>
      <c r="AQ165"/>
      <c r="AR165"/>
    </row>
    <row r="166" spans="1:44" s="10" customFormat="1" ht="15.75" customHeight="1" x14ac:dyDescent="0.25">
      <c r="A166" s="55">
        <f t="shared" si="31"/>
        <v>21</v>
      </c>
      <c r="B166" s="633">
        <v>44609</v>
      </c>
      <c r="C166" s="755" t="s">
        <v>3905</v>
      </c>
      <c r="D166" s="824" t="s">
        <v>4110</v>
      </c>
      <c r="E166" s="884"/>
      <c r="F166" s="33" t="s">
        <v>4111</v>
      </c>
      <c r="G166" s="404" t="s">
        <v>421</v>
      </c>
      <c r="H166" s="45">
        <v>5440000</v>
      </c>
      <c r="I166" s="377" t="s">
        <v>4109</v>
      </c>
      <c r="J166" s="774">
        <v>44621</v>
      </c>
      <c r="K166" s="928">
        <f t="shared" si="32"/>
        <v>5440000</v>
      </c>
      <c r="L166" s="832"/>
      <c r="M166" s="832"/>
      <c r="N166" s="846">
        <f t="shared" ref="N166" si="36">K166*1%</f>
        <v>54400</v>
      </c>
      <c r="O166" s="846"/>
      <c r="P166" s="832">
        <v>5494400</v>
      </c>
      <c r="Q166" s="28">
        <f t="shared" si="33"/>
        <v>0</v>
      </c>
      <c r="R166" s="55"/>
      <c r="S166" s="301">
        <v>44627</v>
      </c>
      <c r="T166" s="55">
        <v>14</v>
      </c>
      <c r="U166" s="24">
        <f t="shared" si="30"/>
        <v>44635</v>
      </c>
      <c r="V166" s="5"/>
      <c r="W166"/>
      <c r="X166"/>
      <c r="Y166"/>
      <c r="Z166"/>
      <c r="AA166"/>
      <c r="AB166"/>
      <c r="AC166"/>
      <c r="AD166"/>
      <c r="AE166"/>
      <c r="AF166"/>
      <c r="AG166"/>
      <c r="AH166"/>
      <c r="AI166"/>
      <c r="AJ166"/>
      <c r="AK166"/>
      <c r="AL166"/>
      <c r="AM166"/>
      <c r="AN166"/>
      <c r="AO166"/>
      <c r="AP166"/>
      <c r="AQ166"/>
      <c r="AR166"/>
    </row>
    <row r="167" spans="1:44" s="10" customFormat="1" ht="15.75" customHeight="1" x14ac:dyDescent="0.25">
      <c r="A167" s="55">
        <f t="shared" si="31"/>
        <v>22</v>
      </c>
      <c r="B167" s="633">
        <v>44582</v>
      </c>
      <c r="C167" s="755">
        <v>402847</v>
      </c>
      <c r="D167" s="824"/>
      <c r="E167" s="884"/>
      <c r="F167" s="33" t="s">
        <v>1195</v>
      </c>
      <c r="G167" s="404" t="s">
        <v>4114</v>
      </c>
      <c r="H167" s="45">
        <v>182873036.5</v>
      </c>
      <c r="I167" s="377" t="s">
        <v>4113</v>
      </c>
      <c r="J167" s="774">
        <v>44622</v>
      </c>
      <c r="K167" s="928">
        <f t="shared" si="32"/>
        <v>182873036.5</v>
      </c>
      <c r="L167" s="832"/>
      <c r="M167" s="832"/>
      <c r="N167" s="876">
        <f t="shared" ref="N167" si="37">K167*1%</f>
        <v>1828730.365</v>
      </c>
      <c r="O167" s="876">
        <f t="shared" ref="O167" si="38">K167*2%</f>
        <v>3657460.73</v>
      </c>
      <c r="P167" s="832">
        <v>181044306.13500002</v>
      </c>
      <c r="Q167" s="28">
        <f t="shared" si="33"/>
        <v>-9.5460563898086548E-9</v>
      </c>
      <c r="R167" s="55"/>
      <c r="S167" s="301">
        <v>44637</v>
      </c>
      <c r="T167" s="55">
        <v>14</v>
      </c>
      <c r="U167" s="24">
        <f t="shared" si="30"/>
        <v>44636</v>
      </c>
      <c r="V167" s="5"/>
      <c r="W167"/>
      <c r="X167"/>
      <c r="Y167"/>
      <c r="Z167"/>
      <c r="AA167"/>
      <c r="AB167"/>
      <c r="AC167"/>
      <c r="AD167"/>
      <c r="AE167"/>
      <c r="AF167"/>
      <c r="AG167"/>
      <c r="AH167"/>
      <c r="AI167"/>
      <c r="AJ167"/>
      <c r="AK167"/>
      <c r="AL167"/>
      <c r="AM167"/>
      <c r="AN167"/>
      <c r="AO167"/>
      <c r="AP167"/>
      <c r="AQ167"/>
      <c r="AR167"/>
    </row>
    <row r="168" spans="1:44" s="10" customFormat="1" ht="15.75" customHeight="1" x14ac:dyDescent="0.25">
      <c r="A168" s="55">
        <f t="shared" si="31"/>
        <v>23</v>
      </c>
      <c r="B168" s="633">
        <v>44609</v>
      </c>
      <c r="C168" s="755">
        <v>404911</v>
      </c>
      <c r="D168" s="824" t="s">
        <v>4119</v>
      </c>
      <c r="E168" s="884"/>
      <c r="F168" s="33" t="s">
        <v>3445</v>
      </c>
      <c r="G168" s="404" t="s">
        <v>715</v>
      </c>
      <c r="H168" s="45">
        <v>8000000</v>
      </c>
      <c r="I168" s="377" t="s">
        <v>4118</v>
      </c>
      <c r="J168" s="774">
        <v>44627</v>
      </c>
      <c r="K168" s="928">
        <f t="shared" si="32"/>
        <v>8000000</v>
      </c>
      <c r="L168" s="876"/>
      <c r="M168" s="876"/>
      <c r="N168" s="28">
        <f>K168*1%</f>
        <v>80000</v>
      </c>
      <c r="O168" s="28">
        <f>K168*2%</f>
        <v>160000</v>
      </c>
      <c r="P168" s="876"/>
      <c r="Q168" s="28">
        <f t="shared" si="33"/>
        <v>7920000</v>
      </c>
      <c r="R168" s="55"/>
      <c r="S168" s="301"/>
      <c r="T168" s="55">
        <v>14</v>
      </c>
      <c r="U168" s="24">
        <f t="shared" si="30"/>
        <v>44641</v>
      </c>
      <c r="V168" s="5"/>
      <c r="W168"/>
      <c r="X168"/>
      <c r="Y168"/>
      <c r="Z168"/>
      <c r="AA168"/>
      <c r="AB168"/>
      <c r="AC168"/>
      <c r="AD168"/>
      <c r="AE168"/>
      <c r="AF168"/>
      <c r="AG168"/>
      <c r="AH168"/>
      <c r="AI168"/>
      <c r="AJ168"/>
      <c r="AK168"/>
      <c r="AL168"/>
      <c r="AM168"/>
      <c r="AN168"/>
      <c r="AO168"/>
      <c r="AP168"/>
      <c r="AQ168"/>
      <c r="AR168"/>
    </row>
    <row r="169" spans="1:44" s="10" customFormat="1" ht="15.75" customHeight="1" x14ac:dyDescent="0.25">
      <c r="A169" s="55" t="e">
        <f>#REF!+1</f>
        <v>#REF!</v>
      </c>
      <c r="B169" s="633">
        <v>44615</v>
      </c>
      <c r="C169" s="755">
        <v>403130</v>
      </c>
      <c r="D169" s="824" t="s">
        <v>4194</v>
      </c>
      <c r="E169" s="884"/>
      <c r="F169" s="33" t="s">
        <v>412</v>
      </c>
      <c r="G169" s="404" t="s">
        <v>516</v>
      </c>
      <c r="H169" s="914">
        <v>3118812</v>
      </c>
      <c r="I169" s="913" t="s">
        <v>4362</v>
      </c>
      <c r="J169" s="774">
        <v>44629</v>
      </c>
      <c r="K169" s="928">
        <f t="shared" si="32"/>
        <v>3118812</v>
      </c>
      <c r="L169" s="866"/>
      <c r="M169" s="866"/>
      <c r="N169" s="28">
        <f t="shared" ref="N169:N171" si="39">K169*1%</f>
        <v>31188.12</v>
      </c>
      <c r="O169" s="28">
        <f t="shared" ref="O169:O171" si="40">K169*2%</f>
        <v>62376.24</v>
      </c>
      <c r="P169" s="866"/>
      <c r="Q169" s="28">
        <f t="shared" si="33"/>
        <v>3087623.88</v>
      </c>
      <c r="R169" s="55"/>
      <c r="S169" s="301"/>
      <c r="T169" s="55">
        <v>30</v>
      </c>
      <c r="U169" s="24">
        <f t="shared" ref="U169:U170" si="41">J169+T169</f>
        <v>44659</v>
      </c>
      <c r="V169" s="5"/>
      <c r="W169"/>
      <c r="X169"/>
      <c r="Y169"/>
      <c r="Z169"/>
      <c r="AA169"/>
      <c r="AB169"/>
      <c r="AC169"/>
      <c r="AD169"/>
      <c r="AE169"/>
      <c r="AF169"/>
      <c r="AG169"/>
      <c r="AH169"/>
      <c r="AI169"/>
      <c r="AJ169"/>
      <c r="AK169"/>
      <c r="AL169"/>
      <c r="AM169"/>
      <c r="AN169"/>
      <c r="AO169"/>
      <c r="AP169"/>
      <c r="AQ169"/>
      <c r="AR169"/>
    </row>
    <row r="170" spans="1:44" s="10" customFormat="1" ht="15.75" customHeight="1" x14ac:dyDescent="0.25">
      <c r="A170" s="55" t="e">
        <f t="shared" si="31"/>
        <v>#REF!</v>
      </c>
      <c r="B170" s="633">
        <v>44617</v>
      </c>
      <c r="C170" s="755">
        <v>404865</v>
      </c>
      <c r="D170" s="824" t="s">
        <v>4196</v>
      </c>
      <c r="E170" s="884"/>
      <c r="F170" s="33" t="s">
        <v>412</v>
      </c>
      <c r="G170" s="404" t="s">
        <v>417</v>
      </c>
      <c r="H170" s="908">
        <v>1831683</v>
      </c>
      <c r="I170" s="377" t="s">
        <v>4363</v>
      </c>
      <c r="J170" s="774">
        <v>44629</v>
      </c>
      <c r="K170" s="928">
        <f t="shared" si="32"/>
        <v>1831683</v>
      </c>
      <c r="L170" s="866"/>
      <c r="M170" s="866"/>
      <c r="N170" s="28">
        <f t="shared" si="39"/>
        <v>18316.830000000002</v>
      </c>
      <c r="O170" s="28">
        <f t="shared" si="40"/>
        <v>36633.660000000003</v>
      </c>
      <c r="P170" s="866"/>
      <c r="Q170" s="28">
        <f t="shared" si="33"/>
        <v>1813366.1700000002</v>
      </c>
      <c r="R170" s="55"/>
      <c r="S170" s="301"/>
      <c r="T170" s="55">
        <v>30</v>
      </c>
      <c r="U170" s="24">
        <f t="shared" si="41"/>
        <v>44659</v>
      </c>
      <c r="V170" s="5"/>
      <c r="W170"/>
      <c r="X170"/>
      <c r="Y170"/>
      <c r="Z170"/>
      <c r="AA170"/>
      <c r="AB170"/>
      <c r="AC170"/>
      <c r="AD170"/>
      <c r="AE170"/>
      <c r="AF170"/>
      <c r="AG170"/>
      <c r="AH170"/>
      <c r="AI170"/>
      <c r="AJ170"/>
      <c r="AK170"/>
      <c r="AL170"/>
      <c r="AM170"/>
      <c r="AN170"/>
      <c r="AO170"/>
      <c r="AP170"/>
      <c r="AQ170"/>
      <c r="AR170"/>
    </row>
    <row r="171" spans="1:44" s="10" customFormat="1" ht="15.75" customHeight="1" x14ac:dyDescent="0.25">
      <c r="A171" s="55" t="e">
        <f t="shared" si="31"/>
        <v>#REF!</v>
      </c>
      <c r="B171" s="633">
        <v>44599</v>
      </c>
      <c r="C171" s="755">
        <v>404554</v>
      </c>
      <c r="D171" s="824" t="s">
        <v>4189</v>
      </c>
      <c r="E171" s="884"/>
      <c r="F171" s="33" t="s">
        <v>2825</v>
      </c>
      <c r="G171" s="404" t="s">
        <v>582</v>
      </c>
      <c r="H171" s="45">
        <v>3600000</v>
      </c>
      <c r="I171" s="377" t="s">
        <v>4358</v>
      </c>
      <c r="J171" s="774">
        <v>44629</v>
      </c>
      <c r="K171" s="928">
        <f t="shared" si="32"/>
        <v>3600000</v>
      </c>
      <c r="L171" s="866"/>
      <c r="M171" s="866"/>
      <c r="N171" s="28">
        <f t="shared" si="39"/>
        <v>36000</v>
      </c>
      <c r="O171" s="28">
        <f t="shared" si="40"/>
        <v>72000</v>
      </c>
      <c r="P171" s="866"/>
      <c r="Q171" s="28">
        <f t="shared" si="33"/>
        <v>3564000</v>
      </c>
      <c r="R171" s="55"/>
      <c r="S171" s="301"/>
      <c r="T171" s="55"/>
      <c r="U171" s="24"/>
      <c r="V171" s="5"/>
      <c r="W171"/>
      <c r="X171"/>
      <c r="Y171"/>
      <c r="Z171"/>
      <c r="AA171"/>
      <c r="AB171"/>
      <c r="AC171"/>
      <c r="AD171"/>
      <c r="AE171"/>
      <c r="AF171"/>
      <c r="AG171"/>
      <c r="AH171"/>
      <c r="AI171"/>
      <c r="AJ171"/>
      <c r="AK171"/>
      <c r="AL171"/>
      <c r="AM171"/>
      <c r="AN171"/>
      <c r="AO171"/>
      <c r="AP171"/>
      <c r="AQ171"/>
      <c r="AR171"/>
    </row>
    <row r="172" spans="1:44" s="10" customFormat="1" ht="15.75" customHeight="1" x14ac:dyDescent="0.25">
      <c r="A172" s="55" t="e">
        <f t="shared" si="31"/>
        <v>#REF!</v>
      </c>
      <c r="B172" s="633">
        <v>44597</v>
      </c>
      <c r="C172" s="755">
        <v>403306</v>
      </c>
      <c r="D172" s="824"/>
      <c r="E172" s="884"/>
      <c r="F172" s="33" t="s">
        <v>1195</v>
      </c>
      <c r="G172" s="33" t="s">
        <v>4640</v>
      </c>
      <c r="H172" s="45">
        <v>15806000</v>
      </c>
      <c r="I172" s="377" t="s">
        <v>4639</v>
      </c>
      <c r="J172" s="774">
        <v>44646</v>
      </c>
      <c r="K172" s="928">
        <f t="shared" si="32"/>
        <v>15806000</v>
      </c>
      <c r="L172" s="894"/>
      <c r="M172" s="894">
        <v>1580600</v>
      </c>
      <c r="N172" s="894">
        <v>142254</v>
      </c>
      <c r="O172" s="894">
        <v>284508</v>
      </c>
      <c r="P172" s="894"/>
      <c r="Q172" s="28">
        <f t="shared" si="33"/>
        <v>14083146</v>
      </c>
      <c r="R172" s="55"/>
      <c r="S172" s="301"/>
      <c r="T172" s="55"/>
      <c r="U172" s="24"/>
      <c r="V172" s="5"/>
      <c r="W172"/>
      <c r="X172"/>
      <c r="Y172"/>
      <c r="Z172"/>
      <c r="AA172"/>
      <c r="AB172"/>
      <c r="AC172"/>
      <c r="AD172"/>
      <c r="AE172"/>
      <c r="AF172"/>
      <c r="AG172"/>
      <c r="AH172"/>
      <c r="AI172"/>
      <c r="AJ172"/>
      <c r="AK172"/>
      <c r="AL172"/>
      <c r="AM172"/>
      <c r="AN172"/>
      <c r="AO172"/>
      <c r="AP172"/>
      <c r="AQ172"/>
      <c r="AR172"/>
    </row>
    <row r="173" spans="1:44" s="10" customFormat="1" ht="15.75" customHeight="1" x14ac:dyDescent="0.25">
      <c r="A173" s="55" t="e">
        <f t="shared" si="31"/>
        <v>#REF!</v>
      </c>
      <c r="B173" s="633">
        <v>44600</v>
      </c>
      <c r="C173" s="755">
        <v>403315</v>
      </c>
      <c r="D173" s="824"/>
      <c r="E173" s="884"/>
      <c r="F173" s="33" t="s">
        <v>1195</v>
      </c>
      <c r="G173" s="33" t="s">
        <v>4642</v>
      </c>
      <c r="H173" s="45">
        <v>8645991</v>
      </c>
      <c r="I173" s="377" t="s">
        <v>4641</v>
      </c>
      <c r="J173" s="774">
        <v>44646</v>
      </c>
      <c r="K173" s="928">
        <f t="shared" si="32"/>
        <v>8645991</v>
      </c>
      <c r="L173" s="894"/>
      <c r="M173" s="894">
        <v>864599.10000000009</v>
      </c>
      <c r="N173" s="894">
        <v>77813.919000000009</v>
      </c>
      <c r="O173" s="894">
        <v>155627.83800000002</v>
      </c>
      <c r="P173" s="894">
        <v>7703577.9809999997</v>
      </c>
      <c r="Q173" s="28">
        <f t="shared" si="33"/>
        <v>2.4738255888223648E-10</v>
      </c>
      <c r="R173" s="55"/>
      <c r="S173" s="301">
        <v>44786</v>
      </c>
      <c r="T173" s="55"/>
      <c r="U173" s="24"/>
      <c r="V173" s="5"/>
      <c r="W173"/>
      <c r="X173"/>
      <c r="Y173"/>
      <c r="Z173"/>
      <c r="AA173"/>
      <c r="AB173"/>
      <c r="AC173"/>
      <c r="AD173"/>
      <c r="AE173"/>
      <c r="AF173"/>
      <c r="AG173"/>
      <c r="AH173"/>
      <c r="AI173"/>
      <c r="AJ173"/>
      <c r="AK173"/>
      <c r="AL173"/>
      <c r="AM173"/>
      <c r="AN173"/>
      <c r="AO173"/>
      <c r="AP173"/>
      <c r="AQ173"/>
      <c r="AR173"/>
    </row>
    <row r="174" spans="1:44" s="10" customFormat="1" ht="15.75" customHeight="1" x14ac:dyDescent="0.25">
      <c r="A174" s="55" t="e">
        <f t="shared" si="31"/>
        <v>#REF!</v>
      </c>
      <c r="B174" s="633">
        <v>44597</v>
      </c>
      <c r="C174" s="755">
        <v>403305</v>
      </c>
      <c r="D174" s="824"/>
      <c r="E174" s="884"/>
      <c r="F174" s="33" t="s">
        <v>1195</v>
      </c>
      <c r="G174" s="33" t="s">
        <v>4644</v>
      </c>
      <c r="H174" s="45">
        <v>17100665</v>
      </c>
      <c r="I174" s="377" t="s">
        <v>4643</v>
      </c>
      <c r="J174" s="774">
        <v>44646</v>
      </c>
      <c r="K174" s="928">
        <f t="shared" si="32"/>
        <v>17100665</v>
      </c>
      <c r="L174" s="894"/>
      <c r="M174" s="894">
        <v>1710066.5</v>
      </c>
      <c r="N174" s="894">
        <v>153905.98500000002</v>
      </c>
      <c r="O174" s="894">
        <v>307811.97000000003</v>
      </c>
      <c r="P174" s="894">
        <v>15236692.514999999</v>
      </c>
      <c r="Q174" s="28">
        <f t="shared" si="33"/>
        <v>6.1118043959140778E-10</v>
      </c>
      <c r="R174" s="55"/>
      <c r="S174" s="301">
        <v>44664</v>
      </c>
      <c r="T174" s="55"/>
      <c r="U174" s="24"/>
      <c r="V174" s="5"/>
      <c r="W174"/>
      <c r="X174"/>
      <c r="Y174"/>
      <c r="Z174"/>
      <c r="AA174"/>
      <c r="AB174"/>
      <c r="AC174"/>
      <c r="AD174"/>
      <c r="AE174"/>
      <c r="AF174"/>
      <c r="AG174"/>
      <c r="AH174"/>
      <c r="AI174"/>
      <c r="AJ174"/>
      <c r="AK174"/>
      <c r="AL174"/>
      <c r="AM174"/>
      <c r="AN174"/>
      <c r="AO174"/>
      <c r="AP174"/>
      <c r="AQ174"/>
      <c r="AR174"/>
    </row>
    <row r="175" spans="1:44" s="10" customFormat="1" ht="15.75" customHeight="1" x14ac:dyDescent="0.25">
      <c r="A175" s="55" t="e">
        <f t="shared" si="31"/>
        <v>#REF!</v>
      </c>
      <c r="B175" s="633">
        <v>44593</v>
      </c>
      <c r="C175" s="755">
        <v>403375</v>
      </c>
      <c r="D175" s="824"/>
      <c r="E175" s="884"/>
      <c r="F175" s="33" t="s">
        <v>1195</v>
      </c>
      <c r="G175" s="33" t="s">
        <v>4646</v>
      </c>
      <c r="H175" s="45">
        <v>16370200</v>
      </c>
      <c r="I175" s="377" t="s">
        <v>4645</v>
      </c>
      <c r="J175" s="774">
        <v>44646</v>
      </c>
      <c r="K175" s="928">
        <f t="shared" si="32"/>
        <v>16370200</v>
      </c>
      <c r="L175" s="894"/>
      <c r="M175" s="894">
        <v>1637020</v>
      </c>
      <c r="N175" s="894">
        <v>147331.80000000002</v>
      </c>
      <c r="O175" s="894">
        <v>294663.60000000003</v>
      </c>
      <c r="P175" s="894">
        <v>14585848.200000001</v>
      </c>
      <c r="Q175" s="28">
        <f t="shared" si="33"/>
        <v>-7.2759576141834259E-10</v>
      </c>
      <c r="R175" s="55"/>
      <c r="S175" s="301">
        <v>44664</v>
      </c>
      <c r="T175" s="55"/>
      <c r="U175" s="24"/>
      <c r="V175" s="5"/>
      <c r="W175"/>
      <c r="X175"/>
      <c r="Y175"/>
      <c r="Z175"/>
      <c r="AA175"/>
      <c r="AB175"/>
      <c r="AC175"/>
      <c r="AD175"/>
      <c r="AE175"/>
      <c r="AF175"/>
      <c r="AG175"/>
      <c r="AH175"/>
      <c r="AI175"/>
      <c r="AJ175"/>
      <c r="AK175"/>
      <c r="AL175"/>
      <c r="AM175"/>
      <c r="AN175"/>
      <c r="AO175"/>
      <c r="AP175"/>
      <c r="AQ175"/>
      <c r="AR175"/>
    </row>
    <row r="176" spans="1:44" s="10" customFormat="1" ht="15.75" customHeight="1" x14ac:dyDescent="0.25">
      <c r="A176" s="55" t="e">
        <f t="shared" si="31"/>
        <v>#REF!</v>
      </c>
      <c r="B176" s="633">
        <v>44594</v>
      </c>
      <c r="C176" s="755" t="s">
        <v>4154</v>
      </c>
      <c r="D176" s="824" t="s">
        <v>4581</v>
      </c>
      <c r="E176" s="884" t="s">
        <v>3732</v>
      </c>
      <c r="F176" s="33" t="s">
        <v>2694</v>
      </c>
      <c r="G176" s="33" t="s">
        <v>2264</v>
      </c>
      <c r="H176" s="45">
        <v>900000</v>
      </c>
      <c r="I176" s="377" t="s">
        <v>4386</v>
      </c>
      <c r="J176" s="774">
        <v>44631</v>
      </c>
      <c r="K176" s="928">
        <f t="shared" si="32"/>
        <v>900000</v>
      </c>
      <c r="L176" s="866"/>
      <c r="M176" s="866"/>
      <c r="N176" s="28">
        <f t="shared" ref="N176:N198" si="42">K176*1%</f>
        <v>9000</v>
      </c>
      <c r="O176" s="28">
        <f t="shared" ref="O176:O198" si="43">K176*2%</f>
        <v>18000</v>
      </c>
      <c r="P176" s="866"/>
      <c r="Q176" s="28">
        <f t="shared" si="33"/>
        <v>891000</v>
      </c>
      <c r="R176" s="55"/>
      <c r="S176" s="301"/>
      <c r="T176" s="55">
        <v>14</v>
      </c>
      <c r="U176" s="24">
        <f t="shared" ref="U176:U196" si="44">J176+T176</f>
        <v>44645</v>
      </c>
      <c r="V176" s="5"/>
      <c r="W176"/>
      <c r="X176"/>
      <c r="Y176"/>
      <c r="Z176"/>
      <c r="AA176"/>
      <c r="AB176"/>
      <c r="AC176"/>
      <c r="AD176"/>
      <c r="AE176"/>
      <c r="AF176"/>
      <c r="AG176"/>
      <c r="AH176"/>
      <c r="AI176"/>
      <c r="AJ176"/>
      <c r="AK176"/>
      <c r="AL176"/>
      <c r="AM176"/>
      <c r="AN176"/>
      <c r="AO176"/>
      <c r="AP176"/>
      <c r="AQ176"/>
      <c r="AR176"/>
    </row>
    <row r="177" spans="1:44" s="10" customFormat="1" ht="15.75" customHeight="1" x14ac:dyDescent="0.25">
      <c r="A177" s="55" t="e">
        <f t="shared" si="31"/>
        <v>#REF!</v>
      </c>
      <c r="B177" s="633">
        <v>44594</v>
      </c>
      <c r="C177" s="755" t="s">
        <v>3797</v>
      </c>
      <c r="D177" s="824" t="s">
        <v>4582</v>
      </c>
      <c r="E177" s="884" t="s">
        <v>4695</v>
      </c>
      <c r="F177" s="33" t="s">
        <v>2694</v>
      </c>
      <c r="G177" s="33" t="s">
        <v>2264</v>
      </c>
      <c r="H177" s="45">
        <v>900000</v>
      </c>
      <c r="I177" s="377" t="s">
        <v>4387</v>
      </c>
      <c r="J177" s="774">
        <v>44631</v>
      </c>
      <c r="K177" s="928">
        <f t="shared" si="32"/>
        <v>900000</v>
      </c>
      <c r="L177" s="866"/>
      <c r="M177" s="866"/>
      <c r="N177" s="28">
        <f t="shared" si="42"/>
        <v>9000</v>
      </c>
      <c r="O177" s="28">
        <f t="shared" si="43"/>
        <v>18000</v>
      </c>
      <c r="P177" s="866"/>
      <c r="Q177" s="28">
        <f t="shared" si="33"/>
        <v>891000</v>
      </c>
      <c r="R177" s="55"/>
      <c r="S177" s="301"/>
      <c r="T177" s="55">
        <v>14</v>
      </c>
      <c r="U177" s="24">
        <f t="shared" si="44"/>
        <v>44645</v>
      </c>
      <c r="V177" s="5"/>
      <c r="W177"/>
      <c r="X177"/>
      <c r="Y177"/>
      <c r="Z177"/>
      <c r="AA177"/>
      <c r="AB177"/>
      <c r="AC177"/>
      <c r="AD177"/>
      <c r="AE177"/>
      <c r="AF177"/>
      <c r="AG177"/>
      <c r="AH177"/>
      <c r="AI177"/>
      <c r="AJ177"/>
      <c r="AK177"/>
      <c r="AL177"/>
      <c r="AM177"/>
      <c r="AN177"/>
      <c r="AO177"/>
      <c r="AP177"/>
      <c r="AQ177"/>
      <c r="AR177"/>
    </row>
    <row r="178" spans="1:44" s="10" customFormat="1" ht="15.75" customHeight="1" x14ac:dyDescent="0.25">
      <c r="A178" s="55" t="e">
        <f t="shared" si="31"/>
        <v>#REF!</v>
      </c>
      <c r="B178" s="633">
        <v>44594</v>
      </c>
      <c r="C178" s="755" t="s">
        <v>4155</v>
      </c>
      <c r="D178" s="824" t="s">
        <v>4583</v>
      </c>
      <c r="E178" s="884" t="s">
        <v>4127</v>
      </c>
      <c r="F178" s="33" t="s">
        <v>2694</v>
      </c>
      <c r="G178" s="33" t="s">
        <v>2264</v>
      </c>
      <c r="H178" s="45">
        <v>900000</v>
      </c>
      <c r="I178" s="377" t="s">
        <v>4389</v>
      </c>
      <c r="J178" s="774">
        <v>44631</v>
      </c>
      <c r="K178" s="928">
        <f t="shared" si="32"/>
        <v>900000</v>
      </c>
      <c r="L178" s="894"/>
      <c r="M178" s="894"/>
      <c r="N178" s="28">
        <f t="shared" si="42"/>
        <v>9000</v>
      </c>
      <c r="O178" s="28">
        <f t="shared" si="43"/>
        <v>18000</v>
      </c>
      <c r="P178" s="894"/>
      <c r="Q178" s="28">
        <f t="shared" si="33"/>
        <v>891000</v>
      </c>
      <c r="R178" s="55"/>
      <c r="S178" s="301"/>
      <c r="T178" s="55">
        <v>14</v>
      </c>
      <c r="U178" s="24">
        <f t="shared" si="44"/>
        <v>44645</v>
      </c>
      <c r="V178" s="5"/>
      <c r="W178"/>
      <c r="X178"/>
      <c r="Y178"/>
      <c r="Z178"/>
      <c r="AA178"/>
      <c r="AB178"/>
      <c r="AC178"/>
      <c r="AD178"/>
      <c r="AE178"/>
      <c r="AF178"/>
      <c r="AG178"/>
      <c r="AH178"/>
      <c r="AI178"/>
      <c r="AJ178"/>
      <c r="AK178"/>
      <c r="AL178"/>
      <c r="AM178"/>
      <c r="AN178"/>
      <c r="AO178"/>
      <c r="AP178"/>
      <c r="AQ178"/>
      <c r="AR178"/>
    </row>
    <row r="179" spans="1:44" s="10" customFormat="1" ht="15.75" customHeight="1" x14ac:dyDescent="0.25">
      <c r="A179" s="55" t="e">
        <f t="shared" si="31"/>
        <v>#REF!</v>
      </c>
      <c r="B179" s="633">
        <v>44595</v>
      </c>
      <c r="C179" s="755" t="s">
        <v>4156</v>
      </c>
      <c r="D179" s="824" t="s">
        <v>4584</v>
      </c>
      <c r="E179" s="884" t="s">
        <v>4128</v>
      </c>
      <c r="F179" s="33" t="s">
        <v>2694</v>
      </c>
      <c r="G179" s="33" t="s">
        <v>2264</v>
      </c>
      <c r="H179" s="45">
        <v>900000</v>
      </c>
      <c r="I179" s="377" t="s">
        <v>4390</v>
      </c>
      <c r="J179" s="774">
        <v>44631</v>
      </c>
      <c r="K179" s="928">
        <f t="shared" si="32"/>
        <v>900000</v>
      </c>
      <c r="L179" s="894"/>
      <c r="M179" s="894"/>
      <c r="N179" s="28">
        <f t="shared" si="42"/>
        <v>9000</v>
      </c>
      <c r="O179" s="28">
        <f t="shared" si="43"/>
        <v>18000</v>
      </c>
      <c r="P179" s="894"/>
      <c r="Q179" s="28">
        <f t="shared" si="33"/>
        <v>891000</v>
      </c>
      <c r="R179" s="55"/>
      <c r="S179" s="301"/>
      <c r="T179" s="55">
        <v>14</v>
      </c>
      <c r="U179" s="24">
        <f t="shared" si="44"/>
        <v>44645</v>
      </c>
      <c r="V179" s="5"/>
      <c r="W179"/>
      <c r="X179"/>
      <c r="Y179"/>
      <c r="Z179"/>
      <c r="AA179"/>
      <c r="AB179"/>
      <c r="AC179"/>
      <c r="AD179"/>
      <c r="AE179"/>
      <c r="AF179"/>
      <c r="AG179"/>
      <c r="AH179"/>
      <c r="AI179"/>
      <c r="AJ179"/>
      <c r="AK179"/>
      <c r="AL179"/>
      <c r="AM179"/>
      <c r="AN179"/>
      <c r="AO179"/>
      <c r="AP179"/>
      <c r="AQ179"/>
      <c r="AR179"/>
    </row>
    <row r="180" spans="1:44" s="10" customFormat="1" ht="15.75" customHeight="1" x14ac:dyDescent="0.25">
      <c r="A180" s="55" t="e">
        <f t="shared" si="31"/>
        <v>#REF!</v>
      </c>
      <c r="B180" s="633">
        <v>44595</v>
      </c>
      <c r="C180" s="755" t="s">
        <v>4157</v>
      </c>
      <c r="D180" s="824" t="s">
        <v>4585</v>
      </c>
      <c r="E180" s="884" t="s">
        <v>4129</v>
      </c>
      <c r="F180" s="33" t="s">
        <v>2694</v>
      </c>
      <c r="G180" s="33" t="s">
        <v>1221</v>
      </c>
      <c r="H180" s="45">
        <v>850000</v>
      </c>
      <c r="I180" s="377" t="s">
        <v>4391</v>
      </c>
      <c r="J180" s="774">
        <v>44631</v>
      </c>
      <c r="K180" s="928">
        <f t="shared" si="32"/>
        <v>850000</v>
      </c>
      <c r="L180" s="894"/>
      <c r="M180" s="894"/>
      <c r="N180" s="28">
        <f t="shared" si="42"/>
        <v>8500</v>
      </c>
      <c r="O180" s="28">
        <f t="shared" si="43"/>
        <v>17000</v>
      </c>
      <c r="P180" s="894"/>
      <c r="Q180" s="28">
        <f t="shared" si="33"/>
        <v>841500</v>
      </c>
      <c r="R180" s="55"/>
      <c r="S180" s="301"/>
      <c r="T180" s="55">
        <v>14</v>
      </c>
      <c r="U180" s="24">
        <f t="shared" si="44"/>
        <v>44645</v>
      </c>
      <c r="V180" s="5"/>
      <c r="W180"/>
      <c r="X180"/>
      <c r="Y180"/>
      <c r="Z180"/>
      <c r="AA180"/>
      <c r="AB180"/>
      <c r="AC180"/>
      <c r="AD180"/>
      <c r="AE180"/>
      <c r="AF180"/>
      <c r="AG180"/>
      <c r="AH180"/>
      <c r="AI180"/>
      <c r="AJ180"/>
      <c r="AK180"/>
      <c r="AL180"/>
      <c r="AM180"/>
      <c r="AN180"/>
      <c r="AO180"/>
      <c r="AP180"/>
      <c r="AQ180"/>
      <c r="AR180"/>
    </row>
    <row r="181" spans="1:44" s="10" customFormat="1" ht="15.75" customHeight="1" x14ac:dyDescent="0.25">
      <c r="A181" s="55" t="e">
        <f t="shared" si="31"/>
        <v>#REF!</v>
      </c>
      <c r="B181" s="633">
        <v>44602</v>
      </c>
      <c r="C181" s="755" t="s">
        <v>4163</v>
      </c>
      <c r="D181" s="824" t="s">
        <v>4586</v>
      </c>
      <c r="E181" s="884" t="s">
        <v>4134</v>
      </c>
      <c r="F181" s="33" t="s">
        <v>2694</v>
      </c>
      <c r="G181" s="33" t="s">
        <v>4393</v>
      </c>
      <c r="H181" s="45">
        <v>750000</v>
      </c>
      <c r="I181" s="377" t="s">
        <v>4392</v>
      </c>
      <c r="J181" s="774">
        <v>44631</v>
      </c>
      <c r="K181" s="928">
        <f t="shared" si="32"/>
        <v>750000</v>
      </c>
      <c r="L181" s="894"/>
      <c r="M181" s="894"/>
      <c r="N181" s="28">
        <f t="shared" si="42"/>
        <v>7500</v>
      </c>
      <c r="O181" s="28">
        <f t="shared" si="43"/>
        <v>15000</v>
      </c>
      <c r="P181" s="894"/>
      <c r="Q181" s="28">
        <f t="shared" si="33"/>
        <v>742500</v>
      </c>
      <c r="R181" s="55"/>
      <c r="S181" s="301"/>
      <c r="T181" s="55">
        <v>14</v>
      </c>
      <c r="U181" s="24">
        <f t="shared" si="44"/>
        <v>44645</v>
      </c>
      <c r="V181" s="5"/>
      <c r="W181"/>
      <c r="X181"/>
      <c r="Y181"/>
      <c r="Z181"/>
      <c r="AA181"/>
      <c r="AB181"/>
      <c r="AC181"/>
      <c r="AD181"/>
      <c r="AE181"/>
      <c r="AF181"/>
      <c r="AG181"/>
      <c r="AH181"/>
      <c r="AI181"/>
      <c r="AJ181"/>
      <c r="AK181"/>
      <c r="AL181"/>
      <c r="AM181"/>
      <c r="AN181"/>
      <c r="AO181"/>
      <c r="AP181"/>
      <c r="AQ181"/>
      <c r="AR181"/>
    </row>
    <row r="182" spans="1:44" s="10" customFormat="1" ht="15.75" customHeight="1" x14ac:dyDescent="0.25">
      <c r="A182" s="55" t="e">
        <f t="shared" si="31"/>
        <v>#REF!</v>
      </c>
      <c r="B182" s="633">
        <v>44604</v>
      </c>
      <c r="C182" s="755" t="s">
        <v>4167</v>
      </c>
      <c r="D182" s="824" t="s">
        <v>4587</v>
      </c>
      <c r="E182" s="884" t="s">
        <v>4139</v>
      </c>
      <c r="F182" s="33" t="s">
        <v>2694</v>
      </c>
      <c r="G182" s="33" t="s">
        <v>582</v>
      </c>
      <c r="H182" s="45">
        <v>3500000</v>
      </c>
      <c r="I182" s="377" t="s">
        <v>4394</v>
      </c>
      <c r="J182" s="774">
        <v>44631</v>
      </c>
      <c r="K182" s="928">
        <f t="shared" si="32"/>
        <v>3500000</v>
      </c>
      <c r="L182" s="894"/>
      <c r="M182" s="894"/>
      <c r="N182" s="28">
        <f t="shared" si="42"/>
        <v>35000</v>
      </c>
      <c r="O182" s="28">
        <f t="shared" si="43"/>
        <v>70000</v>
      </c>
      <c r="P182" s="894"/>
      <c r="Q182" s="28">
        <f t="shared" si="33"/>
        <v>3465000</v>
      </c>
      <c r="R182" s="55"/>
      <c r="S182" s="301"/>
      <c r="T182" s="55">
        <v>14</v>
      </c>
      <c r="U182" s="24">
        <f t="shared" si="44"/>
        <v>44645</v>
      </c>
      <c r="V182" s="5"/>
      <c r="W182"/>
      <c r="X182"/>
      <c r="Y182"/>
      <c r="Z182"/>
      <c r="AA182"/>
      <c r="AB182"/>
      <c r="AC182"/>
      <c r="AD182"/>
      <c r="AE182"/>
      <c r="AF182"/>
      <c r="AG182"/>
      <c r="AH182"/>
      <c r="AI182"/>
      <c r="AJ182"/>
      <c r="AK182"/>
      <c r="AL182"/>
      <c r="AM182"/>
      <c r="AN182"/>
      <c r="AO182"/>
      <c r="AP182"/>
      <c r="AQ182"/>
      <c r="AR182"/>
    </row>
    <row r="183" spans="1:44" s="10" customFormat="1" ht="15.75" customHeight="1" x14ac:dyDescent="0.25">
      <c r="A183" s="55" t="e">
        <f t="shared" si="31"/>
        <v>#REF!</v>
      </c>
      <c r="B183" s="633">
        <v>44604</v>
      </c>
      <c r="C183" s="755" t="s">
        <v>4168</v>
      </c>
      <c r="D183" s="824" t="s">
        <v>4588</v>
      </c>
      <c r="E183" s="884" t="s">
        <v>4140</v>
      </c>
      <c r="F183" s="33" t="s">
        <v>2694</v>
      </c>
      <c r="G183" s="33" t="s">
        <v>2264</v>
      </c>
      <c r="H183" s="45">
        <v>800000</v>
      </c>
      <c r="I183" s="377" t="s">
        <v>4395</v>
      </c>
      <c r="J183" s="774">
        <v>44631</v>
      </c>
      <c r="K183" s="928">
        <f t="shared" si="32"/>
        <v>800000</v>
      </c>
      <c r="L183" s="894"/>
      <c r="M183" s="894"/>
      <c r="N183" s="28">
        <f t="shared" si="42"/>
        <v>8000</v>
      </c>
      <c r="O183" s="28">
        <f t="shared" si="43"/>
        <v>16000</v>
      </c>
      <c r="P183" s="894"/>
      <c r="Q183" s="28">
        <f t="shared" si="33"/>
        <v>792000</v>
      </c>
      <c r="R183" s="55"/>
      <c r="S183" s="301"/>
      <c r="T183" s="55">
        <v>14</v>
      </c>
      <c r="U183" s="24">
        <f t="shared" si="44"/>
        <v>44645</v>
      </c>
      <c r="V183" s="5"/>
      <c r="W183"/>
      <c r="X183"/>
      <c r="Y183"/>
      <c r="Z183"/>
      <c r="AA183"/>
      <c r="AB183"/>
      <c r="AC183"/>
      <c r="AD183"/>
      <c r="AE183"/>
      <c r="AF183"/>
      <c r="AG183"/>
      <c r="AH183"/>
      <c r="AI183"/>
      <c r="AJ183"/>
      <c r="AK183"/>
      <c r="AL183"/>
      <c r="AM183"/>
      <c r="AN183"/>
      <c r="AO183"/>
      <c r="AP183"/>
      <c r="AQ183"/>
      <c r="AR183"/>
    </row>
    <row r="184" spans="1:44" s="10" customFormat="1" ht="15.75" customHeight="1" x14ac:dyDescent="0.25">
      <c r="A184" s="55" t="e">
        <f t="shared" si="31"/>
        <v>#REF!</v>
      </c>
      <c r="B184" s="633">
        <v>44605</v>
      </c>
      <c r="C184" s="755" t="s">
        <v>4166</v>
      </c>
      <c r="D184" s="824" t="s">
        <v>4589</v>
      </c>
      <c r="E184" s="884" t="s">
        <v>4138</v>
      </c>
      <c r="F184" s="33" t="s">
        <v>2694</v>
      </c>
      <c r="G184" s="33" t="s">
        <v>2264</v>
      </c>
      <c r="H184" s="45">
        <v>800000</v>
      </c>
      <c r="I184" s="377" t="s">
        <v>4396</v>
      </c>
      <c r="J184" s="774">
        <v>44631</v>
      </c>
      <c r="K184" s="928">
        <f t="shared" si="32"/>
        <v>800000</v>
      </c>
      <c r="L184" s="894"/>
      <c r="M184" s="894"/>
      <c r="N184" s="28">
        <f t="shared" si="42"/>
        <v>8000</v>
      </c>
      <c r="O184" s="28">
        <f t="shared" si="43"/>
        <v>16000</v>
      </c>
      <c r="P184" s="894"/>
      <c r="Q184" s="28">
        <f t="shared" si="33"/>
        <v>792000</v>
      </c>
      <c r="R184" s="55"/>
      <c r="S184" s="301"/>
      <c r="T184" s="55">
        <v>14</v>
      </c>
      <c r="U184" s="24">
        <f t="shared" si="44"/>
        <v>44645</v>
      </c>
      <c r="V184" s="5"/>
      <c r="W184"/>
      <c r="X184"/>
      <c r="Y184"/>
      <c r="Z184"/>
      <c r="AA184"/>
      <c r="AB184"/>
      <c r="AC184"/>
      <c r="AD184"/>
      <c r="AE184"/>
      <c r="AF184"/>
      <c r="AG184"/>
      <c r="AH184"/>
      <c r="AI184"/>
      <c r="AJ184"/>
      <c r="AK184"/>
      <c r="AL184"/>
      <c r="AM184"/>
      <c r="AN184"/>
      <c r="AO184"/>
      <c r="AP184"/>
      <c r="AQ184"/>
      <c r="AR184"/>
    </row>
    <row r="185" spans="1:44" s="10" customFormat="1" ht="15.75" customHeight="1" x14ac:dyDescent="0.25">
      <c r="A185" s="55" t="e">
        <f t="shared" si="31"/>
        <v>#REF!</v>
      </c>
      <c r="B185" s="633">
        <v>44604</v>
      </c>
      <c r="C185" s="755" t="s">
        <v>4165</v>
      </c>
      <c r="D185" s="824" t="s">
        <v>4590</v>
      </c>
      <c r="E185" s="884" t="s">
        <v>4137</v>
      </c>
      <c r="F185" s="33" t="s">
        <v>2694</v>
      </c>
      <c r="G185" s="33" t="s">
        <v>147</v>
      </c>
      <c r="H185" s="45">
        <v>700000</v>
      </c>
      <c r="I185" s="377" t="s">
        <v>4397</v>
      </c>
      <c r="J185" s="774">
        <v>44631</v>
      </c>
      <c r="K185" s="928">
        <f t="shared" si="32"/>
        <v>700000</v>
      </c>
      <c r="L185" s="894"/>
      <c r="M185" s="894"/>
      <c r="N185" s="28">
        <f t="shared" si="42"/>
        <v>7000</v>
      </c>
      <c r="O185" s="28">
        <f t="shared" si="43"/>
        <v>14000</v>
      </c>
      <c r="P185" s="894"/>
      <c r="Q185" s="28">
        <f t="shared" si="33"/>
        <v>693000</v>
      </c>
      <c r="R185" s="55"/>
      <c r="S185" s="301"/>
      <c r="T185" s="55">
        <v>14</v>
      </c>
      <c r="U185" s="24">
        <f t="shared" si="44"/>
        <v>44645</v>
      </c>
      <c r="V185" s="5"/>
      <c r="W185"/>
      <c r="X185"/>
      <c r="Y185"/>
      <c r="Z185"/>
      <c r="AA185"/>
      <c r="AB185"/>
      <c r="AC185"/>
      <c r="AD185"/>
      <c r="AE185"/>
      <c r="AF185"/>
      <c r="AG185"/>
      <c r="AH185"/>
      <c r="AI185"/>
      <c r="AJ185"/>
      <c r="AK185"/>
      <c r="AL185"/>
      <c r="AM185"/>
      <c r="AN185"/>
      <c r="AO185"/>
      <c r="AP185"/>
      <c r="AQ185"/>
      <c r="AR185"/>
    </row>
    <row r="186" spans="1:44" s="10" customFormat="1" ht="15.75" customHeight="1" x14ac:dyDescent="0.25">
      <c r="A186" s="55" t="e">
        <f t="shared" si="31"/>
        <v>#REF!</v>
      </c>
      <c r="B186" s="633">
        <v>44600</v>
      </c>
      <c r="C186" s="755" t="s">
        <v>4158</v>
      </c>
      <c r="D186" s="824" t="s">
        <v>4591</v>
      </c>
      <c r="E186" s="884" t="s">
        <v>4137</v>
      </c>
      <c r="F186" s="33" t="s">
        <v>2694</v>
      </c>
      <c r="G186" s="33" t="s">
        <v>4399</v>
      </c>
      <c r="H186" s="45">
        <v>1600000</v>
      </c>
      <c r="I186" s="377" t="s">
        <v>4398</v>
      </c>
      <c r="J186" s="774">
        <v>44631</v>
      </c>
      <c r="K186" s="928">
        <f t="shared" si="32"/>
        <v>1600000</v>
      </c>
      <c r="L186" s="894"/>
      <c r="M186" s="894"/>
      <c r="N186" s="28">
        <f t="shared" si="42"/>
        <v>16000</v>
      </c>
      <c r="O186" s="28">
        <f t="shared" si="43"/>
        <v>32000</v>
      </c>
      <c r="P186" s="894"/>
      <c r="Q186" s="28">
        <f t="shared" si="33"/>
        <v>1584000</v>
      </c>
      <c r="R186" s="55"/>
      <c r="S186" s="301"/>
      <c r="T186" s="55">
        <v>14</v>
      </c>
      <c r="U186" s="24">
        <f t="shared" si="44"/>
        <v>44645</v>
      </c>
      <c r="V186" s="5"/>
      <c r="W186"/>
      <c r="X186"/>
      <c r="Y186"/>
      <c r="Z186"/>
      <c r="AA186"/>
      <c r="AB186"/>
      <c r="AC186"/>
      <c r="AD186"/>
      <c r="AE186"/>
      <c r="AF186"/>
      <c r="AG186"/>
      <c r="AH186"/>
      <c r="AI186"/>
      <c r="AJ186"/>
      <c r="AK186"/>
      <c r="AL186"/>
      <c r="AM186"/>
      <c r="AN186"/>
      <c r="AO186"/>
      <c r="AP186"/>
      <c r="AQ186"/>
      <c r="AR186"/>
    </row>
    <row r="187" spans="1:44" s="10" customFormat="1" ht="15.75" customHeight="1" x14ac:dyDescent="0.25">
      <c r="A187" s="55" t="e">
        <f t="shared" si="31"/>
        <v>#REF!</v>
      </c>
      <c r="B187" s="633">
        <v>44602</v>
      </c>
      <c r="C187" s="755" t="s">
        <v>4160</v>
      </c>
      <c r="D187" s="824" t="s">
        <v>4592</v>
      </c>
      <c r="E187" s="884" t="s">
        <v>4131</v>
      </c>
      <c r="F187" s="33" t="s">
        <v>2694</v>
      </c>
      <c r="G187" s="33" t="s">
        <v>2264</v>
      </c>
      <c r="H187" s="45">
        <v>900000</v>
      </c>
      <c r="I187" s="377" t="s">
        <v>4400</v>
      </c>
      <c r="J187" s="774">
        <v>44631</v>
      </c>
      <c r="K187" s="928">
        <f t="shared" si="32"/>
        <v>900000</v>
      </c>
      <c r="L187" s="894"/>
      <c r="M187" s="894"/>
      <c r="N187" s="28">
        <f t="shared" si="42"/>
        <v>9000</v>
      </c>
      <c r="O187" s="28">
        <f t="shared" si="43"/>
        <v>18000</v>
      </c>
      <c r="P187" s="894"/>
      <c r="Q187" s="28">
        <f t="shared" si="33"/>
        <v>891000</v>
      </c>
      <c r="R187" s="55"/>
      <c r="S187" s="301"/>
      <c r="T187" s="55">
        <v>14</v>
      </c>
      <c r="U187" s="24">
        <f t="shared" si="44"/>
        <v>44645</v>
      </c>
      <c r="V187" s="5"/>
      <c r="W187"/>
      <c r="X187"/>
      <c r="Y187"/>
      <c r="Z187"/>
      <c r="AA187"/>
      <c r="AB187"/>
      <c r="AC187"/>
      <c r="AD187"/>
      <c r="AE187"/>
      <c r="AF187"/>
      <c r="AG187"/>
      <c r="AH187"/>
      <c r="AI187"/>
      <c r="AJ187"/>
      <c r="AK187"/>
      <c r="AL187"/>
      <c r="AM187"/>
      <c r="AN187"/>
      <c r="AO187"/>
      <c r="AP187"/>
      <c r="AQ187"/>
      <c r="AR187"/>
    </row>
    <row r="188" spans="1:44" s="10" customFormat="1" ht="15.75" customHeight="1" x14ac:dyDescent="0.25">
      <c r="A188" s="55" t="e">
        <f t="shared" si="31"/>
        <v>#REF!</v>
      </c>
      <c r="B188" s="633">
        <v>44602</v>
      </c>
      <c r="C188" s="755" t="s">
        <v>4162</v>
      </c>
      <c r="D188" s="824" t="s">
        <v>4593</v>
      </c>
      <c r="E188" s="884" t="s">
        <v>4133</v>
      </c>
      <c r="F188" s="33" t="s">
        <v>2694</v>
      </c>
      <c r="G188" s="33" t="s">
        <v>4402</v>
      </c>
      <c r="H188" s="45">
        <v>1000000</v>
      </c>
      <c r="I188" s="377" t="s">
        <v>4401</v>
      </c>
      <c r="J188" s="774">
        <v>44631</v>
      </c>
      <c r="K188" s="928">
        <f t="shared" si="32"/>
        <v>1000000</v>
      </c>
      <c r="L188" s="894"/>
      <c r="M188" s="894"/>
      <c r="N188" s="28">
        <f t="shared" si="42"/>
        <v>10000</v>
      </c>
      <c r="O188" s="28">
        <f t="shared" si="43"/>
        <v>20000</v>
      </c>
      <c r="P188" s="894"/>
      <c r="Q188" s="28">
        <f t="shared" si="33"/>
        <v>990000</v>
      </c>
      <c r="R188" s="55"/>
      <c r="S188" s="301"/>
      <c r="T188" s="55">
        <v>14</v>
      </c>
      <c r="U188" s="24">
        <f t="shared" si="44"/>
        <v>44645</v>
      </c>
      <c r="V188" s="5"/>
      <c r="W188"/>
      <c r="X188"/>
      <c r="Y188"/>
      <c r="Z188"/>
      <c r="AA188"/>
      <c r="AB188"/>
      <c r="AC188"/>
      <c r="AD188"/>
      <c r="AE188"/>
      <c r="AF188"/>
      <c r="AG188"/>
      <c r="AH188"/>
      <c r="AI188"/>
      <c r="AJ188"/>
      <c r="AK188"/>
      <c r="AL188"/>
      <c r="AM188"/>
      <c r="AN188"/>
      <c r="AO188"/>
      <c r="AP188"/>
      <c r="AQ188"/>
      <c r="AR188"/>
    </row>
    <row r="189" spans="1:44" s="10" customFormat="1" ht="15.75" customHeight="1" x14ac:dyDescent="0.25">
      <c r="A189" s="55" t="e">
        <f t="shared" si="31"/>
        <v>#REF!</v>
      </c>
      <c r="B189" s="633">
        <v>44603</v>
      </c>
      <c r="C189" s="755">
        <v>44603</v>
      </c>
      <c r="D189" s="824" t="s">
        <v>4594</v>
      </c>
      <c r="E189" s="884" t="s">
        <v>4135</v>
      </c>
      <c r="F189" s="33" t="s">
        <v>2694</v>
      </c>
      <c r="G189" s="33" t="s">
        <v>2264</v>
      </c>
      <c r="H189" s="45">
        <v>900000</v>
      </c>
      <c r="I189" s="377" t="s">
        <v>4403</v>
      </c>
      <c r="J189" s="774">
        <v>44631</v>
      </c>
      <c r="K189" s="928">
        <f t="shared" si="32"/>
        <v>900000</v>
      </c>
      <c r="L189" s="894"/>
      <c r="M189" s="894"/>
      <c r="N189" s="28">
        <f t="shared" si="42"/>
        <v>9000</v>
      </c>
      <c r="O189" s="28">
        <f t="shared" si="43"/>
        <v>18000</v>
      </c>
      <c r="P189" s="894"/>
      <c r="Q189" s="28">
        <f t="shared" si="33"/>
        <v>891000</v>
      </c>
      <c r="R189" s="55"/>
      <c r="S189" s="301"/>
      <c r="T189" s="55">
        <v>14</v>
      </c>
      <c r="U189" s="24">
        <f t="shared" si="44"/>
        <v>44645</v>
      </c>
      <c r="V189" s="5"/>
      <c r="W189"/>
      <c r="X189"/>
      <c r="Y189"/>
      <c r="Z189"/>
      <c r="AA189"/>
      <c r="AB189"/>
      <c r="AC189"/>
      <c r="AD189"/>
      <c r="AE189"/>
      <c r="AF189"/>
      <c r="AG189"/>
      <c r="AH189"/>
      <c r="AI189"/>
      <c r="AJ189"/>
      <c r="AK189"/>
      <c r="AL189"/>
      <c r="AM189"/>
      <c r="AN189"/>
      <c r="AO189"/>
      <c r="AP189"/>
      <c r="AQ189"/>
      <c r="AR189"/>
    </row>
    <row r="190" spans="1:44" s="10" customFormat="1" ht="15.75" customHeight="1" x14ac:dyDescent="0.25">
      <c r="A190" s="55" t="e">
        <f t="shared" si="31"/>
        <v>#REF!</v>
      </c>
      <c r="B190" s="633">
        <v>44602</v>
      </c>
      <c r="C190" s="755" t="s">
        <v>4161</v>
      </c>
      <c r="D190" s="824" t="s">
        <v>4595</v>
      </c>
      <c r="E190" s="884" t="s">
        <v>4132</v>
      </c>
      <c r="F190" s="33" t="s">
        <v>2694</v>
      </c>
      <c r="G190" s="33" t="s">
        <v>2264</v>
      </c>
      <c r="H190" s="45">
        <v>900000</v>
      </c>
      <c r="I190" s="377" t="s">
        <v>4404</v>
      </c>
      <c r="J190" s="774">
        <v>44631</v>
      </c>
      <c r="K190" s="928">
        <f t="shared" si="32"/>
        <v>900000</v>
      </c>
      <c r="L190" s="894"/>
      <c r="M190" s="894"/>
      <c r="N190" s="28">
        <f t="shared" si="42"/>
        <v>9000</v>
      </c>
      <c r="O190" s="28">
        <f t="shared" si="43"/>
        <v>18000</v>
      </c>
      <c r="P190" s="894"/>
      <c r="Q190" s="28">
        <f t="shared" si="33"/>
        <v>891000</v>
      </c>
      <c r="R190" s="55"/>
      <c r="S190" s="301"/>
      <c r="T190" s="55">
        <v>14</v>
      </c>
      <c r="U190" s="24">
        <f t="shared" si="44"/>
        <v>44645</v>
      </c>
      <c r="V190" s="5"/>
      <c r="W190"/>
      <c r="X190"/>
      <c r="Y190"/>
      <c r="Z190"/>
      <c r="AA190"/>
      <c r="AB190"/>
      <c r="AC190"/>
      <c r="AD190"/>
      <c r="AE190"/>
      <c r="AF190"/>
      <c r="AG190"/>
      <c r="AH190"/>
      <c r="AI190"/>
      <c r="AJ190"/>
      <c r="AK190"/>
      <c r="AL190"/>
      <c r="AM190"/>
      <c r="AN190"/>
      <c r="AO190"/>
      <c r="AP190"/>
      <c r="AQ190"/>
      <c r="AR190"/>
    </row>
    <row r="191" spans="1:44" s="10" customFormat="1" ht="15.75" customHeight="1" x14ac:dyDescent="0.25">
      <c r="A191" s="55" t="e">
        <f t="shared" si="31"/>
        <v>#REF!</v>
      </c>
      <c r="B191" s="633">
        <v>44603</v>
      </c>
      <c r="C191" s="755" t="s">
        <v>4164</v>
      </c>
      <c r="D191" s="824" t="s">
        <v>4596</v>
      </c>
      <c r="E191" s="884" t="s">
        <v>4136</v>
      </c>
      <c r="F191" s="33" t="s">
        <v>2694</v>
      </c>
      <c r="G191" s="33" t="s">
        <v>2264</v>
      </c>
      <c r="H191" s="45">
        <v>900000</v>
      </c>
      <c r="I191" s="377" t="s">
        <v>4405</v>
      </c>
      <c r="J191" s="774">
        <v>44631</v>
      </c>
      <c r="K191" s="928">
        <f t="shared" si="32"/>
        <v>900000</v>
      </c>
      <c r="L191" s="894"/>
      <c r="M191" s="894"/>
      <c r="N191" s="28">
        <f t="shared" si="42"/>
        <v>9000</v>
      </c>
      <c r="O191" s="28">
        <f t="shared" si="43"/>
        <v>18000</v>
      </c>
      <c r="P191" s="894"/>
      <c r="Q191" s="28">
        <f t="shared" si="33"/>
        <v>891000</v>
      </c>
      <c r="R191" s="55"/>
      <c r="S191" s="301"/>
      <c r="T191" s="55">
        <v>14</v>
      </c>
      <c r="U191" s="24">
        <f t="shared" si="44"/>
        <v>44645</v>
      </c>
      <c r="V191" s="5"/>
      <c r="W191"/>
      <c r="X191"/>
      <c r="Y191"/>
      <c r="Z191"/>
      <c r="AA191"/>
      <c r="AB191"/>
      <c r="AC191"/>
      <c r="AD191"/>
      <c r="AE191"/>
      <c r="AF191"/>
      <c r="AG191"/>
      <c r="AH191"/>
      <c r="AI191"/>
      <c r="AJ191"/>
      <c r="AK191"/>
      <c r="AL191"/>
      <c r="AM191"/>
      <c r="AN191"/>
      <c r="AO191"/>
      <c r="AP191"/>
      <c r="AQ191"/>
      <c r="AR191"/>
    </row>
    <row r="192" spans="1:44" s="10" customFormat="1" ht="15.75" customHeight="1" x14ac:dyDescent="0.25">
      <c r="A192" s="55" t="e">
        <f t="shared" si="31"/>
        <v>#REF!</v>
      </c>
      <c r="B192" s="633">
        <v>44602</v>
      </c>
      <c r="C192" s="755" t="s">
        <v>4159</v>
      </c>
      <c r="D192" s="824" t="s">
        <v>4597</v>
      </c>
      <c r="E192" s="884" t="s">
        <v>4130</v>
      </c>
      <c r="F192" s="33" t="s">
        <v>2694</v>
      </c>
      <c r="G192" s="33" t="s">
        <v>4407</v>
      </c>
      <c r="H192" s="45">
        <v>1500000</v>
      </c>
      <c r="I192" s="377" t="s">
        <v>4406</v>
      </c>
      <c r="J192" s="774">
        <v>44631</v>
      </c>
      <c r="K192" s="928">
        <f t="shared" si="32"/>
        <v>1500000</v>
      </c>
      <c r="L192" s="894"/>
      <c r="M192" s="894"/>
      <c r="N192" s="28">
        <f t="shared" si="42"/>
        <v>15000</v>
      </c>
      <c r="O192" s="28">
        <f t="shared" si="43"/>
        <v>30000</v>
      </c>
      <c r="P192" s="894"/>
      <c r="Q192" s="28">
        <f t="shared" si="33"/>
        <v>1485000</v>
      </c>
      <c r="R192" s="55"/>
      <c r="S192" s="301"/>
      <c r="T192" s="55">
        <v>14</v>
      </c>
      <c r="U192" s="24">
        <f t="shared" si="44"/>
        <v>44645</v>
      </c>
      <c r="V192" s="5"/>
      <c r="W192"/>
      <c r="X192"/>
      <c r="Y192"/>
      <c r="Z192"/>
      <c r="AA192"/>
      <c r="AB192"/>
      <c r="AC192"/>
      <c r="AD192"/>
      <c r="AE192"/>
      <c r="AF192"/>
      <c r="AG192"/>
      <c r="AH192"/>
      <c r="AI192"/>
      <c r="AJ192"/>
      <c r="AK192"/>
      <c r="AL192"/>
      <c r="AM192"/>
      <c r="AN192"/>
      <c r="AO192"/>
      <c r="AP192"/>
      <c r="AQ192"/>
      <c r="AR192"/>
    </row>
    <row r="193" spans="1:44" s="10" customFormat="1" ht="15.75" customHeight="1" x14ac:dyDescent="0.25">
      <c r="A193" s="55" t="e">
        <f t="shared" si="31"/>
        <v>#REF!</v>
      </c>
      <c r="B193" s="633">
        <v>44607</v>
      </c>
      <c r="C193" s="755" t="s">
        <v>4169</v>
      </c>
      <c r="D193" s="824" t="s">
        <v>4598</v>
      </c>
      <c r="E193" s="884" t="s">
        <v>4141</v>
      </c>
      <c r="F193" s="33" t="s">
        <v>2694</v>
      </c>
      <c r="G193" s="33" t="s">
        <v>3000</v>
      </c>
      <c r="H193" s="45">
        <v>1000000</v>
      </c>
      <c r="I193" s="377" t="s">
        <v>4408</v>
      </c>
      <c r="J193" s="774">
        <v>44631</v>
      </c>
      <c r="K193" s="928">
        <f t="shared" si="32"/>
        <v>1000000</v>
      </c>
      <c r="L193" s="894"/>
      <c r="M193" s="894"/>
      <c r="N193" s="28">
        <f t="shared" si="42"/>
        <v>10000</v>
      </c>
      <c r="O193" s="28">
        <f t="shared" si="43"/>
        <v>20000</v>
      </c>
      <c r="P193" s="894"/>
      <c r="Q193" s="28">
        <f t="shared" si="33"/>
        <v>990000</v>
      </c>
      <c r="R193" s="55"/>
      <c r="S193" s="301"/>
      <c r="T193" s="55">
        <v>14</v>
      </c>
      <c r="U193" s="24">
        <f t="shared" si="44"/>
        <v>44645</v>
      </c>
      <c r="V193" s="5"/>
      <c r="W193"/>
      <c r="X193"/>
      <c r="Y193"/>
      <c r="Z193"/>
      <c r="AA193"/>
      <c r="AB193"/>
      <c r="AC193"/>
      <c r="AD193"/>
      <c r="AE193"/>
      <c r="AF193"/>
      <c r="AG193"/>
      <c r="AH193"/>
      <c r="AI193"/>
      <c r="AJ193"/>
      <c r="AK193"/>
      <c r="AL193"/>
      <c r="AM193"/>
      <c r="AN193"/>
      <c r="AO193"/>
      <c r="AP193"/>
      <c r="AQ193"/>
      <c r="AR193"/>
    </row>
    <row r="194" spans="1:44" s="10" customFormat="1" ht="15.75" customHeight="1" x14ac:dyDescent="0.25">
      <c r="A194" s="55" t="e">
        <f t="shared" si="31"/>
        <v>#REF!</v>
      </c>
      <c r="B194" s="633">
        <v>44610</v>
      </c>
      <c r="C194" s="755" t="s">
        <v>4170</v>
      </c>
      <c r="D194" s="824" t="s">
        <v>4599</v>
      </c>
      <c r="E194" s="884" t="s">
        <v>4142</v>
      </c>
      <c r="F194" s="33" t="s">
        <v>2694</v>
      </c>
      <c r="G194" s="33" t="s">
        <v>4410</v>
      </c>
      <c r="H194" s="45">
        <v>900000</v>
      </c>
      <c r="I194" s="377" t="s">
        <v>4409</v>
      </c>
      <c r="J194" s="774">
        <v>44631</v>
      </c>
      <c r="K194" s="928">
        <f t="shared" si="32"/>
        <v>900000</v>
      </c>
      <c r="L194" s="894"/>
      <c r="M194" s="894"/>
      <c r="N194" s="28">
        <f t="shared" si="42"/>
        <v>9000</v>
      </c>
      <c r="O194" s="28">
        <f t="shared" si="43"/>
        <v>18000</v>
      </c>
      <c r="P194" s="894"/>
      <c r="Q194" s="28">
        <f t="shared" si="33"/>
        <v>891000</v>
      </c>
      <c r="R194" s="55"/>
      <c r="S194" s="301"/>
      <c r="T194" s="55">
        <v>14</v>
      </c>
      <c r="U194" s="24">
        <f t="shared" si="44"/>
        <v>44645</v>
      </c>
      <c r="V194" s="5"/>
      <c r="W194"/>
      <c r="X194"/>
      <c r="Y194"/>
      <c r="Z194"/>
      <c r="AA194"/>
      <c r="AB194"/>
      <c r="AC194"/>
      <c r="AD194"/>
      <c r="AE194"/>
      <c r="AF194"/>
      <c r="AG194"/>
      <c r="AH194"/>
      <c r="AI194"/>
      <c r="AJ194"/>
      <c r="AK194"/>
      <c r="AL194"/>
      <c r="AM194"/>
      <c r="AN194"/>
      <c r="AO194"/>
      <c r="AP194"/>
      <c r="AQ194"/>
      <c r="AR194"/>
    </row>
    <row r="195" spans="1:44" s="10" customFormat="1" ht="15.75" customHeight="1" x14ac:dyDescent="0.25">
      <c r="A195" s="55" t="e">
        <f t="shared" si="31"/>
        <v>#REF!</v>
      </c>
      <c r="B195" s="633">
        <v>44611</v>
      </c>
      <c r="C195" s="755" t="s">
        <v>4171</v>
      </c>
      <c r="D195" s="824" t="s">
        <v>4600</v>
      </c>
      <c r="E195" s="884" t="s">
        <v>4143</v>
      </c>
      <c r="F195" s="33" t="s">
        <v>2694</v>
      </c>
      <c r="G195" s="33" t="s">
        <v>2243</v>
      </c>
      <c r="H195" s="45">
        <v>900000</v>
      </c>
      <c r="I195" s="377" t="s">
        <v>4411</v>
      </c>
      <c r="J195" s="774">
        <v>44631</v>
      </c>
      <c r="K195" s="928">
        <f t="shared" si="32"/>
        <v>900000</v>
      </c>
      <c r="L195" s="894"/>
      <c r="M195" s="894"/>
      <c r="N195" s="28">
        <f t="shared" si="42"/>
        <v>9000</v>
      </c>
      <c r="O195" s="28">
        <f t="shared" si="43"/>
        <v>18000</v>
      </c>
      <c r="P195" s="894"/>
      <c r="Q195" s="28">
        <f t="shared" si="33"/>
        <v>891000</v>
      </c>
      <c r="R195" s="55"/>
      <c r="S195" s="301"/>
      <c r="T195" s="55">
        <v>14</v>
      </c>
      <c r="U195" s="24">
        <f t="shared" si="44"/>
        <v>44645</v>
      </c>
      <c r="V195" s="5"/>
      <c r="W195"/>
      <c r="X195"/>
      <c r="Y195"/>
      <c r="Z195"/>
      <c r="AA195"/>
      <c r="AB195"/>
      <c r="AC195"/>
      <c r="AD195"/>
      <c r="AE195"/>
      <c r="AF195"/>
      <c r="AG195"/>
      <c r="AH195"/>
      <c r="AI195"/>
      <c r="AJ195"/>
      <c r="AK195"/>
      <c r="AL195"/>
      <c r="AM195"/>
      <c r="AN195"/>
      <c r="AO195"/>
      <c r="AP195"/>
      <c r="AQ195"/>
      <c r="AR195"/>
    </row>
    <row r="196" spans="1:44" s="10" customFormat="1" ht="15.75" customHeight="1" x14ac:dyDescent="0.25">
      <c r="A196" s="55" t="e">
        <f t="shared" si="31"/>
        <v>#REF!</v>
      </c>
      <c r="B196" s="633">
        <v>44611</v>
      </c>
      <c r="C196" s="755" t="s">
        <v>4172</v>
      </c>
      <c r="D196" s="824" t="s">
        <v>4601</v>
      </c>
      <c r="E196" s="884" t="s">
        <v>4144</v>
      </c>
      <c r="F196" s="33" t="s">
        <v>2694</v>
      </c>
      <c r="G196" s="33" t="s">
        <v>3000</v>
      </c>
      <c r="H196" s="45">
        <v>900000</v>
      </c>
      <c r="I196" s="377" t="s">
        <v>4412</v>
      </c>
      <c r="J196" s="774">
        <v>44631</v>
      </c>
      <c r="K196" s="928">
        <f t="shared" si="32"/>
        <v>900000</v>
      </c>
      <c r="L196" s="894"/>
      <c r="M196" s="894"/>
      <c r="N196" s="28">
        <f t="shared" si="42"/>
        <v>9000</v>
      </c>
      <c r="O196" s="28">
        <f t="shared" si="43"/>
        <v>18000</v>
      </c>
      <c r="P196" s="894"/>
      <c r="Q196" s="28">
        <f t="shared" si="33"/>
        <v>891000</v>
      </c>
      <c r="R196" s="55"/>
      <c r="S196" s="301"/>
      <c r="T196" s="55">
        <v>14</v>
      </c>
      <c r="U196" s="24">
        <f t="shared" si="44"/>
        <v>44645</v>
      </c>
      <c r="V196" s="5"/>
      <c r="W196"/>
      <c r="X196"/>
      <c r="Y196"/>
      <c r="Z196"/>
      <c r="AA196"/>
      <c r="AB196"/>
      <c r="AC196"/>
      <c r="AD196"/>
      <c r="AE196"/>
      <c r="AF196"/>
      <c r="AG196"/>
      <c r="AH196"/>
      <c r="AI196"/>
      <c r="AJ196"/>
      <c r="AK196"/>
      <c r="AL196"/>
      <c r="AM196"/>
      <c r="AN196"/>
      <c r="AO196"/>
      <c r="AP196"/>
      <c r="AQ196"/>
      <c r="AR196"/>
    </row>
    <row r="197" spans="1:44" s="10" customFormat="1" ht="15.75" customHeight="1" x14ac:dyDescent="0.25">
      <c r="A197" s="55" t="e">
        <f t="shared" si="31"/>
        <v>#REF!</v>
      </c>
      <c r="B197" s="633">
        <v>44615</v>
      </c>
      <c r="C197" s="755">
        <v>404858</v>
      </c>
      <c r="D197" s="824" t="s">
        <v>4198</v>
      </c>
      <c r="E197" s="884"/>
      <c r="F197" s="33" t="s">
        <v>401</v>
      </c>
      <c r="G197" s="33" t="s">
        <v>2481</v>
      </c>
      <c r="H197" s="45">
        <v>728000</v>
      </c>
      <c r="I197" s="377" t="s">
        <v>4416</v>
      </c>
      <c r="J197" s="774">
        <v>44637</v>
      </c>
      <c r="K197" s="928">
        <f t="shared" si="32"/>
        <v>728000</v>
      </c>
      <c r="L197" s="894">
        <v>7280</v>
      </c>
      <c r="M197" s="894"/>
      <c r="N197" s="28">
        <f t="shared" si="42"/>
        <v>7280</v>
      </c>
      <c r="O197" s="28">
        <f t="shared" si="43"/>
        <v>14560</v>
      </c>
      <c r="P197" s="894">
        <v>720720</v>
      </c>
      <c r="Q197" s="28">
        <f t="shared" si="33"/>
        <v>-7280</v>
      </c>
      <c r="R197" s="55"/>
      <c r="S197" s="301">
        <v>44651</v>
      </c>
      <c r="T197" s="55"/>
      <c r="U197" s="24"/>
      <c r="V197" s="5"/>
      <c r="W197"/>
      <c r="X197"/>
      <c r="Y197"/>
      <c r="Z197"/>
      <c r="AA197"/>
      <c r="AB197"/>
      <c r="AC197"/>
      <c r="AD197"/>
      <c r="AE197"/>
      <c r="AF197"/>
      <c r="AG197"/>
      <c r="AH197"/>
      <c r="AI197"/>
      <c r="AJ197"/>
      <c r="AK197"/>
      <c r="AL197"/>
      <c r="AM197"/>
      <c r="AN197"/>
      <c r="AO197"/>
      <c r="AP197"/>
      <c r="AQ197"/>
      <c r="AR197"/>
    </row>
    <row r="198" spans="1:44" s="10" customFormat="1" ht="15.75" customHeight="1" x14ac:dyDescent="0.25">
      <c r="A198" s="55" t="e">
        <f t="shared" ref="A198:A261" si="45">A197+1</f>
        <v>#REF!</v>
      </c>
      <c r="B198" s="633">
        <v>44616</v>
      </c>
      <c r="C198" s="755"/>
      <c r="D198" s="824" t="s">
        <v>4197</v>
      </c>
      <c r="E198" s="884"/>
      <c r="F198" s="33" t="s">
        <v>3308</v>
      </c>
      <c r="G198" s="33" t="s">
        <v>4420</v>
      </c>
      <c r="H198" s="45">
        <v>14000000</v>
      </c>
      <c r="I198" s="377" t="s">
        <v>4419</v>
      </c>
      <c r="J198" s="774">
        <v>44637</v>
      </c>
      <c r="K198" s="928">
        <f t="shared" ref="K198:K261" si="46">H198</f>
        <v>14000000</v>
      </c>
      <c r="L198" s="894"/>
      <c r="M198" s="894"/>
      <c r="N198" s="28">
        <f t="shared" si="42"/>
        <v>140000</v>
      </c>
      <c r="O198" s="28">
        <f t="shared" si="43"/>
        <v>280000</v>
      </c>
      <c r="P198" s="894"/>
      <c r="Q198" s="28">
        <f t="shared" ref="Q198:Q261" si="47">K198-L198-M198-O198-P198+N198</f>
        <v>13860000</v>
      </c>
      <c r="R198" s="55"/>
      <c r="S198" s="301"/>
      <c r="T198" s="55"/>
      <c r="U198" s="24"/>
      <c r="V198" s="5"/>
      <c r="W198"/>
      <c r="X198"/>
      <c r="Y198"/>
      <c r="Z198"/>
      <c r="AA198"/>
      <c r="AB198"/>
      <c r="AC198"/>
      <c r="AD198"/>
      <c r="AE198"/>
      <c r="AF198"/>
      <c r="AG198"/>
      <c r="AH198"/>
      <c r="AI198"/>
      <c r="AJ198"/>
      <c r="AK198"/>
      <c r="AL198"/>
      <c r="AM198"/>
      <c r="AN198"/>
      <c r="AO198"/>
      <c r="AP198"/>
      <c r="AQ198"/>
      <c r="AR198"/>
    </row>
    <row r="199" spans="1:44" s="10" customFormat="1" ht="15.75" customHeight="1" x14ac:dyDescent="0.25">
      <c r="A199" s="55" t="e">
        <f t="shared" si="45"/>
        <v>#REF!</v>
      </c>
      <c r="B199" s="633">
        <v>44593</v>
      </c>
      <c r="C199" s="755">
        <v>404314</v>
      </c>
      <c r="D199" s="824"/>
      <c r="E199" s="884"/>
      <c r="F199" s="33" t="s">
        <v>1195</v>
      </c>
      <c r="G199" s="33" t="s">
        <v>4603</v>
      </c>
      <c r="H199" s="45">
        <v>385334325.25000006</v>
      </c>
      <c r="I199" s="377" t="s">
        <v>4602</v>
      </c>
      <c r="J199" s="774">
        <v>44641</v>
      </c>
      <c r="K199" s="928">
        <f t="shared" si="46"/>
        <v>385334325.25000006</v>
      </c>
      <c r="L199" s="894"/>
      <c r="M199" s="894"/>
      <c r="N199" s="894">
        <f t="shared" ref="N199" si="48">K199*1%</f>
        <v>3853343.2525000009</v>
      </c>
      <c r="O199" s="894">
        <f t="shared" ref="O199" si="49">K199*2%</f>
        <v>7706686.5050000018</v>
      </c>
      <c r="P199" s="894">
        <v>381480981.99750006</v>
      </c>
      <c r="Q199" s="28">
        <f t="shared" si="47"/>
        <v>0</v>
      </c>
      <c r="R199" s="55"/>
      <c r="S199" s="301">
        <v>44664</v>
      </c>
      <c r="T199" s="55"/>
      <c r="U199" s="24"/>
      <c r="V199" s="5"/>
      <c r="W199"/>
      <c r="X199"/>
      <c r="Y199"/>
      <c r="Z199"/>
      <c r="AA199"/>
      <c r="AB199"/>
      <c r="AC199"/>
      <c r="AD199"/>
      <c r="AE199"/>
      <c r="AF199"/>
      <c r="AG199"/>
      <c r="AH199"/>
      <c r="AI199"/>
      <c r="AJ199"/>
      <c r="AK199"/>
      <c r="AL199"/>
      <c r="AM199"/>
      <c r="AN199"/>
      <c r="AO199"/>
      <c r="AP199"/>
      <c r="AQ199"/>
      <c r="AR199"/>
    </row>
    <row r="200" spans="1:44" s="10" customFormat="1" ht="15.75" customHeight="1" x14ac:dyDescent="0.25">
      <c r="A200" s="55" t="e">
        <f t="shared" si="45"/>
        <v>#REF!</v>
      </c>
      <c r="B200" s="633">
        <v>44602</v>
      </c>
      <c r="C200" s="755">
        <v>403322</v>
      </c>
      <c r="D200" s="824"/>
      <c r="E200" s="884"/>
      <c r="F200" s="33" t="s">
        <v>1195</v>
      </c>
      <c r="G200" s="33" t="s">
        <v>4608</v>
      </c>
      <c r="H200" s="45">
        <v>7287000</v>
      </c>
      <c r="I200" s="377" t="s">
        <v>4607</v>
      </c>
      <c r="J200" s="774">
        <v>44641</v>
      </c>
      <c r="K200" s="928">
        <f t="shared" si="46"/>
        <v>7287000</v>
      </c>
      <c r="L200" s="894"/>
      <c r="M200" s="894">
        <v>728700</v>
      </c>
      <c r="N200" s="894">
        <v>65583</v>
      </c>
      <c r="O200" s="894">
        <v>131166</v>
      </c>
      <c r="P200" s="894">
        <v>6492717</v>
      </c>
      <c r="Q200" s="28">
        <f t="shared" si="47"/>
        <v>0</v>
      </c>
      <c r="R200" s="55"/>
      <c r="S200" s="301">
        <v>44664</v>
      </c>
      <c r="T200" s="55"/>
      <c r="U200" s="24"/>
      <c r="V200" s="5"/>
      <c r="W200"/>
      <c r="X200"/>
      <c r="Y200"/>
      <c r="Z200"/>
      <c r="AA200"/>
      <c r="AB200"/>
      <c r="AC200"/>
      <c r="AD200"/>
      <c r="AE200"/>
      <c r="AF200"/>
      <c r="AG200"/>
      <c r="AH200"/>
      <c r="AI200"/>
      <c r="AJ200"/>
      <c r="AK200"/>
      <c r="AL200"/>
      <c r="AM200"/>
      <c r="AN200"/>
      <c r="AO200"/>
      <c r="AP200"/>
      <c r="AQ200"/>
      <c r="AR200"/>
    </row>
    <row r="201" spans="1:44" s="10" customFormat="1" ht="15.75" customHeight="1" x14ac:dyDescent="0.25">
      <c r="A201" s="55" t="e">
        <f t="shared" si="45"/>
        <v>#REF!</v>
      </c>
      <c r="B201" s="633">
        <v>44608</v>
      </c>
      <c r="C201" s="755">
        <v>403344</v>
      </c>
      <c r="D201" s="824"/>
      <c r="E201" s="884"/>
      <c r="F201" s="33" t="s">
        <v>1195</v>
      </c>
      <c r="G201" s="33" t="s">
        <v>4610</v>
      </c>
      <c r="H201" s="45">
        <v>1800000</v>
      </c>
      <c r="I201" s="377" t="s">
        <v>4609</v>
      </c>
      <c r="J201" s="774">
        <v>44641</v>
      </c>
      <c r="K201" s="928">
        <f t="shared" si="46"/>
        <v>1800000</v>
      </c>
      <c r="L201" s="894"/>
      <c r="M201" s="894">
        <v>180000</v>
      </c>
      <c r="N201" s="894">
        <v>16200</v>
      </c>
      <c r="O201" s="894">
        <v>32400</v>
      </c>
      <c r="P201" s="894">
        <v>1603800</v>
      </c>
      <c r="Q201" s="28">
        <f t="shared" si="47"/>
        <v>0</v>
      </c>
      <c r="R201" s="55"/>
      <c r="S201" s="301">
        <v>44664</v>
      </c>
      <c r="T201" s="55"/>
      <c r="U201" s="24"/>
      <c r="V201" s="5"/>
      <c r="W201"/>
      <c r="X201"/>
      <c r="Y201"/>
      <c r="Z201"/>
      <c r="AA201"/>
      <c r="AB201"/>
      <c r="AC201"/>
      <c r="AD201"/>
      <c r="AE201"/>
      <c r="AF201"/>
      <c r="AG201"/>
      <c r="AH201"/>
      <c r="AI201"/>
      <c r="AJ201"/>
      <c r="AK201"/>
      <c r="AL201"/>
      <c r="AM201"/>
      <c r="AN201"/>
      <c r="AO201"/>
      <c r="AP201"/>
      <c r="AQ201"/>
      <c r="AR201"/>
    </row>
    <row r="202" spans="1:44" s="10" customFormat="1" ht="15.75" customHeight="1" x14ac:dyDescent="0.25">
      <c r="A202" s="55" t="e">
        <f t="shared" si="45"/>
        <v>#REF!</v>
      </c>
      <c r="B202" s="633">
        <v>44596</v>
      </c>
      <c r="C202" s="755">
        <v>403386</v>
      </c>
      <c r="D202" s="824"/>
      <c r="E202" s="884"/>
      <c r="F202" s="33" t="s">
        <v>1195</v>
      </c>
      <c r="G202" s="33" t="s">
        <v>4612</v>
      </c>
      <c r="H202" s="45">
        <v>6317307.5</v>
      </c>
      <c r="I202" s="377" t="s">
        <v>4611</v>
      </c>
      <c r="J202" s="774">
        <v>44641</v>
      </c>
      <c r="K202" s="928">
        <f t="shared" si="46"/>
        <v>6317307.5</v>
      </c>
      <c r="L202" s="894"/>
      <c r="M202" s="894">
        <v>631730.75</v>
      </c>
      <c r="N202" s="894">
        <v>56855.767500000002</v>
      </c>
      <c r="O202" s="894">
        <v>113711.535</v>
      </c>
      <c r="P202" s="894">
        <v>5628720.9824999999</v>
      </c>
      <c r="Q202" s="28">
        <f t="shared" si="47"/>
        <v>-7.2759576141834259E-11</v>
      </c>
      <c r="R202" s="55"/>
      <c r="S202" s="301">
        <v>44664</v>
      </c>
      <c r="T202" s="55"/>
      <c r="U202" s="24"/>
      <c r="V202" s="5"/>
      <c r="W202"/>
      <c r="X202"/>
      <c r="Y202"/>
      <c r="Z202"/>
      <c r="AA202"/>
      <c r="AB202"/>
      <c r="AC202"/>
      <c r="AD202"/>
      <c r="AE202"/>
      <c r="AF202"/>
      <c r="AG202"/>
      <c r="AH202"/>
      <c r="AI202"/>
      <c r="AJ202"/>
      <c r="AK202"/>
      <c r="AL202"/>
      <c r="AM202"/>
      <c r="AN202"/>
      <c r="AO202"/>
      <c r="AP202"/>
      <c r="AQ202"/>
      <c r="AR202"/>
    </row>
    <row r="203" spans="1:44" s="10" customFormat="1" ht="15.75" customHeight="1" x14ac:dyDescent="0.25">
      <c r="A203" s="55" t="e">
        <f t="shared" si="45"/>
        <v>#REF!</v>
      </c>
      <c r="B203" s="633">
        <v>44599</v>
      </c>
      <c r="C203" s="755">
        <v>403392</v>
      </c>
      <c r="D203" s="824"/>
      <c r="E203" s="884"/>
      <c r="F203" s="33" t="s">
        <v>1195</v>
      </c>
      <c r="G203" s="33" t="s">
        <v>4618</v>
      </c>
      <c r="H203" s="45">
        <v>7865655</v>
      </c>
      <c r="I203" s="377" t="s">
        <v>4617</v>
      </c>
      <c r="J203" s="774">
        <v>44644</v>
      </c>
      <c r="K203" s="928">
        <f t="shared" si="46"/>
        <v>7865655</v>
      </c>
      <c r="L203" s="894"/>
      <c r="M203" s="894">
        <v>786565.5</v>
      </c>
      <c r="N203" s="894">
        <v>70790.895000000004</v>
      </c>
      <c r="O203" s="894">
        <v>141581.79</v>
      </c>
      <c r="P203" s="894">
        <v>7008298.6049999995</v>
      </c>
      <c r="Q203" s="28">
        <f t="shared" si="47"/>
        <v>4.5110937207937241E-10</v>
      </c>
      <c r="R203" s="55"/>
      <c r="S203" s="301">
        <v>44664</v>
      </c>
      <c r="T203" s="55"/>
      <c r="U203" s="24"/>
      <c r="V203" s="5"/>
      <c r="W203"/>
      <c r="X203"/>
      <c r="Y203"/>
      <c r="Z203"/>
      <c r="AA203"/>
      <c r="AB203"/>
      <c r="AC203"/>
      <c r="AD203"/>
      <c r="AE203"/>
      <c r="AF203"/>
      <c r="AG203"/>
      <c r="AH203"/>
      <c r="AI203"/>
      <c r="AJ203"/>
      <c r="AK203"/>
      <c r="AL203"/>
      <c r="AM203"/>
      <c r="AN203"/>
      <c r="AO203"/>
      <c r="AP203"/>
      <c r="AQ203"/>
      <c r="AR203"/>
    </row>
    <row r="204" spans="1:44" s="10" customFormat="1" ht="15.75" customHeight="1" x14ac:dyDescent="0.25">
      <c r="A204" s="55" t="e">
        <f t="shared" si="45"/>
        <v>#REF!</v>
      </c>
      <c r="B204" s="633">
        <v>44600</v>
      </c>
      <c r="C204" s="755">
        <v>403313</v>
      </c>
      <c r="D204" s="824"/>
      <c r="E204" s="884"/>
      <c r="F204" s="33" t="s">
        <v>1195</v>
      </c>
      <c r="G204" s="33" t="s">
        <v>4620</v>
      </c>
      <c r="H204" s="45">
        <v>1900000</v>
      </c>
      <c r="I204" s="377" t="s">
        <v>4619</v>
      </c>
      <c r="J204" s="774">
        <v>44645</v>
      </c>
      <c r="K204" s="928">
        <f t="shared" si="46"/>
        <v>1900000</v>
      </c>
      <c r="L204" s="894"/>
      <c r="M204" s="894">
        <v>190000</v>
      </c>
      <c r="N204" s="894">
        <v>17100</v>
      </c>
      <c r="O204" s="894">
        <v>34200</v>
      </c>
      <c r="P204" s="894">
        <v>1692900</v>
      </c>
      <c r="Q204" s="28">
        <f t="shared" si="47"/>
        <v>0</v>
      </c>
      <c r="R204" s="55"/>
      <c r="S204" s="301">
        <v>44664</v>
      </c>
      <c r="T204" s="55"/>
      <c r="U204" s="24"/>
      <c r="V204" s="5"/>
      <c r="W204"/>
      <c r="X204"/>
      <c r="Y204"/>
      <c r="Z204"/>
      <c r="AA204"/>
      <c r="AB204"/>
      <c r="AC204"/>
      <c r="AD204"/>
      <c r="AE204"/>
      <c r="AF204"/>
      <c r="AG204"/>
      <c r="AH204"/>
      <c r="AI204"/>
      <c r="AJ204"/>
      <c r="AK204"/>
      <c r="AL204"/>
      <c r="AM204"/>
      <c r="AN204"/>
      <c r="AO204"/>
      <c r="AP204"/>
      <c r="AQ204"/>
      <c r="AR204"/>
    </row>
    <row r="205" spans="1:44" s="10" customFormat="1" ht="15.75" customHeight="1" x14ac:dyDescent="0.25">
      <c r="A205" s="55" t="e">
        <f t="shared" si="45"/>
        <v>#REF!</v>
      </c>
      <c r="B205" s="633">
        <v>44597</v>
      </c>
      <c r="C205" s="755">
        <v>403303</v>
      </c>
      <c r="D205" s="824"/>
      <c r="E205" s="884"/>
      <c r="F205" s="33" t="s">
        <v>1195</v>
      </c>
      <c r="G205" s="33" t="s">
        <v>4622</v>
      </c>
      <c r="H205" s="45">
        <v>595000</v>
      </c>
      <c r="I205" s="377" t="s">
        <v>4621</v>
      </c>
      <c r="J205" s="774">
        <v>44645</v>
      </c>
      <c r="K205" s="928">
        <f t="shared" si="46"/>
        <v>595000</v>
      </c>
      <c r="L205" s="894"/>
      <c r="M205" s="894">
        <v>59500</v>
      </c>
      <c r="N205" s="894">
        <v>5355</v>
      </c>
      <c r="O205" s="894">
        <v>10710</v>
      </c>
      <c r="P205" s="894">
        <v>530145</v>
      </c>
      <c r="Q205" s="28">
        <f t="shared" si="47"/>
        <v>0</v>
      </c>
      <c r="R205" s="55"/>
      <c r="S205" s="301">
        <v>44664</v>
      </c>
      <c r="T205" s="55"/>
      <c r="U205" s="24"/>
      <c r="V205" s="5"/>
      <c r="W205"/>
      <c r="X205"/>
      <c r="Y205"/>
      <c r="Z205"/>
      <c r="AA205"/>
      <c r="AB205"/>
      <c r="AC205"/>
      <c r="AD205"/>
      <c r="AE205"/>
      <c r="AF205"/>
      <c r="AG205"/>
      <c r="AH205"/>
      <c r="AI205"/>
      <c r="AJ205"/>
      <c r="AK205"/>
      <c r="AL205"/>
      <c r="AM205"/>
      <c r="AN205"/>
      <c r="AO205"/>
      <c r="AP205"/>
      <c r="AQ205"/>
      <c r="AR205"/>
    </row>
    <row r="206" spans="1:44" s="10" customFormat="1" ht="15.75" customHeight="1" x14ac:dyDescent="0.25">
      <c r="A206" s="55">
        <v>153</v>
      </c>
      <c r="B206" s="633">
        <v>44617</v>
      </c>
      <c r="C206" s="755">
        <v>404762</v>
      </c>
      <c r="D206" s="824"/>
      <c r="E206" s="884"/>
      <c r="F206" s="33" t="s">
        <v>1195</v>
      </c>
      <c r="G206" s="404" t="s">
        <v>5001</v>
      </c>
      <c r="H206" s="45">
        <v>3838968</v>
      </c>
      <c r="I206" s="377" t="s">
        <v>5002</v>
      </c>
      <c r="J206" s="774" t="s">
        <v>5003</v>
      </c>
      <c r="K206" s="917">
        <v>4265520</v>
      </c>
      <c r="L206" s="910"/>
      <c r="M206" s="910">
        <v>426552</v>
      </c>
      <c r="N206" s="910">
        <v>42228.648000000001</v>
      </c>
      <c r="O206" s="910">
        <v>76779.360000000001</v>
      </c>
      <c r="P206" s="910"/>
      <c r="Q206" s="28">
        <f>K206-L206-M206-O206-P206+N206</f>
        <v>3804417.2880000002</v>
      </c>
      <c r="R206" s="55"/>
      <c r="S206" s="301"/>
      <c r="T206" s="55"/>
      <c r="U206" s="24"/>
      <c r="V206" s="5"/>
      <c r="W206"/>
      <c r="X206"/>
      <c r="Y206"/>
      <c r="Z206"/>
      <c r="AA206"/>
      <c r="AB206"/>
      <c r="AC206"/>
      <c r="AD206"/>
      <c r="AE206"/>
      <c r="AF206"/>
      <c r="AG206"/>
      <c r="AH206"/>
      <c r="AI206"/>
      <c r="AJ206"/>
      <c r="AK206"/>
      <c r="AL206"/>
      <c r="AM206"/>
      <c r="AN206"/>
      <c r="AO206"/>
      <c r="AP206"/>
      <c r="AQ206"/>
      <c r="AR206"/>
    </row>
    <row r="207" spans="1:44" s="10" customFormat="1" ht="15.75" customHeight="1" x14ac:dyDescent="0.25">
      <c r="A207" s="55" t="e">
        <f>A205+1</f>
        <v>#REF!</v>
      </c>
      <c r="B207" s="633">
        <v>44596</v>
      </c>
      <c r="C207" s="755"/>
      <c r="D207" s="756" t="s">
        <v>3670</v>
      </c>
      <c r="E207" s="884"/>
      <c r="F207" s="33" t="s">
        <v>53</v>
      </c>
      <c r="G207" s="404" t="s">
        <v>3671</v>
      </c>
      <c r="H207" s="45">
        <v>1200000</v>
      </c>
      <c r="I207" s="377" t="s">
        <v>3669</v>
      </c>
      <c r="J207" s="774">
        <v>44597</v>
      </c>
      <c r="K207" s="928">
        <f t="shared" si="46"/>
        <v>1200000</v>
      </c>
      <c r="L207" s="821"/>
      <c r="M207" s="821"/>
      <c r="N207" s="821"/>
      <c r="O207" s="821"/>
      <c r="P207" s="821">
        <v>1200000</v>
      </c>
      <c r="Q207" s="28">
        <f t="shared" si="47"/>
        <v>0</v>
      </c>
      <c r="R207" s="301"/>
      <c r="S207" s="301">
        <v>44613</v>
      </c>
      <c r="T207" s="55">
        <v>14</v>
      </c>
      <c r="U207" s="24">
        <f t="shared" ref="U207:U237" si="50">J207+T207</f>
        <v>44611</v>
      </c>
      <c r="V207" s="5"/>
      <c r="W207"/>
      <c r="X207"/>
      <c r="Y207"/>
      <c r="Z207"/>
      <c r="AA207"/>
      <c r="AB207"/>
      <c r="AC207"/>
      <c r="AD207"/>
      <c r="AE207"/>
      <c r="AF207"/>
      <c r="AG207"/>
      <c r="AH207"/>
      <c r="AI207"/>
      <c r="AJ207"/>
      <c r="AK207"/>
      <c r="AL207"/>
      <c r="AM207"/>
      <c r="AN207"/>
      <c r="AO207"/>
      <c r="AP207"/>
      <c r="AQ207"/>
      <c r="AR207"/>
    </row>
    <row r="208" spans="1:44" s="10" customFormat="1" ht="15.75" customHeight="1" x14ac:dyDescent="0.25">
      <c r="A208" s="55" t="e">
        <f t="shared" si="45"/>
        <v>#REF!</v>
      </c>
      <c r="B208" s="633">
        <v>44234</v>
      </c>
      <c r="C208" s="755"/>
      <c r="D208" s="756" t="s">
        <v>3673</v>
      </c>
      <c r="E208" s="884"/>
      <c r="F208" s="33" t="s">
        <v>4019</v>
      </c>
      <c r="G208" s="404" t="s">
        <v>988</v>
      </c>
      <c r="H208" s="45">
        <v>2772000</v>
      </c>
      <c r="I208" s="377" t="s">
        <v>3672</v>
      </c>
      <c r="J208" s="774">
        <v>44599</v>
      </c>
      <c r="K208" s="928">
        <f t="shared" si="46"/>
        <v>2772000</v>
      </c>
      <c r="L208" s="821"/>
      <c r="M208" s="821"/>
      <c r="N208" s="821"/>
      <c r="O208" s="821"/>
      <c r="P208" s="821">
        <v>2772000</v>
      </c>
      <c r="Q208" s="28">
        <f t="shared" si="47"/>
        <v>0</v>
      </c>
      <c r="R208" s="301"/>
      <c r="S208" s="301">
        <v>44599</v>
      </c>
      <c r="T208" s="55">
        <v>14</v>
      </c>
      <c r="U208" s="24">
        <f t="shared" si="50"/>
        <v>44613</v>
      </c>
      <c r="V208" s="5"/>
      <c r="W208"/>
      <c r="X208"/>
      <c r="Y208"/>
      <c r="Z208"/>
      <c r="AA208"/>
      <c r="AB208"/>
      <c r="AC208"/>
      <c r="AD208"/>
      <c r="AE208"/>
      <c r="AF208"/>
      <c r="AG208"/>
      <c r="AH208"/>
      <c r="AI208"/>
      <c r="AJ208"/>
      <c r="AK208"/>
      <c r="AL208"/>
      <c r="AM208"/>
      <c r="AN208"/>
      <c r="AO208"/>
      <c r="AP208"/>
      <c r="AQ208"/>
      <c r="AR208"/>
    </row>
    <row r="209" spans="1:44" s="10" customFormat="1" ht="15.75" customHeight="1" x14ac:dyDescent="0.25">
      <c r="A209" s="55" t="e">
        <f t="shared" si="45"/>
        <v>#REF!</v>
      </c>
      <c r="B209" s="633">
        <v>44596</v>
      </c>
      <c r="C209" s="755"/>
      <c r="D209" s="756" t="s">
        <v>3676</v>
      </c>
      <c r="E209" s="884"/>
      <c r="F209" s="33" t="s">
        <v>3675</v>
      </c>
      <c r="G209" s="404" t="s">
        <v>503</v>
      </c>
      <c r="H209" s="45">
        <v>1563800</v>
      </c>
      <c r="I209" s="377" t="s">
        <v>3674</v>
      </c>
      <c r="J209" s="774">
        <v>44599</v>
      </c>
      <c r="K209" s="928">
        <f t="shared" si="46"/>
        <v>1563800</v>
      </c>
      <c r="L209" s="821"/>
      <c r="M209" s="821"/>
      <c r="N209" s="821"/>
      <c r="O209" s="821"/>
      <c r="P209" s="821">
        <v>1563800</v>
      </c>
      <c r="Q209" s="28">
        <f t="shared" si="47"/>
        <v>0</v>
      </c>
      <c r="R209" s="301"/>
      <c r="S209" s="301">
        <v>44599</v>
      </c>
      <c r="T209" s="55">
        <v>14</v>
      </c>
      <c r="U209" s="24">
        <f t="shared" si="50"/>
        <v>44613</v>
      </c>
      <c r="V209" s="5"/>
      <c r="W209"/>
      <c r="X209"/>
      <c r="Y209"/>
      <c r="Z209"/>
      <c r="AA209"/>
      <c r="AB209"/>
      <c r="AC209"/>
      <c r="AD209"/>
      <c r="AE209"/>
      <c r="AF209"/>
      <c r="AG209"/>
      <c r="AH209"/>
      <c r="AI209"/>
      <c r="AJ209"/>
      <c r="AK209"/>
      <c r="AL209"/>
      <c r="AM209"/>
      <c r="AN209"/>
      <c r="AO209"/>
      <c r="AP209"/>
      <c r="AQ209"/>
      <c r="AR209"/>
    </row>
    <row r="210" spans="1:44" s="10" customFormat="1" ht="15.75" customHeight="1" x14ac:dyDescent="0.25">
      <c r="A210" s="55" t="e">
        <f t="shared" si="45"/>
        <v>#REF!</v>
      </c>
      <c r="B210" s="633">
        <v>44234</v>
      </c>
      <c r="C210" s="755">
        <v>400518</v>
      </c>
      <c r="D210" s="824" t="s">
        <v>3768</v>
      </c>
      <c r="E210" s="884"/>
      <c r="F210" s="33" t="s">
        <v>3950</v>
      </c>
      <c r="G210" s="404" t="s">
        <v>988</v>
      </c>
      <c r="H210" s="45">
        <v>200000</v>
      </c>
      <c r="I210" s="377" t="s">
        <v>3767</v>
      </c>
      <c r="J210" s="774">
        <v>44599</v>
      </c>
      <c r="K210" s="928">
        <f t="shared" si="46"/>
        <v>200000</v>
      </c>
      <c r="L210" s="821"/>
      <c r="M210" s="821"/>
      <c r="N210" s="821"/>
      <c r="O210" s="821"/>
      <c r="P210" s="821">
        <v>200000</v>
      </c>
      <c r="Q210" s="28">
        <f t="shared" si="47"/>
        <v>0</v>
      </c>
      <c r="R210" s="301"/>
      <c r="S210" s="301">
        <v>44599</v>
      </c>
      <c r="T210" s="55">
        <v>14</v>
      </c>
      <c r="U210" s="24">
        <f t="shared" si="50"/>
        <v>44613</v>
      </c>
      <c r="V210" s="5"/>
      <c r="W210"/>
      <c r="X210"/>
      <c r="Y210"/>
      <c r="Z210"/>
      <c r="AA210"/>
      <c r="AB210"/>
      <c r="AC210"/>
      <c r="AD210"/>
      <c r="AE210"/>
      <c r="AF210"/>
      <c r="AG210"/>
      <c r="AH210"/>
      <c r="AI210"/>
      <c r="AJ210"/>
      <c r="AK210"/>
      <c r="AL210"/>
      <c r="AM210"/>
      <c r="AN210"/>
      <c r="AO210"/>
      <c r="AP210"/>
      <c r="AQ210"/>
      <c r="AR210"/>
    </row>
    <row r="211" spans="1:44" s="10" customFormat="1" ht="15.75" customHeight="1" x14ac:dyDescent="0.25">
      <c r="A211" s="55" t="e">
        <f t="shared" si="45"/>
        <v>#REF!</v>
      </c>
      <c r="B211" s="633">
        <v>44234</v>
      </c>
      <c r="C211" s="755">
        <v>405878</v>
      </c>
      <c r="D211" s="824" t="s">
        <v>3771</v>
      </c>
      <c r="E211" s="884"/>
      <c r="F211" s="33" t="s">
        <v>3770</v>
      </c>
      <c r="G211" s="404" t="s">
        <v>988</v>
      </c>
      <c r="H211" s="45">
        <v>112000</v>
      </c>
      <c r="I211" s="377" t="s">
        <v>3769</v>
      </c>
      <c r="J211" s="774">
        <v>44600</v>
      </c>
      <c r="K211" s="928">
        <f t="shared" si="46"/>
        <v>112000</v>
      </c>
      <c r="L211" s="821"/>
      <c r="M211" s="821"/>
      <c r="N211" s="821"/>
      <c r="O211" s="821"/>
      <c r="P211" s="821">
        <v>112000</v>
      </c>
      <c r="Q211" s="28">
        <f t="shared" si="47"/>
        <v>0</v>
      </c>
      <c r="R211" s="301"/>
      <c r="S211" s="301">
        <v>44600</v>
      </c>
      <c r="T211" s="55">
        <v>14</v>
      </c>
      <c r="U211" s="24">
        <f t="shared" si="50"/>
        <v>44614</v>
      </c>
      <c r="V211" s="5"/>
      <c r="W211"/>
      <c r="X211"/>
      <c r="Y211"/>
      <c r="Z211"/>
      <c r="AA211"/>
      <c r="AB211"/>
      <c r="AC211"/>
      <c r="AD211"/>
      <c r="AE211"/>
      <c r="AF211"/>
      <c r="AG211"/>
      <c r="AH211"/>
      <c r="AI211"/>
      <c r="AJ211"/>
      <c r="AK211"/>
      <c r="AL211"/>
      <c r="AM211"/>
      <c r="AN211"/>
      <c r="AO211"/>
      <c r="AP211"/>
      <c r="AQ211"/>
      <c r="AR211"/>
    </row>
    <row r="212" spans="1:44" s="10" customFormat="1" ht="15.75" customHeight="1" x14ac:dyDescent="0.25">
      <c r="A212" s="55" t="e">
        <f t="shared" si="45"/>
        <v>#REF!</v>
      </c>
      <c r="B212" s="633">
        <v>44234</v>
      </c>
      <c r="C212" s="755">
        <v>404477</v>
      </c>
      <c r="D212" s="824" t="s">
        <v>3773</v>
      </c>
      <c r="E212" s="884"/>
      <c r="F212" s="33" t="s">
        <v>3774</v>
      </c>
      <c r="G212" s="404" t="s">
        <v>155</v>
      </c>
      <c r="H212" s="45">
        <v>1305500</v>
      </c>
      <c r="I212" s="377" t="s">
        <v>3772</v>
      </c>
      <c r="J212" s="774">
        <v>44600</v>
      </c>
      <c r="K212" s="928">
        <f t="shared" si="46"/>
        <v>1305500</v>
      </c>
      <c r="L212" s="821"/>
      <c r="M212" s="821"/>
      <c r="N212" s="821"/>
      <c r="O212" s="821"/>
      <c r="P212" s="821">
        <v>1305500</v>
      </c>
      <c r="Q212" s="28">
        <f t="shared" si="47"/>
        <v>0</v>
      </c>
      <c r="R212" s="301"/>
      <c r="S212" s="301">
        <v>44602</v>
      </c>
      <c r="T212" s="55">
        <v>14</v>
      </c>
      <c r="U212" s="24">
        <f t="shared" si="50"/>
        <v>44614</v>
      </c>
      <c r="V212" s="5"/>
      <c r="W212"/>
      <c r="X212"/>
      <c r="Y212"/>
      <c r="Z212"/>
      <c r="AA212"/>
      <c r="AB212"/>
      <c r="AC212"/>
      <c r="AD212"/>
      <c r="AE212"/>
      <c r="AF212"/>
      <c r="AG212"/>
      <c r="AH212"/>
      <c r="AI212"/>
      <c r="AJ212"/>
      <c r="AK212"/>
      <c r="AL212"/>
      <c r="AM212"/>
      <c r="AN212"/>
      <c r="AO212"/>
      <c r="AP212"/>
      <c r="AQ212"/>
      <c r="AR212"/>
    </row>
    <row r="213" spans="1:44" s="10" customFormat="1" ht="15.75" customHeight="1" x14ac:dyDescent="0.25">
      <c r="A213" s="55" t="e">
        <f t="shared" si="45"/>
        <v>#REF!</v>
      </c>
      <c r="B213" s="633">
        <v>44234</v>
      </c>
      <c r="C213" s="865">
        <v>404478</v>
      </c>
      <c r="D213" s="824" t="s">
        <v>4121</v>
      </c>
      <c r="E213" s="884"/>
      <c r="F213" s="33" t="s">
        <v>3774</v>
      </c>
      <c r="G213" s="404" t="s">
        <v>155</v>
      </c>
      <c r="H213" s="45">
        <v>1305500</v>
      </c>
      <c r="I213" s="377" t="s">
        <v>4120</v>
      </c>
      <c r="J213" s="774">
        <v>44600</v>
      </c>
      <c r="K213" s="928">
        <f t="shared" si="46"/>
        <v>1305500</v>
      </c>
      <c r="L213" s="877"/>
      <c r="M213" s="877"/>
      <c r="N213" s="877"/>
      <c r="O213" s="877"/>
      <c r="P213" s="877">
        <v>1305500</v>
      </c>
      <c r="Q213" s="28">
        <f t="shared" si="47"/>
        <v>0</v>
      </c>
      <c r="R213" s="301"/>
      <c r="S213" s="301">
        <v>44602</v>
      </c>
      <c r="T213" s="55">
        <v>14</v>
      </c>
      <c r="U213" s="24">
        <f t="shared" ref="U213" si="51">J213+T213</f>
        <v>44614</v>
      </c>
      <c r="V213" s="5"/>
      <c r="W213"/>
      <c r="X213"/>
      <c r="Y213"/>
      <c r="Z213"/>
      <c r="AA213"/>
      <c r="AB213"/>
      <c r="AC213"/>
      <c r="AD213"/>
      <c r="AE213"/>
      <c r="AF213"/>
      <c r="AG213"/>
      <c r="AH213"/>
      <c r="AI213"/>
      <c r="AJ213"/>
      <c r="AK213"/>
      <c r="AL213"/>
      <c r="AM213"/>
      <c r="AN213"/>
      <c r="AO213"/>
      <c r="AP213"/>
      <c r="AQ213"/>
      <c r="AR213"/>
    </row>
    <row r="214" spans="1:44" s="10" customFormat="1" ht="15.75" customHeight="1" x14ac:dyDescent="0.25">
      <c r="A214" s="55" t="e">
        <f t="shared" si="45"/>
        <v>#REF!</v>
      </c>
      <c r="B214" s="633">
        <v>44600</v>
      </c>
      <c r="C214" s="755">
        <v>405877</v>
      </c>
      <c r="D214" s="824" t="s">
        <v>3776</v>
      </c>
      <c r="E214" s="884"/>
      <c r="F214" s="33" t="s">
        <v>3777</v>
      </c>
      <c r="G214" s="404" t="s">
        <v>988</v>
      </c>
      <c r="H214" s="45">
        <v>1461000</v>
      </c>
      <c r="I214" s="377" t="s">
        <v>3775</v>
      </c>
      <c r="J214" s="774">
        <v>44600</v>
      </c>
      <c r="K214" s="928">
        <f t="shared" si="46"/>
        <v>1461000</v>
      </c>
      <c r="L214" s="821"/>
      <c r="M214" s="821"/>
      <c r="N214" s="821"/>
      <c r="O214" s="821"/>
      <c r="P214" s="821">
        <v>1461000</v>
      </c>
      <c r="Q214" s="28">
        <f t="shared" si="47"/>
        <v>0</v>
      </c>
      <c r="R214" s="301"/>
      <c r="S214" s="301">
        <v>44600</v>
      </c>
      <c r="T214" s="55">
        <v>14</v>
      </c>
      <c r="U214" s="24">
        <f t="shared" si="50"/>
        <v>44614</v>
      </c>
      <c r="V214" s="5"/>
      <c r="W214"/>
      <c r="X214"/>
      <c r="Y214"/>
      <c r="Z214"/>
      <c r="AA214"/>
      <c r="AB214"/>
      <c r="AC214"/>
      <c r="AD214"/>
      <c r="AE214"/>
      <c r="AF214"/>
      <c r="AG214"/>
      <c r="AH214"/>
      <c r="AI214"/>
      <c r="AJ214"/>
      <c r="AK214"/>
      <c r="AL214"/>
      <c r="AM214"/>
      <c r="AN214"/>
      <c r="AO214"/>
      <c r="AP214"/>
      <c r="AQ214"/>
      <c r="AR214"/>
    </row>
    <row r="215" spans="1:44" s="10" customFormat="1" ht="15.75" customHeight="1" x14ac:dyDescent="0.25">
      <c r="A215" s="55" t="e">
        <f t="shared" si="45"/>
        <v>#REF!</v>
      </c>
      <c r="B215" s="633">
        <v>44600</v>
      </c>
      <c r="C215" s="755"/>
      <c r="D215" s="824" t="s">
        <v>2634</v>
      </c>
      <c r="E215" s="884"/>
      <c r="F215" s="33" t="s">
        <v>3779</v>
      </c>
      <c r="G215" s="404" t="s">
        <v>500</v>
      </c>
      <c r="H215" s="45">
        <v>10000000</v>
      </c>
      <c r="I215" s="377" t="s">
        <v>3778</v>
      </c>
      <c r="J215" s="774">
        <v>44600</v>
      </c>
      <c r="K215" s="928">
        <f t="shared" si="46"/>
        <v>10000000</v>
      </c>
      <c r="L215" s="821"/>
      <c r="M215" s="821"/>
      <c r="N215" s="821"/>
      <c r="O215" s="821"/>
      <c r="P215" s="821">
        <v>10000000</v>
      </c>
      <c r="Q215" s="28">
        <f t="shared" si="47"/>
        <v>0</v>
      </c>
      <c r="R215" s="301"/>
      <c r="S215" s="301">
        <v>44600</v>
      </c>
      <c r="T215" s="55">
        <v>14</v>
      </c>
      <c r="U215" s="24">
        <f t="shared" si="50"/>
        <v>44614</v>
      </c>
      <c r="V215" s="5"/>
      <c r="W215"/>
      <c r="X215"/>
      <c r="Y215"/>
      <c r="Z215"/>
      <c r="AA215"/>
      <c r="AB215"/>
      <c r="AC215"/>
      <c r="AD215"/>
      <c r="AE215"/>
      <c r="AF215"/>
      <c r="AG215"/>
      <c r="AH215"/>
      <c r="AI215"/>
      <c r="AJ215"/>
      <c r="AK215"/>
      <c r="AL215"/>
      <c r="AM215"/>
      <c r="AN215"/>
      <c r="AO215"/>
      <c r="AP215"/>
      <c r="AQ215"/>
      <c r="AR215"/>
    </row>
    <row r="216" spans="1:44" s="10" customFormat="1" ht="15.75" customHeight="1" x14ac:dyDescent="0.25">
      <c r="A216" s="55" t="e">
        <f t="shared" si="45"/>
        <v>#REF!</v>
      </c>
      <c r="B216" s="633">
        <v>44600</v>
      </c>
      <c r="C216" s="755"/>
      <c r="D216" s="824" t="s">
        <v>3783</v>
      </c>
      <c r="E216" s="884"/>
      <c r="F216" s="33" t="s">
        <v>3784</v>
      </c>
      <c r="G216" s="404" t="s">
        <v>421</v>
      </c>
      <c r="H216" s="45">
        <v>300000</v>
      </c>
      <c r="I216" s="377" t="s">
        <v>3782</v>
      </c>
      <c r="J216" s="774">
        <v>44600</v>
      </c>
      <c r="K216" s="928">
        <f t="shared" si="46"/>
        <v>300000</v>
      </c>
      <c r="L216" s="830"/>
      <c r="M216" s="830"/>
      <c r="N216" s="830"/>
      <c r="O216" s="830"/>
      <c r="P216" s="830"/>
      <c r="Q216" s="28">
        <f t="shared" si="47"/>
        <v>300000</v>
      </c>
      <c r="R216" s="301"/>
      <c r="S216" s="301"/>
      <c r="T216" s="55">
        <v>14</v>
      </c>
      <c r="U216" s="24">
        <f t="shared" si="50"/>
        <v>44614</v>
      </c>
      <c r="V216" s="5"/>
      <c r="W216"/>
      <c r="X216"/>
      <c r="Y216"/>
      <c r="Z216"/>
      <c r="AA216"/>
      <c r="AB216"/>
      <c r="AC216"/>
      <c r="AD216"/>
      <c r="AE216"/>
      <c r="AF216"/>
      <c r="AG216"/>
      <c r="AH216"/>
      <c r="AI216"/>
      <c r="AJ216"/>
      <c r="AK216"/>
      <c r="AL216"/>
      <c r="AM216"/>
      <c r="AN216"/>
      <c r="AO216"/>
      <c r="AP216"/>
      <c r="AQ216"/>
      <c r="AR216"/>
    </row>
    <row r="217" spans="1:44" s="10" customFormat="1" ht="15.75" customHeight="1" x14ac:dyDescent="0.25">
      <c r="A217" s="55" t="e">
        <f>#REF!+1</f>
        <v>#REF!</v>
      </c>
      <c r="B217" s="633">
        <v>44234</v>
      </c>
      <c r="C217" s="755"/>
      <c r="D217" s="824" t="s">
        <v>3787</v>
      </c>
      <c r="E217" s="884"/>
      <c r="F217" s="33" t="s">
        <v>4019</v>
      </c>
      <c r="G217" s="404" t="s">
        <v>988</v>
      </c>
      <c r="H217" s="45">
        <v>448000</v>
      </c>
      <c r="I217" s="377" t="s">
        <v>3786</v>
      </c>
      <c r="J217" s="774">
        <v>44601</v>
      </c>
      <c r="K217" s="928">
        <f t="shared" si="46"/>
        <v>448000</v>
      </c>
      <c r="L217" s="830"/>
      <c r="M217" s="830"/>
      <c r="N217" s="830"/>
      <c r="O217" s="830"/>
      <c r="P217" s="830">
        <v>448000</v>
      </c>
      <c r="Q217" s="28">
        <f t="shared" si="47"/>
        <v>0</v>
      </c>
      <c r="R217" s="301"/>
      <c r="S217" s="301">
        <v>44601</v>
      </c>
      <c r="T217" s="55">
        <v>14</v>
      </c>
      <c r="U217" s="24">
        <f t="shared" si="50"/>
        <v>44615</v>
      </c>
      <c r="V217" s="5"/>
      <c r="W217"/>
      <c r="X217"/>
      <c r="Y217"/>
      <c r="Z217"/>
      <c r="AA217"/>
      <c r="AB217"/>
      <c r="AC217"/>
      <c r="AD217"/>
      <c r="AE217"/>
      <c r="AF217"/>
      <c r="AG217"/>
      <c r="AH217"/>
      <c r="AI217"/>
      <c r="AJ217"/>
      <c r="AK217"/>
      <c r="AL217"/>
      <c r="AM217"/>
      <c r="AN217"/>
      <c r="AO217"/>
      <c r="AP217"/>
      <c r="AQ217"/>
      <c r="AR217"/>
    </row>
    <row r="218" spans="1:44" s="10" customFormat="1" ht="15.75" customHeight="1" x14ac:dyDescent="0.25">
      <c r="A218" s="55" t="e">
        <f t="shared" si="45"/>
        <v>#REF!</v>
      </c>
      <c r="B218" s="633">
        <v>44599</v>
      </c>
      <c r="C218" s="755"/>
      <c r="D218" s="824" t="s">
        <v>3791</v>
      </c>
      <c r="E218" s="884"/>
      <c r="F218" s="33" t="s">
        <v>53</v>
      </c>
      <c r="G218" s="404" t="s">
        <v>161</v>
      </c>
      <c r="H218" s="45">
        <v>1200000</v>
      </c>
      <c r="I218" s="377" t="s">
        <v>3790</v>
      </c>
      <c r="J218" s="774">
        <v>44601</v>
      </c>
      <c r="K218" s="928">
        <f t="shared" si="46"/>
        <v>1200000</v>
      </c>
      <c r="L218" s="830"/>
      <c r="M218" s="830"/>
      <c r="N218" s="830"/>
      <c r="O218" s="830"/>
      <c r="P218" s="830">
        <v>1200000</v>
      </c>
      <c r="Q218" s="28">
        <f t="shared" si="47"/>
        <v>0</v>
      </c>
      <c r="R218" s="301"/>
      <c r="S218" s="301">
        <v>44642</v>
      </c>
      <c r="T218" s="55">
        <v>14</v>
      </c>
      <c r="U218" s="24">
        <f t="shared" si="50"/>
        <v>44615</v>
      </c>
      <c r="V218" s="5"/>
      <c r="W218"/>
      <c r="X218"/>
      <c r="Y218"/>
      <c r="Z218"/>
      <c r="AA218"/>
      <c r="AB218"/>
      <c r="AC218"/>
      <c r="AD218"/>
      <c r="AE218"/>
      <c r="AF218"/>
      <c r="AG218"/>
      <c r="AH218"/>
      <c r="AI218"/>
      <c r="AJ218"/>
      <c r="AK218"/>
      <c r="AL218"/>
      <c r="AM218"/>
      <c r="AN218"/>
      <c r="AO218"/>
      <c r="AP218"/>
      <c r="AQ218"/>
      <c r="AR218"/>
    </row>
    <row r="219" spans="1:44" s="10" customFormat="1" ht="15.75" customHeight="1" x14ac:dyDescent="0.25">
      <c r="A219" s="55" t="e">
        <f t="shared" si="45"/>
        <v>#REF!</v>
      </c>
      <c r="B219" s="633">
        <v>44596</v>
      </c>
      <c r="C219" s="755">
        <v>404472</v>
      </c>
      <c r="D219" s="824" t="s">
        <v>3827</v>
      </c>
      <c r="E219" s="884"/>
      <c r="F219" s="33" t="s">
        <v>4199</v>
      </c>
      <c r="G219" s="404" t="s">
        <v>725</v>
      </c>
      <c r="H219" s="45">
        <v>3300000</v>
      </c>
      <c r="I219" s="377" t="s">
        <v>3826</v>
      </c>
      <c r="J219" s="774">
        <v>44602</v>
      </c>
      <c r="K219" s="928">
        <f t="shared" si="46"/>
        <v>3300000</v>
      </c>
      <c r="L219" s="831"/>
      <c r="M219" s="831"/>
      <c r="N219" s="831"/>
      <c r="O219" s="831"/>
      <c r="P219" s="831">
        <v>3300000</v>
      </c>
      <c r="Q219" s="28">
        <f t="shared" si="47"/>
        <v>0</v>
      </c>
      <c r="R219" s="301"/>
      <c r="S219" s="301">
        <v>44617</v>
      </c>
      <c r="T219" s="55">
        <v>14</v>
      </c>
      <c r="U219" s="24">
        <f t="shared" si="50"/>
        <v>44616</v>
      </c>
      <c r="V219" s="5"/>
      <c r="W219"/>
      <c r="X219"/>
      <c r="Y219"/>
      <c r="Z219"/>
      <c r="AA219"/>
      <c r="AB219"/>
      <c r="AC219"/>
      <c r="AD219"/>
      <c r="AE219"/>
      <c r="AF219"/>
      <c r="AG219"/>
      <c r="AH219"/>
      <c r="AI219"/>
      <c r="AJ219"/>
      <c r="AK219"/>
      <c r="AL219"/>
      <c r="AM219"/>
      <c r="AN219"/>
      <c r="AO219"/>
      <c r="AP219"/>
      <c r="AQ219"/>
      <c r="AR219"/>
    </row>
    <row r="220" spans="1:44" s="10" customFormat="1" ht="15.75" customHeight="1" x14ac:dyDescent="0.25">
      <c r="A220" s="55" t="e">
        <f t="shared" si="45"/>
        <v>#REF!</v>
      </c>
      <c r="B220" s="633">
        <v>44602</v>
      </c>
      <c r="C220" s="755">
        <v>404479</v>
      </c>
      <c r="D220" s="824" t="s">
        <v>3829</v>
      </c>
      <c r="E220" s="884"/>
      <c r="F220" s="33" t="s">
        <v>4019</v>
      </c>
      <c r="G220" s="404" t="s">
        <v>988</v>
      </c>
      <c r="H220" s="45">
        <v>864000</v>
      </c>
      <c r="I220" s="377" t="s">
        <v>3828</v>
      </c>
      <c r="J220" s="774">
        <v>44602</v>
      </c>
      <c r="K220" s="928">
        <f t="shared" si="46"/>
        <v>864000</v>
      </c>
      <c r="L220" s="831"/>
      <c r="M220" s="831"/>
      <c r="N220" s="831"/>
      <c r="O220" s="831"/>
      <c r="P220" s="831">
        <v>864000</v>
      </c>
      <c r="Q220" s="28">
        <f t="shared" si="47"/>
        <v>0</v>
      </c>
      <c r="R220" s="301"/>
      <c r="S220" s="301">
        <v>44602</v>
      </c>
      <c r="T220" s="55">
        <v>14</v>
      </c>
      <c r="U220" s="24">
        <f t="shared" si="50"/>
        <v>44616</v>
      </c>
      <c r="V220" s="5"/>
      <c r="W220"/>
      <c r="X220"/>
      <c r="Y220"/>
      <c r="Z220"/>
      <c r="AA220"/>
      <c r="AB220"/>
      <c r="AC220"/>
      <c r="AD220"/>
      <c r="AE220"/>
      <c r="AF220"/>
      <c r="AG220"/>
      <c r="AH220"/>
      <c r="AI220"/>
      <c r="AJ220"/>
      <c r="AK220"/>
      <c r="AL220"/>
      <c r="AM220"/>
      <c r="AN220"/>
      <c r="AO220"/>
      <c r="AP220"/>
      <c r="AQ220"/>
      <c r="AR220"/>
    </row>
    <row r="221" spans="1:44" s="10" customFormat="1" ht="15.75" customHeight="1" x14ac:dyDescent="0.25">
      <c r="A221" s="55" t="e">
        <f t="shared" si="45"/>
        <v>#REF!</v>
      </c>
      <c r="B221" s="633">
        <v>44603</v>
      </c>
      <c r="C221" s="755">
        <v>404480</v>
      </c>
      <c r="D221" s="824" t="s">
        <v>3831</v>
      </c>
      <c r="E221" s="884"/>
      <c r="F221" s="33" t="s">
        <v>4019</v>
      </c>
      <c r="G221" s="404" t="s">
        <v>988</v>
      </c>
      <c r="H221" s="45">
        <v>200000</v>
      </c>
      <c r="I221" s="377" t="s">
        <v>3830</v>
      </c>
      <c r="J221" s="774">
        <v>44603</v>
      </c>
      <c r="K221" s="928">
        <f t="shared" si="46"/>
        <v>200000</v>
      </c>
      <c r="L221" s="831"/>
      <c r="M221" s="831"/>
      <c r="N221" s="831"/>
      <c r="O221" s="831"/>
      <c r="P221" s="831">
        <v>200000</v>
      </c>
      <c r="Q221" s="28">
        <f t="shared" si="47"/>
        <v>0</v>
      </c>
      <c r="R221" s="301"/>
      <c r="S221" s="301">
        <v>44604</v>
      </c>
      <c r="T221" s="55">
        <v>14</v>
      </c>
      <c r="U221" s="24">
        <f t="shared" si="50"/>
        <v>44617</v>
      </c>
      <c r="V221" s="5"/>
      <c r="W221"/>
      <c r="X221"/>
      <c r="Y221"/>
      <c r="Z221"/>
      <c r="AA221"/>
      <c r="AB221"/>
      <c r="AC221"/>
      <c r="AD221"/>
      <c r="AE221"/>
      <c r="AF221"/>
      <c r="AG221"/>
      <c r="AH221"/>
      <c r="AI221"/>
      <c r="AJ221"/>
      <c r="AK221"/>
      <c r="AL221"/>
      <c r="AM221"/>
      <c r="AN221"/>
      <c r="AO221"/>
      <c r="AP221"/>
      <c r="AQ221"/>
      <c r="AR221"/>
    </row>
    <row r="222" spans="1:44" s="10" customFormat="1" ht="15.75" customHeight="1" x14ac:dyDescent="0.25">
      <c r="A222" s="55" t="e">
        <f t="shared" si="45"/>
        <v>#REF!</v>
      </c>
      <c r="B222" s="633">
        <v>44603</v>
      </c>
      <c r="C222" s="755">
        <v>404481</v>
      </c>
      <c r="D222" s="824" t="s">
        <v>3833</v>
      </c>
      <c r="E222" s="884"/>
      <c r="F222" s="33" t="s">
        <v>4019</v>
      </c>
      <c r="G222" s="404" t="s">
        <v>988</v>
      </c>
      <c r="H222" s="45">
        <v>284000</v>
      </c>
      <c r="I222" s="377" t="s">
        <v>3832</v>
      </c>
      <c r="J222" s="774">
        <v>44603</v>
      </c>
      <c r="K222" s="928">
        <f t="shared" si="46"/>
        <v>284000</v>
      </c>
      <c r="L222" s="831"/>
      <c r="M222" s="831"/>
      <c r="N222" s="831"/>
      <c r="O222" s="831"/>
      <c r="P222" s="831">
        <v>284000</v>
      </c>
      <c r="Q222" s="28">
        <f t="shared" si="47"/>
        <v>0</v>
      </c>
      <c r="R222" s="301"/>
      <c r="S222" s="301">
        <v>44604</v>
      </c>
      <c r="T222" s="55">
        <v>14</v>
      </c>
      <c r="U222" s="24">
        <f t="shared" si="50"/>
        <v>44617</v>
      </c>
      <c r="V222" s="5"/>
      <c r="W222"/>
      <c r="X222"/>
      <c r="Y222"/>
      <c r="Z222"/>
      <c r="AA222"/>
      <c r="AB222"/>
      <c r="AC222"/>
      <c r="AD222"/>
      <c r="AE222"/>
      <c r="AF222"/>
      <c r="AG222"/>
      <c r="AH222"/>
      <c r="AI222"/>
      <c r="AJ222"/>
      <c r="AK222"/>
      <c r="AL222"/>
      <c r="AM222"/>
      <c r="AN222"/>
      <c r="AO222"/>
      <c r="AP222"/>
      <c r="AQ222"/>
      <c r="AR222"/>
    </row>
    <row r="223" spans="1:44" s="10" customFormat="1" ht="15.75" customHeight="1" x14ac:dyDescent="0.25">
      <c r="A223" s="55" t="e">
        <f t="shared" si="45"/>
        <v>#REF!</v>
      </c>
      <c r="B223" s="633">
        <v>44603</v>
      </c>
      <c r="C223" s="755">
        <v>404483</v>
      </c>
      <c r="D223" s="824" t="s">
        <v>3835</v>
      </c>
      <c r="E223" s="884"/>
      <c r="F223" s="33" t="s">
        <v>4019</v>
      </c>
      <c r="G223" s="404" t="s">
        <v>988</v>
      </c>
      <c r="H223" s="45">
        <v>200000</v>
      </c>
      <c r="I223" s="377" t="s">
        <v>3834</v>
      </c>
      <c r="J223" s="774">
        <v>44603</v>
      </c>
      <c r="K223" s="928">
        <f t="shared" si="46"/>
        <v>200000</v>
      </c>
      <c r="L223" s="831"/>
      <c r="M223" s="831"/>
      <c r="N223" s="831"/>
      <c r="O223" s="831"/>
      <c r="P223" s="831">
        <v>200000</v>
      </c>
      <c r="Q223" s="28">
        <f t="shared" si="47"/>
        <v>0</v>
      </c>
      <c r="R223" s="301"/>
      <c r="S223" s="301">
        <v>44604</v>
      </c>
      <c r="T223" s="55">
        <v>14</v>
      </c>
      <c r="U223" s="24">
        <f t="shared" si="50"/>
        <v>44617</v>
      </c>
      <c r="V223" s="5"/>
      <c r="W223"/>
      <c r="X223"/>
      <c r="Y223"/>
      <c r="Z223"/>
      <c r="AA223"/>
      <c r="AB223"/>
      <c r="AC223"/>
      <c r="AD223"/>
      <c r="AE223"/>
      <c r="AF223"/>
      <c r="AG223"/>
      <c r="AH223"/>
      <c r="AI223"/>
      <c r="AJ223"/>
      <c r="AK223"/>
      <c r="AL223"/>
      <c r="AM223"/>
      <c r="AN223"/>
      <c r="AO223"/>
      <c r="AP223"/>
      <c r="AQ223"/>
      <c r="AR223"/>
    </row>
    <row r="224" spans="1:44" s="10" customFormat="1" ht="15.75" customHeight="1" x14ac:dyDescent="0.25">
      <c r="A224" s="55" t="e">
        <f t="shared" si="45"/>
        <v>#REF!</v>
      </c>
      <c r="B224" s="633">
        <v>44603</v>
      </c>
      <c r="C224" s="755">
        <v>405881</v>
      </c>
      <c r="D224" s="824" t="s">
        <v>3837</v>
      </c>
      <c r="E224" s="884"/>
      <c r="F224" s="33" t="s">
        <v>4019</v>
      </c>
      <c r="G224" s="404" t="s">
        <v>988</v>
      </c>
      <c r="H224" s="45">
        <v>672000</v>
      </c>
      <c r="I224" s="377" t="s">
        <v>3836</v>
      </c>
      <c r="J224" s="774">
        <v>44603</v>
      </c>
      <c r="K224" s="928">
        <f t="shared" si="46"/>
        <v>672000</v>
      </c>
      <c r="L224" s="831"/>
      <c r="M224" s="831"/>
      <c r="N224" s="831"/>
      <c r="O224" s="831"/>
      <c r="P224" s="831">
        <v>672000</v>
      </c>
      <c r="Q224" s="28">
        <f t="shared" si="47"/>
        <v>0</v>
      </c>
      <c r="R224" s="301"/>
      <c r="S224" s="301">
        <v>44604</v>
      </c>
      <c r="T224" s="55">
        <v>14</v>
      </c>
      <c r="U224" s="24">
        <f t="shared" si="50"/>
        <v>44617</v>
      </c>
      <c r="V224" s="5"/>
      <c r="W224"/>
      <c r="X224"/>
      <c r="Y224"/>
      <c r="Z224"/>
      <c r="AA224"/>
      <c r="AB224"/>
      <c r="AC224"/>
      <c r="AD224"/>
      <c r="AE224"/>
      <c r="AF224"/>
      <c r="AG224"/>
      <c r="AH224"/>
      <c r="AI224"/>
      <c r="AJ224"/>
      <c r="AK224"/>
      <c r="AL224"/>
      <c r="AM224"/>
      <c r="AN224"/>
      <c r="AO224"/>
      <c r="AP224"/>
      <c r="AQ224"/>
      <c r="AR224"/>
    </row>
    <row r="225" spans="1:44" s="10" customFormat="1" ht="15.75" customHeight="1" x14ac:dyDescent="0.25">
      <c r="A225" s="55" t="e">
        <f t="shared" si="45"/>
        <v>#REF!</v>
      </c>
      <c r="B225" s="633">
        <v>44603</v>
      </c>
      <c r="C225" s="755"/>
      <c r="D225" s="938" t="s">
        <v>5052</v>
      </c>
      <c r="E225" s="884"/>
      <c r="F225" s="33" t="s">
        <v>3839</v>
      </c>
      <c r="G225" s="404" t="s">
        <v>462</v>
      </c>
      <c r="H225" s="45">
        <v>700000</v>
      </c>
      <c r="I225" s="377" t="s">
        <v>3838</v>
      </c>
      <c r="J225" s="774">
        <v>44603</v>
      </c>
      <c r="K225" s="928">
        <f t="shared" si="46"/>
        <v>700000</v>
      </c>
      <c r="L225" s="831"/>
      <c r="M225" s="831"/>
      <c r="N225" s="831"/>
      <c r="O225" s="831"/>
      <c r="P225" s="831">
        <v>700000</v>
      </c>
      <c r="Q225" s="28">
        <f t="shared" si="47"/>
        <v>0</v>
      </c>
      <c r="R225" s="301"/>
      <c r="S225" s="301">
        <v>44604</v>
      </c>
      <c r="T225" s="55">
        <v>14</v>
      </c>
      <c r="U225" s="24">
        <f t="shared" si="50"/>
        <v>44617</v>
      </c>
      <c r="V225" s="5"/>
      <c r="W225"/>
      <c r="X225"/>
      <c r="Y225"/>
      <c r="Z225"/>
      <c r="AA225"/>
      <c r="AB225"/>
      <c r="AC225"/>
      <c r="AD225"/>
      <c r="AE225"/>
      <c r="AF225"/>
      <c r="AG225"/>
      <c r="AH225"/>
      <c r="AI225"/>
      <c r="AJ225"/>
      <c r="AK225"/>
      <c r="AL225"/>
      <c r="AM225"/>
      <c r="AN225"/>
      <c r="AO225"/>
      <c r="AP225"/>
      <c r="AQ225"/>
      <c r="AR225"/>
    </row>
    <row r="226" spans="1:44" s="10" customFormat="1" ht="15.75" customHeight="1" x14ac:dyDescent="0.25">
      <c r="A226" s="55" t="e">
        <f t="shared" si="45"/>
        <v>#REF!</v>
      </c>
      <c r="B226" s="633">
        <v>44606</v>
      </c>
      <c r="C226" s="755"/>
      <c r="D226" s="824" t="s">
        <v>3842</v>
      </c>
      <c r="E226" s="884"/>
      <c r="F226" s="33" t="s">
        <v>4019</v>
      </c>
      <c r="G226" s="404" t="s">
        <v>988</v>
      </c>
      <c r="H226" s="45">
        <v>200000</v>
      </c>
      <c r="I226" s="377" t="s">
        <v>3841</v>
      </c>
      <c r="J226" s="774">
        <v>44606</v>
      </c>
      <c r="K226" s="928">
        <f t="shared" si="46"/>
        <v>200000</v>
      </c>
      <c r="L226" s="831"/>
      <c r="M226" s="831"/>
      <c r="N226" s="831"/>
      <c r="O226" s="831"/>
      <c r="P226" s="831">
        <v>200000</v>
      </c>
      <c r="Q226" s="28">
        <f t="shared" si="47"/>
        <v>0</v>
      </c>
      <c r="R226" s="301"/>
      <c r="S226" s="301">
        <v>44607</v>
      </c>
      <c r="T226" s="55">
        <v>14</v>
      </c>
      <c r="U226" s="24">
        <f t="shared" si="50"/>
        <v>44620</v>
      </c>
      <c r="V226" s="5"/>
      <c r="W226"/>
      <c r="X226"/>
      <c r="Y226"/>
      <c r="Z226"/>
      <c r="AA226"/>
      <c r="AB226"/>
      <c r="AC226"/>
      <c r="AD226"/>
      <c r="AE226"/>
      <c r="AF226"/>
      <c r="AG226"/>
      <c r="AH226"/>
      <c r="AI226"/>
      <c r="AJ226"/>
      <c r="AK226"/>
      <c r="AL226"/>
      <c r="AM226"/>
      <c r="AN226"/>
      <c r="AO226"/>
      <c r="AP226"/>
      <c r="AQ226"/>
      <c r="AR226"/>
    </row>
    <row r="227" spans="1:44" s="10" customFormat="1" ht="15.75" customHeight="1" x14ac:dyDescent="0.25">
      <c r="A227" s="55" t="e">
        <f t="shared" si="45"/>
        <v>#REF!</v>
      </c>
      <c r="B227" s="633">
        <v>44606</v>
      </c>
      <c r="C227" s="755"/>
      <c r="D227" s="938" t="s">
        <v>5054</v>
      </c>
      <c r="E227" s="884"/>
      <c r="F227" s="33" t="s">
        <v>4019</v>
      </c>
      <c r="G227" s="404" t="s">
        <v>988</v>
      </c>
      <c r="H227" s="45">
        <v>292000</v>
      </c>
      <c r="I227" s="377" t="s">
        <v>3843</v>
      </c>
      <c r="J227" s="774">
        <v>44606</v>
      </c>
      <c r="K227" s="928">
        <f t="shared" si="46"/>
        <v>292000</v>
      </c>
      <c r="L227" s="831"/>
      <c r="M227" s="831"/>
      <c r="N227" s="831"/>
      <c r="O227" s="831"/>
      <c r="P227" s="831">
        <v>292000</v>
      </c>
      <c r="Q227" s="28">
        <f t="shared" si="47"/>
        <v>0</v>
      </c>
      <c r="R227" s="301"/>
      <c r="S227" s="301">
        <v>44607</v>
      </c>
      <c r="T227" s="55">
        <v>14</v>
      </c>
      <c r="U227" s="24">
        <f t="shared" si="50"/>
        <v>44620</v>
      </c>
      <c r="V227" s="5"/>
      <c r="W227"/>
      <c r="X227"/>
      <c r="Y227"/>
      <c r="Z227"/>
      <c r="AA227"/>
      <c r="AB227"/>
      <c r="AC227"/>
      <c r="AD227"/>
      <c r="AE227"/>
      <c r="AF227"/>
      <c r="AG227"/>
      <c r="AH227"/>
      <c r="AI227"/>
      <c r="AJ227"/>
      <c r="AK227"/>
      <c r="AL227"/>
      <c r="AM227"/>
      <c r="AN227"/>
      <c r="AO227"/>
      <c r="AP227"/>
      <c r="AQ227"/>
      <c r="AR227"/>
    </row>
    <row r="228" spans="1:44" s="10" customFormat="1" ht="15.75" customHeight="1" x14ac:dyDescent="0.25">
      <c r="A228" s="55" t="e">
        <f t="shared" si="45"/>
        <v>#REF!</v>
      </c>
      <c r="B228" s="633">
        <v>44606</v>
      </c>
      <c r="C228" s="755">
        <v>404485</v>
      </c>
      <c r="D228" s="824" t="s">
        <v>3845</v>
      </c>
      <c r="E228" s="884"/>
      <c r="F228" s="33" t="s">
        <v>4019</v>
      </c>
      <c r="G228" s="404" t="s">
        <v>988</v>
      </c>
      <c r="H228" s="45">
        <v>332000</v>
      </c>
      <c r="I228" s="377" t="s">
        <v>3844</v>
      </c>
      <c r="J228" s="774">
        <v>44606</v>
      </c>
      <c r="K228" s="928">
        <f t="shared" si="46"/>
        <v>332000</v>
      </c>
      <c r="L228" s="831"/>
      <c r="M228" s="831"/>
      <c r="N228" s="831"/>
      <c r="O228" s="831"/>
      <c r="P228" s="831">
        <v>332000</v>
      </c>
      <c r="Q228" s="28">
        <f t="shared" si="47"/>
        <v>0</v>
      </c>
      <c r="R228" s="301"/>
      <c r="S228" s="301">
        <v>44607</v>
      </c>
      <c r="T228" s="55">
        <v>14</v>
      </c>
      <c r="U228" s="24">
        <f t="shared" si="50"/>
        <v>44620</v>
      </c>
      <c r="V228" s="5"/>
      <c r="W228"/>
      <c r="X228"/>
      <c r="Y228"/>
      <c r="Z228"/>
      <c r="AA228"/>
      <c r="AB228"/>
      <c r="AC228"/>
      <c r="AD228"/>
      <c r="AE228"/>
      <c r="AF228"/>
      <c r="AG228"/>
      <c r="AH228"/>
      <c r="AI228"/>
      <c r="AJ228"/>
      <c r="AK228"/>
      <c r="AL228"/>
      <c r="AM228"/>
      <c r="AN228"/>
      <c r="AO228"/>
      <c r="AP228"/>
      <c r="AQ228"/>
      <c r="AR228"/>
    </row>
    <row r="229" spans="1:44" s="10" customFormat="1" ht="15.75" customHeight="1" x14ac:dyDescent="0.25">
      <c r="A229" s="55" t="e">
        <f t="shared" si="45"/>
        <v>#REF!</v>
      </c>
      <c r="B229" s="633">
        <v>44606</v>
      </c>
      <c r="C229" s="755"/>
      <c r="D229" s="824" t="s">
        <v>3848</v>
      </c>
      <c r="E229" s="884"/>
      <c r="F229" s="33" t="s">
        <v>3870</v>
      </c>
      <c r="G229" s="404" t="s">
        <v>3849</v>
      </c>
      <c r="H229" s="45">
        <v>6503800</v>
      </c>
      <c r="I229" s="377" t="s">
        <v>3847</v>
      </c>
      <c r="J229" s="774">
        <v>44607</v>
      </c>
      <c r="K229" s="928">
        <f t="shared" si="46"/>
        <v>6503800</v>
      </c>
      <c r="L229" s="831"/>
      <c r="M229" s="831"/>
      <c r="N229" s="831"/>
      <c r="O229" s="831"/>
      <c r="P229" s="831">
        <v>6503800</v>
      </c>
      <c r="Q229" s="28">
        <f t="shared" si="47"/>
        <v>0</v>
      </c>
      <c r="R229" s="301"/>
      <c r="S229" s="301">
        <v>44608</v>
      </c>
      <c r="T229" s="55">
        <v>14</v>
      </c>
      <c r="U229" s="24">
        <f t="shared" si="50"/>
        <v>44621</v>
      </c>
      <c r="V229" s="5"/>
      <c r="W229"/>
      <c r="X229"/>
      <c r="Y229"/>
      <c r="Z229"/>
      <c r="AA229"/>
      <c r="AB229"/>
      <c r="AC229"/>
      <c r="AD229"/>
      <c r="AE229"/>
      <c r="AF229"/>
      <c r="AG229"/>
      <c r="AH229"/>
      <c r="AI229"/>
      <c r="AJ229"/>
      <c r="AK229"/>
      <c r="AL229"/>
      <c r="AM229"/>
      <c r="AN229"/>
      <c r="AO229"/>
      <c r="AP229"/>
      <c r="AQ229"/>
      <c r="AR229"/>
    </row>
    <row r="230" spans="1:44" s="10" customFormat="1" ht="15.75" customHeight="1" x14ac:dyDescent="0.25">
      <c r="A230" s="55" t="e">
        <f t="shared" si="45"/>
        <v>#REF!</v>
      </c>
      <c r="B230" s="633">
        <v>44606</v>
      </c>
      <c r="C230" s="755"/>
      <c r="D230" s="824" t="s">
        <v>3851</v>
      </c>
      <c r="E230" s="884"/>
      <c r="F230" s="33" t="s">
        <v>53</v>
      </c>
      <c r="G230" s="404" t="s">
        <v>161</v>
      </c>
      <c r="H230" s="45">
        <v>1200000</v>
      </c>
      <c r="I230" s="377" t="s">
        <v>3850</v>
      </c>
      <c r="J230" s="774">
        <v>44607</v>
      </c>
      <c r="K230" s="928">
        <f t="shared" si="46"/>
        <v>1200000</v>
      </c>
      <c r="L230" s="831"/>
      <c r="M230" s="831"/>
      <c r="N230" s="831"/>
      <c r="O230" s="831"/>
      <c r="P230" s="831"/>
      <c r="Q230" s="28">
        <f t="shared" si="47"/>
        <v>1200000</v>
      </c>
      <c r="R230" s="301"/>
      <c r="S230" s="301"/>
      <c r="T230" s="55">
        <v>14</v>
      </c>
      <c r="U230" s="24">
        <f t="shared" si="50"/>
        <v>44621</v>
      </c>
      <c r="V230" s="5"/>
      <c r="W230"/>
      <c r="X230"/>
      <c r="Y230"/>
      <c r="Z230"/>
      <c r="AA230"/>
      <c r="AB230"/>
      <c r="AC230"/>
      <c r="AD230"/>
      <c r="AE230"/>
      <c r="AF230"/>
      <c r="AG230"/>
      <c r="AH230"/>
      <c r="AI230"/>
      <c r="AJ230"/>
      <c r="AK230"/>
      <c r="AL230"/>
      <c r="AM230"/>
      <c r="AN230"/>
      <c r="AO230"/>
      <c r="AP230"/>
      <c r="AQ230"/>
      <c r="AR230"/>
    </row>
    <row r="231" spans="1:44" s="10" customFormat="1" ht="15.75" customHeight="1" x14ac:dyDescent="0.25">
      <c r="A231" s="55" t="e">
        <f t="shared" si="45"/>
        <v>#REF!</v>
      </c>
      <c r="B231" s="633">
        <v>44603</v>
      </c>
      <c r="C231" s="755"/>
      <c r="D231" s="938" t="s">
        <v>3853</v>
      </c>
      <c r="E231" s="884"/>
      <c r="F231" s="33" t="s">
        <v>4</v>
      </c>
      <c r="G231" s="404" t="s">
        <v>161</v>
      </c>
      <c r="H231" s="45">
        <v>2500000</v>
      </c>
      <c r="I231" s="377" t="s">
        <v>3852</v>
      </c>
      <c r="J231" s="774">
        <v>44607</v>
      </c>
      <c r="K231" s="928">
        <f t="shared" si="46"/>
        <v>2500000</v>
      </c>
      <c r="L231" s="831"/>
      <c r="M231" s="831"/>
      <c r="N231" s="831"/>
      <c r="O231" s="831"/>
      <c r="P231" s="831"/>
      <c r="Q231" s="28">
        <f t="shared" si="47"/>
        <v>2500000</v>
      </c>
      <c r="R231" s="301"/>
      <c r="S231" s="301"/>
      <c r="T231" s="55">
        <v>30</v>
      </c>
      <c r="U231" s="24">
        <f t="shared" si="50"/>
        <v>44637</v>
      </c>
      <c r="V231" s="5"/>
      <c r="W231"/>
      <c r="X231"/>
      <c r="Y231"/>
      <c r="Z231"/>
      <c r="AA231"/>
      <c r="AB231"/>
      <c r="AC231"/>
      <c r="AD231"/>
      <c r="AE231"/>
      <c r="AF231"/>
      <c r="AG231"/>
      <c r="AH231"/>
      <c r="AI231"/>
      <c r="AJ231"/>
      <c r="AK231"/>
      <c r="AL231"/>
      <c r="AM231"/>
      <c r="AN231"/>
      <c r="AO231"/>
      <c r="AP231"/>
      <c r="AQ231"/>
      <c r="AR231"/>
    </row>
    <row r="232" spans="1:44" s="10" customFormat="1" ht="15.75" customHeight="1" x14ac:dyDescent="0.25">
      <c r="A232" s="55" t="e">
        <f t="shared" si="45"/>
        <v>#REF!</v>
      </c>
      <c r="B232" s="633">
        <v>44600</v>
      </c>
      <c r="C232" s="755"/>
      <c r="D232" s="824" t="s">
        <v>2779</v>
      </c>
      <c r="E232" s="884"/>
      <c r="F232" s="33" t="s">
        <v>3857</v>
      </c>
      <c r="G232" s="404" t="s">
        <v>730</v>
      </c>
      <c r="H232" s="45">
        <v>5462400</v>
      </c>
      <c r="I232" s="377" t="s">
        <v>3856</v>
      </c>
      <c r="J232" s="774">
        <v>44607</v>
      </c>
      <c r="K232" s="928">
        <f t="shared" si="46"/>
        <v>5462400</v>
      </c>
      <c r="L232" s="831">
        <v>3500000</v>
      </c>
      <c r="M232" s="831"/>
      <c r="N232" s="831"/>
      <c r="O232" s="831"/>
      <c r="P232" s="831"/>
      <c r="Q232" s="28">
        <f t="shared" si="47"/>
        <v>1962400</v>
      </c>
      <c r="R232" s="301">
        <v>44602</v>
      </c>
      <c r="S232" s="301"/>
      <c r="T232" s="55">
        <v>14</v>
      </c>
      <c r="U232" s="24">
        <f t="shared" si="50"/>
        <v>44621</v>
      </c>
      <c r="V232" s="5"/>
      <c r="W232"/>
      <c r="X232"/>
      <c r="Y232"/>
      <c r="Z232"/>
      <c r="AA232"/>
      <c r="AB232"/>
      <c r="AC232"/>
      <c r="AD232"/>
      <c r="AE232"/>
      <c r="AF232"/>
      <c r="AG232"/>
      <c r="AH232"/>
      <c r="AI232"/>
      <c r="AJ232"/>
      <c r="AK232"/>
      <c r="AL232"/>
      <c r="AM232"/>
      <c r="AN232"/>
      <c r="AO232"/>
      <c r="AP232"/>
      <c r="AQ232"/>
      <c r="AR232"/>
    </row>
    <row r="233" spans="1:44" s="10" customFormat="1" ht="15.75" customHeight="1" x14ac:dyDescent="0.25">
      <c r="A233" s="55" t="e">
        <f t="shared" si="45"/>
        <v>#REF!</v>
      </c>
      <c r="B233" s="633">
        <v>44607</v>
      </c>
      <c r="C233" s="755">
        <v>404493</v>
      </c>
      <c r="D233" s="824" t="s">
        <v>3883</v>
      </c>
      <c r="E233" s="884"/>
      <c r="F233" s="33" t="s">
        <v>4019</v>
      </c>
      <c r="G233" s="404" t="s">
        <v>988</v>
      </c>
      <c r="H233" s="45">
        <v>200000</v>
      </c>
      <c r="I233" s="377" t="s">
        <v>3882</v>
      </c>
      <c r="J233" s="774">
        <v>44608</v>
      </c>
      <c r="K233" s="928">
        <f t="shared" si="46"/>
        <v>200000</v>
      </c>
      <c r="L233" s="831"/>
      <c r="M233" s="831"/>
      <c r="N233" s="831"/>
      <c r="O233" s="831"/>
      <c r="P233" s="831">
        <v>200000</v>
      </c>
      <c r="Q233" s="28">
        <f t="shared" si="47"/>
        <v>0</v>
      </c>
      <c r="R233" s="301"/>
      <c r="S233" s="301">
        <v>44609</v>
      </c>
      <c r="T233" s="55">
        <v>14</v>
      </c>
      <c r="U233" s="24">
        <f t="shared" si="50"/>
        <v>44622</v>
      </c>
      <c r="V233" s="5"/>
      <c r="W233"/>
      <c r="X233"/>
      <c r="Y233"/>
      <c r="Z233"/>
      <c r="AA233"/>
      <c r="AB233"/>
      <c r="AC233"/>
      <c r="AD233"/>
      <c r="AE233"/>
      <c r="AF233"/>
      <c r="AG233"/>
      <c r="AH233"/>
      <c r="AI233"/>
      <c r="AJ233"/>
      <c r="AK233"/>
      <c r="AL233"/>
      <c r="AM233"/>
      <c r="AN233"/>
      <c r="AO233"/>
      <c r="AP233"/>
      <c r="AQ233"/>
      <c r="AR233"/>
    </row>
    <row r="234" spans="1:44" s="10" customFormat="1" ht="15.75" customHeight="1" x14ac:dyDescent="0.25">
      <c r="A234" s="55" t="e">
        <f t="shared" si="45"/>
        <v>#REF!</v>
      </c>
      <c r="B234" s="633">
        <v>44607</v>
      </c>
      <c r="C234" s="755">
        <v>404492</v>
      </c>
      <c r="D234" s="824" t="s">
        <v>3885</v>
      </c>
      <c r="E234" s="884"/>
      <c r="F234" s="33" t="s">
        <v>4019</v>
      </c>
      <c r="G234" s="404" t="s">
        <v>988</v>
      </c>
      <c r="H234" s="45">
        <v>200000</v>
      </c>
      <c r="I234" s="377" t="s">
        <v>3884</v>
      </c>
      <c r="J234" s="774">
        <v>44608</v>
      </c>
      <c r="K234" s="928">
        <f t="shared" si="46"/>
        <v>200000</v>
      </c>
      <c r="L234" s="831"/>
      <c r="M234" s="831"/>
      <c r="N234" s="831"/>
      <c r="O234" s="831"/>
      <c r="P234" s="831">
        <v>200000</v>
      </c>
      <c r="Q234" s="28">
        <f t="shared" si="47"/>
        <v>0</v>
      </c>
      <c r="R234" s="301"/>
      <c r="S234" s="301">
        <v>44609</v>
      </c>
      <c r="T234" s="55">
        <v>14</v>
      </c>
      <c r="U234" s="24">
        <f t="shared" si="50"/>
        <v>44622</v>
      </c>
      <c r="V234" s="5"/>
      <c r="W234"/>
      <c r="X234"/>
      <c r="Y234"/>
      <c r="Z234"/>
      <c r="AA234"/>
      <c r="AB234"/>
      <c r="AC234"/>
      <c r="AD234"/>
      <c r="AE234"/>
      <c r="AF234"/>
      <c r="AG234"/>
      <c r="AH234"/>
      <c r="AI234"/>
      <c r="AJ234"/>
      <c r="AK234"/>
      <c r="AL234"/>
      <c r="AM234"/>
      <c r="AN234"/>
      <c r="AO234"/>
      <c r="AP234"/>
      <c r="AQ234"/>
      <c r="AR234"/>
    </row>
    <row r="235" spans="1:44" s="10" customFormat="1" ht="15.75" customHeight="1" x14ac:dyDescent="0.25">
      <c r="A235" s="55" t="e">
        <f t="shared" si="45"/>
        <v>#REF!</v>
      </c>
      <c r="B235" s="633">
        <v>44607</v>
      </c>
      <c r="C235" s="755">
        <v>404491</v>
      </c>
      <c r="D235" s="824" t="s">
        <v>3845</v>
      </c>
      <c r="E235" s="884"/>
      <c r="F235" s="33" t="s">
        <v>4019</v>
      </c>
      <c r="G235" s="404" t="s">
        <v>988</v>
      </c>
      <c r="H235" s="45">
        <v>272000</v>
      </c>
      <c r="I235" s="377" t="s">
        <v>3886</v>
      </c>
      <c r="J235" s="774">
        <v>44608</v>
      </c>
      <c r="K235" s="928">
        <f t="shared" si="46"/>
        <v>272000</v>
      </c>
      <c r="L235" s="831"/>
      <c r="M235" s="831"/>
      <c r="N235" s="831"/>
      <c r="O235" s="831"/>
      <c r="P235" s="831">
        <v>272000</v>
      </c>
      <c r="Q235" s="28">
        <f t="shared" si="47"/>
        <v>0</v>
      </c>
      <c r="R235" s="301"/>
      <c r="S235" s="301">
        <v>44609</v>
      </c>
      <c r="T235" s="55">
        <v>14</v>
      </c>
      <c r="U235" s="24">
        <f t="shared" si="50"/>
        <v>44622</v>
      </c>
      <c r="V235" s="5"/>
      <c r="W235"/>
      <c r="X235"/>
      <c r="Y235"/>
      <c r="Z235"/>
      <c r="AA235"/>
      <c r="AB235"/>
      <c r="AC235"/>
      <c r="AD235"/>
      <c r="AE235"/>
      <c r="AF235"/>
      <c r="AG235"/>
      <c r="AH235"/>
      <c r="AI235"/>
      <c r="AJ235"/>
      <c r="AK235"/>
      <c r="AL235"/>
      <c r="AM235"/>
      <c r="AN235"/>
      <c r="AO235"/>
      <c r="AP235"/>
      <c r="AQ235"/>
      <c r="AR235"/>
    </row>
    <row r="236" spans="1:44" s="10" customFormat="1" ht="15.75" customHeight="1" x14ac:dyDescent="0.25">
      <c r="A236" s="55" t="e">
        <f t="shared" si="45"/>
        <v>#REF!</v>
      </c>
      <c r="B236" s="633">
        <v>44608</v>
      </c>
      <c r="C236" s="755">
        <v>404497</v>
      </c>
      <c r="D236" s="824" t="s">
        <v>3888</v>
      </c>
      <c r="E236" s="884"/>
      <c r="F236" s="33" t="s">
        <v>4019</v>
      </c>
      <c r="G236" s="404" t="s">
        <v>988</v>
      </c>
      <c r="H236" s="45">
        <v>940000</v>
      </c>
      <c r="I236" s="377" t="s">
        <v>3887</v>
      </c>
      <c r="J236" s="774">
        <v>44608</v>
      </c>
      <c r="K236" s="928">
        <f t="shared" si="46"/>
        <v>940000</v>
      </c>
      <c r="L236" s="831"/>
      <c r="M236" s="831"/>
      <c r="N236" s="831"/>
      <c r="O236" s="831"/>
      <c r="P236" s="831">
        <v>940000</v>
      </c>
      <c r="Q236" s="28">
        <f t="shared" si="47"/>
        <v>0</v>
      </c>
      <c r="R236" s="301"/>
      <c r="S236" s="301">
        <v>44609</v>
      </c>
      <c r="T236" s="55">
        <v>14</v>
      </c>
      <c r="U236" s="24">
        <f t="shared" si="50"/>
        <v>44622</v>
      </c>
      <c r="V236" s="5"/>
      <c r="W236"/>
      <c r="X236"/>
      <c r="Y236"/>
      <c r="Z236"/>
      <c r="AA236"/>
      <c r="AB236"/>
      <c r="AC236"/>
      <c r="AD236"/>
      <c r="AE236"/>
      <c r="AF236"/>
      <c r="AG236"/>
      <c r="AH236"/>
      <c r="AI236"/>
      <c r="AJ236"/>
      <c r="AK236"/>
      <c r="AL236"/>
      <c r="AM236"/>
      <c r="AN236"/>
      <c r="AO236"/>
      <c r="AP236"/>
      <c r="AQ236"/>
      <c r="AR236"/>
    </row>
    <row r="237" spans="1:44" s="10" customFormat="1" ht="15.75" customHeight="1" x14ac:dyDescent="0.25">
      <c r="A237" s="55" t="e">
        <f t="shared" si="45"/>
        <v>#REF!</v>
      </c>
      <c r="B237" s="633">
        <v>44608</v>
      </c>
      <c r="C237" s="755">
        <v>404496</v>
      </c>
      <c r="D237" s="824" t="s">
        <v>3890</v>
      </c>
      <c r="E237" s="884"/>
      <c r="F237" s="33" t="s">
        <v>4019</v>
      </c>
      <c r="G237" s="404" t="s">
        <v>988</v>
      </c>
      <c r="H237" s="45">
        <v>292000</v>
      </c>
      <c r="I237" s="377" t="s">
        <v>3889</v>
      </c>
      <c r="J237" s="774">
        <v>44608</v>
      </c>
      <c r="K237" s="928">
        <f t="shared" si="46"/>
        <v>292000</v>
      </c>
      <c r="L237" s="831"/>
      <c r="M237" s="831"/>
      <c r="N237" s="831"/>
      <c r="O237" s="831"/>
      <c r="P237" s="831">
        <v>292000</v>
      </c>
      <c r="Q237" s="28">
        <f t="shared" si="47"/>
        <v>0</v>
      </c>
      <c r="R237" s="301"/>
      <c r="S237" s="301">
        <v>44609</v>
      </c>
      <c r="T237" s="55">
        <v>14</v>
      </c>
      <c r="U237" s="24">
        <f t="shared" si="50"/>
        <v>44622</v>
      </c>
      <c r="V237" s="5"/>
      <c r="W237"/>
      <c r="X237"/>
      <c r="Y237"/>
      <c r="Z237"/>
      <c r="AA237"/>
      <c r="AB237"/>
      <c r="AC237"/>
      <c r="AD237"/>
      <c r="AE237"/>
      <c r="AF237"/>
      <c r="AG237"/>
      <c r="AH237"/>
      <c r="AI237"/>
      <c r="AJ237"/>
      <c r="AK237"/>
      <c r="AL237"/>
      <c r="AM237"/>
      <c r="AN237"/>
      <c r="AO237"/>
      <c r="AP237"/>
      <c r="AQ237"/>
      <c r="AR237"/>
    </row>
    <row r="238" spans="1:44" s="10" customFormat="1" ht="15.75" customHeight="1" x14ac:dyDescent="0.25">
      <c r="A238" s="55" t="e">
        <f t="shared" si="45"/>
        <v>#REF!</v>
      </c>
      <c r="B238" s="633">
        <v>44608</v>
      </c>
      <c r="C238" s="755">
        <v>404495</v>
      </c>
      <c r="D238" s="824" t="s">
        <v>3892</v>
      </c>
      <c r="E238" s="884"/>
      <c r="F238" s="33" t="s">
        <v>4019</v>
      </c>
      <c r="G238" s="404" t="s">
        <v>988</v>
      </c>
      <c r="H238" s="45">
        <v>2020000</v>
      </c>
      <c r="I238" s="377" t="s">
        <v>3891</v>
      </c>
      <c r="J238" s="774">
        <v>44608</v>
      </c>
      <c r="K238" s="928">
        <f t="shared" si="46"/>
        <v>2020000</v>
      </c>
      <c r="L238" s="831"/>
      <c r="M238" s="831"/>
      <c r="N238" s="831"/>
      <c r="O238" s="831"/>
      <c r="P238" s="831">
        <v>2020000</v>
      </c>
      <c r="Q238" s="28">
        <f t="shared" si="47"/>
        <v>0</v>
      </c>
      <c r="R238" s="301"/>
      <c r="S238" s="301">
        <v>44609</v>
      </c>
      <c r="T238" s="55">
        <v>14</v>
      </c>
      <c r="U238" s="24">
        <f t="shared" ref="U238:U258" si="52">J238+T238</f>
        <v>44622</v>
      </c>
      <c r="V238" s="5"/>
      <c r="W238"/>
      <c r="X238"/>
      <c r="Y238"/>
      <c r="Z238"/>
      <c r="AA238"/>
      <c r="AB238"/>
      <c r="AC238"/>
      <c r="AD238"/>
      <c r="AE238"/>
      <c r="AF238"/>
      <c r="AG238"/>
      <c r="AH238"/>
      <c r="AI238"/>
      <c r="AJ238"/>
      <c r="AK238"/>
      <c r="AL238"/>
      <c r="AM238"/>
      <c r="AN238"/>
      <c r="AO238"/>
      <c r="AP238"/>
      <c r="AQ238"/>
      <c r="AR238"/>
    </row>
    <row r="239" spans="1:44" s="10" customFormat="1" ht="15.75" customHeight="1" x14ac:dyDescent="0.25">
      <c r="A239" s="55" t="e">
        <f t="shared" si="45"/>
        <v>#REF!</v>
      </c>
      <c r="B239" s="633">
        <v>44608</v>
      </c>
      <c r="C239" s="755"/>
      <c r="D239" s="824" t="s">
        <v>3894</v>
      </c>
      <c r="E239" s="884"/>
      <c r="F239" s="33" t="s">
        <v>3895</v>
      </c>
      <c r="G239" s="404" t="s">
        <v>988</v>
      </c>
      <c r="H239" s="45">
        <v>1500000</v>
      </c>
      <c r="I239" s="377" t="s">
        <v>3893</v>
      </c>
      <c r="J239" s="774">
        <v>44608</v>
      </c>
      <c r="K239" s="928">
        <f t="shared" si="46"/>
        <v>1500000</v>
      </c>
      <c r="L239" s="831"/>
      <c r="M239" s="831"/>
      <c r="N239" s="831"/>
      <c r="O239" s="831"/>
      <c r="P239" s="831">
        <v>1500000</v>
      </c>
      <c r="Q239" s="28">
        <f t="shared" si="47"/>
        <v>0</v>
      </c>
      <c r="R239" s="301"/>
      <c r="S239" s="301">
        <v>44610</v>
      </c>
      <c r="T239" s="55">
        <v>14</v>
      </c>
      <c r="U239" s="24">
        <f t="shared" si="52"/>
        <v>44622</v>
      </c>
      <c r="V239" s="5"/>
      <c r="W239"/>
      <c r="X239"/>
      <c r="Y239"/>
      <c r="Z239"/>
      <c r="AA239"/>
      <c r="AB239"/>
      <c r="AC239"/>
      <c r="AD239"/>
      <c r="AE239"/>
      <c r="AF239"/>
      <c r="AG239"/>
      <c r="AH239"/>
      <c r="AI239"/>
      <c r="AJ239"/>
      <c r="AK239"/>
      <c r="AL239"/>
      <c r="AM239"/>
      <c r="AN239"/>
      <c r="AO239"/>
      <c r="AP239"/>
      <c r="AQ239"/>
      <c r="AR239"/>
    </row>
    <row r="240" spans="1:44" s="10" customFormat="1" ht="15.75" customHeight="1" x14ac:dyDescent="0.25">
      <c r="A240" s="55" t="e">
        <f t="shared" si="45"/>
        <v>#REF!</v>
      </c>
      <c r="B240" s="633">
        <v>44609</v>
      </c>
      <c r="C240" s="755"/>
      <c r="D240" s="824" t="s">
        <v>3901</v>
      </c>
      <c r="E240" s="884"/>
      <c r="F240" s="33" t="s">
        <v>3540</v>
      </c>
      <c r="G240" s="404" t="s">
        <v>503</v>
      </c>
      <c r="H240" s="45">
        <v>1525000</v>
      </c>
      <c r="I240" s="377" t="s">
        <v>3899</v>
      </c>
      <c r="J240" s="774">
        <v>44609</v>
      </c>
      <c r="K240" s="928">
        <f t="shared" si="46"/>
        <v>1525000</v>
      </c>
      <c r="L240" s="831"/>
      <c r="M240" s="831"/>
      <c r="N240" s="831"/>
      <c r="O240" s="831"/>
      <c r="P240" s="831">
        <v>1525000</v>
      </c>
      <c r="Q240" s="28">
        <f t="shared" si="47"/>
        <v>0</v>
      </c>
      <c r="R240" s="301"/>
      <c r="S240" s="301">
        <v>44610</v>
      </c>
      <c r="T240" s="55">
        <v>14</v>
      </c>
      <c r="U240" s="24">
        <f t="shared" si="52"/>
        <v>44623</v>
      </c>
      <c r="V240" s="5"/>
      <c r="W240"/>
      <c r="X240"/>
      <c r="Y240"/>
      <c r="Z240"/>
      <c r="AA240"/>
      <c r="AB240"/>
      <c r="AC240"/>
      <c r="AD240"/>
      <c r="AE240"/>
      <c r="AF240"/>
      <c r="AG240"/>
      <c r="AH240"/>
      <c r="AI240"/>
      <c r="AJ240"/>
      <c r="AK240"/>
      <c r="AL240"/>
      <c r="AM240"/>
      <c r="AN240"/>
      <c r="AO240"/>
      <c r="AP240"/>
      <c r="AQ240"/>
      <c r="AR240"/>
    </row>
    <row r="241" spans="1:44" s="10" customFormat="1" ht="15.75" customHeight="1" x14ac:dyDescent="0.25">
      <c r="A241" s="55" t="e">
        <f t="shared" si="45"/>
        <v>#REF!</v>
      </c>
      <c r="B241" s="633">
        <v>44611</v>
      </c>
      <c r="C241" s="755">
        <v>405895</v>
      </c>
      <c r="D241" s="824" t="s">
        <v>3902</v>
      </c>
      <c r="E241" s="884"/>
      <c r="F241" s="33" t="s">
        <v>4019</v>
      </c>
      <c r="G241" s="404" t="s">
        <v>988</v>
      </c>
      <c r="H241" s="45">
        <v>1320000</v>
      </c>
      <c r="I241" s="377" t="s">
        <v>3900</v>
      </c>
      <c r="J241" s="774">
        <v>44611</v>
      </c>
      <c r="K241" s="928">
        <f t="shared" si="46"/>
        <v>1320000</v>
      </c>
      <c r="L241" s="831"/>
      <c r="M241" s="831"/>
      <c r="N241" s="831"/>
      <c r="O241" s="831"/>
      <c r="P241" s="831">
        <v>1320000</v>
      </c>
      <c r="Q241" s="28">
        <f t="shared" si="47"/>
        <v>0</v>
      </c>
      <c r="R241" s="301"/>
      <c r="S241" s="301">
        <v>44611</v>
      </c>
      <c r="T241" s="55">
        <v>14</v>
      </c>
      <c r="U241" s="24">
        <f t="shared" si="52"/>
        <v>44625</v>
      </c>
      <c r="V241" s="5"/>
      <c r="W241"/>
      <c r="X241"/>
      <c r="Y241"/>
      <c r="Z241"/>
      <c r="AA241"/>
      <c r="AB241"/>
      <c r="AC241"/>
      <c r="AD241"/>
      <c r="AE241"/>
      <c r="AF241"/>
      <c r="AG241"/>
      <c r="AH241"/>
      <c r="AI241"/>
      <c r="AJ241"/>
      <c r="AK241"/>
      <c r="AL241"/>
      <c r="AM241"/>
      <c r="AN241"/>
      <c r="AO241"/>
      <c r="AP241"/>
      <c r="AQ241"/>
      <c r="AR241"/>
    </row>
    <row r="242" spans="1:44" s="10" customFormat="1" ht="15.75" customHeight="1" x14ac:dyDescent="0.25">
      <c r="A242" s="55" t="e">
        <f t="shared" si="45"/>
        <v>#REF!</v>
      </c>
      <c r="B242" s="633">
        <v>44611</v>
      </c>
      <c r="C242" s="755" t="s">
        <v>3905</v>
      </c>
      <c r="D242" s="824" t="s">
        <v>3904</v>
      </c>
      <c r="E242" s="884"/>
      <c r="F242" s="33" t="s">
        <v>4019</v>
      </c>
      <c r="G242" s="404" t="s">
        <v>988</v>
      </c>
      <c r="H242" s="45">
        <v>900000</v>
      </c>
      <c r="I242" s="377" t="s">
        <v>3903</v>
      </c>
      <c r="J242" s="774">
        <v>44611</v>
      </c>
      <c r="K242" s="928">
        <f t="shared" si="46"/>
        <v>900000</v>
      </c>
      <c r="L242" s="831"/>
      <c r="M242" s="831"/>
      <c r="N242" s="831"/>
      <c r="O242" s="831"/>
      <c r="P242" s="831">
        <v>900000</v>
      </c>
      <c r="Q242" s="28">
        <f t="shared" si="47"/>
        <v>0</v>
      </c>
      <c r="R242" s="301"/>
      <c r="S242" s="301">
        <v>44611</v>
      </c>
      <c r="T242" s="55">
        <v>14</v>
      </c>
      <c r="U242" s="24">
        <f t="shared" si="52"/>
        <v>44625</v>
      </c>
      <c r="V242" s="5"/>
      <c r="W242"/>
      <c r="X242"/>
      <c r="Y242"/>
      <c r="Z242"/>
      <c r="AA242"/>
      <c r="AB242"/>
      <c r="AC242"/>
      <c r="AD242"/>
      <c r="AE242"/>
      <c r="AF242"/>
      <c r="AG242"/>
      <c r="AH242"/>
      <c r="AI242"/>
      <c r="AJ242"/>
      <c r="AK242"/>
      <c r="AL242"/>
      <c r="AM242"/>
      <c r="AN242"/>
      <c r="AO242"/>
      <c r="AP242"/>
      <c r="AQ242"/>
      <c r="AR242"/>
    </row>
    <row r="243" spans="1:44" s="10" customFormat="1" ht="15.75" customHeight="1" x14ac:dyDescent="0.25">
      <c r="A243" s="55" t="e">
        <f t="shared" si="45"/>
        <v>#REF!</v>
      </c>
      <c r="B243" s="633">
        <v>44611</v>
      </c>
      <c r="C243" s="755">
        <v>405892</v>
      </c>
      <c r="D243" s="824" t="s">
        <v>3907</v>
      </c>
      <c r="E243" s="884"/>
      <c r="F243" s="33" t="s">
        <v>4019</v>
      </c>
      <c r="G243" s="404" t="s">
        <v>988</v>
      </c>
      <c r="H243" s="45">
        <v>512000</v>
      </c>
      <c r="I243" s="377" t="s">
        <v>3906</v>
      </c>
      <c r="J243" s="774">
        <v>44611</v>
      </c>
      <c r="K243" s="928">
        <f t="shared" si="46"/>
        <v>512000</v>
      </c>
      <c r="L243" s="831"/>
      <c r="M243" s="831"/>
      <c r="N243" s="831"/>
      <c r="O243" s="831"/>
      <c r="P243" s="831">
        <v>512000</v>
      </c>
      <c r="Q243" s="28">
        <f t="shared" si="47"/>
        <v>0</v>
      </c>
      <c r="R243" s="301"/>
      <c r="S243" s="301">
        <v>44611</v>
      </c>
      <c r="T243" s="55">
        <v>14</v>
      </c>
      <c r="U243" s="24">
        <f t="shared" si="52"/>
        <v>44625</v>
      </c>
      <c r="V243" s="5"/>
      <c r="W243"/>
      <c r="X243"/>
      <c r="Y243"/>
      <c r="Z243"/>
      <c r="AA243"/>
      <c r="AB243"/>
      <c r="AC243"/>
      <c r="AD243"/>
      <c r="AE243"/>
      <c r="AF243"/>
      <c r="AG243"/>
      <c r="AH243"/>
      <c r="AI243"/>
      <c r="AJ243"/>
      <c r="AK243"/>
      <c r="AL243"/>
      <c r="AM243"/>
      <c r="AN243"/>
      <c r="AO243"/>
      <c r="AP243"/>
      <c r="AQ243"/>
      <c r="AR243"/>
    </row>
    <row r="244" spans="1:44" s="10" customFormat="1" ht="15.75" customHeight="1" x14ac:dyDescent="0.25">
      <c r="A244" s="55" t="e">
        <f t="shared" si="45"/>
        <v>#REF!</v>
      </c>
      <c r="B244" s="633">
        <v>44610</v>
      </c>
      <c r="C244" s="755"/>
      <c r="D244" s="824" t="s">
        <v>4125</v>
      </c>
      <c r="E244" s="884"/>
      <c r="F244" s="33" t="s">
        <v>4019</v>
      </c>
      <c r="G244" s="404" t="s">
        <v>988</v>
      </c>
      <c r="H244" s="45">
        <v>1284000</v>
      </c>
      <c r="I244" s="377" t="s">
        <v>4126</v>
      </c>
      <c r="J244" s="774">
        <v>44611</v>
      </c>
      <c r="K244" s="928">
        <f t="shared" si="46"/>
        <v>1284000</v>
      </c>
      <c r="L244" s="882"/>
      <c r="M244" s="882"/>
      <c r="N244" s="882"/>
      <c r="O244" s="882"/>
      <c r="P244" s="882"/>
      <c r="Q244" s="28">
        <f t="shared" si="47"/>
        <v>1284000</v>
      </c>
      <c r="R244" s="301"/>
      <c r="S244" s="301"/>
      <c r="T244" s="55">
        <v>14</v>
      </c>
      <c r="U244" s="24">
        <f t="shared" ref="U244" si="53">J244+T244</f>
        <v>44625</v>
      </c>
      <c r="V244" s="5"/>
      <c r="W244"/>
      <c r="X244"/>
      <c r="Y244"/>
      <c r="Z244"/>
      <c r="AA244"/>
      <c r="AB244"/>
      <c r="AC244"/>
      <c r="AD244"/>
      <c r="AE244"/>
      <c r="AF244"/>
      <c r="AG244"/>
      <c r="AH244"/>
      <c r="AI244"/>
      <c r="AJ244"/>
      <c r="AK244"/>
      <c r="AL244"/>
      <c r="AM244"/>
      <c r="AN244"/>
      <c r="AO244"/>
      <c r="AP244"/>
      <c r="AQ244"/>
      <c r="AR244"/>
    </row>
    <row r="245" spans="1:44" s="10" customFormat="1" ht="15.75" customHeight="1" x14ac:dyDescent="0.25">
      <c r="A245" s="55" t="e">
        <f t="shared" si="45"/>
        <v>#REF!</v>
      </c>
      <c r="B245" s="633">
        <v>44611</v>
      </c>
      <c r="C245" s="755"/>
      <c r="D245" s="824" t="s">
        <v>3910</v>
      </c>
      <c r="E245" s="884"/>
      <c r="F245" s="33" t="s">
        <v>3909</v>
      </c>
      <c r="G245" s="404" t="s">
        <v>668</v>
      </c>
      <c r="H245" s="45">
        <v>5917875</v>
      </c>
      <c r="I245" s="377" t="s">
        <v>3908</v>
      </c>
      <c r="J245" s="774">
        <v>44611</v>
      </c>
      <c r="K245" s="928">
        <f t="shared" si="46"/>
        <v>5917875</v>
      </c>
      <c r="L245" s="831">
        <v>4142512.4999999995</v>
      </c>
      <c r="M245" s="831"/>
      <c r="N245" s="831"/>
      <c r="O245" s="831"/>
      <c r="P245" s="831"/>
      <c r="Q245" s="28">
        <f t="shared" si="47"/>
        <v>1775362.5000000005</v>
      </c>
      <c r="R245" s="301">
        <v>44580</v>
      </c>
      <c r="S245" s="301"/>
      <c r="T245" s="55">
        <v>14</v>
      </c>
      <c r="U245" s="24">
        <f t="shared" si="52"/>
        <v>44625</v>
      </c>
      <c r="V245" s="5"/>
      <c r="W245"/>
      <c r="X245"/>
      <c r="Y245"/>
      <c r="Z245"/>
      <c r="AA245"/>
      <c r="AB245"/>
      <c r="AC245"/>
      <c r="AD245"/>
      <c r="AE245"/>
      <c r="AF245"/>
      <c r="AG245"/>
      <c r="AH245"/>
      <c r="AI245"/>
      <c r="AJ245"/>
      <c r="AK245"/>
      <c r="AL245"/>
      <c r="AM245"/>
      <c r="AN245"/>
      <c r="AO245"/>
      <c r="AP245"/>
      <c r="AQ245"/>
      <c r="AR245"/>
    </row>
    <row r="246" spans="1:44" s="10" customFormat="1" ht="15.75" customHeight="1" x14ac:dyDescent="0.25">
      <c r="A246" s="55" t="e">
        <f t="shared" si="45"/>
        <v>#REF!</v>
      </c>
      <c r="B246" s="633">
        <v>44604</v>
      </c>
      <c r="C246" s="755" t="s">
        <v>3912</v>
      </c>
      <c r="D246" s="824" t="s">
        <v>3840</v>
      </c>
      <c r="E246" s="884"/>
      <c r="F246" s="33" t="s">
        <v>3549</v>
      </c>
      <c r="G246" s="404" t="s">
        <v>1190</v>
      </c>
      <c r="H246" s="45">
        <v>6018000</v>
      </c>
      <c r="I246" s="377" t="s">
        <v>3911</v>
      </c>
      <c r="J246" s="774">
        <v>44613</v>
      </c>
      <c r="K246" s="928">
        <f t="shared" si="46"/>
        <v>6018000</v>
      </c>
      <c r="L246" s="831">
        <v>3800000</v>
      </c>
      <c r="M246" s="831"/>
      <c r="N246" s="831"/>
      <c r="O246" s="831"/>
      <c r="P246" s="831"/>
      <c r="Q246" s="28">
        <f t="shared" si="47"/>
        <v>2218000</v>
      </c>
      <c r="R246" s="301">
        <v>44634</v>
      </c>
      <c r="S246" s="301"/>
      <c r="T246" s="55">
        <v>14</v>
      </c>
      <c r="U246" s="24">
        <f t="shared" si="52"/>
        <v>44627</v>
      </c>
      <c r="V246" s="5"/>
      <c r="W246"/>
      <c r="X246"/>
      <c r="Y246"/>
      <c r="Z246"/>
      <c r="AA246"/>
      <c r="AB246"/>
      <c r="AC246"/>
      <c r="AD246"/>
      <c r="AE246"/>
      <c r="AF246"/>
      <c r="AG246"/>
      <c r="AH246"/>
      <c r="AI246"/>
      <c r="AJ246"/>
      <c r="AK246"/>
      <c r="AL246"/>
      <c r="AM246"/>
      <c r="AN246"/>
      <c r="AO246"/>
      <c r="AP246"/>
      <c r="AQ246"/>
      <c r="AR246"/>
    </row>
    <row r="247" spans="1:44" s="10" customFormat="1" ht="15.75" customHeight="1" x14ac:dyDescent="0.25">
      <c r="A247" s="55" t="e">
        <f t="shared" si="45"/>
        <v>#REF!</v>
      </c>
      <c r="B247" s="633">
        <v>44602</v>
      </c>
      <c r="C247" s="755" t="s">
        <v>3915</v>
      </c>
      <c r="D247" s="824" t="s">
        <v>3914</v>
      </c>
      <c r="E247" s="884"/>
      <c r="F247" s="33" t="s">
        <v>3549</v>
      </c>
      <c r="G247" s="404" t="s">
        <v>3916</v>
      </c>
      <c r="H247" s="45">
        <v>6499000</v>
      </c>
      <c r="I247" s="377" t="s">
        <v>3913</v>
      </c>
      <c r="J247" s="774">
        <v>44613</v>
      </c>
      <c r="K247" s="928">
        <f t="shared" si="46"/>
        <v>6499000</v>
      </c>
      <c r="L247" s="831">
        <v>4000000</v>
      </c>
      <c r="M247" s="831">
        <v>6500</v>
      </c>
      <c r="N247" s="831"/>
      <c r="O247" s="831"/>
      <c r="P247" s="831"/>
      <c r="Q247" s="28">
        <f t="shared" si="47"/>
        <v>2492500</v>
      </c>
      <c r="R247" s="301">
        <v>44602</v>
      </c>
      <c r="S247" s="301"/>
      <c r="T247" s="55">
        <v>14</v>
      </c>
      <c r="U247" s="24">
        <f t="shared" si="52"/>
        <v>44627</v>
      </c>
      <c r="V247" s="5"/>
      <c r="W247"/>
      <c r="X247"/>
      <c r="Y247"/>
      <c r="Z247"/>
      <c r="AA247"/>
      <c r="AB247"/>
      <c r="AC247"/>
      <c r="AD247"/>
      <c r="AE247"/>
      <c r="AF247"/>
      <c r="AG247"/>
      <c r="AH247"/>
      <c r="AI247"/>
      <c r="AJ247"/>
      <c r="AK247"/>
      <c r="AL247"/>
      <c r="AM247"/>
      <c r="AN247"/>
      <c r="AO247"/>
      <c r="AP247"/>
      <c r="AQ247"/>
      <c r="AR247"/>
    </row>
    <row r="248" spans="1:44" s="10" customFormat="1" ht="15.75" customHeight="1" x14ac:dyDescent="0.25">
      <c r="A248" s="55" t="e">
        <f t="shared" si="45"/>
        <v>#REF!</v>
      </c>
      <c r="B248" s="633">
        <v>44604</v>
      </c>
      <c r="C248" s="755" t="s">
        <v>3918</v>
      </c>
      <c r="D248" s="824" t="s">
        <v>3112</v>
      </c>
      <c r="E248" s="884"/>
      <c r="F248" s="33" t="s">
        <v>3857</v>
      </c>
      <c r="G248" s="404" t="s">
        <v>15</v>
      </c>
      <c r="H248" s="45">
        <v>18200000</v>
      </c>
      <c r="I248" s="377" t="s">
        <v>3917</v>
      </c>
      <c r="J248" s="774">
        <v>44613</v>
      </c>
      <c r="K248" s="928">
        <f t="shared" si="46"/>
        <v>18200000</v>
      </c>
      <c r="L248" s="831">
        <v>11800000</v>
      </c>
      <c r="M248" s="831"/>
      <c r="N248" s="831"/>
      <c r="O248" s="831"/>
      <c r="P248" s="831"/>
      <c r="Q248" s="28">
        <f t="shared" si="47"/>
        <v>6400000</v>
      </c>
      <c r="R248" s="301"/>
      <c r="S248" s="301"/>
      <c r="T248" s="55">
        <v>14</v>
      </c>
      <c r="U248" s="24">
        <f t="shared" si="52"/>
        <v>44627</v>
      </c>
      <c r="V248" s="5"/>
      <c r="W248"/>
      <c r="X248"/>
      <c r="Y248"/>
      <c r="Z248"/>
      <c r="AA248"/>
      <c r="AB248"/>
      <c r="AC248"/>
      <c r="AD248"/>
      <c r="AE248"/>
      <c r="AF248"/>
      <c r="AG248"/>
      <c r="AH248"/>
      <c r="AI248"/>
      <c r="AJ248"/>
      <c r="AK248"/>
      <c r="AL248"/>
      <c r="AM248"/>
      <c r="AN248"/>
      <c r="AO248"/>
      <c r="AP248"/>
      <c r="AQ248"/>
      <c r="AR248"/>
    </row>
    <row r="249" spans="1:44" s="10" customFormat="1" ht="15.75" customHeight="1" x14ac:dyDescent="0.25">
      <c r="A249" s="55" t="e">
        <f t="shared" si="45"/>
        <v>#REF!</v>
      </c>
      <c r="B249" s="633">
        <v>44613</v>
      </c>
      <c r="C249" s="755"/>
      <c r="D249" s="824" t="s">
        <v>3920</v>
      </c>
      <c r="E249" s="884"/>
      <c r="F249" s="33" t="s">
        <v>5050</v>
      </c>
      <c r="G249" s="404" t="s">
        <v>161</v>
      </c>
      <c r="H249" s="45">
        <v>4900000</v>
      </c>
      <c r="I249" s="377" t="s">
        <v>3919</v>
      </c>
      <c r="J249" s="774">
        <v>44613</v>
      </c>
      <c r="K249" s="928">
        <f t="shared" si="46"/>
        <v>4900000</v>
      </c>
      <c r="L249" s="831"/>
      <c r="M249" s="831"/>
      <c r="N249" s="831"/>
      <c r="O249" s="831"/>
      <c r="P249" s="831"/>
      <c r="Q249" s="28">
        <f t="shared" si="47"/>
        <v>4900000</v>
      </c>
      <c r="R249" s="301"/>
      <c r="S249" s="301"/>
      <c r="T249" s="55">
        <v>14</v>
      </c>
      <c r="U249" s="24">
        <f t="shared" si="52"/>
        <v>44627</v>
      </c>
      <c r="V249" s="5"/>
      <c r="W249"/>
      <c r="X249"/>
      <c r="Y249"/>
      <c r="Z249"/>
      <c r="AA249"/>
      <c r="AB249"/>
      <c r="AC249"/>
      <c r="AD249"/>
      <c r="AE249"/>
      <c r="AF249"/>
      <c r="AG249"/>
      <c r="AH249"/>
      <c r="AI249"/>
      <c r="AJ249"/>
      <c r="AK249"/>
      <c r="AL249"/>
      <c r="AM249"/>
      <c r="AN249"/>
      <c r="AO249"/>
      <c r="AP249"/>
      <c r="AQ249"/>
      <c r="AR249"/>
    </row>
    <row r="250" spans="1:44" s="10" customFormat="1" ht="15.75" customHeight="1" x14ac:dyDescent="0.25">
      <c r="A250" s="55" t="e">
        <f t="shared" si="45"/>
        <v>#REF!</v>
      </c>
      <c r="B250" s="633">
        <v>44605</v>
      </c>
      <c r="C250" s="755" t="s">
        <v>3925</v>
      </c>
      <c r="D250" s="824" t="s">
        <v>2630</v>
      </c>
      <c r="E250" s="884"/>
      <c r="F250" s="33" t="s">
        <v>3924</v>
      </c>
      <c r="G250" s="404" t="s">
        <v>582</v>
      </c>
      <c r="H250" s="45">
        <v>5683000</v>
      </c>
      <c r="I250" s="377" t="s">
        <v>3923</v>
      </c>
      <c r="J250" s="774">
        <v>44614</v>
      </c>
      <c r="K250" s="928">
        <f t="shared" si="46"/>
        <v>5683000</v>
      </c>
      <c r="L250" s="831">
        <v>3800000</v>
      </c>
      <c r="M250" s="831"/>
      <c r="N250" s="831"/>
      <c r="O250" s="831"/>
      <c r="P250" s="831"/>
      <c r="Q250" s="28">
        <f t="shared" si="47"/>
        <v>1883000</v>
      </c>
      <c r="R250" s="301"/>
      <c r="S250" s="301"/>
      <c r="T250" s="55">
        <v>14</v>
      </c>
      <c r="U250" s="24">
        <f t="shared" si="52"/>
        <v>44628</v>
      </c>
      <c r="V250" s="5"/>
      <c r="W250"/>
      <c r="X250"/>
      <c r="Y250"/>
      <c r="Z250"/>
      <c r="AA250"/>
      <c r="AB250"/>
      <c r="AC250"/>
      <c r="AD250"/>
      <c r="AE250"/>
      <c r="AF250"/>
      <c r="AG250"/>
      <c r="AH250"/>
      <c r="AI250"/>
      <c r="AJ250"/>
      <c r="AK250"/>
      <c r="AL250"/>
      <c r="AM250"/>
      <c r="AN250"/>
      <c r="AO250"/>
      <c r="AP250"/>
      <c r="AQ250"/>
      <c r="AR250"/>
    </row>
    <row r="251" spans="1:44" s="10" customFormat="1" ht="15.75" customHeight="1" x14ac:dyDescent="0.25">
      <c r="A251" s="55" t="e">
        <f t="shared" si="45"/>
        <v>#REF!</v>
      </c>
      <c r="B251" s="633">
        <v>44614</v>
      </c>
      <c r="C251" s="755">
        <v>404851</v>
      </c>
      <c r="D251" s="824" t="s">
        <v>3927</v>
      </c>
      <c r="E251" s="884"/>
      <c r="F251" s="33" t="s">
        <v>4019</v>
      </c>
      <c r="G251" s="404" t="s">
        <v>988</v>
      </c>
      <c r="H251" s="45">
        <v>836000</v>
      </c>
      <c r="I251" s="377" t="s">
        <v>3926</v>
      </c>
      <c r="J251" s="774">
        <v>44614</v>
      </c>
      <c r="K251" s="928">
        <f t="shared" si="46"/>
        <v>836000</v>
      </c>
      <c r="L251" s="831"/>
      <c r="M251" s="831"/>
      <c r="N251" s="831"/>
      <c r="O251" s="831"/>
      <c r="P251" s="831">
        <v>836000</v>
      </c>
      <c r="Q251" s="28">
        <f t="shared" si="47"/>
        <v>0</v>
      </c>
      <c r="R251" s="301"/>
      <c r="S251" s="301">
        <v>44615</v>
      </c>
      <c r="T251" s="55">
        <v>14</v>
      </c>
      <c r="U251" s="24">
        <f t="shared" ref="U251:U252" si="54">J251+T251</f>
        <v>44628</v>
      </c>
      <c r="V251" s="5"/>
      <c r="W251"/>
      <c r="X251"/>
      <c r="Y251"/>
      <c r="Z251"/>
      <c r="AA251"/>
      <c r="AB251"/>
      <c r="AC251"/>
      <c r="AD251"/>
      <c r="AE251"/>
      <c r="AF251"/>
      <c r="AG251"/>
      <c r="AH251"/>
      <c r="AI251"/>
      <c r="AJ251"/>
      <c r="AK251"/>
      <c r="AL251"/>
      <c r="AM251"/>
      <c r="AN251"/>
      <c r="AO251"/>
      <c r="AP251"/>
      <c r="AQ251"/>
      <c r="AR251"/>
    </row>
    <row r="252" spans="1:44" s="10" customFormat="1" ht="15.75" customHeight="1" x14ac:dyDescent="0.25">
      <c r="A252" s="55" t="e">
        <f t="shared" si="45"/>
        <v>#REF!</v>
      </c>
      <c r="B252" s="633">
        <v>44614</v>
      </c>
      <c r="C252" s="755">
        <v>404852</v>
      </c>
      <c r="D252" s="824" t="s">
        <v>3929</v>
      </c>
      <c r="E252" s="884"/>
      <c r="F252" s="33" t="s">
        <v>4019</v>
      </c>
      <c r="G252" s="404" t="s">
        <v>988</v>
      </c>
      <c r="H252" s="45">
        <v>2364000</v>
      </c>
      <c r="I252" s="377" t="s">
        <v>3928</v>
      </c>
      <c r="J252" s="774">
        <v>44614</v>
      </c>
      <c r="K252" s="928">
        <f t="shared" si="46"/>
        <v>2364000</v>
      </c>
      <c r="L252" s="831"/>
      <c r="M252" s="831"/>
      <c r="N252" s="831"/>
      <c r="O252" s="831"/>
      <c r="P252" s="831">
        <v>2364000</v>
      </c>
      <c r="Q252" s="28">
        <f t="shared" si="47"/>
        <v>0</v>
      </c>
      <c r="R252" s="301"/>
      <c r="S252" s="301">
        <v>44615</v>
      </c>
      <c r="T252" s="55">
        <v>14</v>
      </c>
      <c r="U252" s="24">
        <f t="shared" si="54"/>
        <v>44628</v>
      </c>
      <c r="V252" s="5"/>
      <c r="W252"/>
      <c r="X252"/>
      <c r="Y252"/>
      <c r="Z252"/>
      <c r="AA252"/>
      <c r="AB252"/>
      <c r="AC252"/>
      <c r="AD252"/>
      <c r="AE252"/>
      <c r="AF252"/>
      <c r="AG252"/>
      <c r="AH252"/>
      <c r="AI252"/>
      <c r="AJ252"/>
      <c r="AK252"/>
      <c r="AL252"/>
      <c r="AM252"/>
      <c r="AN252"/>
      <c r="AO252"/>
      <c r="AP252"/>
      <c r="AQ252"/>
      <c r="AR252"/>
    </row>
    <row r="253" spans="1:44" s="10" customFormat="1" ht="15.75" customHeight="1" x14ac:dyDescent="0.25">
      <c r="A253" s="55" t="e">
        <f t="shared" si="45"/>
        <v>#REF!</v>
      </c>
      <c r="B253" s="633">
        <v>44608</v>
      </c>
      <c r="C253" s="755">
        <v>405886</v>
      </c>
      <c r="D253" s="824" t="s">
        <v>3931</v>
      </c>
      <c r="E253" s="884"/>
      <c r="F253" s="33" t="s">
        <v>4199</v>
      </c>
      <c r="G253" s="404" t="s">
        <v>782</v>
      </c>
      <c r="H253" s="45">
        <v>2450000</v>
      </c>
      <c r="I253" s="377" t="s">
        <v>3930</v>
      </c>
      <c r="J253" s="774">
        <v>44614</v>
      </c>
      <c r="K253" s="928">
        <f t="shared" si="46"/>
        <v>2450000</v>
      </c>
      <c r="L253" s="831"/>
      <c r="M253" s="831"/>
      <c r="N253" s="831"/>
      <c r="O253" s="831"/>
      <c r="P253" s="831">
        <v>2450000</v>
      </c>
      <c r="Q253" s="28">
        <f t="shared" si="47"/>
        <v>0</v>
      </c>
      <c r="R253" s="301"/>
      <c r="S253" s="301">
        <v>44672</v>
      </c>
      <c r="T253" s="55">
        <v>14</v>
      </c>
      <c r="U253" s="24">
        <f t="shared" si="52"/>
        <v>44628</v>
      </c>
      <c r="V253" s="5"/>
      <c r="W253"/>
      <c r="X253"/>
      <c r="Y253"/>
      <c r="Z253"/>
      <c r="AA253"/>
      <c r="AB253"/>
      <c r="AC253"/>
      <c r="AD253"/>
      <c r="AE253"/>
      <c r="AF253"/>
      <c r="AG253"/>
      <c r="AH253"/>
      <c r="AI253"/>
      <c r="AJ253"/>
      <c r="AK253"/>
      <c r="AL253"/>
      <c r="AM253"/>
      <c r="AN253"/>
      <c r="AO253"/>
      <c r="AP253"/>
      <c r="AQ253"/>
      <c r="AR253"/>
    </row>
    <row r="254" spans="1:44" s="10" customFormat="1" ht="15.75" customHeight="1" x14ac:dyDescent="0.25">
      <c r="A254" s="55" t="e">
        <f t="shared" si="45"/>
        <v>#REF!</v>
      </c>
      <c r="B254" s="633">
        <v>44615</v>
      </c>
      <c r="C254" s="755">
        <v>404854</v>
      </c>
      <c r="D254" s="824" t="s">
        <v>3960</v>
      </c>
      <c r="E254" s="884"/>
      <c r="F254" s="33" t="s">
        <v>4019</v>
      </c>
      <c r="G254" s="404" t="s">
        <v>988</v>
      </c>
      <c r="H254" s="45">
        <v>216000</v>
      </c>
      <c r="I254" s="377" t="s">
        <v>3959</v>
      </c>
      <c r="J254" s="774">
        <v>44615</v>
      </c>
      <c r="K254" s="928">
        <f t="shared" si="46"/>
        <v>216000</v>
      </c>
      <c r="L254" s="831"/>
      <c r="M254" s="831"/>
      <c r="N254" s="831"/>
      <c r="O254" s="831"/>
      <c r="P254" s="831">
        <v>388000</v>
      </c>
      <c r="Q254" s="28">
        <f t="shared" si="47"/>
        <v>-172000</v>
      </c>
      <c r="R254" s="301"/>
      <c r="S254" s="301">
        <v>44615</v>
      </c>
      <c r="T254" s="55">
        <v>14</v>
      </c>
      <c r="U254" s="24">
        <f t="shared" ref="U254:U257" si="55">J254+T254</f>
        <v>44629</v>
      </c>
      <c r="V254" s="5"/>
      <c r="W254"/>
      <c r="X254"/>
      <c r="Y254"/>
      <c r="Z254"/>
      <c r="AA254"/>
      <c r="AB254"/>
      <c r="AC254"/>
      <c r="AD254"/>
      <c r="AE254"/>
      <c r="AF254"/>
      <c r="AG254"/>
      <c r="AH254"/>
      <c r="AI254"/>
      <c r="AJ254"/>
      <c r="AK254"/>
      <c r="AL254"/>
      <c r="AM254"/>
      <c r="AN254"/>
      <c r="AO254"/>
      <c r="AP254"/>
      <c r="AQ254"/>
      <c r="AR254"/>
    </row>
    <row r="255" spans="1:44" s="10" customFormat="1" ht="15.75" customHeight="1" x14ac:dyDescent="0.25">
      <c r="A255" s="55" t="e">
        <f t="shared" si="45"/>
        <v>#REF!</v>
      </c>
      <c r="B255" s="633">
        <v>44615</v>
      </c>
      <c r="C255" s="755">
        <v>404855</v>
      </c>
      <c r="D255" s="824" t="s">
        <v>3963</v>
      </c>
      <c r="E255" s="884"/>
      <c r="F255" s="33" t="s">
        <v>4019</v>
      </c>
      <c r="G255" s="404" t="s">
        <v>988</v>
      </c>
      <c r="H255" s="45">
        <v>216000</v>
      </c>
      <c r="I255" s="377" t="s">
        <v>3962</v>
      </c>
      <c r="J255" s="774">
        <v>44615</v>
      </c>
      <c r="K255" s="928">
        <f t="shared" si="46"/>
        <v>216000</v>
      </c>
      <c r="L255" s="831"/>
      <c r="M255" s="831"/>
      <c r="N255" s="831"/>
      <c r="O255" s="831"/>
      <c r="P255" s="831"/>
      <c r="Q255" s="28">
        <f t="shared" si="47"/>
        <v>216000</v>
      </c>
      <c r="R255" s="301"/>
      <c r="S255" s="301"/>
      <c r="T255" s="55">
        <v>14</v>
      </c>
      <c r="U255" s="24">
        <f t="shared" si="55"/>
        <v>44629</v>
      </c>
      <c r="V255" s="5"/>
      <c r="W255"/>
      <c r="X255"/>
      <c r="Y255"/>
      <c r="Z255"/>
      <c r="AA255"/>
      <c r="AB255"/>
      <c r="AC255"/>
      <c r="AD255"/>
      <c r="AE255"/>
      <c r="AF255"/>
      <c r="AG255"/>
      <c r="AH255"/>
      <c r="AI255"/>
      <c r="AJ255"/>
      <c r="AK255"/>
      <c r="AL255"/>
      <c r="AM255"/>
      <c r="AN255"/>
      <c r="AO255"/>
      <c r="AP255"/>
      <c r="AQ255"/>
      <c r="AR255"/>
    </row>
    <row r="256" spans="1:44" s="10" customFormat="1" ht="15.75" customHeight="1" x14ac:dyDescent="0.25">
      <c r="A256" s="55" t="e">
        <f t="shared" si="45"/>
        <v>#REF!</v>
      </c>
      <c r="B256" s="633">
        <v>44615</v>
      </c>
      <c r="C256" s="755">
        <v>404856</v>
      </c>
      <c r="D256" s="824" t="s">
        <v>3966</v>
      </c>
      <c r="E256" s="884"/>
      <c r="F256" s="33" t="s">
        <v>3965</v>
      </c>
      <c r="G256" s="404" t="s">
        <v>988</v>
      </c>
      <c r="H256" s="45">
        <v>1043800</v>
      </c>
      <c r="I256" s="377" t="s">
        <v>3964</v>
      </c>
      <c r="J256" s="774">
        <v>44615</v>
      </c>
      <c r="K256" s="928">
        <f t="shared" si="46"/>
        <v>1043800</v>
      </c>
      <c r="L256" s="831"/>
      <c r="M256" s="831"/>
      <c r="N256" s="831"/>
      <c r="O256" s="831"/>
      <c r="P256" s="831"/>
      <c r="Q256" s="28">
        <f t="shared" si="47"/>
        <v>1043800</v>
      </c>
      <c r="R256" s="301"/>
      <c r="S256" s="301"/>
      <c r="T256" s="55">
        <v>14</v>
      </c>
      <c r="U256" s="24">
        <f t="shared" si="55"/>
        <v>44629</v>
      </c>
      <c r="V256" s="5"/>
      <c r="W256"/>
      <c r="X256"/>
      <c r="Y256"/>
      <c r="Z256"/>
      <c r="AA256"/>
      <c r="AB256"/>
      <c r="AC256"/>
      <c r="AD256"/>
      <c r="AE256"/>
      <c r="AF256"/>
      <c r="AG256"/>
      <c r="AH256"/>
      <c r="AI256"/>
      <c r="AJ256"/>
      <c r="AK256"/>
      <c r="AL256"/>
      <c r="AM256"/>
      <c r="AN256"/>
      <c r="AO256"/>
      <c r="AP256"/>
      <c r="AQ256"/>
      <c r="AR256"/>
    </row>
    <row r="257" spans="1:44" s="10" customFormat="1" ht="15.75" customHeight="1" x14ac:dyDescent="0.25">
      <c r="A257" s="55" t="e">
        <f t="shared" si="45"/>
        <v>#REF!</v>
      </c>
      <c r="B257" s="633">
        <v>44615</v>
      </c>
      <c r="C257" s="755">
        <v>404857</v>
      </c>
      <c r="D257" s="824" t="s">
        <v>3968</v>
      </c>
      <c r="E257" s="884"/>
      <c r="F257" s="33" t="s">
        <v>3965</v>
      </c>
      <c r="G257" s="404" t="s">
        <v>988</v>
      </c>
      <c r="H257" s="45">
        <v>1043800</v>
      </c>
      <c r="I257" s="377" t="s">
        <v>3967</v>
      </c>
      <c r="J257" s="774">
        <v>44615</v>
      </c>
      <c r="K257" s="928">
        <f t="shared" si="46"/>
        <v>1043800</v>
      </c>
      <c r="L257" s="831"/>
      <c r="M257" s="831"/>
      <c r="N257" s="831"/>
      <c r="O257" s="831"/>
      <c r="P257" s="831"/>
      <c r="Q257" s="28">
        <f t="shared" si="47"/>
        <v>1043800</v>
      </c>
      <c r="R257" s="301"/>
      <c r="S257" s="301"/>
      <c r="T257" s="55">
        <v>14</v>
      </c>
      <c r="U257" s="24">
        <f t="shared" si="55"/>
        <v>44629</v>
      </c>
      <c r="V257" s="5"/>
      <c r="W257"/>
      <c r="X257"/>
      <c r="Y257"/>
      <c r="Z257"/>
      <c r="AA257"/>
      <c r="AB257"/>
      <c r="AC257"/>
      <c r="AD257"/>
      <c r="AE257"/>
      <c r="AF257"/>
      <c r="AG257"/>
      <c r="AH257"/>
      <c r="AI257"/>
      <c r="AJ257"/>
      <c r="AK257"/>
      <c r="AL257"/>
      <c r="AM257"/>
      <c r="AN257"/>
      <c r="AO257"/>
      <c r="AP257"/>
      <c r="AQ257"/>
      <c r="AR257"/>
    </row>
    <row r="258" spans="1:44" s="10" customFormat="1" ht="15.75" customHeight="1" x14ac:dyDescent="0.25">
      <c r="A258" s="55" t="e">
        <f t="shared" si="45"/>
        <v>#REF!</v>
      </c>
      <c r="B258" s="633">
        <v>44615</v>
      </c>
      <c r="C258" s="755">
        <v>404854</v>
      </c>
      <c r="D258" s="824" t="s">
        <v>3970</v>
      </c>
      <c r="E258" s="884"/>
      <c r="F258" s="33" t="s">
        <v>3971</v>
      </c>
      <c r="G258" s="404" t="s">
        <v>988</v>
      </c>
      <c r="H258" s="45">
        <v>1117200</v>
      </c>
      <c r="I258" s="377" t="s">
        <v>3969</v>
      </c>
      <c r="J258" s="774">
        <v>44616</v>
      </c>
      <c r="K258" s="928">
        <f t="shared" si="46"/>
        <v>1117200</v>
      </c>
      <c r="L258" s="831"/>
      <c r="M258" s="831"/>
      <c r="N258" s="831"/>
      <c r="O258" s="831"/>
      <c r="P258" s="831">
        <v>1117200</v>
      </c>
      <c r="Q258" s="28">
        <f t="shared" si="47"/>
        <v>0</v>
      </c>
      <c r="R258" s="301"/>
      <c r="S258" s="301">
        <v>44616</v>
      </c>
      <c r="T258" s="55">
        <v>14</v>
      </c>
      <c r="U258" s="24">
        <f t="shared" si="52"/>
        <v>44630</v>
      </c>
      <c r="V258" s="5"/>
      <c r="W258"/>
      <c r="X258"/>
      <c r="Y258"/>
      <c r="Z258"/>
      <c r="AA258"/>
      <c r="AB258"/>
      <c r="AC258"/>
      <c r="AD258"/>
      <c r="AE258"/>
      <c r="AF258"/>
      <c r="AG258"/>
      <c r="AH258"/>
      <c r="AI258"/>
      <c r="AJ258"/>
      <c r="AK258"/>
      <c r="AL258"/>
      <c r="AM258"/>
      <c r="AN258"/>
      <c r="AO258"/>
      <c r="AP258"/>
      <c r="AQ258"/>
      <c r="AR258"/>
    </row>
    <row r="259" spans="1:44" s="10" customFormat="1" ht="15.75" customHeight="1" x14ac:dyDescent="0.25">
      <c r="A259" s="55" t="e">
        <f t="shared" si="45"/>
        <v>#REF!</v>
      </c>
      <c r="B259" s="570">
        <v>44616</v>
      </c>
      <c r="C259" s="631">
        <v>404547</v>
      </c>
      <c r="D259" s="864" t="s">
        <v>3973</v>
      </c>
      <c r="E259" s="887" t="s">
        <v>3975</v>
      </c>
      <c r="F259" s="571" t="s">
        <v>3974</v>
      </c>
      <c r="G259" s="572" t="s">
        <v>161</v>
      </c>
      <c r="H259" s="267"/>
      <c r="I259" s="384" t="s">
        <v>3972</v>
      </c>
      <c r="J259" s="517"/>
      <c r="K259" s="928">
        <f t="shared" si="46"/>
        <v>0</v>
      </c>
      <c r="L259" s="270"/>
      <c r="M259" s="270"/>
      <c r="N259" s="270"/>
      <c r="O259" s="270"/>
      <c r="P259" s="270"/>
      <c r="Q259" s="28">
        <f t="shared" si="47"/>
        <v>0</v>
      </c>
      <c r="R259" s="268"/>
      <c r="S259" s="268"/>
      <c r="T259" s="263"/>
      <c r="U259" s="510"/>
      <c r="V259" s="272"/>
      <c r="W259"/>
      <c r="X259"/>
      <c r="Y259"/>
      <c r="Z259"/>
      <c r="AA259"/>
      <c r="AB259"/>
      <c r="AC259"/>
      <c r="AD259"/>
      <c r="AE259"/>
      <c r="AF259"/>
      <c r="AG259"/>
      <c r="AH259"/>
      <c r="AI259"/>
      <c r="AJ259"/>
      <c r="AK259"/>
      <c r="AL259"/>
      <c r="AM259"/>
      <c r="AN259"/>
      <c r="AO259"/>
      <c r="AP259"/>
      <c r="AQ259"/>
      <c r="AR259"/>
    </row>
    <row r="260" spans="1:44" s="10" customFormat="1" ht="15.75" customHeight="1" x14ac:dyDescent="0.25">
      <c r="A260" s="55" t="e">
        <f t="shared" si="45"/>
        <v>#REF!</v>
      </c>
      <c r="B260" s="633">
        <v>44609</v>
      </c>
      <c r="C260" s="755"/>
      <c r="D260" s="824" t="s">
        <v>3977</v>
      </c>
      <c r="E260" s="884"/>
      <c r="F260" s="33" t="s">
        <v>3978</v>
      </c>
      <c r="G260" s="404" t="s">
        <v>582</v>
      </c>
      <c r="H260" s="45">
        <v>4500000</v>
      </c>
      <c r="I260" s="377" t="s">
        <v>3976</v>
      </c>
      <c r="J260" s="774">
        <v>44616</v>
      </c>
      <c r="K260" s="928">
        <f t="shared" si="46"/>
        <v>4500000</v>
      </c>
      <c r="L260" s="831">
        <v>2800000</v>
      </c>
      <c r="M260" s="831">
        <v>2500</v>
      </c>
      <c r="N260" s="831"/>
      <c r="O260" s="831"/>
      <c r="P260" s="831"/>
      <c r="Q260" s="28">
        <f t="shared" si="47"/>
        <v>1697500</v>
      </c>
      <c r="R260" s="301">
        <v>44609</v>
      </c>
      <c r="S260" s="301"/>
      <c r="T260" s="55">
        <v>14</v>
      </c>
      <c r="U260" s="197">
        <f t="shared" ref="U260:U267" si="56">J260+T260</f>
        <v>44630</v>
      </c>
      <c r="V260" s="5"/>
      <c r="W260"/>
      <c r="X260"/>
      <c r="Y260"/>
      <c r="Z260"/>
      <c r="AA260"/>
      <c r="AB260"/>
      <c r="AC260"/>
      <c r="AD260"/>
      <c r="AE260"/>
      <c r="AF260"/>
      <c r="AG260"/>
      <c r="AH260"/>
      <c r="AI260"/>
      <c r="AJ260"/>
      <c r="AK260"/>
      <c r="AL260"/>
      <c r="AM260"/>
      <c r="AN260"/>
      <c r="AO260"/>
      <c r="AP260"/>
      <c r="AQ260"/>
      <c r="AR260"/>
    </row>
    <row r="261" spans="1:44" s="10" customFormat="1" ht="15.75" customHeight="1" x14ac:dyDescent="0.25">
      <c r="A261" s="55" t="e">
        <f t="shared" si="45"/>
        <v>#REF!</v>
      </c>
      <c r="B261" s="633">
        <v>44616</v>
      </c>
      <c r="C261" s="755" t="s">
        <v>3981</v>
      </c>
      <c r="D261" s="824" t="s">
        <v>3980</v>
      </c>
      <c r="E261" s="884"/>
      <c r="F261" s="33" t="s">
        <v>3982</v>
      </c>
      <c r="G261" s="404" t="s">
        <v>988</v>
      </c>
      <c r="H261" s="45">
        <v>1044000</v>
      </c>
      <c r="I261" s="377" t="s">
        <v>3979</v>
      </c>
      <c r="J261" s="774">
        <v>44616</v>
      </c>
      <c r="K261" s="928">
        <f t="shared" si="46"/>
        <v>1044000</v>
      </c>
      <c r="L261" s="831"/>
      <c r="M261" s="831"/>
      <c r="N261" s="831"/>
      <c r="O261" s="831"/>
      <c r="P261" s="831"/>
      <c r="Q261" s="28">
        <f t="shared" si="47"/>
        <v>1044000</v>
      </c>
      <c r="R261" s="301"/>
      <c r="S261" s="301"/>
      <c r="T261" s="55">
        <v>14</v>
      </c>
      <c r="U261" s="197">
        <f t="shared" si="56"/>
        <v>44630</v>
      </c>
      <c r="V261" s="5"/>
      <c r="W261"/>
      <c r="X261"/>
      <c r="Y261"/>
      <c r="Z261"/>
      <c r="AA261"/>
      <c r="AB261"/>
      <c r="AC261"/>
      <c r="AD261"/>
      <c r="AE261"/>
      <c r="AF261"/>
      <c r="AG261"/>
      <c r="AH261"/>
      <c r="AI261"/>
      <c r="AJ261"/>
      <c r="AK261"/>
      <c r="AL261"/>
      <c r="AM261"/>
      <c r="AN261"/>
      <c r="AO261"/>
      <c r="AP261"/>
      <c r="AQ261"/>
      <c r="AR261"/>
    </row>
    <row r="262" spans="1:44" s="10" customFormat="1" ht="15.75" customHeight="1" x14ac:dyDescent="0.25">
      <c r="A262" s="55" t="e">
        <f t="shared" ref="A262:A301" si="57">A261+1</f>
        <v>#REF!</v>
      </c>
      <c r="B262" s="633">
        <v>44616</v>
      </c>
      <c r="C262" s="755" t="s">
        <v>3985</v>
      </c>
      <c r="D262" s="824" t="s">
        <v>3984</v>
      </c>
      <c r="E262" s="884"/>
      <c r="F262" s="33" t="s">
        <v>2671</v>
      </c>
      <c r="G262" s="404" t="s">
        <v>988</v>
      </c>
      <c r="H262" s="45">
        <v>1134000</v>
      </c>
      <c r="I262" s="377" t="s">
        <v>3983</v>
      </c>
      <c r="J262" s="774">
        <v>44616</v>
      </c>
      <c r="K262" s="928">
        <f t="shared" ref="K262:K301" si="58">H262</f>
        <v>1134000</v>
      </c>
      <c r="L262" s="831"/>
      <c r="M262" s="831"/>
      <c r="N262" s="831"/>
      <c r="O262" s="831"/>
      <c r="P262" s="831">
        <v>1134000</v>
      </c>
      <c r="Q262" s="28">
        <f t="shared" ref="Q262:Q301" si="59">K262-L262-M262-O262-P262+N262</f>
        <v>0</v>
      </c>
      <c r="R262" s="301"/>
      <c r="S262" s="301">
        <v>44645</v>
      </c>
      <c r="T262" s="55">
        <v>14</v>
      </c>
      <c r="U262" s="197">
        <f t="shared" si="56"/>
        <v>44630</v>
      </c>
      <c r="V262" s="5"/>
      <c r="W262"/>
      <c r="X262"/>
      <c r="Y262"/>
      <c r="Z262"/>
      <c r="AA262"/>
      <c r="AB262"/>
      <c r="AC262"/>
      <c r="AD262"/>
      <c r="AE262"/>
      <c r="AF262"/>
      <c r="AG262"/>
      <c r="AH262"/>
      <c r="AI262"/>
      <c r="AJ262"/>
      <c r="AK262"/>
      <c r="AL262"/>
      <c r="AM262"/>
      <c r="AN262"/>
      <c r="AO262"/>
      <c r="AP262"/>
      <c r="AQ262"/>
      <c r="AR262"/>
    </row>
    <row r="263" spans="1:44" s="10" customFormat="1" ht="15.75" customHeight="1" x14ac:dyDescent="0.25">
      <c r="A263" s="55" t="e">
        <f t="shared" si="57"/>
        <v>#REF!</v>
      </c>
      <c r="B263" s="633">
        <v>44616</v>
      </c>
      <c r="C263" s="755">
        <v>404951</v>
      </c>
      <c r="D263" s="824" t="s">
        <v>3987</v>
      </c>
      <c r="E263" s="884"/>
      <c r="F263" s="33" t="s">
        <v>4019</v>
      </c>
      <c r="G263" s="404" t="s">
        <v>988</v>
      </c>
      <c r="H263" s="45">
        <v>308000</v>
      </c>
      <c r="I263" s="377" t="s">
        <v>3986</v>
      </c>
      <c r="J263" s="774">
        <v>44616</v>
      </c>
      <c r="K263" s="928">
        <f t="shared" si="58"/>
        <v>308000</v>
      </c>
      <c r="L263" s="831"/>
      <c r="M263" s="831"/>
      <c r="N263" s="831"/>
      <c r="O263" s="831"/>
      <c r="P263" s="831">
        <v>308000</v>
      </c>
      <c r="Q263" s="28">
        <f t="shared" si="59"/>
        <v>0</v>
      </c>
      <c r="R263" s="301"/>
      <c r="S263" s="301">
        <v>44617</v>
      </c>
      <c r="T263" s="55">
        <v>14</v>
      </c>
      <c r="U263" s="24">
        <f t="shared" si="56"/>
        <v>44630</v>
      </c>
      <c r="V263" s="5"/>
      <c r="W263"/>
      <c r="X263"/>
      <c r="Y263"/>
      <c r="Z263"/>
      <c r="AA263"/>
      <c r="AB263"/>
      <c r="AC263"/>
      <c r="AD263"/>
      <c r="AE263"/>
      <c r="AF263"/>
      <c r="AG263"/>
      <c r="AH263"/>
      <c r="AI263"/>
      <c r="AJ263"/>
      <c r="AK263"/>
      <c r="AL263"/>
      <c r="AM263"/>
      <c r="AN263"/>
      <c r="AO263"/>
      <c r="AP263"/>
      <c r="AQ263"/>
      <c r="AR263"/>
    </row>
    <row r="264" spans="1:44" s="10" customFormat="1" ht="15.75" customHeight="1" x14ac:dyDescent="0.25">
      <c r="A264" s="55" t="e">
        <f t="shared" si="57"/>
        <v>#REF!</v>
      </c>
      <c r="B264" s="633">
        <v>44616</v>
      </c>
      <c r="C264" s="755">
        <v>404862</v>
      </c>
      <c r="D264" s="824" t="s">
        <v>3989</v>
      </c>
      <c r="E264" s="884"/>
      <c r="F264" s="33" t="s">
        <v>4019</v>
      </c>
      <c r="G264" s="404" t="s">
        <v>988</v>
      </c>
      <c r="H264" s="45">
        <v>220000</v>
      </c>
      <c r="I264" s="377" t="s">
        <v>3988</v>
      </c>
      <c r="J264" s="774">
        <v>44616</v>
      </c>
      <c r="K264" s="928">
        <f t="shared" si="58"/>
        <v>220000</v>
      </c>
      <c r="L264" s="830"/>
      <c r="M264" s="830"/>
      <c r="N264" s="830"/>
      <c r="O264" s="830"/>
      <c r="P264" s="830">
        <v>220000</v>
      </c>
      <c r="Q264" s="28">
        <f t="shared" si="59"/>
        <v>0</v>
      </c>
      <c r="R264" s="301"/>
      <c r="S264" s="301">
        <v>44617</v>
      </c>
      <c r="T264" s="55">
        <v>14</v>
      </c>
      <c r="U264" s="24">
        <f t="shared" si="56"/>
        <v>44630</v>
      </c>
      <c r="V264" s="5"/>
      <c r="W264"/>
      <c r="X264"/>
      <c r="Y264"/>
      <c r="Z264"/>
      <c r="AA264"/>
      <c r="AB264"/>
      <c r="AC264"/>
      <c r="AD264"/>
      <c r="AE264"/>
      <c r="AF264"/>
      <c r="AG264"/>
      <c r="AH264"/>
      <c r="AI264"/>
      <c r="AJ264"/>
      <c r="AK264"/>
      <c r="AL264"/>
      <c r="AM264"/>
      <c r="AN264"/>
      <c r="AO264"/>
      <c r="AP264"/>
      <c r="AQ264"/>
      <c r="AR264"/>
    </row>
    <row r="265" spans="1:44" s="10" customFormat="1" ht="17.25" customHeight="1" x14ac:dyDescent="0.25">
      <c r="A265" s="55" t="e">
        <f t="shared" si="57"/>
        <v>#REF!</v>
      </c>
      <c r="B265" s="633">
        <v>44616</v>
      </c>
      <c r="C265" s="880" t="s">
        <v>3992</v>
      </c>
      <c r="D265" s="881" t="s">
        <v>3991</v>
      </c>
      <c r="E265" s="884"/>
      <c r="F265" s="33" t="s">
        <v>3993</v>
      </c>
      <c r="G265" s="792" t="s">
        <v>3994</v>
      </c>
      <c r="H265" s="45">
        <v>5200000</v>
      </c>
      <c r="I265" s="377" t="s">
        <v>3990</v>
      </c>
      <c r="J265" s="774">
        <v>44617</v>
      </c>
      <c r="K265" s="928">
        <f t="shared" si="58"/>
        <v>5200000</v>
      </c>
      <c r="L265" s="830"/>
      <c r="M265" s="830"/>
      <c r="N265" s="830"/>
      <c r="O265" s="830"/>
      <c r="P265" s="830">
        <v>5200000</v>
      </c>
      <c r="Q265" s="28">
        <f t="shared" si="59"/>
        <v>0</v>
      </c>
      <c r="R265" s="301"/>
      <c r="S265" s="301">
        <v>44621</v>
      </c>
      <c r="T265" s="55">
        <v>14</v>
      </c>
      <c r="U265" s="197">
        <f t="shared" si="56"/>
        <v>44631</v>
      </c>
      <c r="V265" s="5"/>
      <c r="W265"/>
      <c r="X265"/>
      <c r="Y265"/>
      <c r="Z265"/>
      <c r="AA265"/>
      <c r="AB265"/>
      <c r="AC265"/>
      <c r="AD265"/>
      <c r="AE265"/>
      <c r="AF265"/>
      <c r="AG265"/>
      <c r="AH265"/>
      <c r="AI265"/>
      <c r="AJ265"/>
      <c r="AK265"/>
      <c r="AL265"/>
      <c r="AM265"/>
      <c r="AN265"/>
      <c r="AO265"/>
      <c r="AP265"/>
      <c r="AQ265"/>
      <c r="AR265"/>
    </row>
    <row r="266" spans="1:44" s="10" customFormat="1" ht="15.75" customHeight="1" x14ac:dyDescent="0.25">
      <c r="A266" s="55" t="e">
        <f t="shared" si="57"/>
        <v>#REF!</v>
      </c>
      <c r="B266" s="633">
        <v>44618</v>
      </c>
      <c r="C266" s="755" t="s">
        <v>3998</v>
      </c>
      <c r="D266" s="824" t="s">
        <v>2879</v>
      </c>
      <c r="E266" s="884"/>
      <c r="F266" s="33" t="s">
        <v>3996</v>
      </c>
      <c r="G266" s="404" t="s">
        <v>3997</v>
      </c>
      <c r="H266" s="45">
        <v>20000000</v>
      </c>
      <c r="I266" s="377" t="s">
        <v>3995</v>
      </c>
      <c r="J266" s="774">
        <v>44618</v>
      </c>
      <c r="K266" s="928">
        <f t="shared" si="58"/>
        <v>20000000</v>
      </c>
      <c r="L266" s="821">
        <v>10000000</v>
      </c>
      <c r="M266" s="821"/>
      <c r="N266" s="821"/>
      <c r="O266" s="821"/>
      <c r="P266" s="821"/>
      <c r="Q266" s="28">
        <f t="shared" si="59"/>
        <v>10000000</v>
      </c>
      <c r="R266" s="301">
        <v>44618</v>
      </c>
      <c r="S266" s="301"/>
      <c r="T266" s="55">
        <v>14</v>
      </c>
      <c r="U266" s="197">
        <f t="shared" si="56"/>
        <v>44632</v>
      </c>
      <c r="V266" s="5"/>
      <c r="W266"/>
      <c r="X266"/>
      <c r="Y266"/>
      <c r="Z266"/>
      <c r="AA266"/>
      <c r="AB266"/>
      <c r="AC266"/>
      <c r="AD266"/>
      <c r="AE266"/>
      <c r="AF266"/>
      <c r="AG266"/>
      <c r="AH266"/>
      <c r="AI266"/>
      <c r="AJ266"/>
      <c r="AK266"/>
      <c r="AL266"/>
      <c r="AM266"/>
      <c r="AN266"/>
      <c r="AO266"/>
      <c r="AP266"/>
      <c r="AQ266"/>
      <c r="AR266"/>
    </row>
    <row r="267" spans="1:44" s="10" customFormat="1" ht="15.75" customHeight="1" x14ac:dyDescent="0.25">
      <c r="A267" s="55" t="e">
        <f t="shared" si="57"/>
        <v>#REF!</v>
      </c>
      <c r="B267" s="633">
        <v>44618</v>
      </c>
      <c r="C267" s="755">
        <v>404952</v>
      </c>
      <c r="D267" s="824" t="s">
        <v>4010</v>
      </c>
      <c r="E267" s="884"/>
      <c r="F267" s="33" t="s">
        <v>4009</v>
      </c>
      <c r="G267" s="404" t="s">
        <v>598</v>
      </c>
      <c r="H267" s="45">
        <v>1230000</v>
      </c>
      <c r="I267" s="377" t="s">
        <v>4008</v>
      </c>
      <c r="J267" s="774">
        <v>44618</v>
      </c>
      <c r="K267" s="928">
        <f t="shared" si="58"/>
        <v>1230000</v>
      </c>
      <c r="L267" s="846"/>
      <c r="M267" s="846"/>
      <c r="N267" s="846"/>
      <c r="O267" s="846"/>
      <c r="P267" s="846"/>
      <c r="Q267" s="28">
        <f t="shared" si="59"/>
        <v>1230000</v>
      </c>
      <c r="R267" s="55"/>
      <c r="S267" s="301">
        <v>44618</v>
      </c>
      <c r="T267" s="55">
        <v>14</v>
      </c>
      <c r="U267" s="197">
        <f t="shared" si="56"/>
        <v>44632</v>
      </c>
      <c r="V267" s="5"/>
      <c r="W267"/>
      <c r="X267"/>
      <c r="Y267"/>
      <c r="Z267"/>
      <c r="AA267"/>
      <c r="AB267"/>
      <c r="AC267"/>
      <c r="AD267"/>
      <c r="AE267"/>
      <c r="AF267"/>
      <c r="AG267"/>
      <c r="AH267"/>
      <c r="AI267"/>
      <c r="AJ267"/>
      <c r="AK267"/>
      <c r="AL267"/>
      <c r="AM267"/>
      <c r="AN267"/>
      <c r="AO267"/>
      <c r="AP267"/>
      <c r="AQ267"/>
      <c r="AR267"/>
    </row>
    <row r="268" spans="1:44" s="10" customFormat="1" ht="15.75" customHeight="1" x14ac:dyDescent="0.25">
      <c r="A268" s="55" t="e">
        <f t="shared" si="57"/>
        <v>#REF!</v>
      </c>
      <c r="B268" s="633">
        <v>44616</v>
      </c>
      <c r="C268" s="755" t="s">
        <v>4014</v>
      </c>
      <c r="D268" s="824" t="s">
        <v>4013</v>
      </c>
      <c r="E268" s="884"/>
      <c r="F268" s="33" t="s">
        <v>3549</v>
      </c>
      <c r="G268" s="404" t="s">
        <v>161</v>
      </c>
      <c r="H268" s="45">
        <v>378000</v>
      </c>
      <c r="I268" s="377" t="s">
        <v>4012</v>
      </c>
      <c r="J268" s="774">
        <v>44621</v>
      </c>
      <c r="K268" s="928">
        <f t="shared" si="58"/>
        <v>378000</v>
      </c>
      <c r="L268" s="846">
        <v>260000</v>
      </c>
      <c r="M268" s="846"/>
      <c r="N268" s="846"/>
      <c r="O268" s="846"/>
      <c r="P268" s="846"/>
      <c r="Q268" s="28">
        <f t="shared" si="59"/>
        <v>118000</v>
      </c>
      <c r="R268" s="55"/>
      <c r="S268" s="301"/>
      <c r="T268" s="55">
        <v>14</v>
      </c>
      <c r="U268" s="197">
        <f t="shared" ref="U268:U272" si="60">J268+T268</f>
        <v>44635</v>
      </c>
      <c r="V268" s="5"/>
      <c r="W268"/>
      <c r="X268"/>
      <c r="Y268"/>
      <c r="Z268"/>
      <c r="AA268"/>
      <c r="AB268"/>
      <c r="AC268"/>
      <c r="AD268"/>
      <c r="AE268"/>
      <c r="AF268"/>
      <c r="AG268"/>
      <c r="AH268"/>
      <c r="AI268"/>
      <c r="AJ268"/>
      <c r="AK268"/>
      <c r="AL268"/>
      <c r="AM268"/>
      <c r="AN268"/>
      <c r="AO268"/>
      <c r="AP268"/>
      <c r="AQ268"/>
      <c r="AR268"/>
    </row>
    <row r="269" spans="1:44" s="10" customFormat="1" ht="15.75" customHeight="1" x14ac:dyDescent="0.25">
      <c r="A269" s="55" t="e">
        <f t="shared" si="57"/>
        <v>#REF!</v>
      </c>
      <c r="B269" s="633">
        <v>44607</v>
      </c>
      <c r="C269" s="755">
        <v>405884</v>
      </c>
      <c r="D269" s="824" t="s">
        <v>4027</v>
      </c>
      <c r="E269" s="884"/>
      <c r="F269" s="33" t="s">
        <v>4199</v>
      </c>
      <c r="G269" s="404" t="s">
        <v>4026</v>
      </c>
      <c r="H269" s="45">
        <v>4000000</v>
      </c>
      <c r="I269" s="377" t="s">
        <v>4025</v>
      </c>
      <c r="J269" s="774">
        <v>44621</v>
      </c>
      <c r="K269" s="928">
        <f t="shared" si="58"/>
        <v>4000000</v>
      </c>
      <c r="L269" s="866"/>
      <c r="M269" s="866"/>
      <c r="N269" s="866"/>
      <c r="O269" s="866"/>
      <c r="P269" s="866">
        <v>4000000</v>
      </c>
      <c r="Q269" s="28">
        <f t="shared" si="59"/>
        <v>0</v>
      </c>
      <c r="R269" s="55"/>
      <c r="S269" s="301">
        <v>44672</v>
      </c>
      <c r="T269" s="55">
        <v>14</v>
      </c>
      <c r="U269" s="24">
        <f t="shared" si="60"/>
        <v>44635</v>
      </c>
      <c r="V269" s="5"/>
      <c r="W269"/>
      <c r="X269"/>
      <c r="Y269"/>
      <c r="Z269"/>
      <c r="AA269"/>
      <c r="AB269"/>
      <c r="AC269"/>
      <c r="AD269"/>
      <c r="AE269"/>
      <c r="AF269"/>
      <c r="AG269"/>
      <c r="AH269"/>
      <c r="AI269"/>
      <c r="AJ269"/>
      <c r="AK269"/>
      <c r="AL269"/>
      <c r="AM269"/>
      <c r="AN269"/>
      <c r="AO269"/>
      <c r="AP269"/>
      <c r="AQ269"/>
      <c r="AR269"/>
    </row>
    <row r="270" spans="1:44" s="10" customFormat="1" ht="15.75" customHeight="1" x14ac:dyDescent="0.25">
      <c r="A270" s="55" t="e">
        <f t="shared" si="57"/>
        <v>#REF!</v>
      </c>
      <c r="B270" s="633">
        <v>44606</v>
      </c>
      <c r="C270" s="755"/>
      <c r="D270" s="824" t="s">
        <v>4032</v>
      </c>
      <c r="E270" s="884"/>
      <c r="F270" s="33" t="s">
        <v>53</v>
      </c>
      <c r="G270" s="404" t="s">
        <v>4029</v>
      </c>
      <c r="H270" s="45">
        <v>1000000</v>
      </c>
      <c r="I270" s="377" t="s">
        <v>4028</v>
      </c>
      <c r="J270" s="774">
        <v>44621</v>
      </c>
      <c r="K270" s="928">
        <f t="shared" si="58"/>
        <v>1000000</v>
      </c>
      <c r="L270" s="866"/>
      <c r="M270" s="866"/>
      <c r="N270" s="866"/>
      <c r="O270" s="866"/>
      <c r="P270" s="866"/>
      <c r="Q270" s="28">
        <f t="shared" si="59"/>
        <v>1000000</v>
      </c>
      <c r="R270" s="55"/>
      <c r="S270" s="301"/>
      <c r="T270" s="55">
        <v>14</v>
      </c>
      <c r="U270" s="24">
        <f t="shared" si="60"/>
        <v>44635</v>
      </c>
      <c r="V270" s="5"/>
      <c r="W270"/>
      <c r="X270"/>
      <c r="Y270"/>
      <c r="Z270"/>
      <c r="AA270"/>
      <c r="AB270"/>
      <c r="AC270"/>
      <c r="AD270"/>
      <c r="AE270"/>
      <c r="AF270"/>
      <c r="AG270"/>
      <c r="AH270"/>
      <c r="AI270"/>
      <c r="AJ270"/>
      <c r="AK270"/>
      <c r="AL270"/>
      <c r="AM270"/>
      <c r="AN270"/>
      <c r="AO270"/>
      <c r="AP270"/>
      <c r="AQ270"/>
      <c r="AR270"/>
    </row>
    <row r="271" spans="1:44" s="10" customFormat="1" ht="15.75" customHeight="1" x14ac:dyDescent="0.25">
      <c r="A271" s="55" t="e">
        <f t="shared" si="57"/>
        <v>#REF!</v>
      </c>
      <c r="B271" s="633">
        <v>44606</v>
      </c>
      <c r="C271" s="755"/>
      <c r="D271" s="824" t="s">
        <v>4031</v>
      </c>
      <c r="E271" s="884"/>
      <c r="F271" s="33" t="s">
        <v>53</v>
      </c>
      <c r="G271" s="404" t="s">
        <v>4029</v>
      </c>
      <c r="H271" s="45">
        <v>1000000</v>
      </c>
      <c r="I271" s="377" t="s">
        <v>4030</v>
      </c>
      <c r="J271" s="774">
        <v>44621</v>
      </c>
      <c r="K271" s="928">
        <f t="shared" si="58"/>
        <v>1000000</v>
      </c>
      <c r="L271" s="866"/>
      <c r="M271" s="866"/>
      <c r="N271" s="866"/>
      <c r="O271" s="866"/>
      <c r="P271" s="866"/>
      <c r="Q271" s="28">
        <f t="shared" si="59"/>
        <v>1000000</v>
      </c>
      <c r="R271" s="55"/>
      <c r="S271" s="301"/>
      <c r="T271" s="55">
        <v>14</v>
      </c>
      <c r="U271" s="24">
        <f t="shared" si="60"/>
        <v>44635</v>
      </c>
      <c r="V271" s="5"/>
      <c r="W271"/>
      <c r="X271"/>
      <c r="Y271"/>
      <c r="Z271"/>
      <c r="AA271"/>
      <c r="AB271"/>
      <c r="AC271"/>
      <c r="AD271"/>
      <c r="AE271"/>
      <c r="AF271"/>
      <c r="AG271"/>
      <c r="AH271"/>
      <c r="AI271"/>
      <c r="AJ271"/>
      <c r="AK271"/>
      <c r="AL271"/>
      <c r="AM271"/>
      <c r="AN271"/>
      <c r="AO271"/>
      <c r="AP271"/>
      <c r="AQ271"/>
      <c r="AR271"/>
    </row>
    <row r="272" spans="1:44" s="10" customFormat="1" ht="15.75" customHeight="1" x14ac:dyDescent="0.25">
      <c r="A272" s="55" t="e">
        <f t="shared" si="57"/>
        <v>#REF!</v>
      </c>
      <c r="B272" s="633">
        <v>44596</v>
      </c>
      <c r="C272" s="755"/>
      <c r="D272" s="824" t="s">
        <v>4521</v>
      </c>
      <c r="E272" s="884"/>
      <c r="F272" s="33" t="s">
        <v>4</v>
      </c>
      <c r="G272" s="404" t="s">
        <v>3655</v>
      </c>
      <c r="H272" s="45">
        <v>25000000</v>
      </c>
      <c r="I272" s="377" t="s">
        <v>4033</v>
      </c>
      <c r="J272" s="774">
        <v>44621</v>
      </c>
      <c r="K272" s="928">
        <f t="shared" si="58"/>
        <v>25000000</v>
      </c>
      <c r="L272" s="846"/>
      <c r="M272" s="846"/>
      <c r="N272" s="846"/>
      <c r="O272" s="846"/>
      <c r="P272" s="846"/>
      <c r="Q272" s="28">
        <f t="shared" si="59"/>
        <v>25000000</v>
      </c>
      <c r="R272" s="55"/>
      <c r="S272" s="301"/>
      <c r="T272" s="55">
        <v>30</v>
      </c>
      <c r="U272" s="24">
        <f t="shared" si="60"/>
        <v>44651</v>
      </c>
      <c r="V272" s="5"/>
      <c r="W272"/>
      <c r="X272"/>
      <c r="Y272"/>
      <c r="Z272"/>
      <c r="AA272"/>
      <c r="AB272"/>
      <c r="AC272"/>
      <c r="AD272"/>
      <c r="AE272"/>
      <c r="AF272"/>
      <c r="AG272"/>
      <c r="AH272"/>
      <c r="AI272"/>
      <c r="AJ272"/>
      <c r="AK272"/>
      <c r="AL272"/>
      <c r="AM272"/>
      <c r="AN272"/>
      <c r="AO272"/>
      <c r="AP272"/>
      <c r="AQ272"/>
      <c r="AR272"/>
    </row>
    <row r="273" spans="1:44" s="10" customFormat="1" ht="15.75" customHeight="1" x14ac:dyDescent="0.25">
      <c r="A273" s="55" t="e">
        <f t="shared" si="57"/>
        <v>#REF!</v>
      </c>
      <c r="B273" s="633">
        <v>44515</v>
      </c>
      <c r="C273" s="755">
        <v>405787</v>
      </c>
      <c r="D273" s="824" t="s">
        <v>4035</v>
      </c>
      <c r="E273" s="884"/>
      <c r="F273" s="33" t="s">
        <v>4514</v>
      </c>
      <c r="G273" s="404" t="s">
        <v>4515</v>
      </c>
      <c r="H273" s="45">
        <v>9378700</v>
      </c>
      <c r="I273" s="377" t="s">
        <v>4034</v>
      </c>
      <c r="J273" s="774">
        <v>44621</v>
      </c>
      <c r="K273" s="928">
        <f t="shared" si="58"/>
        <v>9378700</v>
      </c>
      <c r="L273" s="907"/>
      <c r="M273" s="907"/>
      <c r="N273" s="907"/>
      <c r="O273" s="907"/>
      <c r="P273" s="907"/>
      <c r="Q273" s="28">
        <f t="shared" si="59"/>
        <v>9378700</v>
      </c>
      <c r="R273" s="55"/>
      <c r="S273" s="301"/>
      <c r="T273" s="55"/>
      <c r="U273" s="24"/>
      <c r="V273" s="5"/>
      <c r="W273"/>
      <c r="X273"/>
      <c r="Y273"/>
      <c r="Z273"/>
      <c r="AA273"/>
      <c r="AB273"/>
      <c r="AC273"/>
      <c r="AD273"/>
      <c r="AE273"/>
      <c r="AF273"/>
      <c r="AG273"/>
      <c r="AH273"/>
      <c r="AI273"/>
      <c r="AJ273"/>
      <c r="AK273"/>
      <c r="AL273"/>
      <c r="AM273"/>
      <c r="AN273"/>
      <c r="AO273"/>
      <c r="AP273"/>
      <c r="AQ273"/>
      <c r="AR273"/>
    </row>
    <row r="274" spans="1:44" s="10" customFormat="1" ht="15.75" customHeight="1" x14ac:dyDescent="0.25">
      <c r="A274" s="55" t="e">
        <f t="shared" si="57"/>
        <v>#REF!</v>
      </c>
      <c r="B274" s="633">
        <v>44617</v>
      </c>
      <c r="C274" s="755"/>
      <c r="D274" s="824" t="s">
        <v>4041</v>
      </c>
      <c r="E274" s="884"/>
      <c r="F274" s="33" t="s">
        <v>3870</v>
      </c>
      <c r="G274" s="404" t="s">
        <v>3432</v>
      </c>
      <c r="H274" s="45">
        <v>7584000</v>
      </c>
      <c r="I274" s="377" t="s">
        <v>4040</v>
      </c>
      <c r="J274" s="774">
        <v>44622</v>
      </c>
      <c r="K274" s="928">
        <f t="shared" si="58"/>
        <v>7584000</v>
      </c>
      <c r="L274" s="866"/>
      <c r="M274" s="866"/>
      <c r="N274" s="866"/>
      <c r="O274" s="866"/>
      <c r="P274" s="866">
        <v>7584000</v>
      </c>
      <c r="Q274" s="28">
        <f t="shared" si="59"/>
        <v>0</v>
      </c>
      <c r="R274" s="55"/>
      <c r="S274" s="301">
        <v>44634</v>
      </c>
      <c r="T274" s="55">
        <v>14</v>
      </c>
      <c r="U274" s="24">
        <f t="shared" ref="U274" si="61">J274+T274</f>
        <v>44636</v>
      </c>
      <c r="V274" s="5"/>
      <c r="W274"/>
      <c r="X274"/>
      <c r="Y274"/>
      <c r="Z274"/>
      <c r="AA274"/>
      <c r="AB274"/>
      <c r="AC274"/>
      <c r="AD274"/>
      <c r="AE274"/>
      <c r="AF274"/>
      <c r="AG274"/>
      <c r="AH274"/>
      <c r="AI274"/>
      <c r="AJ274"/>
      <c r="AK274"/>
      <c r="AL274"/>
      <c r="AM274"/>
      <c r="AN274"/>
      <c r="AO274"/>
      <c r="AP274"/>
      <c r="AQ274"/>
      <c r="AR274"/>
    </row>
    <row r="275" spans="1:44" s="10" customFormat="1" ht="15.75" customHeight="1" x14ac:dyDescent="0.25">
      <c r="A275" s="55" t="e">
        <f t="shared" si="57"/>
        <v>#REF!</v>
      </c>
      <c r="B275" s="633">
        <v>44616</v>
      </c>
      <c r="C275" s="755"/>
      <c r="D275" s="824" t="s">
        <v>4043</v>
      </c>
      <c r="E275" s="884"/>
      <c r="F275" s="33" t="s">
        <v>4044</v>
      </c>
      <c r="G275" s="404" t="s">
        <v>722</v>
      </c>
      <c r="H275" s="45">
        <v>522500</v>
      </c>
      <c r="I275" s="377" t="s">
        <v>4042</v>
      </c>
      <c r="J275" s="774">
        <v>44622</v>
      </c>
      <c r="K275" s="928">
        <f t="shared" si="58"/>
        <v>522500</v>
      </c>
      <c r="L275" s="866"/>
      <c r="M275" s="866"/>
      <c r="N275" s="866"/>
      <c r="O275" s="866"/>
      <c r="P275" s="866">
        <v>522500</v>
      </c>
      <c r="Q275" s="28">
        <f t="shared" si="59"/>
        <v>0</v>
      </c>
      <c r="R275" s="55"/>
      <c r="S275" s="301">
        <v>44624</v>
      </c>
      <c r="T275" s="55">
        <v>14</v>
      </c>
      <c r="U275" s="24">
        <f t="shared" ref="U275:U276" si="62">J275+T275</f>
        <v>44636</v>
      </c>
      <c r="V275" s="5"/>
      <c r="W275" t="s">
        <v>4516</v>
      </c>
      <c r="X275"/>
      <c r="Y275"/>
      <c r="Z275"/>
      <c r="AA275"/>
      <c r="AB275"/>
      <c r="AC275"/>
      <c r="AD275"/>
      <c r="AE275"/>
      <c r="AF275"/>
      <c r="AG275"/>
      <c r="AH275"/>
      <c r="AI275"/>
      <c r="AJ275"/>
      <c r="AK275"/>
      <c r="AL275"/>
      <c r="AM275"/>
      <c r="AN275"/>
      <c r="AO275"/>
      <c r="AP275"/>
      <c r="AQ275"/>
      <c r="AR275"/>
    </row>
    <row r="276" spans="1:44" s="10" customFormat="1" ht="15.75" customHeight="1" x14ac:dyDescent="0.25">
      <c r="A276" s="55" t="e">
        <f t="shared" si="57"/>
        <v>#REF!</v>
      </c>
      <c r="B276" s="633">
        <v>44604</v>
      </c>
      <c r="C276" s="755"/>
      <c r="D276" s="824" t="s">
        <v>4046</v>
      </c>
      <c r="E276" s="884"/>
      <c r="F276" s="33" t="s">
        <v>4047</v>
      </c>
      <c r="G276" s="404" t="s">
        <v>3440</v>
      </c>
      <c r="H276" s="45">
        <v>6000000</v>
      </c>
      <c r="I276" s="377" t="s">
        <v>4045</v>
      </c>
      <c r="J276" s="774">
        <v>44622</v>
      </c>
      <c r="K276" s="928">
        <f t="shared" si="58"/>
        <v>6000000</v>
      </c>
      <c r="L276" s="866"/>
      <c r="M276" s="866"/>
      <c r="N276" s="866"/>
      <c r="O276" s="866"/>
      <c r="P276" s="866"/>
      <c r="Q276" s="28">
        <f t="shared" si="59"/>
        <v>6000000</v>
      </c>
      <c r="R276" s="55"/>
      <c r="S276" s="301"/>
      <c r="T276" s="55">
        <v>14</v>
      </c>
      <c r="U276" s="24">
        <f t="shared" si="62"/>
        <v>44636</v>
      </c>
      <c r="V276" s="5"/>
      <c r="W276" t="s">
        <v>4517</v>
      </c>
      <c r="X276"/>
      <c r="Y276"/>
      <c r="Z276"/>
      <c r="AA276"/>
      <c r="AB276"/>
      <c r="AC276"/>
      <c r="AD276"/>
      <c r="AE276"/>
      <c r="AF276"/>
      <c r="AG276"/>
      <c r="AH276"/>
      <c r="AI276"/>
      <c r="AJ276"/>
      <c r="AK276"/>
      <c r="AL276"/>
      <c r="AM276"/>
      <c r="AN276"/>
      <c r="AO276"/>
      <c r="AP276"/>
      <c r="AQ276"/>
      <c r="AR276"/>
    </row>
    <row r="277" spans="1:44" s="10" customFormat="1" ht="15.75" customHeight="1" x14ac:dyDescent="0.25">
      <c r="A277" s="55" t="e">
        <f t="shared" si="57"/>
        <v>#REF!</v>
      </c>
      <c r="B277" s="633">
        <v>44607</v>
      </c>
      <c r="C277" s="755">
        <v>404490</v>
      </c>
      <c r="D277" s="824" t="s">
        <v>4049</v>
      </c>
      <c r="E277" s="884"/>
      <c r="F277" s="33" t="s">
        <v>4050</v>
      </c>
      <c r="G277" s="404" t="s">
        <v>521</v>
      </c>
      <c r="H277" s="45">
        <v>806000</v>
      </c>
      <c r="I277" s="377" t="s">
        <v>4048</v>
      </c>
      <c r="J277" s="774">
        <v>44622</v>
      </c>
      <c r="K277" s="928">
        <f t="shared" si="58"/>
        <v>806000</v>
      </c>
      <c r="L277" s="866"/>
      <c r="M277" s="866"/>
      <c r="N277" s="866"/>
      <c r="O277" s="866"/>
      <c r="P277" s="866">
        <v>806000</v>
      </c>
      <c r="Q277" s="28">
        <f t="shared" si="59"/>
        <v>0</v>
      </c>
      <c r="R277" s="55"/>
      <c r="S277" s="301">
        <v>44624</v>
      </c>
      <c r="T277" s="55">
        <v>14</v>
      </c>
      <c r="U277" s="197">
        <f t="shared" ref="U277:U278" si="63">J277+T277</f>
        <v>44636</v>
      </c>
      <c r="V277" s="5"/>
      <c r="W277" t="s">
        <v>4518</v>
      </c>
      <c r="X277"/>
      <c r="Y277"/>
      <c r="Z277"/>
      <c r="AA277"/>
      <c r="AB277"/>
      <c r="AC277"/>
      <c r="AD277"/>
      <c r="AE277"/>
      <c r="AF277"/>
      <c r="AG277"/>
      <c r="AH277"/>
      <c r="AI277"/>
      <c r="AJ277"/>
      <c r="AK277"/>
      <c r="AL277"/>
      <c r="AM277"/>
      <c r="AN277"/>
      <c r="AO277"/>
      <c r="AP277"/>
      <c r="AQ277"/>
      <c r="AR277"/>
    </row>
    <row r="278" spans="1:44" s="10" customFormat="1" ht="15.75" customHeight="1" x14ac:dyDescent="0.25">
      <c r="A278" s="55" t="e">
        <f t="shared" si="57"/>
        <v>#REF!</v>
      </c>
      <c r="B278" s="633">
        <v>44616</v>
      </c>
      <c r="C278" s="755"/>
      <c r="D278" s="824" t="s">
        <v>4060</v>
      </c>
      <c r="E278" s="884"/>
      <c r="F278" s="33" t="s">
        <v>4059</v>
      </c>
      <c r="G278" s="404" t="s">
        <v>4061</v>
      </c>
      <c r="H278" s="45">
        <v>13000000</v>
      </c>
      <c r="I278" s="377" t="s">
        <v>4062</v>
      </c>
      <c r="J278" s="774">
        <v>44624</v>
      </c>
      <c r="K278" s="928">
        <f t="shared" si="58"/>
        <v>13000000</v>
      </c>
      <c r="L278" s="866">
        <f>6000000+2000000</f>
        <v>8000000</v>
      </c>
      <c r="M278" s="866"/>
      <c r="N278" s="866"/>
      <c r="O278" s="866"/>
      <c r="P278" s="866">
        <v>5000000</v>
      </c>
      <c r="Q278" s="28">
        <f t="shared" si="59"/>
        <v>0</v>
      </c>
      <c r="R278" s="55" t="s">
        <v>4063</v>
      </c>
      <c r="S278" s="301">
        <v>44628</v>
      </c>
      <c r="T278" s="55">
        <v>14</v>
      </c>
      <c r="U278" s="24">
        <f t="shared" si="63"/>
        <v>44638</v>
      </c>
      <c r="V278" s="5"/>
      <c r="W278" t="s">
        <v>4519</v>
      </c>
      <c r="X278"/>
      <c r="Y278"/>
      <c r="Z278"/>
      <c r="AA278"/>
      <c r="AB278"/>
      <c r="AC278"/>
      <c r="AD278"/>
      <c r="AE278"/>
      <c r="AF278"/>
      <c r="AG278"/>
      <c r="AH278"/>
      <c r="AI278"/>
      <c r="AJ278"/>
      <c r="AK278"/>
      <c r="AL278"/>
      <c r="AM278"/>
      <c r="AN278"/>
      <c r="AO278"/>
      <c r="AP278"/>
      <c r="AQ278"/>
      <c r="AR278"/>
    </row>
    <row r="279" spans="1:44" s="10" customFormat="1" ht="15.75" customHeight="1" x14ac:dyDescent="0.25">
      <c r="A279" s="55" t="e">
        <f t="shared" si="57"/>
        <v>#REF!</v>
      </c>
      <c r="B279" s="633">
        <v>44603</v>
      </c>
      <c r="C279" s="755"/>
      <c r="D279" s="824" t="s">
        <v>3853</v>
      </c>
      <c r="E279" s="884"/>
      <c r="F279" s="33" t="s">
        <v>4</v>
      </c>
      <c r="G279" s="404" t="s">
        <v>161</v>
      </c>
      <c r="H279" s="45">
        <v>2500000</v>
      </c>
      <c r="I279" s="377" t="s">
        <v>4071</v>
      </c>
      <c r="J279" s="774">
        <v>44624</v>
      </c>
      <c r="K279" s="928">
        <f t="shared" si="58"/>
        <v>2500000</v>
      </c>
      <c r="L279" s="866"/>
      <c r="M279" s="866"/>
      <c r="N279" s="866"/>
      <c r="O279" s="866"/>
      <c r="P279" s="866"/>
      <c r="Q279" s="28">
        <f t="shared" si="59"/>
        <v>2500000</v>
      </c>
      <c r="R279" s="55"/>
      <c r="S279" s="301"/>
      <c r="T279" s="55">
        <v>30</v>
      </c>
      <c r="U279" s="24">
        <f t="shared" ref="U279" si="64">J279+T279</f>
        <v>44654</v>
      </c>
      <c r="V279" s="5"/>
      <c r="W279"/>
      <c r="X279"/>
      <c r="Y279"/>
      <c r="Z279"/>
      <c r="AA279"/>
      <c r="AB279"/>
      <c r="AC279"/>
      <c r="AD279"/>
      <c r="AE279"/>
      <c r="AF279"/>
      <c r="AG279"/>
      <c r="AH279"/>
      <c r="AI279"/>
      <c r="AJ279"/>
      <c r="AK279"/>
      <c r="AL279"/>
      <c r="AM279"/>
      <c r="AN279"/>
      <c r="AO279"/>
      <c r="AP279"/>
      <c r="AQ279"/>
      <c r="AR279"/>
    </row>
    <row r="280" spans="1:44" s="10" customFormat="1" ht="15.75" customHeight="1" x14ac:dyDescent="0.25">
      <c r="A280" s="55" t="e">
        <f t="shared" si="57"/>
        <v>#REF!</v>
      </c>
      <c r="B280" s="633">
        <v>44611</v>
      </c>
      <c r="C280" s="755">
        <v>405893</v>
      </c>
      <c r="D280" s="824" t="s">
        <v>3054</v>
      </c>
      <c r="E280" s="884"/>
      <c r="F280" s="33" t="s">
        <v>1317</v>
      </c>
      <c r="G280" s="404" t="s">
        <v>503</v>
      </c>
      <c r="H280" s="45">
        <v>23300000</v>
      </c>
      <c r="I280" s="377" t="s">
        <v>4072</v>
      </c>
      <c r="J280" s="774">
        <v>44625</v>
      </c>
      <c r="K280" s="928">
        <f t="shared" si="58"/>
        <v>23300000</v>
      </c>
      <c r="L280" s="866"/>
      <c r="M280" s="866"/>
      <c r="N280" s="866"/>
      <c r="O280" s="866"/>
      <c r="P280" s="866"/>
      <c r="Q280" s="28">
        <f t="shared" si="59"/>
        <v>23300000</v>
      </c>
      <c r="R280" s="55"/>
      <c r="S280" s="301"/>
      <c r="T280" s="55">
        <v>14</v>
      </c>
      <c r="U280" s="24">
        <f t="shared" ref="U280:U281" si="65">J280+T280</f>
        <v>44639</v>
      </c>
      <c r="V280" s="5"/>
      <c r="W280"/>
      <c r="X280"/>
      <c r="Y280"/>
      <c r="Z280"/>
      <c r="AA280"/>
      <c r="AB280"/>
      <c r="AC280"/>
      <c r="AD280"/>
      <c r="AE280"/>
      <c r="AF280"/>
      <c r="AG280"/>
      <c r="AH280"/>
      <c r="AI280"/>
      <c r="AJ280"/>
      <c r="AK280"/>
      <c r="AL280"/>
      <c r="AM280"/>
      <c r="AN280"/>
      <c r="AO280"/>
      <c r="AP280"/>
      <c r="AQ280"/>
      <c r="AR280"/>
    </row>
    <row r="281" spans="1:44" s="10" customFormat="1" ht="15.75" customHeight="1" x14ac:dyDescent="0.25">
      <c r="A281" s="55" t="e">
        <f t="shared" si="57"/>
        <v>#REF!</v>
      </c>
      <c r="B281" s="633">
        <v>44613</v>
      </c>
      <c r="C281" s="755">
        <v>405898</v>
      </c>
      <c r="D281" s="824" t="s">
        <v>4074</v>
      </c>
      <c r="E281" s="884"/>
      <c r="F281" s="33" t="s">
        <v>4075</v>
      </c>
      <c r="G281" s="404" t="s">
        <v>988</v>
      </c>
      <c r="H281" s="45">
        <v>3000000</v>
      </c>
      <c r="I281" s="377" t="s">
        <v>4073</v>
      </c>
      <c r="J281" s="774">
        <v>44625</v>
      </c>
      <c r="K281" s="928">
        <f t="shared" si="58"/>
        <v>3000000</v>
      </c>
      <c r="L281" s="866"/>
      <c r="M281" s="866"/>
      <c r="N281" s="866"/>
      <c r="O281" s="866"/>
      <c r="P281" s="866"/>
      <c r="Q281" s="28">
        <f t="shared" si="59"/>
        <v>3000000</v>
      </c>
      <c r="R281" s="55"/>
      <c r="S281" s="301"/>
      <c r="T281" s="55">
        <v>14</v>
      </c>
      <c r="U281" s="24">
        <f t="shared" si="65"/>
        <v>44639</v>
      </c>
      <c r="V281" s="5"/>
      <c r="W281"/>
      <c r="X281"/>
      <c r="Y281"/>
      <c r="Z281"/>
      <c r="AA281"/>
      <c r="AB281"/>
      <c r="AC281"/>
      <c r="AD281"/>
      <c r="AE281"/>
      <c r="AF281"/>
      <c r="AG281"/>
      <c r="AH281"/>
      <c r="AI281"/>
      <c r="AJ281"/>
      <c r="AK281"/>
      <c r="AL281"/>
      <c r="AM281"/>
      <c r="AN281"/>
      <c r="AO281"/>
      <c r="AP281"/>
      <c r="AQ281"/>
      <c r="AR281"/>
    </row>
    <row r="282" spans="1:44" s="10" customFormat="1" ht="15.75" customHeight="1" x14ac:dyDescent="0.25">
      <c r="A282" s="55" t="e">
        <f t="shared" si="57"/>
        <v>#REF!</v>
      </c>
      <c r="B282" s="633">
        <v>44568</v>
      </c>
      <c r="C282" s="755">
        <v>403252</v>
      </c>
      <c r="D282" s="824" t="s">
        <v>3706</v>
      </c>
      <c r="E282" s="884"/>
      <c r="F282" s="33" t="s">
        <v>933</v>
      </c>
      <c r="G282" s="404" t="s">
        <v>3781</v>
      </c>
      <c r="H282" s="45">
        <v>2749800</v>
      </c>
      <c r="I282" s="925" t="s">
        <v>4102</v>
      </c>
      <c r="J282" s="774">
        <v>44627</v>
      </c>
      <c r="K282" s="928">
        <f t="shared" si="58"/>
        <v>2749800</v>
      </c>
      <c r="L282" s="876"/>
      <c r="M282" s="876"/>
      <c r="N282" s="876"/>
      <c r="O282" s="876"/>
      <c r="P282" s="876"/>
      <c r="Q282" s="28">
        <f t="shared" si="59"/>
        <v>2749800</v>
      </c>
      <c r="R282" s="55"/>
      <c r="S282" s="301"/>
      <c r="T282" s="55">
        <v>30</v>
      </c>
      <c r="U282" s="24">
        <f t="shared" ref="U282:U285" si="66">J282+T282</f>
        <v>44657</v>
      </c>
      <c r="V282" s="5"/>
      <c r="W282"/>
      <c r="X282"/>
      <c r="Y282"/>
      <c r="Z282"/>
      <c r="AA282"/>
      <c r="AB282"/>
      <c r="AC282"/>
      <c r="AD282"/>
      <c r="AE282"/>
      <c r="AF282"/>
      <c r="AG282"/>
      <c r="AH282"/>
      <c r="AI282"/>
      <c r="AJ282"/>
      <c r="AK282"/>
      <c r="AL282"/>
      <c r="AM282"/>
      <c r="AN282"/>
      <c r="AO282"/>
      <c r="AP282"/>
      <c r="AQ282"/>
      <c r="AR282"/>
    </row>
    <row r="283" spans="1:44" s="10" customFormat="1" ht="15.75" customHeight="1" x14ac:dyDescent="0.25">
      <c r="A283" s="55" t="e">
        <f t="shared" si="57"/>
        <v>#REF!</v>
      </c>
      <c r="B283" s="633">
        <v>44604</v>
      </c>
      <c r="C283" s="755">
        <v>404486</v>
      </c>
      <c r="D283" s="824" t="s">
        <v>2627</v>
      </c>
      <c r="E283" s="884"/>
      <c r="F283" s="33" t="s">
        <v>933</v>
      </c>
      <c r="G283" s="404" t="s">
        <v>35</v>
      </c>
      <c r="H283" s="45">
        <v>180000</v>
      </c>
      <c r="I283" s="925" t="s">
        <v>4103</v>
      </c>
      <c r="J283" s="774">
        <v>44627</v>
      </c>
      <c r="K283" s="928">
        <f t="shared" si="58"/>
        <v>180000</v>
      </c>
      <c r="L283" s="876"/>
      <c r="M283" s="876"/>
      <c r="N283" s="876"/>
      <c r="O283" s="876"/>
      <c r="P283" s="876"/>
      <c r="Q283" s="28">
        <f t="shared" si="59"/>
        <v>180000</v>
      </c>
      <c r="R283" s="55"/>
      <c r="S283" s="301"/>
      <c r="T283" s="55">
        <v>30</v>
      </c>
      <c r="U283" s="24">
        <f t="shared" si="66"/>
        <v>44657</v>
      </c>
      <c r="V283" s="5"/>
      <c r="W283"/>
      <c r="X283"/>
      <c r="Y283"/>
      <c r="Z283"/>
      <c r="AA283"/>
      <c r="AB283"/>
      <c r="AC283"/>
      <c r="AD283"/>
      <c r="AE283"/>
      <c r="AF283"/>
      <c r="AG283"/>
      <c r="AH283"/>
      <c r="AI283"/>
      <c r="AJ283"/>
      <c r="AK283"/>
      <c r="AL283"/>
      <c r="AM283"/>
      <c r="AN283"/>
      <c r="AO283"/>
      <c r="AP283"/>
      <c r="AQ283"/>
      <c r="AR283"/>
    </row>
    <row r="284" spans="1:44" s="10" customFormat="1" ht="15.75" customHeight="1" x14ac:dyDescent="0.25">
      <c r="A284" s="55" t="e">
        <f t="shared" si="57"/>
        <v>#REF!</v>
      </c>
      <c r="B284" s="633">
        <v>44616</v>
      </c>
      <c r="C284" s="755" t="s">
        <v>4106</v>
      </c>
      <c r="D284" s="824" t="s">
        <v>4105</v>
      </c>
      <c r="E284" s="884"/>
      <c r="F284" s="33" t="s">
        <v>933</v>
      </c>
      <c r="G284" s="404" t="s">
        <v>4107</v>
      </c>
      <c r="H284" s="45">
        <v>5240000</v>
      </c>
      <c r="I284" s="925" t="s">
        <v>4104</v>
      </c>
      <c r="J284" s="774">
        <v>44627</v>
      </c>
      <c r="K284" s="928">
        <f t="shared" si="58"/>
        <v>5240000</v>
      </c>
      <c r="L284" s="876"/>
      <c r="M284" s="876"/>
      <c r="N284" s="876"/>
      <c r="O284" s="876"/>
      <c r="P284" s="876"/>
      <c r="Q284" s="28">
        <f t="shared" si="59"/>
        <v>5240000</v>
      </c>
      <c r="R284" s="55"/>
      <c r="S284" s="301"/>
      <c r="T284" s="55">
        <v>30</v>
      </c>
      <c r="U284" s="24">
        <f t="shared" si="66"/>
        <v>44657</v>
      </c>
      <c r="V284" s="5"/>
      <c r="W284"/>
      <c r="X284"/>
      <c r="Y284"/>
      <c r="Z284"/>
      <c r="AA284"/>
      <c r="AB284"/>
      <c r="AC284"/>
      <c r="AD284"/>
      <c r="AE284"/>
      <c r="AF284"/>
      <c r="AG284"/>
      <c r="AH284"/>
      <c r="AI284"/>
      <c r="AJ284"/>
      <c r="AK284"/>
      <c r="AL284"/>
      <c r="AM284"/>
      <c r="AN284"/>
      <c r="AO284"/>
      <c r="AP284"/>
      <c r="AQ284"/>
      <c r="AR284"/>
    </row>
    <row r="285" spans="1:44" s="10" customFormat="1" ht="15.75" customHeight="1" x14ac:dyDescent="0.25">
      <c r="A285" s="55" t="e">
        <f t="shared" si="57"/>
        <v>#REF!</v>
      </c>
      <c r="B285" s="633">
        <v>44600</v>
      </c>
      <c r="C285" s="755">
        <v>400520</v>
      </c>
      <c r="D285" s="824" t="s">
        <v>4192</v>
      </c>
      <c r="E285" s="884"/>
      <c r="F285" s="33" t="s">
        <v>3933</v>
      </c>
      <c r="G285" s="404" t="s">
        <v>4123</v>
      </c>
      <c r="H285" s="874">
        <v>36426000</v>
      </c>
      <c r="I285" s="5" t="s">
        <v>4124</v>
      </c>
      <c r="J285" s="24">
        <v>44629</v>
      </c>
      <c r="K285" s="928">
        <f t="shared" si="58"/>
        <v>36426000</v>
      </c>
      <c r="L285" s="875">
        <v>25000000</v>
      </c>
      <c r="M285" s="5"/>
      <c r="N285" s="5"/>
      <c r="O285" s="5"/>
      <c r="P285" s="875">
        <v>11426000</v>
      </c>
      <c r="Q285" s="28">
        <f t="shared" si="59"/>
        <v>0</v>
      </c>
      <c r="R285" s="89">
        <v>44601</v>
      </c>
      <c r="S285" s="89">
        <v>44617</v>
      </c>
      <c r="T285" s="55">
        <v>14</v>
      </c>
      <c r="U285" s="24">
        <f t="shared" si="66"/>
        <v>44643</v>
      </c>
      <c r="V285" s="5"/>
      <c r="W285"/>
      <c r="X285"/>
      <c r="Y285"/>
      <c r="Z285"/>
      <c r="AA285"/>
      <c r="AB285"/>
      <c r="AC285"/>
      <c r="AD285"/>
      <c r="AE285"/>
      <c r="AF285"/>
      <c r="AG285"/>
      <c r="AH285"/>
      <c r="AI285"/>
      <c r="AJ285"/>
      <c r="AK285"/>
      <c r="AL285"/>
      <c r="AM285"/>
      <c r="AN285"/>
      <c r="AO285"/>
      <c r="AP285"/>
      <c r="AQ285"/>
      <c r="AR285"/>
    </row>
    <row r="286" spans="1:44" s="10" customFormat="1" ht="15.75" customHeight="1" x14ac:dyDescent="0.25">
      <c r="A286" s="55">
        <v>265</v>
      </c>
      <c r="B286" s="633">
        <v>44615</v>
      </c>
      <c r="C286" s="755">
        <v>405899</v>
      </c>
      <c r="D286" s="824" t="s">
        <v>4816</v>
      </c>
      <c r="E286" s="884"/>
      <c r="F286" s="33" t="s">
        <v>933</v>
      </c>
      <c r="G286" s="404" t="s">
        <v>201</v>
      </c>
      <c r="H286" s="45">
        <v>612000</v>
      </c>
      <c r="I286" s="377" t="s">
        <v>4817</v>
      </c>
      <c r="J286" s="774">
        <v>44656</v>
      </c>
      <c r="K286" s="917">
        <f>H286</f>
        <v>612000</v>
      </c>
      <c r="L286" s="910"/>
      <c r="M286" s="910"/>
      <c r="N286" s="910"/>
      <c r="O286" s="910"/>
      <c r="P286" s="910"/>
      <c r="Q286" s="28">
        <f>K286-L286-M286-O286-P286+N286</f>
        <v>612000</v>
      </c>
      <c r="R286" s="301"/>
      <c r="S286" s="301"/>
      <c r="T286" s="55"/>
      <c r="U286" s="24"/>
      <c r="V286" s="5"/>
      <c r="W286"/>
      <c r="X286"/>
      <c r="Y286"/>
      <c r="Z286"/>
      <c r="AA286"/>
      <c r="AB286"/>
      <c r="AC286"/>
      <c r="AD286"/>
      <c r="AE286"/>
      <c r="AF286"/>
      <c r="AG286"/>
      <c r="AH286"/>
      <c r="AI286"/>
      <c r="AJ286"/>
      <c r="AK286"/>
      <c r="AL286"/>
      <c r="AM286"/>
      <c r="AN286"/>
      <c r="AO286"/>
      <c r="AP286"/>
      <c r="AQ286"/>
      <c r="AR286"/>
    </row>
    <row r="287" spans="1:44" s="10" customFormat="1" ht="15.75" customHeight="1" x14ac:dyDescent="0.25">
      <c r="A287" s="55" t="e">
        <f>#REF!+1</f>
        <v>#REF!</v>
      </c>
      <c r="B287" s="633">
        <v>44604</v>
      </c>
      <c r="C287" s="755"/>
      <c r="D287" s="755" t="s">
        <v>4191</v>
      </c>
      <c r="E287" s="884"/>
      <c r="F287" s="6" t="s">
        <v>2694</v>
      </c>
      <c r="G287" s="404" t="s">
        <v>842</v>
      </c>
      <c r="H287" s="45">
        <v>1875000</v>
      </c>
      <c r="I287" s="377"/>
      <c r="J287" s="774"/>
      <c r="K287" s="928">
        <f t="shared" si="58"/>
        <v>1875000</v>
      </c>
      <c r="L287" s="882"/>
      <c r="M287" s="882"/>
      <c r="N287" s="882"/>
      <c r="O287" s="882"/>
      <c r="P287" s="882"/>
      <c r="Q287" s="28">
        <f t="shared" si="59"/>
        <v>1875000</v>
      </c>
      <c r="R287" s="55"/>
      <c r="S287" s="301"/>
      <c r="T287" s="55">
        <v>14</v>
      </c>
      <c r="U287" s="24">
        <f t="shared" ref="U287" si="67">J287+T287</f>
        <v>14</v>
      </c>
      <c r="V287" s="5"/>
      <c r="W287"/>
      <c r="X287"/>
      <c r="Y287"/>
      <c r="Z287"/>
      <c r="AA287"/>
      <c r="AB287"/>
      <c r="AC287"/>
      <c r="AD287"/>
      <c r="AE287"/>
      <c r="AF287"/>
      <c r="AG287"/>
      <c r="AH287"/>
      <c r="AI287"/>
      <c r="AJ287"/>
      <c r="AK287"/>
      <c r="AL287"/>
      <c r="AM287"/>
      <c r="AN287"/>
      <c r="AO287"/>
      <c r="AP287"/>
      <c r="AQ287"/>
      <c r="AR287"/>
    </row>
    <row r="288" spans="1:44" s="10" customFormat="1" ht="15.75" customHeight="1" x14ac:dyDescent="0.25">
      <c r="A288" s="55" t="e">
        <f>#REF!+1</f>
        <v>#REF!</v>
      </c>
      <c r="B288" s="633">
        <v>44608</v>
      </c>
      <c r="C288" s="755" t="s">
        <v>4211</v>
      </c>
      <c r="D288" s="756" t="s">
        <v>5053</v>
      </c>
      <c r="E288" s="884"/>
      <c r="F288" s="33" t="s">
        <v>4212</v>
      </c>
      <c r="G288" s="404" t="s">
        <v>1786</v>
      </c>
      <c r="H288" s="45">
        <v>350000</v>
      </c>
      <c r="I288" s="377" t="s">
        <v>4210</v>
      </c>
      <c r="J288" s="774">
        <v>44628</v>
      </c>
      <c r="K288" s="928">
        <f t="shared" si="58"/>
        <v>350000</v>
      </c>
      <c r="L288" s="866"/>
      <c r="M288" s="866"/>
      <c r="N288" s="866"/>
      <c r="O288" s="866"/>
      <c r="P288" s="866">
        <v>350000</v>
      </c>
      <c r="Q288" s="28">
        <f t="shared" ref="Q288:Q295" si="68">K288-L288-M288-O288-P288+N288</f>
        <v>0</v>
      </c>
      <c r="R288" s="301"/>
      <c r="S288" s="301">
        <v>44629</v>
      </c>
      <c r="T288" s="55">
        <v>14</v>
      </c>
      <c r="U288" s="24">
        <f t="shared" ref="U288" si="69">J288+T288</f>
        <v>44642</v>
      </c>
      <c r="V288" s="5"/>
      <c r="W288"/>
      <c r="X288"/>
      <c r="Y288"/>
      <c r="Z288"/>
      <c r="AA288"/>
      <c r="AB288"/>
      <c r="AC288"/>
      <c r="AD288"/>
      <c r="AE288"/>
      <c r="AF288"/>
      <c r="AG288"/>
      <c r="AH288"/>
      <c r="AI288"/>
      <c r="AJ288"/>
      <c r="AK288"/>
      <c r="AL288"/>
      <c r="AM288"/>
      <c r="AN288"/>
      <c r="AO288"/>
      <c r="AP288"/>
      <c r="AQ288"/>
      <c r="AR288"/>
    </row>
    <row r="289" spans="1:44" s="10" customFormat="1" ht="15.75" customHeight="1" x14ac:dyDescent="0.25">
      <c r="A289" s="55" t="e">
        <f t="shared" si="57"/>
        <v>#REF!</v>
      </c>
      <c r="B289" s="633">
        <v>44614</v>
      </c>
      <c r="C289" s="755" t="s">
        <v>4214</v>
      </c>
      <c r="D289" s="756" t="s">
        <v>2673</v>
      </c>
      <c r="E289" s="884"/>
      <c r="F289" s="33" t="s">
        <v>1329</v>
      </c>
      <c r="G289" s="404" t="s">
        <v>774</v>
      </c>
      <c r="H289" s="45">
        <v>2017500</v>
      </c>
      <c r="I289" s="377" t="s">
        <v>4213</v>
      </c>
      <c r="J289" s="774">
        <v>44628</v>
      </c>
      <c r="K289" s="928">
        <f t="shared" si="58"/>
        <v>2017500</v>
      </c>
      <c r="L289" s="866"/>
      <c r="M289" s="866">
        <v>538000</v>
      </c>
      <c r="N289" s="866"/>
      <c r="O289" s="866"/>
      <c r="P289" s="866">
        <v>1479500</v>
      </c>
      <c r="Q289" s="28">
        <f t="shared" si="68"/>
        <v>0</v>
      </c>
      <c r="R289" s="301"/>
      <c r="S289" s="930">
        <v>44630</v>
      </c>
      <c r="T289" s="55"/>
      <c r="U289" s="24"/>
      <c r="V289" s="5"/>
      <c r="W289" t="s">
        <v>4523</v>
      </c>
      <c r="X289"/>
      <c r="Y289"/>
      <c r="Z289"/>
      <c r="AA289"/>
      <c r="AB289"/>
      <c r="AC289"/>
      <c r="AD289"/>
      <c r="AE289"/>
      <c r="AF289"/>
      <c r="AG289"/>
      <c r="AH289"/>
      <c r="AI289"/>
      <c r="AJ289"/>
      <c r="AK289"/>
      <c r="AL289"/>
      <c r="AM289"/>
      <c r="AN289"/>
      <c r="AO289"/>
      <c r="AP289"/>
      <c r="AQ289"/>
      <c r="AR289"/>
    </row>
    <row r="290" spans="1:44" s="10" customFormat="1" ht="15.75" customHeight="1" x14ac:dyDescent="0.25">
      <c r="A290" s="55" t="e">
        <f t="shared" si="57"/>
        <v>#REF!</v>
      </c>
      <c r="B290" s="633">
        <v>44611</v>
      </c>
      <c r="C290" s="755" t="s">
        <v>4217</v>
      </c>
      <c r="D290" s="756" t="s">
        <v>4216</v>
      </c>
      <c r="E290" s="884"/>
      <c r="F290" s="33" t="s">
        <v>1329</v>
      </c>
      <c r="G290" s="404" t="s">
        <v>774</v>
      </c>
      <c r="H290" s="45">
        <v>1152500</v>
      </c>
      <c r="I290" s="377" t="s">
        <v>4215</v>
      </c>
      <c r="J290" s="774">
        <v>44628</v>
      </c>
      <c r="K290" s="928">
        <f t="shared" si="58"/>
        <v>1152500</v>
      </c>
      <c r="L290" s="866"/>
      <c r="M290" s="866">
        <v>254000</v>
      </c>
      <c r="N290" s="866"/>
      <c r="O290" s="866"/>
      <c r="P290" s="866">
        <v>898500</v>
      </c>
      <c r="Q290" s="28">
        <f t="shared" si="68"/>
        <v>0</v>
      </c>
      <c r="R290" s="301"/>
      <c r="S290" s="301">
        <v>44630</v>
      </c>
      <c r="T290" s="55"/>
      <c r="U290" s="24"/>
      <c r="V290" s="5"/>
      <c r="W290" t="s">
        <v>4523</v>
      </c>
      <c r="X290"/>
      <c r="Y290"/>
      <c r="Z290"/>
      <c r="AA290"/>
      <c r="AB290"/>
      <c r="AC290"/>
      <c r="AD290"/>
      <c r="AE290"/>
      <c r="AF290"/>
      <c r="AG290"/>
      <c r="AH290"/>
      <c r="AI290"/>
      <c r="AJ290"/>
      <c r="AK290"/>
      <c r="AL290"/>
      <c r="AM290"/>
      <c r="AN290"/>
      <c r="AO290"/>
      <c r="AP290"/>
      <c r="AQ290"/>
      <c r="AR290"/>
    </row>
    <row r="291" spans="1:44" s="10" customFormat="1" ht="15.75" customHeight="1" x14ac:dyDescent="0.25">
      <c r="A291" s="55" t="e">
        <f t="shared" si="57"/>
        <v>#REF!</v>
      </c>
      <c r="B291" s="633">
        <v>44604</v>
      </c>
      <c r="C291" s="755">
        <v>404484</v>
      </c>
      <c r="D291" s="934" t="s">
        <v>5047</v>
      </c>
      <c r="E291" s="884"/>
      <c r="F291" s="33" t="s">
        <v>3701</v>
      </c>
      <c r="G291" s="404" t="s">
        <v>4454</v>
      </c>
      <c r="H291" s="45">
        <v>29690000</v>
      </c>
      <c r="I291" s="377" t="s">
        <v>4453</v>
      </c>
      <c r="J291" s="774">
        <v>44642</v>
      </c>
      <c r="K291" s="928">
        <f t="shared" si="58"/>
        <v>29690000</v>
      </c>
      <c r="L291" s="866"/>
      <c r="M291" s="866"/>
      <c r="N291" s="866"/>
      <c r="O291" s="866"/>
      <c r="P291" s="866"/>
      <c r="Q291" s="28">
        <f t="shared" si="68"/>
        <v>29690000</v>
      </c>
      <c r="R291" s="55"/>
      <c r="S291" s="301"/>
      <c r="T291" s="55"/>
      <c r="U291" s="24"/>
      <c r="V291" s="5"/>
      <c r="W291"/>
      <c r="X291"/>
      <c r="Y291"/>
      <c r="Z291"/>
      <c r="AA291"/>
      <c r="AB291"/>
      <c r="AC291"/>
      <c r="AD291"/>
      <c r="AE291"/>
      <c r="AF291"/>
      <c r="AG291"/>
      <c r="AH291"/>
      <c r="AI291"/>
      <c r="AJ291"/>
      <c r="AK291"/>
      <c r="AL291"/>
      <c r="AM291"/>
      <c r="AN291"/>
      <c r="AO291"/>
      <c r="AP291"/>
      <c r="AQ291"/>
      <c r="AR291"/>
    </row>
    <row r="292" spans="1:44" s="10" customFormat="1" ht="15.75" customHeight="1" x14ac:dyDescent="0.25">
      <c r="A292" s="55" t="e">
        <f t="shared" si="57"/>
        <v>#REF!</v>
      </c>
      <c r="B292" s="633">
        <v>44608</v>
      </c>
      <c r="C292" s="755">
        <v>404500</v>
      </c>
      <c r="D292" s="824" t="s">
        <v>4195</v>
      </c>
      <c r="E292" s="884"/>
      <c r="F292" s="33" t="s">
        <v>4</v>
      </c>
      <c r="G292" s="404" t="s">
        <v>4259</v>
      </c>
      <c r="H292" s="45">
        <v>4598000</v>
      </c>
      <c r="I292" s="377" t="s">
        <v>4258</v>
      </c>
      <c r="J292" s="774">
        <v>44632</v>
      </c>
      <c r="K292" s="928">
        <f t="shared" si="58"/>
        <v>4598000</v>
      </c>
      <c r="L292" s="866"/>
      <c r="M292" s="866"/>
      <c r="N292" s="866">
        <f>K292*1%</f>
        <v>45980</v>
      </c>
      <c r="O292" s="866">
        <f>K292*2%</f>
        <v>91960</v>
      </c>
      <c r="P292" s="866"/>
      <c r="Q292" s="28">
        <f t="shared" si="68"/>
        <v>4552020</v>
      </c>
      <c r="R292" s="301"/>
      <c r="S292" s="301"/>
      <c r="T292" s="55"/>
      <c r="U292" s="24"/>
      <c r="V292" s="5"/>
      <c r="W292"/>
      <c r="X292"/>
      <c r="Y292"/>
      <c r="Z292"/>
      <c r="AA292"/>
      <c r="AB292"/>
      <c r="AC292"/>
      <c r="AD292"/>
      <c r="AE292"/>
      <c r="AF292"/>
      <c r="AG292"/>
      <c r="AH292"/>
      <c r="AI292"/>
      <c r="AJ292"/>
      <c r="AK292"/>
      <c r="AL292"/>
      <c r="AM292"/>
      <c r="AN292"/>
      <c r="AO292"/>
      <c r="AP292"/>
      <c r="AQ292"/>
      <c r="AR292"/>
    </row>
    <row r="293" spans="1:44" s="10" customFormat="1" ht="15.75" customHeight="1" x14ac:dyDescent="0.25">
      <c r="A293" s="55" t="e">
        <f t="shared" si="57"/>
        <v>#REF!</v>
      </c>
      <c r="B293" s="633">
        <v>44600</v>
      </c>
      <c r="C293" s="755">
        <v>404523</v>
      </c>
      <c r="D293" s="824" t="s">
        <v>4253</v>
      </c>
      <c r="E293" s="884"/>
      <c r="F293" s="33" t="s">
        <v>933</v>
      </c>
      <c r="G293" s="404" t="s">
        <v>4254</v>
      </c>
      <c r="H293" s="45">
        <v>10000000</v>
      </c>
      <c r="I293" s="925" t="s">
        <v>4252</v>
      </c>
      <c r="J293" s="774">
        <v>44631</v>
      </c>
      <c r="K293" s="928">
        <f t="shared" si="58"/>
        <v>10000000</v>
      </c>
      <c r="L293" s="866"/>
      <c r="M293" s="866"/>
      <c r="N293" s="866"/>
      <c r="O293" s="866"/>
      <c r="P293" s="866"/>
      <c r="Q293" s="28">
        <f t="shared" si="68"/>
        <v>10000000</v>
      </c>
      <c r="R293" s="301"/>
      <c r="S293" s="301"/>
      <c r="T293" s="55"/>
      <c r="U293" s="24"/>
      <c r="V293" s="5"/>
      <c r="W293"/>
      <c r="X293"/>
      <c r="Y293"/>
      <c r="Z293"/>
      <c r="AA293"/>
      <c r="AB293"/>
      <c r="AC293"/>
      <c r="AD293"/>
      <c r="AE293"/>
      <c r="AF293"/>
      <c r="AG293"/>
      <c r="AH293"/>
      <c r="AI293"/>
      <c r="AJ293"/>
      <c r="AK293"/>
      <c r="AL293"/>
      <c r="AM293"/>
      <c r="AN293"/>
      <c r="AO293"/>
      <c r="AP293"/>
      <c r="AQ293"/>
      <c r="AR293"/>
    </row>
    <row r="294" spans="1:44" s="10" customFormat="1" ht="15.75" customHeight="1" x14ac:dyDescent="0.25">
      <c r="A294" s="55" t="e">
        <f t="shared" si="57"/>
        <v>#REF!</v>
      </c>
      <c r="B294" s="633">
        <v>44616</v>
      </c>
      <c r="C294" s="755" t="s">
        <v>4225</v>
      </c>
      <c r="D294" s="824" t="s">
        <v>4105</v>
      </c>
      <c r="E294" s="884"/>
      <c r="F294" s="33" t="s">
        <v>933</v>
      </c>
      <c r="G294" s="404" t="s">
        <v>4107</v>
      </c>
      <c r="H294" s="45">
        <v>4530000</v>
      </c>
      <c r="I294" s="925" t="s">
        <v>4224</v>
      </c>
      <c r="J294" s="774">
        <v>44629</v>
      </c>
      <c r="K294" s="928">
        <f t="shared" si="58"/>
        <v>4530000</v>
      </c>
      <c r="L294" s="866"/>
      <c r="M294" s="866"/>
      <c r="N294" s="866"/>
      <c r="O294" s="866"/>
      <c r="P294" s="866"/>
      <c r="Q294" s="28">
        <f t="shared" si="68"/>
        <v>4530000</v>
      </c>
      <c r="R294" s="301"/>
      <c r="S294" s="301"/>
      <c r="T294" s="55"/>
      <c r="U294" s="24"/>
      <c r="V294" s="5"/>
      <c r="W294"/>
      <c r="X294"/>
      <c r="Y294"/>
      <c r="Z294"/>
      <c r="AA294"/>
      <c r="AB294"/>
      <c r="AC294"/>
      <c r="AD294"/>
      <c r="AE294"/>
      <c r="AF294"/>
      <c r="AG294"/>
      <c r="AH294"/>
      <c r="AI294"/>
      <c r="AJ294"/>
      <c r="AK294"/>
      <c r="AL294"/>
      <c r="AM294"/>
      <c r="AN294"/>
      <c r="AO294"/>
      <c r="AP294"/>
      <c r="AQ294"/>
      <c r="AR294"/>
    </row>
    <row r="295" spans="1:44" s="10" customFormat="1" ht="15.75" customHeight="1" x14ac:dyDescent="0.25">
      <c r="A295" s="55" t="e">
        <f t="shared" si="57"/>
        <v>#REF!</v>
      </c>
      <c r="B295" s="633">
        <v>44611</v>
      </c>
      <c r="C295" s="755" t="s">
        <v>4264</v>
      </c>
      <c r="D295" s="824" t="s">
        <v>2751</v>
      </c>
      <c r="E295" s="884"/>
      <c r="F295" s="33" t="s">
        <v>2755</v>
      </c>
      <c r="G295" s="404" t="s">
        <v>503</v>
      </c>
      <c r="H295" s="45">
        <v>350000</v>
      </c>
      <c r="I295" s="377" t="s">
        <v>4263</v>
      </c>
      <c r="J295" s="774">
        <v>44632</v>
      </c>
      <c r="K295" s="928">
        <f t="shared" si="58"/>
        <v>350000</v>
      </c>
      <c r="L295" s="866"/>
      <c r="M295" s="866"/>
      <c r="N295" s="866"/>
      <c r="O295" s="866"/>
      <c r="P295" s="866"/>
      <c r="Q295" s="28">
        <f t="shared" si="68"/>
        <v>350000</v>
      </c>
      <c r="R295" s="301"/>
      <c r="S295" s="301"/>
      <c r="T295" s="55">
        <v>14</v>
      </c>
      <c r="U295" s="24">
        <f t="shared" ref="U295" si="70">J295+T295</f>
        <v>44646</v>
      </c>
      <c r="V295" s="5"/>
      <c r="W295"/>
      <c r="X295"/>
      <c r="Y295"/>
      <c r="Z295"/>
      <c r="AA295"/>
      <c r="AB295"/>
      <c r="AC295"/>
      <c r="AD295"/>
      <c r="AE295"/>
      <c r="AF295"/>
      <c r="AG295"/>
      <c r="AH295"/>
      <c r="AI295"/>
      <c r="AJ295"/>
      <c r="AK295"/>
      <c r="AL295"/>
      <c r="AM295"/>
      <c r="AN295"/>
      <c r="AO295"/>
      <c r="AP295"/>
      <c r="AQ295"/>
      <c r="AR295"/>
    </row>
    <row r="296" spans="1:44" s="10" customFormat="1" ht="15.75" customHeight="1" x14ac:dyDescent="0.25">
      <c r="A296" s="55" t="e">
        <f t="shared" si="57"/>
        <v>#REF!</v>
      </c>
      <c r="B296" s="633">
        <v>44617</v>
      </c>
      <c r="C296" s="755" t="s">
        <v>4266</v>
      </c>
      <c r="D296" s="824" t="s">
        <v>3309</v>
      </c>
      <c r="E296" s="884"/>
      <c r="F296" s="33" t="s">
        <v>3549</v>
      </c>
      <c r="G296" s="404" t="s">
        <v>668</v>
      </c>
      <c r="H296" s="45">
        <v>11565600</v>
      </c>
      <c r="I296" s="377" t="s">
        <v>4265</v>
      </c>
      <c r="J296" s="774">
        <v>44634</v>
      </c>
      <c r="K296" s="928">
        <f t="shared" si="58"/>
        <v>11565600</v>
      </c>
      <c r="L296" s="866">
        <v>7700000</v>
      </c>
      <c r="M296" s="866"/>
      <c r="N296" s="866"/>
      <c r="O296" s="866"/>
      <c r="P296" s="866"/>
      <c r="Q296" s="28">
        <f t="shared" si="59"/>
        <v>3865600</v>
      </c>
      <c r="R296" s="301"/>
      <c r="S296" s="301"/>
      <c r="T296" s="55">
        <v>14</v>
      </c>
      <c r="U296" s="197">
        <f t="shared" ref="U296:U297" si="71">J296+T296</f>
        <v>44648</v>
      </c>
      <c r="V296" s="5"/>
      <c r="W296"/>
      <c r="X296"/>
      <c r="Y296"/>
      <c r="Z296"/>
      <c r="AA296"/>
      <c r="AB296"/>
      <c r="AC296"/>
      <c r="AD296"/>
      <c r="AE296"/>
      <c r="AF296"/>
      <c r="AG296"/>
      <c r="AH296"/>
      <c r="AI296"/>
      <c r="AJ296"/>
      <c r="AK296"/>
      <c r="AL296"/>
      <c r="AM296"/>
      <c r="AN296"/>
      <c r="AO296"/>
      <c r="AP296"/>
      <c r="AQ296"/>
      <c r="AR296"/>
    </row>
    <row r="297" spans="1:44" s="10" customFormat="1" ht="15.75" customHeight="1" x14ac:dyDescent="0.25">
      <c r="A297" s="55" t="e">
        <f t="shared" si="57"/>
        <v>#REF!</v>
      </c>
      <c r="B297" s="633">
        <v>44604</v>
      </c>
      <c r="C297" s="755" t="s">
        <v>4276</v>
      </c>
      <c r="D297" s="824" t="s">
        <v>4193</v>
      </c>
      <c r="E297" s="884"/>
      <c r="F297" s="33" t="s">
        <v>3857</v>
      </c>
      <c r="G297" s="404" t="s">
        <v>163</v>
      </c>
      <c r="H297" s="45">
        <v>8200000</v>
      </c>
      <c r="I297" s="377" t="s">
        <v>4275</v>
      </c>
      <c r="J297" s="774">
        <v>44634</v>
      </c>
      <c r="K297" s="928">
        <f t="shared" si="58"/>
        <v>8200000</v>
      </c>
      <c r="L297" s="866">
        <v>5700000</v>
      </c>
      <c r="M297" s="866"/>
      <c r="N297" s="866"/>
      <c r="O297" s="866"/>
      <c r="P297" s="866"/>
      <c r="Q297" s="28">
        <f t="shared" si="59"/>
        <v>2500000</v>
      </c>
      <c r="R297" s="301"/>
      <c r="S297" s="301"/>
      <c r="T297" s="55">
        <v>14</v>
      </c>
      <c r="U297" s="197">
        <f t="shared" si="71"/>
        <v>44648</v>
      </c>
      <c r="V297" s="5"/>
      <c r="W297"/>
      <c r="X297"/>
      <c r="Y297"/>
      <c r="Z297"/>
      <c r="AA297"/>
      <c r="AB297"/>
      <c r="AC297"/>
      <c r="AD297"/>
      <c r="AE297"/>
      <c r="AF297"/>
      <c r="AG297"/>
      <c r="AH297"/>
      <c r="AI297"/>
      <c r="AJ297"/>
      <c r="AK297"/>
      <c r="AL297"/>
      <c r="AM297"/>
      <c r="AN297"/>
      <c r="AO297"/>
      <c r="AP297"/>
      <c r="AQ297"/>
      <c r="AR297"/>
    </row>
    <row r="298" spans="1:44" s="10" customFormat="1" ht="15.75" customHeight="1" x14ac:dyDescent="0.25">
      <c r="A298" s="55" t="e">
        <f t="shared" si="57"/>
        <v>#REF!</v>
      </c>
      <c r="B298" s="633">
        <v>44617</v>
      </c>
      <c r="C298" s="755" t="s">
        <v>4279</v>
      </c>
      <c r="D298" s="824" t="s">
        <v>4200</v>
      </c>
      <c r="E298" s="884"/>
      <c r="F298" s="33" t="s">
        <v>4278</v>
      </c>
      <c r="G298" s="404" t="s">
        <v>4065</v>
      </c>
      <c r="H298" s="45">
        <v>8310000</v>
      </c>
      <c r="I298" s="377" t="s">
        <v>4277</v>
      </c>
      <c r="J298" s="774">
        <v>44634</v>
      </c>
      <c r="K298" s="928">
        <f t="shared" si="58"/>
        <v>8310000</v>
      </c>
      <c r="L298" s="866"/>
      <c r="M298" s="866"/>
      <c r="N298" s="866"/>
      <c r="O298" s="866"/>
      <c r="P298" s="866"/>
      <c r="Q298" s="28">
        <f t="shared" si="59"/>
        <v>8310000</v>
      </c>
      <c r="R298" s="301"/>
      <c r="S298" s="301"/>
      <c r="T298" s="55"/>
      <c r="U298" s="24"/>
      <c r="V298" s="5"/>
      <c r="W298"/>
      <c r="X298"/>
      <c r="Y298"/>
      <c r="Z298"/>
      <c r="AA298"/>
      <c r="AB298"/>
      <c r="AC298"/>
      <c r="AD298"/>
      <c r="AE298"/>
      <c r="AF298"/>
      <c r="AG298"/>
      <c r="AH298"/>
      <c r="AI298"/>
      <c r="AJ298"/>
      <c r="AK298"/>
      <c r="AL298"/>
      <c r="AM298"/>
      <c r="AN298"/>
      <c r="AO298"/>
      <c r="AP298"/>
      <c r="AQ298"/>
      <c r="AR298"/>
    </row>
    <row r="299" spans="1:44" s="10" customFormat="1" ht="15.75" customHeight="1" x14ac:dyDescent="0.25">
      <c r="A299" s="55" t="e">
        <f t="shared" si="57"/>
        <v>#REF!</v>
      </c>
      <c r="B299" s="633">
        <v>44603</v>
      </c>
      <c r="C299" s="755" t="s">
        <v>4281</v>
      </c>
      <c r="D299" s="824" t="s">
        <v>4190</v>
      </c>
      <c r="E299" s="884"/>
      <c r="F299" s="33" t="s">
        <v>3857</v>
      </c>
      <c r="G299" s="404" t="s">
        <v>163</v>
      </c>
      <c r="H299" s="45">
        <v>13687000</v>
      </c>
      <c r="I299" s="377" t="s">
        <v>4280</v>
      </c>
      <c r="J299" s="774">
        <v>44634</v>
      </c>
      <c r="K299" s="928">
        <f t="shared" si="58"/>
        <v>13687000</v>
      </c>
      <c r="L299" s="866">
        <v>9100000</v>
      </c>
      <c r="M299" s="866"/>
      <c r="N299" s="866"/>
      <c r="O299" s="866"/>
      <c r="P299" s="866"/>
      <c r="Q299" s="28">
        <f t="shared" si="59"/>
        <v>4587000</v>
      </c>
      <c r="R299" s="301"/>
      <c r="S299" s="301"/>
      <c r="T299" s="55">
        <v>14</v>
      </c>
      <c r="U299" s="197">
        <f t="shared" ref="U299" si="72">J299+T299</f>
        <v>44648</v>
      </c>
      <c r="V299" s="5"/>
      <c r="W299"/>
      <c r="X299"/>
      <c r="Y299"/>
      <c r="Z299"/>
      <c r="AA299"/>
      <c r="AB299"/>
      <c r="AC299"/>
      <c r="AD299"/>
      <c r="AE299"/>
      <c r="AF299"/>
      <c r="AG299"/>
      <c r="AH299"/>
      <c r="AI299"/>
      <c r="AJ299"/>
      <c r="AK299"/>
      <c r="AL299"/>
      <c r="AM299"/>
      <c r="AN299"/>
      <c r="AO299"/>
      <c r="AP299"/>
      <c r="AQ299"/>
      <c r="AR299"/>
    </row>
    <row r="300" spans="1:44" s="10" customFormat="1" ht="15.75" customHeight="1" x14ac:dyDescent="0.25">
      <c r="A300" s="55" t="e">
        <f t="shared" si="57"/>
        <v>#REF!</v>
      </c>
      <c r="B300" s="633">
        <v>44607</v>
      </c>
      <c r="C300" s="755"/>
      <c r="D300" s="824" t="s">
        <v>4205</v>
      </c>
      <c r="E300" s="884"/>
      <c r="F300" s="33" t="s">
        <v>933</v>
      </c>
      <c r="G300" s="404" t="s">
        <v>4331</v>
      </c>
      <c r="H300" s="45">
        <v>4510000</v>
      </c>
      <c r="I300" s="925" t="s">
        <v>4330</v>
      </c>
      <c r="J300" s="774">
        <v>44638</v>
      </c>
      <c r="K300" s="928">
        <f t="shared" si="58"/>
        <v>4510000</v>
      </c>
      <c r="L300" s="866"/>
      <c r="M300" s="866"/>
      <c r="N300" s="866"/>
      <c r="O300" s="866"/>
      <c r="P300" s="866"/>
      <c r="Q300" s="28">
        <f t="shared" si="59"/>
        <v>4510000</v>
      </c>
      <c r="R300" s="301"/>
      <c r="S300" s="301"/>
      <c r="T300" s="55"/>
      <c r="U300" s="24"/>
      <c r="V300" s="5"/>
      <c r="W300"/>
      <c r="X300"/>
      <c r="Y300"/>
      <c r="Z300"/>
      <c r="AA300"/>
      <c r="AB300"/>
      <c r="AC300"/>
      <c r="AD300"/>
      <c r="AE300"/>
      <c r="AF300"/>
      <c r="AG300"/>
      <c r="AH300"/>
      <c r="AI300"/>
      <c r="AJ300"/>
      <c r="AK300"/>
      <c r="AL300"/>
      <c r="AM300"/>
      <c r="AN300"/>
      <c r="AO300"/>
      <c r="AP300"/>
      <c r="AQ300"/>
      <c r="AR300"/>
    </row>
    <row r="301" spans="1:44" s="10" customFormat="1" ht="15.75" customHeight="1" x14ac:dyDescent="0.25">
      <c r="A301" s="55" t="e">
        <f t="shared" si="57"/>
        <v>#REF!</v>
      </c>
      <c r="B301" s="633">
        <v>44617</v>
      </c>
      <c r="C301" s="755">
        <v>405002</v>
      </c>
      <c r="D301" s="824" t="s">
        <v>4203</v>
      </c>
      <c r="E301" s="884"/>
      <c r="F301" s="33" t="s">
        <v>4199</v>
      </c>
      <c r="G301" s="404" t="s">
        <v>4357</v>
      </c>
      <c r="H301" s="45">
        <v>3033000</v>
      </c>
      <c r="I301" s="377" t="s">
        <v>4356</v>
      </c>
      <c r="J301" s="774">
        <v>44638</v>
      </c>
      <c r="K301" s="928">
        <f t="shared" si="58"/>
        <v>3033000</v>
      </c>
      <c r="L301" s="866"/>
      <c r="M301" s="866">
        <v>600000</v>
      </c>
      <c r="N301" s="866"/>
      <c r="O301" s="866"/>
      <c r="P301" s="866">
        <v>2433000</v>
      </c>
      <c r="Q301" s="28">
        <f t="shared" si="59"/>
        <v>0</v>
      </c>
      <c r="R301" s="301"/>
      <c r="S301" s="301">
        <v>44656</v>
      </c>
      <c r="T301" s="55">
        <v>14</v>
      </c>
      <c r="U301" s="24">
        <f t="shared" ref="U301" si="73">J301+T301</f>
        <v>44652</v>
      </c>
      <c r="V301" s="5"/>
      <c r="W301"/>
      <c r="X301"/>
      <c r="Y301"/>
      <c r="Z301"/>
      <c r="AA301"/>
      <c r="AB301"/>
      <c r="AC301"/>
      <c r="AD301"/>
      <c r="AE301"/>
      <c r="AF301"/>
      <c r="AG301"/>
      <c r="AH301"/>
      <c r="AI301"/>
      <c r="AJ301"/>
      <c r="AK301"/>
      <c r="AL301"/>
      <c r="AM301"/>
      <c r="AN301"/>
      <c r="AO301"/>
      <c r="AP301"/>
      <c r="AQ301"/>
      <c r="AR301"/>
    </row>
    <row r="302" spans="1:44" s="10" customFormat="1" ht="32.25" customHeight="1" x14ac:dyDescent="0.25">
      <c r="A302" s="672" t="s">
        <v>3681</v>
      </c>
      <c r="B302" s="673"/>
      <c r="C302" s="665"/>
      <c r="D302" s="665"/>
      <c r="E302" s="673"/>
      <c r="F302" s="665"/>
      <c r="G302" s="665"/>
      <c r="H302" s="665"/>
      <c r="I302" s="665"/>
      <c r="J302" s="665"/>
      <c r="K302" s="665"/>
      <c r="L302" s="665"/>
      <c r="M302" s="665"/>
      <c r="N302" s="665"/>
      <c r="O302" s="665"/>
      <c r="P302" s="450"/>
      <c r="Q302" s="451">
        <f>SUM(Q146:Q301)</f>
        <v>286109944.88800001</v>
      </c>
      <c r="R302" s="827"/>
      <c r="S302" s="828"/>
      <c r="T302" s="828"/>
      <c r="U302" s="829"/>
      <c r="V302"/>
      <c r="W302"/>
      <c r="X302"/>
      <c r="Y302"/>
      <c r="Z302"/>
      <c r="AA302"/>
      <c r="AB302"/>
      <c r="AC302"/>
      <c r="AD302"/>
      <c r="AE302"/>
      <c r="AF302"/>
      <c r="AG302"/>
      <c r="AH302"/>
      <c r="AI302"/>
      <c r="AJ302"/>
      <c r="AK302"/>
      <c r="AL302"/>
      <c r="AM302"/>
      <c r="AN302"/>
      <c r="AO302"/>
      <c r="AP302"/>
      <c r="AQ302"/>
      <c r="AR302"/>
    </row>
    <row r="303" spans="1:44" s="10" customFormat="1" ht="15.75" customHeight="1" x14ac:dyDescent="0.25">
      <c r="A303" s="55">
        <v>1</v>
      </c>
      <c r="B303" s="633">
        <v>44625</v>
      </c>
      <c r="C303" s="755" t="s">
        <v>4117</v>
      </c>
      <c r="D303" s="824" t="s">
        <v>4116</v>
      </c>
      <c r="E303" s="884"/>
      <c r="F303" s="33" t="s">
        <v>3361</v>
      </c>
      <c r="G303" s="404" t="s">
        <v>521</v>
      </c>
      <c r="H303" s="45">
        <v>130000</v>
      </c>
      <c r="I303" s="377" t="s">
        <v>4115</v>
      </c>
      <c r="J303" s="774">
        <v>44625</v>
      </c>
      <c r="K303" s="876">
        <f>H303</f>
        <v>130000</v>
      </c>
      <c r="L303" s="876"/>
      <c r="M303" s="876"/>
      <c r="N303" s="28">
        <f>K303*1%</f>
        <v>1300</v>
      </c>
      <c r="O303" s="28">
        <f>K303*2%</f>
        <v>2600</v>
      </c>
      <c r="P303" s="876">
        <v>128700</v>
      </c>
      <c r="Q303" s="28">
        <f>K303-L303-M303-O303-P303+N303</f>
        <v>0</v>
      </c>
      <c r="R303" s="55"/>
      <c r="S303" s="301">
        <v>44627</v>
      </c>
      <c r="T303" s="55">
        <v>14</v>
      </c>
      <c r="U303" s="197">
        <f t="shared" ref="U303:U304" si="74">J303+T303</f>
        <v>44639</v>
      </c>
      <c r="V303" s="5"/>
      <c r="W303"/>
      <c r="X303"/>
      <c r="Y303"/>
      <c r="Z303"/>
      <c r="AA303"/>
      <c r="AB303"/>
      <c r="AC303"/>
      <c r="AD303"/>
      <c r="AE303"/>
      <c r="AF303"/>
      <c r="AG303"/>
      <c r="AH303"/>
      <c r="AI303"/>
      <c r="AJ303"/>
      <c r="AK303"/>
      <c r="AL303"/>
      <c r="AM303"/>
      <c r="AN303"/>
      <c r="AO303"/>
      <c r="AP303"/>
      <c r="AQ303"/>
      <c r="AR303"/>
    </row>
    <row r="304" spans="1:44" s="10" customFormat="1" ht="15.75" customHeight="1" x14ac:dyDescent="0.25">
      <c r="A304" s="55">
        <f>A303+1</f>
        <v>2</v>
      </c>
      <c r="B304" s="633">
        <v>44622</v>
      </c>
      <c r="C304" s="755"/>
      <c r="D304" s="824" t="s">
        <v>4041</v>
      </c>
      <c r="E304" s="884"/>
      <c r="F304" s="33" t="s">
        <v>3870</v>
      </c>
      <c r="G304" s="404" t="s">
        <v>3432</v>
      </c>
      <c r="H304" s="45">
        <v>35000000</v>
      </c>
      <c r="I304" s="377" t="s">
        <v>4112</v>
      </c>
      <c r="J304" s="774">
        <v>44622</v>
      </c>
      <c r="K304" s="928">
        <f t="shared" ref="K304:K375" si="75">H304</f>
        <v>35000000</v>
      </c>
      <c r="L304" s="832"/>
      <c r="M304" s="832"/>
      <c r="N304" s="876">
        <f>K304*10%</f>
        <v>3500000</v>
      </c>
      <c r="O304" s="876">
        <f>K304*2%</f>
        <v>700000</v>
      </c>
      <c r="P304" s="832">
        <v>37800000</v>
      </c>
      <c r="Q304" s="28">
        <f t="shared" ref="Q304:Q375" si="76">K304-L304-M304-O304-P304+N304</f>
        <v>0</v>
      </c>
      <c r="R304" s="55"/>
      <c r="S304" s="301">
        <v>44634</v>
      </c>
      <c r="T304" s="55">
        <v>14</v>
      </c>
      <c r="U304" s="24">
        <f t="shared" si="74"/>
        <v>44636</v>
      </c>
      <c r="V304" s="5"/>
      <c r="W304"/>
      <c r="X304"/>
      <c r="Y304"/>
      <c r="Z304"/>
      <c r="AA304"/>
      <c r="AB304"/>
      <c r="AC304"/>
      <c r="AD304"/>
      <c r="AE304"/>
      <c r="AF304"/>
      <c r="AG304"/>
      <c r="AH304"/>
      <c r="AI304"/>
      <c r="AJ304"/>
      <c r="AK304"/>
      <c r="AL304"/>
      <c r="AM304"/>
      <c r="AN304"/>
      <c r="AO304"/>
      <c r="AP304"/>
      <c r="AQ304"/>
      <c r="AR304"/>
    </row>
    <row r="305" spans="1:44" s="10" customFormat="1" ht="15.75" customHeight="1" x14ac:dyDescent="0.25">
      <c r="A305" s="55">
        <f t="shared" ref="A305:A376" si="77">A304+1</f>
        <v>3</v>
      </c>
      <c r="B305" s="633">
        <v>44627</v>
      </c>
      <c r="C305" s="755" t="s">
        <v>4361</v>
      </c>
      <c r="D305" s="824" t="s">
        <v>4360</v>
      </c>
      <c r="E305" s="884"/>
      <c r="F305" s="33" t="s">
        <v>4111</v>
      </c>
      <c r="G305" s="404" t="s">
        <v>1270</v>
      </c>
      <c r="H305" s="45">
        <v>21000000</v>
      </c>
      <c r="I305" s="377" t="s">
        <v>4359</v>
      </c>
      <c r="J305" s="774">
        <v>44629</v>
      </c>
      <c r="K305" s="928">
        <f t="shared" si="75"/>
        <v>21000000</v>
      </c>
      <c r="L305" s="866"/>
      <c r="M305" s="866"/>
      <c r="N305" s="866">
        <f t="shared" ref="N305:N324" si="78">K305*1%</f>
        <v>210000</v>
      </c>
      <c r="O305" s="866"/>
      <c r="P305" s="866">
        <v>21210000</v>
      </c>
      <c r="Q305" s="28">
        <f t="shared" si="76"/>
        <v>0</v>
      </c>
      <c r="R305" s="55"/>
      <c r="S305" s="301">
        <v>44631</v>
      </c>
      <c r="T305" s="55"/>
      <c r="U305" s="24"/>
      <c r="V305" s="5"/>
      <c r="W305"/>
      <c r="X305"/>
      <c r="Y305"/>
      <c r="Z305"/>
      <c r="AA305"/>
      <c r="AB305"/>
      <c r="AC305"/>
      <c r="AD305"/>
      <c r="AE305"/>
      <c r="AF305"/>
      <c r="AG305"/>
      <c r="AH305"/>
      <c r="AI305"/>
      <c r="AJ305"/>
      <c r="AK305"/>
      <c r="AL305"/>
      <c r="AM305"/>
      <c r="AN305"/>
      <c r="AO305"/>
      <c r="AP305"/>
      <c r="AQ305"/>
      <c r="AR305"/>
    </row>
    <row r="306" spans="1:44" s="10" customFormat="1" ht="15.75" customHeight="1" x14ac:dyDescent="0.25">
      <c r="A306" s="55">
        <f t="shared" si="77"/>
        <v>4</v>
      </c>
      <c r="B306" s="633">
        <v>44621</v>
      </c>
      <c r="C306" s="755">
        <v>403133</v>
      </c>
      <c r="D306" s="824" t="s">
        <v>4365</v>
      </c>
      <c r="E306" s="884"/>
      <c r="F306" s="33" t="s">
        <v>412</v>
      </c>
      <c r="G306" s="404" t="s">
        <v>161</v>
      </c>
      <c r="H306" s="45">
        <v>1138614</v>
      </c>
      <c r="I306" s="377" t="s">
        <v>4364</v>
      </c>
      <c r="J306" s="774">
        <v>44629</v>
      </c>
      <c r="K306" s="928">
        <f t="shared" si="75"/>
        <v>1138614</v>
      </c>
      <c r="L306" s="866"/>
      <c r="M306" s="866"/>
      <c r="N306" s="28">
        <f t="shared" si="78"/>
        <v>11386.14</v>
      </c>
      <c r="O306" s="28">
        <f t="shared" ref="O306:O324" si="79">K306*2%</f>
        <v>22772.28</v>
      </c>
      <c r="P306" s="866"/>
      <c r="Q306" s="28">
        <f t="shared" si="76"/>
        <v>1127227.8599999999</v>
      </c>
      <c r="R306" s="55"/>
      <c r="S306" s="301"/>
      <c r="T306" s="55">
        <v>30</v>
      </c>
      <c r="U306" s="24">
        <f t="shared" ref="U306:U311" si="80">J306+T306</f>
        <v>44659</v>
      </c>
      <c r="V306" s="5"/>
      <c r="W306"/>
      <c r="X306"/>
      <c r="Y306"/>
      <c r="Z306"/>
      <c r="AA306"/>
      <c r="AB306"/>
      <c r="AC306"/>
      <c r="AD306"/>
      <c r="AE306"/>
      <c r="AF306"/>
      <c r="AG306"/>
      <c r="AH306"/>
      <c r="AI306"/>
      <c r="AJ306"/>
      <c r="AK306"/>
      <c r="AL306"/>
      <c r="AM306"/>
      <c r="AN306"/>
      <c r="AO306"/>
      <c r="AP306"/>
      <c r="AQ306"/>
      <c r="AR306"/>
    </row>
    <row r="307" spans="1:44" s="10" customFormat="1" ht="15.75" customHeight="1" x14ac:dyDescent="0.25">
      <c r="A307" s="55">
        <f t="shared" si="77"/>
        <v>5</v>
      </c>
      <c r="B307" s="633">
        <v>44621</v>
      </c>
      <c r="C307" s="755">
        <v>403499</v>
      </c>
      <c r="D307" s="824" t="s">
        <v>4367</v>
      </c>
      <c r="E307" s="884"/>
      <c r="F307" s="33" t="s">
        <v>412</v>
      </c>
      <c r="G307" s="404" t="s">
        <v>161</v>
      </c>
      <c r="H307" s="45">
        <v>1138614</v>
      </c>
      <c r="I307" s="377" t="s">
        <v>4366</v>
      </c>
      <c r="J307" s="774">
        <v>44629</v>
      </c>
      <c r="K307" s="928">
        <f t="shared" si="75"/>
        <v>1138614</v>
      </c>
      <c r="L307" s="866"/>
      <c r="M307" s="866"/>
      <c r="N307" s="28">
        <f t="shared" si="78"/>
        <v>11386.14</v>
      </c>
      <c r="O307" s="28">
        <f t="shared" si="79"/>
        <v>22772.28</v>
      </c>
      <c r="P307" s="866"/>
      <c r="Q307" s="28">
        <f t="shared" si="76"/>
        <v>1127227.8599999999</v>
      </c>
      <c r="R307" s="55"/>
      <c r="S307" s="301"/>
      <c r="T307" s="55">
        <v>30</v>
      </c>
      <c r="U307" s="24">
        <f t="shared" si="80"/>
        <v>44659</v>
      </c>
      <c r="V307" s="5"/>
      <c r="W307"/>
      <c r="X307"/>
      <c r="Y307"/>
      <c r="Z307"/>
      <c r="AA307"/>
      <c r="AB307"/>
      <c r="AC307"/>
      <c r="AD307"/>
      <c r="AE307"/>
      <c r="AF307"/>
      <c r="AG307"/>
      <c r="AH307"/>
      <c r="AI307"/>
      <c r="AJ307"/>
      <c r="AK307"/>
      <c r="AL307"/>
      <c r="AM307"/>
      <c r="AN307"/>
      <c r="AO307"/>
      <c r="AP307"/>
      <c r="AQ307"/>
      <c r="AR307"/>
    </row>
    <row r="308" spans="1:44" s="10" customFormat="1" ht="15.75" customHeight="1" x14ac:dyDescent="0.25">
      <c r="A308" s="55">
        <f t="shared" si="77"/>
        <v>6</v>
      </c>
      <c r="B308" s="633">
        <v>44622</v>
      </c>
      <c r="C308" s="755">
        <v>403092</v>
      </c>
      <c r="D308" s="824" t="s">
        <v>4369</v>
      </c>
      <c r="E308" s="884"/>
      <c r="F308" s="33" t="s">
        <v>412</v>
      </c>
      <c r="G308" s="404" t="s">
        <v>4370</v>
      </c>
      <c r="H308" s="45">
        <v>3118812</v>
      </c>
      <c r="I308" s="377" t="s">
        <v>4368</v>
      </c>
      <c r="J308" s="774">
        <v>44629</v>
      </c>
      <c r="K308" s="928">
        <f t="shared" si="75"/>
        <v>3118812</v>
      </c>
      <c r="L308" s="866"/>
      <c r="M308" s="866"/>
      <c r="N308" s="28">
        <f t="shared" si="78"/>
        <v>31188.12</v>
      </c>
      <c r="O308" s="28">
        <f t="shared" si="79"/>
        <v>62376.24</v>
      </c>
      <c r="P308" s="866"/>
      <c r="Q308" s="28">
        <f t="shared" si="76"/>
        <v>3087623.88</v>
      </c>
      <c r="R308" s="55"/>
      <c r="S308" s="301"/>
      <c r="T308" s="55">
        <v>30</v>
      </c>
      <c r="U308" s="24">
        <f t="shared" si="80"/>
        <v>44659</v>
      </c>
      <c r="V308" s="5"/>
      <c r="W308"/>
      <c r="X308"/>
      <c r="Y308"/>
      <c r="Z308"/>
      <c r="AA308"/>
      <c r="AB308"/>
      <c r="AC308"/>
      <c r="AD308"/>
      <c r="AE308"/>
      <c r="AF308"/>
      <c r="AG308"/>
      <c r="AH308"/>
      <c r="AI308"/>
      <c r="AJ308"/>
      <c r="AK308"/>
      <c r="AL308"/>
      <c r="AM308"/>
      <c r="AN308"/>
      <c r="AO308"/>
      <c r="AP308"/>
      <c r="AQ308"/>
      <c r="AR308"/>
    </row>
    <row r="309" spans="1:44" s="10" customFormat="1" ht="15.75" customHeight="1" x14ac:dyDescent="0.25">
      <c r="A309" s="55">
        <f t="shared" si="77"/>
        <v>7</v>
      </c>
      <c r="B309" s="633">
        <v>44622</v>
      </c>
      <c r="C309" s="755">
        <v>403140</v>
      </c>
      <c r="D309" s="824" t="s">
        <v>4372</v>
      </c>
      <c r="E309" s="884"/>
      <c r="F309" s="33" t="s">
        <v>412</v>
      </c>
      <c r="G309" s="404" t="s">
        <v>811</v>
      </c>
      <c r="H309" s="45">
        <v>3118812</v>
      </c>
      <c r="I309" s="377" t="s">
        <v>4371</v>
      </c>
      <c r="J309" s="774">
        <v>44630</v>
      </c>
      <c r="K309" s="928">
        <f t="shared" si="75"/>
        <v>3118812</v>
      </c>
      <c r="L309" s="866"/>
      <c r="M309" s="866"/>
      <c r="N309" s="28">
        <f t="shared" si="78"/>
        <v>31188.12</v>
      </c>
      <c r="O309" s="28">
        <f t="shared" si="79"/>
        <v>62376.24</v>
      </c>
      <c r="P309" s="866"/>
      <c r="Q309" s="28">
        <f t="shared" si="76"/>
        <v>3087623.88</v>
      </c>
      <c r="R309" s="55"/>
      <c r="S309" s="301"/>
      <c r="T309" s="55">
        <v>30</v>
      </c>
      <c r="U309" s="24">
        <f t="shared" si="80"/>
        <v>44660</v>
      </c>
      <c r="V309" s="5"/>
      <c r="W309"/>
      <c r="X309"/>
      <c r="Y309"/>
      <c r="Z309"/>
      <c r="AA309"/>
      <c r="AB309"/>
      <c r="AC309"/>
      <c r="AD309"/>
      <c r="AE309"/>
      <c r="AF309"/>
      <c r="AG309"/>
      <c r="AH309"/>
      <c r="AI309"/>
      <c r="AJ309"/>
      <c r="AK309"/>
      <c r="AL309"/>
      <c r="AM309"/>
      <c r="AN309"/>
      <c r="AO309"/>
      <c r="AP309"/>
      <c r="AQ309"/>
      <c r="AR309"/>
    </row>
    <row r="310" spans="1:44" s="10" customFormat="1" ht="15.75" customHeight="1" x14ac:dyDescent="0.25">
      <c r="A310" s="55">
        <f t="shared" si="77"/>
        <v>8</v>
      </c>
      <c r="B310" s="633">
        <v>44623</v>
      </c>
      <c r="C310" s="755">
        <v>403095</v>
      </c>
      <c r="D310" s="824" t="s">
        <v>4374</v>
      </c>
      <c r="E310" s="884"/>
      <c r="F310" s="33" t="s">
        <v>412</v>
      </c>
      <c r="G310" s="404" t="s">
        <v>417</v>
      </c>
      <c r="H310" s="45">
        <v>2029703</v>
      </c>
      <c r="I310" s="377" t="s">
        <v>4373</v>
      </c>
      <c r="J310" s="774">
        <v>44630</v>
      </c>
      <c r="K310" s="928">
        <f t="shared" si="75"/>
        <v>2029703</v>
      </c>
      <c r="L310" s="866"/>
      <c r="M310" s="866"/>
      <c r="N310" s="28">
        <f t="shared" si="78"/>
        <v>20297.03</v>
      </c>
      <c r="O310" s="28">
        <f t="shared" si="79"/>
        <v>40594.06</v>
      </c>
      <c r="P310" s="866"/>
      <c r="Q310" s="28">
        <f t="shared" si="76"/>
        <v>2009405.97</v>
      </c>
      <c r="R310" s="55"/>
      <c r="S310" s="301"/>
      <c r="T310" s="55">
        <v>30</v>
      </c>
      <c r="U310" s="24">
        <f t="shared" si="80"/>
        <v>44660</v>
      </c>
      <c r="V310" s="5"/>
      <c r="W310"/>
      <c r="X310"/>
      <c r="Y310"/>
      <c r="Z310"/>
      <c r="AA310"/>
      <c r="AB310"/>
      <c r="AC310"/>
      <c r="AD310"/>
      <c r="AE310"/>
      <c r="AF310"/>
      <c r="AG310"/>
      <c r="AH310"/>
      <c r="AI310"/>
      <c r="AJ310"/>
      <c r="AK310"/>
      <c r="AL310"/>
      <c r="AM310"/>
      <c r="AN310"/>
      <c r="AO310"/>
      <c r="AP310"/>
      <c r="AQ310"/>
      <c r="AR310"/>
    </row>
    <row r="311" spans="1:44" s="10" customFormat="1" ht="15.75" customHeight="1" x14ac:dyDescent="0.25">
      <c r="A311" s="55">
        <f t="shared" si="77"/>
        <v>9</v>
      </c>
      <c r="B311" s="633">
        <v>44629</v>
      </c>
      <c r="C311" s="755">
        <v>403142</v>
      </c>
      <c r="D311" s="824" t="s">
        <v>4376</v>
      </c>
      <c r="E311" s="884"/>
      <c r="F311" s="33" t="s">
        <v>412</v>
      </c>
      <c r="G311" s="404" t="s">
        <v>421</v>
      </c>
      <c r="H311" s="45">
        <v>1138614</v>
      </c>
      <c r="I311" s="377" t="s">
        <v>4375</v>
      </c>
      <c r="J311" s="774">
        <v>44630</v>
      </c>
      <c r="K311" s="928">
        <f t="shared" si="75"/>
        <v>1138614</v>
      </c>
      <c r="L311" s="866"/>
      <c r="M311" s="866"/>
      <c r="N311" s="28">
        <f t="shared" si="78"/>
        <v>11386.14</v>
      </c>
      <c r="O311" s="28">
        <f t="shared" si="79"/>
        <v>22772.28</v>
      </c>
      <c r="P311" s="866"/>
      <c r="Q311" s="28">
        <f t="shared" si="76"/>
        <v>1127227.8599999999</v>
      </c>
      <c r="R311" s="55"/>
      <c r="S311" s="301"/>
      <c r="T311" s="55">
        <v>30</v>
      </c>
      <c r="U311" s="24">
        <f t="shared" si="80"/>
        <v>44660</v>
      </c>
      <c r="V311" s="5"/>
      <c r="W311"/>
      <c r="X311"/>
      <c r="Y311"/>
      <c r="Z311"/>
      <c r="AA311"/>
      <c r="AB311"/>
      <c r="AC311"/>
      <c r="AD311"/>
      <c r="AE311"/>
      <c r="AF311"/>
      <c r="AG311"/>
      <c r="AH311"/>
      <c r="AI311"/>
      <c r="AJ311"/>
      <c r="AK311"/>
      <c r="AL311"/>
      <c r="AM311"/>
      <c r="AN311"/>
      <c r="AO311"/>
      <c r="AP311"/>
      <c r="AQ311"/>
      <c r="AR311"/>
    </row>
    <row r="312" spans="1:44" s="10" customFormat="1" ht="15.75" customHeight="1" x14ac:dyDescent="0.25">
      <c r="A312" s="55">
        <f t="shared" si="77"/>
        <v>10</v>
      </c>
      <c r="B312" s="633">
        <v>44631</v>
      </c>
      <c r="C312" s="755" t="s">
        <v>4270</v>
      </c>
      <c r="D312" s="941" t="s">
        <v>3651</v>
      </c>
      <c r="E312" s="884"/>
      <c r="F312" s="33" t="s">
        <v>4418</v>
      </c>
      <c r="G312" s="33" t="s">
        <v>4271</v>
      </c>
      <c r="H312" s="45">
        <v>3300000</v>
      </c>
      <c r="I312" s="377" t="s">
        <v>4417</v>
      </c>
      <c r="J312" s="774">
        <v>44637</v>
      </c>
      <c r="K312" s="928">
        <f t="shared" si="75"/>
        <v>3300000</v>
      </c>
      <c r="L312" s="894"/>
      <c r="M312" s="894"/>
      <c r="N312" s="28">
        <f t="shared" si="78"/>
        <v>33000</v>
      </c>
      <c r="O312" s="28">
        <f t="shared" si="79"/>
        <v>66000</v>
      </c>
      <c r="P312" s="894">
        <v>3267000</v>
      </c>
      <c r="Q312" s="28">
        <f t="shared" si="76"/>
        <v>0</v>
      </c>
      <c r="R312" s="55"/>
      <c r="S312" s="301">
        <v>44637</v>
      </c>
      <c r="T312" s="55"/>
      <c r="U312" s="24"/>
      <c r="V312" s="5"/>
      <c r="W312"/>
      <c r="X312"/>
      <c r="Y312"/>
      <c r="Z312"/>
      <c r="AA312"/>
      <c r="AB312"/>
      <c r="AC312"/>
      <c r="AD312"/>
      <c r="AE312"/>
      <c r="AF312"/>
      <c r="AG312"/>
      <c r="AH312"/>
      <c r="AI312"/>
      <c r="AJ312"/>
      <c r="AK312"/>
      <c r="AL312"/>
      <c r="AM312"/>
      <c r="AN312"/>
      <c r="AO312"/>
      <c r="AP312"/>
      <c r="AQ312"/>
      <c r="AR312"/>
    </row>
    <row r="313" spans="1:44" s="10" customFormat="1" ht="15.75" customHeight="1" x14ac:dyDescent="0.25">
      <c r="A313" s="55">
        <f t="shared" si="77"/>
        <v>11</v>
      </c>
      <c r="B313" s="633">
        <v>44641</v>
      </c>
      <c r="C313" s="755"/>
      <c r="D313" s="824" t="s">
        <v>4605</v>
      </c>
      <c r="E313" s="884"/>
      <c r="F313" s="33" t="s">
        <v>4606</v>
      </c>
      <c r="G313" s="33" t="s">
        <v>4650</v>
      </c>
      <c r="H313" s="45">
        <v>12500000</v>
      </c>
      <c r="I313" s="377" t="s">
        <v>4604</v>
      </c>
      <c r="J313" s="774">
        <v>44641</v>
      </c>
      <c r="K313" s="928">
        <f t="shared" si="75"/>
        <v>12500000</v>
      </c>
      <c r="L313" s="894"/>
      <c r="M313" s="894"/>
      <c r="N313" s="28">
        <f t="shared" si="78"/>
        <v>125000</v>
      </c>
      <c r="O313" s="28">
        <f t="shared" si="79"/>
        <v>250000</v>
      </c>
      <c r="P313" s="894">
        <v>12625000</v>
      </c>
      <c r="Q313" s="28">
        <f t="shared" si="76"/>
        <v>-250000</v>
      </c>
      <c r="R313" s="55"/>
      <c r="S313" s="301">
        <v>44643</v>
      </c>
      <c r="T313" s="55"/>
      <c r="U313" s="24"/>
      <c r="V313" s="5"/>
      <c r="W313"/>
      <c r="X313"/>
      <c r="Y313"/>
      <c r="Z313"/>
      <c r="AA313"/>
      <c r="AB313"/>
      <c r="AC313"/>
      <c r="AD313"/>
      <c r="AE313"/>
      <c r="AF313"/>
      <c r="AG313"/>
      <c r="AH313"/>
      <c r="AI313"/>
      <c r="AJ313"/>
      <c r="AK313"/>
      <c r="AL313"/>
      <c r="AM313"/>
      <c r="AN313"/>
      <c r="AO313"/>
      <c r="AP313"/>
      <c r="AQ313"/>
      <c r="AR313"/>
    </row>
    <row r="314" spans="1:44" s="10" customFormat="1" ht="15.75" customHeight="1" x14ac:dyDescent="0.25">
      <c r="A314" s="55">
        <f t="shared" si="77"/>
        <v>12</v>
      </c>
      <c r="B314" s="633">
        <v>44629</v>
      </c>
      <c r="C314" s="755" t="s">
        <v>4614</v>
      </c>
      <c r="D314" s="824" t="s">
        <v>4421</v>
      </c>
      <c r="E314" s="884"/>
      <c r="F314" s="33" t="s">
        <v>3658</v>
      </c>
      <c r="G314" s="33" t="s">
        <v>2696</v>
      </c>
      <c r="H314" s="45">
        <v>19000000</v>
      </c>
      <c r="I314" s="377" t="s">
        <v>4613</v>
      </c>
      <c r="J314" s="774">
        <v>44642</v>
      </c>
      <c r="K314" s="928">
        <f t="shared" si="75"/>
        <v>19000000</v>
      </c>
      <c r="L314" s="894">
        <v>9497500</v>
      </c>
      <c r="M314" s="894"/>
      <c r="N314" s="28">
        <f t="shared" si="78"/>
        <v>190000</v>
      </c>
      <c r="O314" s="28">
        <f t="shared" si="79"/>
        <v>380000</v>
      </c>
      <c r="P314" s="894"/>
      <c r="Q314" s="28">
        <f t="shared" si="76"/>
        <v>9312500</v>
      </c>
      <c r="R314" s="301">
        <v>44634</v>
      </c>
      <c r="S314" s="301"/>
      <c r="T314" s="55"/>
      <c r="U314" s="24"/>
      <c r="V314" s="5"/>
      <c r="W314"/>
      <c r="X314"/>
      <c r="Y314"/>
      <c r="Z314"/>
      <c r="AA314"/>
      <c r="AB314"/>
      <c r="AC314"/>
      <c r="AD314"/>
      <c r="AE314"/>
      <c r="AF314"/>
      <c r="AG314"/>
      <c r="AH314"/>
      <c r="AI314"/>
      <c r="AJ314"/>
      <c r="AK314"/>
      <c r="AL314"/>
      <c r="AM314"/>
      <c r="AN314"/>
      <c r="AO314"/>
      <c r="AP314"/>
      <c r="AQ314"/>
      <c r="AR314"/>
    </row>
    <row r="315" spans="1:44" s="10" customFormat="1" ht="15.75" customHeight="1" x14ac:dyDescent="0.25">
      <c r="A315" s="55">
        <f t="shared" si="77"/>
        <v>13</v>
      </c>
      <c r="B315" s="633">
        <v>44622</v>
      </c>
      <c r="C315" s="755">
        <v>403838</v>
      </c>
      <c r="D315" s="824" t="s">
        <v>4616</v>
      </c>
      <c r="E315" s="884"/>
      <c r="F315" s="33" t="s">
        <v>3654</v>
      </c>
      <c r="G315" s="33" t="s">
        <v>688</v>
      </c>
      <c r="H315" s="45">
        <v>4878000</v>
      </c>
      <c r="I315" s="377" t="s">
        <v>4615</v>
      </c>
      <c r="J315" s="774">
        <v>44642</v>
      </c>
      <c r="K315" s="928">
        <f t="shared" si="75"/>
        <v>4878000</v>
      </c>
      <c r="L315" s="894"/>
      <c r="M315" s="894"/>
      <c r="N315" s="28">
        <f t="shared" si="78"/>
        <v>48780</v>
      </c>
      <c r="O315" s="28">
        <f t="shared" si="79"/>
        <v>97560</v>
      </c>
      <c r="P315" s="894"/>
      <c r="Q315" s="28">
        <f t="shared" si="76"/>
        <v>4829220</v>
      </c>
      <c r="R315" s="55"/>
      <c r="S315" s="301"/>
      <c r="T315" s="55"/>
      <c r="U315" s="24"/>
      <c r="V315" s="5"/>
      <c r="W315"/>
      <c r="X315"/>
      <c r="Y315"/>
      <c r="Z315"/>
      <c r="AA315"/>
      <c r="AB315"/>
      <c r="AC315"/>
      <c r="AD315"/>
      <c r="AE315"/>
      <c r="AF315"/>
      <c r="AG315"/>
      <c r="AH315"/>
      <c r="AI315"/>
      <c r="AJ315"/>
      <c r="AK315"/>
      <c r="AL315"/>
      <c r="AM315"/>
      <c r="AN315"/>
      <c r="AO315"/>
      <c r="AP315"/>
      <c r="AQ315"/>
      <c r="AR315"/>
    </row>
    <row r="316" spans="1:44" s="10" customFormat="1" ht="15.75" customHeight="1" x14ac:dyDescent="0.25">
      <c r="A316" s="55">
        <f t="shared" si="77"/>
        <v>14</v>
      </c>
      <c r="B316" s="633">
        <v>44634</v>
      </c>
      <c r="C316" s="755" t="s">
        <v>4624</v>
      </c>
      <c r="D316" s="824" t="s">
        <v>3120</v>
      </c>
      <c r="E316" s="884"/>
      <c r="F316" s="33" t="s">
        <v>3941</v>
      </c>
      <c r="G316" s="33" t="s">
        <v>467</v>
      </c>
      <c r="H316" s="45">
        <v>7500000</v>
      </c>
      <c r="I316" s="377" t="s">
        <v>4623</v>
      </c>
      <c r="J316" s="774">
        <v>44645</v>
      </c>
      <c r="K316" s="928">
        <f t="shared" si="75"/>
        <v>7500000</v>
      </c>
      <c r="L316" s="894"/>
      <c r="M316" s="894"/>
      <c r="N316" s="28">
        <f t="shared" si="78"/>
        <v>75000</v>
      </c>
      <c r="O316" s="28">
        <f t="shared" si="79"/>
        <v>150000</v>
      </c>
      <c r="P316" s="894"/>
      <c r="Q316" s="28">
        <f t="shared" si="76"/>
        <v>7425000</v>
      </c>
      <c r="R316" s="55"/>
      <c r="S316" s="301"/>
      <c r="T316" s="55"/>
      <c r="U316" s="24"/>
      <c r="V316" s="5"/>
      <c r="W316"/>
      <c r="X316"/>
      <c r="Y316"/>
      <c r="Z316"/>
      <c r="AA316"/>
      <c r="AB316"/>
      <c r="AC316"/>
      <c r="AD316"/>
      <c r="AE316"/>
      <c r="AF316"/>
      <c r="AG316"/>
      <c r="AH316"/>
      <c r="AI316"/>
      <c r="AJ316"/>
      <c r="AK316"/>
      <c r="AL316"/>
      <c r="AM316"/>
      <c r="AN316"/>
      <c r="AO316"/>
      <c r="AP316"/>
      <c r="AQ316"/>
      <c r="AR316"/>
    </row>
    <row r="317" spans="1:44" s="10" customFormat="1" ht="15.75" customHeight="1" x14ac:dyDescent="0.25">
      <c r="A317" s="55">
        <f t="shared" si="77"/>
        <v>15</v>
      </c>
      <c r="B317" s="633">
        <v>44636</v>
      </c>
      <c r="C317" s="755" t="s">
        <v>4626</v>
      </c>
      <c r="D317" s="824" t="s">
        <v>4627</v>
      </c>
      <c r="E317" s="884"/>
      <c r="F317" s="33" t="s">
        <v>412</v>
      </c>
      <c r="G317" s="33" t="s">
        <v>811</v>
      </c>
      <c r="H317" s="45">
        <v>3712871</v>
      </c>
      <c r="I317" s="377" t="s">
        <v>4625</v>
      </c>
      <c r="J317" s="774">
        <v>44645</v>
      </c>
      <c r="K317" s="928">
        <f t="shared" si="75"/>
        <v>3712871</v>
      </c>
      <c r="L317" s="894"/>
      <c r="M317" s="894"/>
      <c r="N317" s="28">
        <f t="shared" si="78"/>
        <v>37128.71</v>
      </c>
      <c r="O317" s="28">
        <f t="shared" si="79"/>
        <v>74257.42</v>
      </c>
      <c r="P317" s="894"/>
      <c r="Q317" s="28">
        <f t="shared" si="76"/>
        <v>3675742.29</v>
      </c>
      <c r="R317" s="55"/>
      <c r="S317" s="301"/>
      <c r="T317" s="55">
        <v>30</v>
      </c>
      <c r="U317" s="24">
        <f t="shared" ref="U317:U320" si="81">J317+T317</f>
        <v>44675</v>
      </c>
      <c r="V317" s="5"/>
      <c r="W317"/>
      <c r="X317"/>
      <c r="Y317"/>
      <c r="Z317"/>
      <c r="AA317"/>
      <c r="AB317"/>
      <c r="AC317"/>
      <c r="AD317"/>
      <c r="AE317"/>
      <c r="AF317"/>
      <c r="AG317"/>
      <c r="AH317"/>
      <c r="AI317"/>
      <c r="AJ317"/>
      <c r="AK317"/>
      <c r="AL317"/>
      <c r="AM317"/>
      <c r="AN317"/>
      <c r="AO317"/>
      <c r="AP317"/>
      <c r="AQ317"/>
      <c r="AR317"/>
    </row>
    <row r="318" spans="1:44" s="10" customFormat="1" ht="15.75" customHeight="1" x14ac:dyDescent="0.25">
      <c r="A318" s="55">
        <f t="shared" si="77"/>
        <v>16</v>
      </c>
      <c r="B318" s="633">
        <v>44636</v>
      </c>
      <c r="C318" s="755">
        <v>403099</v>
      </c>
      <c r="D318" s="824" t="s">
        <v>4629</v>
      </c>
      <c r="E318" s="884"/>
      <c r="F318" s="33" t="s">
        <v>412</v>
      </c>
      <c r="G318" s="33" t="s">
        <v>4630</v>
      </c>
      <c r="H318" s="45">
        <v>3514851</v>
      </c>
      <c r="I318" s="377" t="s">
        <v>4628</v>
      </c>
      <c r="J318" s="774">
        <v>44645</v>
      </c>
      <c r="K318" s="928">
        <f t="shared" si="75"/>
        <v>3514851</v>
      </c>
      <c r="L318" s="894"/>
      <c r="M318" s="894"/>
      <c r="N318" s="28">
        <f t="shared" si="78"/>
        <v>35148.51</v>
      </c>
      <c r="O318" s="28">
        <f t="shared" si="79"/>
        <v>70297.02</v>
      </c>
      <c r="P318" s="894"/>
      <c r="Q318" s="28">
        <f t="shared" si="76"/>
        <v>3479702.4899999998</v>
      </c>
      <c r="R318" s="55"/>
      <c r="S318" s="301"/>
      <c r="T318" s="55">
        <v>30</v>
      </c>
      <c r="U318" s="24">
        <f t="shared" si="81"/>
        <v>44675</v>
      </c>
      <c r="V318" s="5"/>
      <c r="W318"/>
      <c r="X318"/>
      <c r="Y318"/>
      <c r="Z318"/>
      <c r="AA318"/>
      <c r="AB318"/>
      <c r="AC318"/>
      <c r="AD318"/>
      <c r="AE318"/>
      <c r="AF318"/>
      <c r="AG318"/>
      <c r="AH318"/>
      <c r="AI318"/>
      <c r="AJ318"/>
      <c r="AK318"/>
      <c r="AL318"/>
      <c r="AM318"/>
      <c r="AN318"/>
      <c r="AO318"/>
      <c r="AP318"/>
      <c r="AQ318"/>
      <c r="AR318"/>
    </row>
    <row r="319" spans="1:44" s="10" customFormat="1" ht="15.75" customHeight="1" x14ac:dyDescent="0.25">
      <c r="A319" s="55">
        <f t="shared" si="77"/>
        <v>17</v>
      </c>
      <c r="B319" s="633">
        <v>44637</v>
      </c>
      <c r="C319" s="755">
        <v>403147</v>
      </c>
      <c r="D319" s="824" t="s">
        <v>4632</v>
      </c>
      <c r="E319" s="884"/>
      <c r="F319" s="33" t="s">
        <v>412</v>
      </c>
      <c r="G319" s="33" t="s">
        <v>516</v>
      </c>
      <c r="H319" s="45">
        <v>3118812</v>
      </c>
      <c r="I319" s="377" t="s">
        <v>4631</v>
      </c>
      <c r="J319" s="774">
        <v>44645</v>
      </c>
      <c r="K319" s="928">
        <f t="shared" si="75"/>
        <v>3118812</v>
      </c>
      <c r="L319" s="894"/>
      <c r="M319" s="894"/>
      <c r="N319" s="28">
        <f t="shared" si="78"/>
        <v>31188.12</v>
      </c>
      <c r="O319" s="28">
        <f t="shared" si="79"/>
        <v>62376.24</v>
      </c>
      <c r="P319" s="894"/>
      <c r="Q319" s="28">
        <f t="shared" si="76"/>
        <v>3087623.88</v>
      </c>
      <c r="R319" s="55"/>
      <c r="S319" s="301"/>
      <c r="T319" s="55">
        <v>30</v>
      </c>
      <c r="U319" s="24">
        <f t="shared" si="81"/>
        <v>44675</v>
      </c>
      <c r="V319" s="5"/>
      <c r="W319"/>
      <c r="X319"/>
      <c r="Y319"/>
      <c r="Z319"/>
      <c r="AA319"/>
      <c r="AB319"/>
      <c r="AC319"/>
      <c r="AD319"/>
      <c r="AE319"/>
      <c r="AF319"/>
      <c r="AG319"/>
      <c r="AH319"/>
      <c r="AI319"/>
      <c r="AJ319"/>
      <c r="AK319"/>
      <c r="AL319"/>
      <c r="AM319"/>
      <c r="AN319"/>
      <c r="AO319"/>
      <c r="AP319"/>
      <c r="AQ319"/>
      <c r="AR319"/>
    </row>
    <row r="320" spans="1:44" s="10" customFormat="1" ht="15.75" customHeight="1" x14ac:dyDescent="0.25">
      <c r="A320" s="55">
        <f t="shared" si="77"/>
        <v>18</v>
      </c>
      <c r="B320" s="633">
        <v>44631</v>
      </c>
      <c r="C320" s="755">
        <v>403096</v>
      </c>
      <c r="D320" s="824" t="s">
        <v>4634</v>
      </c>
      <c r="E320" s="884"/>
      <c r="F320" s="33" t="s">
        <v>412</v>
      </c>
      <c r="G320" s="33" t="s">
        <v>417</v>
      </c>
      <c r="H320" s="45">
        <v>1831683</v>
      </c>
      <c r="I320" s="377" t="s">
        <v>4633</v>
      </c>
      <c r="J320" s="774">
        <v>44645</v>
      </c>
      <c r="K320" s="928">
        <f t="shared" si="75"/>
        <v>1831683</v>
      </c>
      <c r="L320" s="894"/>
      <c r="M320" s="894"/>
      <c r="N320" s="28">
        <f t="shared" si="78"/>
        <v>18316.830000000002</v>
      </c>
      <c r="O320" s="28">
        <f t="shared" si="79"/>
        <v>36633.660000000003</v>
      </c>
      <c r="P320" s="894"/>
      <c r="Q320" s="28">
        <f t="shared" si="76"/>
        <v>1813366.1700000002</v>
      </c>
      <c r="R320" s="55"/>
      <c r="S320" s="301"/>
      <c r="T320" s="55">
        <v>30</v>
      </c>
      <c r="U320" s="24">
        <f t="shared" si="81"/>
        <v>44675</v>
      </c>
      <c r="V320" s="5"/>
      <c r="W320"/>
      <c r="X320"/>
      <c r="Y320"/>
      <c r="Z320"/>
      <c r="AA320"/>
      <c r="AB320"/>
      <c r="AC320"/>
      <c r="AD320"/>
      <c r="AE320"/>
      <c r="AF320"/>
      <c r="AG320"/>
      <c r="AH320"/>
      <c r="AI320"/>
      <c r="AJ320"/>
      <c r="AK320"/>
      <c r="AL320"/>
      <c r="AM320"/>
      <c r="AN320"/>
      <c r="AO320"/>
      <c r="AP320"/>
      <c r="AQ320"/>
      <c r="AR320"/>
    </row>
    <row r="321" spans="1:44" s="10" customFormat="1" ht="15.75" customHeight="1" x14ac:dyDescent="0.25">
      <c r="A321" s="55">
        <f t="shared" si="77"/>
        <v>19</v>
      </c>
      <c r="B321" s="633">
        <v>44641</v>
      </c>
      <c r="C321" s="755"/>
      <c r="D321" s="824" t="s">
        <v>4605</v>
      </c>
      <c r="E321" s="884"/>
      <c r="F321" s="33" t="s">
        <v>4606</v>
      </c>
      <c r="G321" s="33" t="s">
        <v>4652</v>
      </c>
      <c r="H321" s="45">
        <v>12500000</v>
      </c>
      <c r="I321" s="377" t="s">
        <v>4649</v>
      </c>
      <c r="J321" s="774">
        <v>44652</v>
      </c>
      <c r="K321" s="928">
        <f t="shared" si="75"/>
        <v>12500000</v>
      </c>
      <c r="L321" s="894"/>
      <c r="M321" s="894"/>
      <c r="N321" s="28">
        <f t="shared" si="78"/>
        <v>125000</v>
      </c>
      <c r="O321" s="28">
        <f t="shared" si="79"/>
        <v>250000</v>
      </c>
      <c r="P321" s="894"/>
      <c r="Q321" s="28">
        <f t="shared" si="76"/>
        <v>12375000</v>
      </c>
      <c r="R321" s="55"/>
      <c r="S321" s="301"/>
      <c r="T321" s="55"/>
      <c r="U321" s="24"/>
      <c r="V321" s="5"/>
      <c r="W321"/>
      <c r="X321"/>
      <c r="Y321"/>
      <c r="Z321"/>
      <c r="AA321"/>
      <c r="AB321"/>
      <c r="AC321"/>
      <c r="AD321"/>
      <c r="AE321"/>
      <c r="AF321"/>
      <c r="AG321"/>
      <c r="AH321"/>
      <c r="AI321"/>
      <c r="AJ321"/>
      <c r="AK321"/>
      <c r="AL321"/>
      <c r="AM321"/>
      <c r="AN321"/>
      <c r="AO321"/>
      <c r="AP321"/>
      <c r="AQ321"/>
      <c r="AR321"/>
    </row>
    <row r="322" spans="1:44" s="10" customFormat="1" ht="15.75" customHeight="1" x14ac:dyDescent="0.25">
      <c r="A322" s="55">
        <f t="shared" si="77"/>
        <v>20</v>
      </c>
      <c r="B322" s="633">
        <v>44645</v>
      </c>
      <c r="C322" s="755">
        <v>403149</v>
      </c>
      <c r="D322" s="824" t="s">
        <v>4653</v>
      </c>
      <c r="E322" s="884"/>
      <c r="F322" s="33" t="s">
        <v>412</v>
      </c>
      <c r="G322" s="33" t="s">
        <v>417</v>
      </c>
      <c r="H322" s="45">
        <v>1831683</v>
      </c>
      <c r="I322" s="377" t="s">
        <v>4651</v>
      </c>
      <c r="J322" s="774">
        <v>44652</v>
      </c>
      <c r="K322" s="928">
        <f t="shared" si="75"/>
        <v>1831683</v>
      </c>
      <c r="L322" s="894"/>
      <c r="M322" s="894"/>
      <c r="N322" s="28">
        <f t="shared" si="78"/>
        <v>18316.830000000002</v>
      </c>
      <c r="O322" s="28">
        <f t="shared" si="79"/>
        <v>36633.660000000003</v>
      </c>
      <c r="P322" s="894"/>
      <c r="Q322" s="28">
        <f t="shared" si="76"/>
        <v>1813366.1700000002</v>
      </c>
      <c r="R322" s="55"/>
      <c r="S322" s="301"/>
      <c r="T322" s="55">
        <v>30</v>
      </c>
      <c r="U322" s="24">
        <f t="shared" ref="U322" si="82">J322+T322</f>
        <v>44682</v>
      </c>
      <c r="V322" s="5"/>
      <c r="W322"/>
      <c r="X322"/>
      <c r="Y322"/>
      <c r="Z322"/>
      <c r="AA322"/>
      <c r="AB322"/>
      <c r="AC322"/>
      <c r="AD322"/>
      <c r="AE322"/>
      <c r="AF322"/>
      <c r="AG322"/>
      <c r="AH322"/>
      <c r="AI322"/>
      <c r="AJ322"/>
      <c r="AK322"/>
      <c r="AL322"/>
      <c r="AM322"/>
      <c r="AN322"/>
      <c r="AO322"/>
      <c r="AP322"/>
      <c r="AQ322"/>
      <c r="AR322"/>
    </row>
    <row r="323" spans="1:44" s="10" customFormat="1" ht="15.75" customHeight="1" x14ac:dyDescent="0.25">
      <c r="A323" s="55">
        <f t="shared" si="77"/>
        <v>21</v>
      </c>
      <c r="B323" s="633">
        <v>44627</v>
      </c>
      <c r="C323" s="755" t="s">
        <v>4655</v>
      </c>
      <c r="D323" s="824"/>
      <c r="E323" s="884"/>
      <c r="F323" s="33" t="s">
        <v>3308</v>
      </c>
      <c r="G323" s="33" t="s">
        <v>163</v>
      </c>
      <c r="H323" s="45">
        <v>24000000</v>
      </c>
      <c r="I323" s="377" t="s">
        <v>4654</v>
      </c>
      <c r="J323" s="774">
        <v>44652</v>
      </c>
      <c r="K323" s="928">
        <f t="shared" si="75"/>
        <v>24000000</v>
      </c>
      <c r="L323" s="894"/>
      <c r="M323" s="894"/>
      <c r="N323" s="28">
        <f t="shared" si="78"/>
        <v>240000</v>
      </c>
      <c r="O323" s="28">
        <f t="shared" si="79"/>
        <v>480000</v>
      </c>
      <c r="P323" s="894"/>
      <c r="Q323" s="28">
        <f t="shared" si="76"/>
        <v>23760000</v>
      </c>
      <c r="R323" s="55"/>
      <c r="S323" s="301"/>
      <c r="T323" s="55"/>
      <c r="U323" s="24"/>
      <c r="V323" s="5"/>
      <c r="W323"/>
      <c r="X323"/>
      <c r="Y323"/>
      <c r="Z323"/>
      <c r="AA323"/>
      <c r="AB323"/>
      <c r="AC323"/>
      <c r="AD323"/>
      <c r="AE323"/>
      <c r="AF323"/>
      <c r="AG323"/>
      <c r="AH323"/>
      <c r="AI323"/>
      <c r="AJ323"/>
      <c r="AK323"/>
      <c r="AL323"/>
      <c r="AM323"/>
      <c r="AN323"/>
      <c r="AO323"/>
      <c r="AP323"/>
      <c r="AQ323"/>
      <c r="AR323"/>
    </row>
    <row r="324" spans="1:44" s="10" customFormat="1" ht="15.75" customHeight="1" x14ac:dyDescent="0.25">
      <c r="A324" s="55">
        <v>149</v>
      </c>
      <c r="B324" s="633">
        <v>44627</v>
      </c>
      <c r="C324" s="755" t="s">
        <v>4655</v>
      </c>
      <c r="D324" s="824" t="s">
        <v>4707</v>
      </c>
      <c r="E324" s="884" t="s">
        <v>4708</v>
      </c>
      <c r="F324" s="33" t="s">
        <v>3308</v>
      </c>
      <c r="G324" s="404" t="s">
        <v>163</v>
      </c>
      <c r="H324" s="914">
        <v>24000000</v>
      </c>
      <c r="I324" s="913" t="s">
        <v>4654</v>
      </c>
      <c r="J324" s="774">
        <v>44662</v>
      </c>
      <c r="K324" s="917">
        <f t="shared" ref="K324:K331" si="83">H324</f>
        <v>24000000</v>
      </c>
      <c r="L324" s="910"/>
      <c r="M324" s="910"/>
      <c r="N324" s="28">
        <f t="shared" si="78"/>
        <v>240000</v>
      </c>
      <c r="O324" s="28">
        <f t="shared" si="79"/>
        <v>480000</v>
      </c>
      <c r="P324" s="910"/>
      <c r="Q324" s="28">
        <f t="shared" ref="Q324:Q331" si="84">K324-L324-M324-O324-P324+N324</f>
        <v>23760000</v>
      </c>
      <c r="R324" s="55"/>
      <c r="S324" s="301"/>
      <c r="T324" s="55"/>
      <c r="U324" s="24"/>
      <c r="V324" s="5"/>
      <c r="W324"/>
      <c r="X324"/>
      <c r="Y324"/>
      <c r="Z324"/>
      <c r="AA324"/>
      <c r="AB324"/>
      <c r="AC324"/>
      <c r="AD324"/>
      <c r="AE324"/>
      <c r="AF324"/>
      <c r="AG324"/>
      <c r="AH324"/>
      <c r="AI324"/>
      <c r="AJ324"/>
      <c r="AK324"/>
      <c r="AL324"/>
      <c r="AM324"/>
      <c r="AN324"/>
      <c r="AO324"/>
      <c r="AP324"/>
      <c r="AQ324"/>
      <c r="AR324"/>
    </row>
    <row r="325" spans="1:44" s="10" customFormat="1" ht="15.75" customHeight="1" x14ac:dyDescent="0.25">
      <c r="A325" s="55">
        <v>150</v>
      </c>
      <c r="B325" s="633">
        <v>44593</v>
      </c>
      <c r="C325" s="755">
        <v>404315</v>
      </c>
      <c r="D325" s="824"/>
      <c r="E325" s="884"/>
      <c r="F325" s="33" t="s">
        <v>1195</v>
      </c>
      <c r="G325" s="404" t="s">
        <v>4907</v>
      </c>
      <c r="H325" s="911">
        <v>572715674.32749975</v>
      </c>
      <c r="I325" s="377" t="s">
        <v>4904</v>
      </c>
      <c r="J325" s="774">
        <v>44662</v>
      </c>
      <c r="K325" s="917">
        <f t="shared" si="83"/>
        <v>572715674.32749975</v>
      </c>
      <c r="L325" s="910"/>
      <c r="M325" s="910">
        <v>57271567.432749979</v>
      </c>
      <c r="N325" s="910">
        <v>5669885.1758422479</v>
      </c>
      <c r="O325" s="910">
        <v>10308882.137894996</v>
      </c>
      <c r="P325" s="910"/>
      <c r="Q325" s="28">
        <f t="shared" si="84"/>
        <v>510805109.932697</v>
      </c>
      <c r="R325" s="55"/>
      <c r="S325" s="301"/>
      <c r="T325" s="55"/>
      <c r="U325" s="24"/>
      <c r="V325" s="5"/>
      <c r="W325"/>
      <c r="X325"/>
      <c r="Y325"/>
      <c r="Z325"/>
      <c r="AA325"/>
      <c r="AB325"/>
      <c r="AC325"/>
      <c r="AD325"/>
      <c r="AE325"/>
      <c r="AF325"/>
      <c r="AG325"/>
      <c r="AH325"/>
      <c r="AI325"/>
      <c r="AJ325"/>
      <c r="AK325"/>
      <c r="AL325"/>
      <c r="AM325"/>
      <c r="AN325"/>
      <c r="AO325"/>
      <c r="AP325"/>
      <c r="AQ325"/>
      <c r="AR325"/>
    </row>
    <row r="326" spans="1:44" s="10" customFormat="1" ht="15.75" customHeight="1" x14ac:dyDescent="0.25">
      <c r="A326" s="55">
        <v>151</v>
      </c>
      <c r="B326" s="633">
        <v>44621</v>
      </c>
      <c r="C326" s="755">
        <v>404421</v>
      </c>
      <c r="D326" s="824"/>
      <c r="E326" s="884"/>
      <c r="F326" s="33" t="s">
        <v>1195</v>
      </c>
      <c r="G326" s="404" t="s">
        <v>4908</v>
      </c>
      <c r="H326" s="45">
        <v>410072771.10250008</v>
      </c>
      <c r="I326" s="377" t="s">
        <v>4905</v>
      </c>
      <c r="J326" s="774">
        <v>44662</v>
      </c>
      <c r="K326" s="917">
        <f t="shared" si="83"/>
        <v>410072771.10250008</v>
      </c>
      <c r="L326" s="910"/>
      <c r="M326" s="910">
        <v>41007277.110250011</v>
      </c>
      <c r="N326" s="910">
        <v>4059720.4339147513</v>
      </c>
      <c r="O326" s="910">
        <v>7381309.8798450017</v>
      </c>
      <c r="P326" s="910"/>
      <c r="Q326" s="28">
        <f t="shared" si="84"/>
        <v>365743904.54631984</v>
      </c>
      <c r="R326" s="55"/>
      <c r="S326" s="301"/>
      <c r="T326" s="55"/>
      <c r="U326" s="24"/>
      <c r="V326" s="5"/>
      <c r="W326"/>
      <c r="X326"/>
      <c r="Y326"/>
      <c r="Z326"/>
      <c r="AA326"/>
      <c r="AB326"/>
      <c r="AC326"/>
      <c r="AD326"/>
      <c r="AE326"/>
      <c r="AF326"/>
      <c r="AG326"/>
      <c r="AH326"/>
      <c r="AI326"/>
      <c r="AJ326"/>
      <c r="AK326"/>
      <c r="AL326"/>
      <c r="AM326"/>
      <c r="AN326"/>
      <c r="AO326"/>
      <c r="AP326"/>
      <c r="AQ326"/>
      <c r="AR326"/>
    </row>
    <row r="327" spans="1:44" s="10" customFormat="1" ht="15.75" customHeight="1" x14ac:dyDescent="0.25">
      <c r="A327" s="55">
        <v>152</v>
      </c>
      <c r="B327" s="633">
        <v>44621</v>
      </c>
      <c r="C327" s="755">
        <v>404422</v>
      </c>
      <c r="D327" s="824"/>
      <c r="E327" s="884"/>
      <c r="F327" s="33" t="s">
        <v>1195</v>
      </c>
      <c r="G327" s="404" t="s">
        <v>4909</v>
      </c>
      <c r="H327" s="45">
        <v>265651456</v>
      </c>
      <c r="I327" s="377" t="s">
        <v>4906</v>
      </c>
      <c r="J327" s="774">
        <v>44662</v>
      </c>
      <c r="K327" s="917">
        <f t="shared" si="83"/>
        <v>265651456</v>
      </c>
      <c r="L327" s="910"/>
      <c r="M327" s="910"/>
      <c r="N327" s="910">
        <v>2922166.0160000003</v>
      </c>
      <c r="O327" s="910">
        <v>5313029.12</v>
      </c>
      <c r="P327" s="910"/>
      <c r="Q327" s="28">
        <f t="shared" si="84"/>
        <v>263260592.896</v>
      </c>
      <c r="R327" s="55"/>
      <c r="S327" s="301"/>
      <c r="T327" s="55"/>
      <c r="U327" s="24"/>
      <c r="V327" s="5"/>
      <c r="W327"/>
      <c r="X327"/>
      <c r="Y327"/>
      <c r="Z327"/>
      <c r="AA327"/>
      <c r="AB327"/>
      <c r="AC327"/>
      <c r="AD327"/>
      <c r="AE327"/>
      <c r="AF327"/>
      <c r="AG327"/>
      <c r="AH327"/>
      <c r="AI327"/>
      <c r="AJ327"/>
      <c r="AK327"/>
      <c r="AL327"/>
      <c r="AM327"/>
      <c r="AN327"/>
      <c r="AO327"/>
      <c r="AP327"/>
      <c r="AQ327"/>
      <c r="AR327"/>
    </row>
    <row r="328" spans="1:44" s="10" customFormat="1" ht="15.75" customHeight="1" x14ac:dyDescent="0.25">
      <c r="A328" s="55">
        <v>155</v>
      </c>
      <c r="B328" s="633">
        <v>44643</v>
      </c>
      <c r="C328" s="755"/>
      <c r="D328" s="824" t="s">
        <v>4741</v>
      </c>
      <c r="E328" s="884"/>
      <c r="F328" s="33" t="s">
        <v>4751</v>
      </c>
      <c r="G328" s="404" t="s">
        <v>5006</v>
      </c>
      <c r="H328" s="45">
        <v>1600000</v>
      </c>
      <c r="I328" s="377" t="s">
        <v>5005</v>
      </c>
      <c r="J328" s="774" t="s">
        <v>5003</v>
      </c>
      <c r="K328" s="917">
        <f t="shared" si="83"/>
        <v>1600000</v>
      </c>
      <c r="L328" s="910"/>
      <c r="M328" s="910"/>
      <c r="N328" s="28">
        <f t="shared" ref="N328:N331" si="85">K328*1%</f>
        <v>16000</v>
      </c>
      <c r="O328" s="28">
        <f t="shared" ref="O328:O331" si="86">K328*2%</f>
        <v>32000</v>
      </c>
      <c r="P328" s="910"/>
      <c r="Q328" s="28">
        <f t="shared" si="84"/>
        <v>1584000</v>
      </c>
      <c r="R328" s="55"/>
      <c r="S328" s="301"/>
      <c r="T328" s="55"/>
      <c r="U328" s="24"/>
      <c r="V328" s="5"/>
      <c r="W328"/>
      <c r="X328"/>
      <c r="Y328"/>
      <c r="Z328"/>
      <c r="AA328"/>
      <c r="AB328"/>
      <c r="AC328"/>
      <c r="AD328"/>
      <c r="AE328"/>
      <c r="AF328"/>
      <c r="AG328"/>
      <c r="AH328"/>
      <c r="AI328"/>
      <c r="AJ328"/>
      <c r="AK328"/>
      <c r="AL328"/>
      <c r="AM328"/>
      <c r="AN328"/>
      <c r="AO328"/>
      <c r="AP328"/>
      <c r="AQ328"/>
      <c r="AR328"/>
    </row>
    <row r="329" spans="1:44" s="10" customFormat="1" ht="15.75" customHeight="1" x14ac:dyDescent="0.25">
      <c r="A329" s="55">
        <v>156</v>
      </c>
      <c r="B329" s="633">
        <v>44643</v>
      </c>
      <c r="C329" s="755"/>
      <c r="D329" s="824" t="s">
        <v>4740</v>
      </c>
      <c r="E329" s="884"/>
      <c r="F329" s="33" t="s">
        <v>4751</v>
      </c>
      <c r="G329" s="404" t="s">
        <v>5007</v>
      </c>
      <c r="H329" s="45">
        <v>1600000</v>
      </c>
      <c r="I329" s="377" t="s">
        <v>5008</v>
      </c>
      <c r="J329" s="774" t="s">
        <v>5003</v>
      </c>
      <c r="K329" s="917">
        <f t="shared" si="83"/>
        <v>1600000</v>
      </c>
      <c r="L329" s="910"/>
      <c r="M329" s="910"/>
      <c r="N329" s="28">
        <f t="shared" si="85"/>
        <v>16000</v>
      </c>
      <c r="O329" s="28">
        <f t="shared" si="86"/>
        <v>32000</v>
      </c>
      <c r="P329" s="910"/>
      <c r="Q329" s="28">
        <f t="shared" si="84"/>
        <v>1584000</v>
      </c>
      <c r="R329" s="55"/>
      <c r="S329" s="301"/>
      <c r="T329" s="55"/>
      <c r="U329" s="24"/>
      <c r="V329" s="5"/>
      <c r="W329"/>
      <c r="X329"/>
      <c r="Y329"/>
      <c r="Z329"/>
      <c r="AA329"/>
      <c r="AB329"/>
      <c r="AC329"/>
      <c r="AD329"/>
      <c r="AE329"/>
      <c r="AF329"/>
      <c r="AG329"/>
      <c r="AH329"/>
      <c r="AI329"/>
      <c r="AJ329"/>
      <c r="AK329"/>
      <c r="AL329"/>
      <c r="AM329"/>
      <c r="AN329"/>
      <c r="AO329"/>
      <c r="AP329"/>
      <c r="AQ329"/>
      <c r="AR329"/>
    </row>
    <row r="330" spans="1:44" s="10" customFormat="1" ht="15.75" customHeight="1" x14ac:dyDescent="0.25">
      <c r="A330" s="55">
        <v>157</v>
      </c>
      <c r="B330" s="633">
        <v>44637</v>
      </c>
      <c r="C330" s="755">
        <v>404913</v>
      </c>
      <c r="D330" s="824"/>
      <c r="E330" s="884"/>
      <c r="F330" s="33" t="s">
        <v>3314</v>
      </c>
      <c r="G330" s="404" t="s">
        <v>5009</v>
      </c>
      <c r="H330" s="45">
        <v>2000000</v>
      </c>
      <c r="I330" s="377" t="s">
        <v>5010</v>
      </c>
      <c r="J330" s="774" t="s">
        <v>5003</v>
      </c>
      <c r="K330" s="917">
        <f t="shared" si="83"/>
        <v>2000000</v>
      </c>
      <c r="L330" s="910"/>
      <c r="M330" s="910"/>
      <c r="N330" s="28">
        <f t="shared" si="85"/>
        <v>20000</v>
      </c>
      <c r="O330" s="28">
        <f t="shared" si="86"/>
        <v>40000</v>
      </c>
      <c r="P330" s="910"/>
      <c r="Q330" s="28">
        <f t="shared" si="84"/>
        <v>1980000</v>
      </c>
      <c r="R330" s="55"/>
      <c r="S330" s="301"/>
      <c r="T330" s="55"/>
      <c r="U330" s="24"/>
      <c r="V330" s="5"/>
      <c r="W330"/>
      <c r="X330"/>
      <c r="Y330"/>
      <c r="Z330"/>
      <c r="AA330"/>
      <c r="AB330"/>
      <c r="AC330"/>
      <c r="AD330"/>
      <c r="AE330"/>
      <c r="AF330"/>
      <c r="AG330"/>
      <c r="AH330"/>
      <c r="AI330"/>
      <c r="AJ330"/>
      <c r="AK330"/>
      <c r="AL330"/>
      <c r="AM330"/>
      <c r="AN330"/>
      <c r="AO330"/>
      <c r="AP330"/>
      <c r="AQ330"/>
      <c r="AR330"/>
    </row>
    <row r="331" spans="1:44" s="10" customFormat="1" ht="15.75" customHeight="1" x14ac:dyDescent="0.25">
      <c r="A331" s="55">
        <v>158</v>
      </c>
      <c r="B331" s="633">
        <v>44645</v>
      </c>
      <c r="C331" s="755"/>
      <c r="D331" s="824" t="s">
        <v>4744</v>
      </c>
      <c r="E331" s="884"/>
      <c r="F331" s="33" t="s">
        <v>3314</v>
      </c>
      <c r="G331" s="404" t="s">
        <v>5011</v>
      </c>
      <c r="H331" s="45">
        <v>1600000</v>
      </c>
      <c r="I331" s="377" t="s">
        <v>5012</v>
      </c>
      <c r="J331" s="774" t="s">
        <v>5003</v>
      </c>
      <c r="K331" s="917">
        <f t="shared" si="83"/>
        <v>1600000</v>
      </c>
      <c r="L331" s="910"/>
      <c r="M331" s="910"/>
      <c r="N331" s="28">
        <f t="shared" si="85"/>
        <v>16000</v>
      </c>
      <c r="O331" s="28">
        <f t="shared" si="86"/>
        <v>32000</v>
      </c>
      <c r="P331" s="910"/>
      <c r="Q331" s="28">
        <f t="shared" si="84"/>
        <v>1584000</v>
      </c>
      <c r="R331" s="55"/>
      <c r="S331" s="301"/>
      <c r="T331" s="55"/>
      <c r="U331" s="24"/>
      <c r="V331" s="5"/>
      <c r="W331"/>
      <c r="X331"/>
      <c r="Y331"/>
      <c r="Z331"/>
      <c r="AA331"/>
      <c r="AB331"/>
      <c r="AC331"/>
      <c r="AD331"/>
      <c r="AE331"/>
      <c r="AF331"/>
      <c r="AG331"/>
      <c r="AH331"/>
      <c r="AI331"/>
      <c r="AJ331"/>
      <c r="AK331"/>
      <c r="AL331"/>
      <c r="AM331"/>
      <c r="AN331"/>
      <c r="AO331"/>
      <c r="AP331"/>
      <c r="AQ331"/>
      <c r="AR331"/>
    </row>
    <row r="332" spans="1:44" s="10" customFormat="1" ht="15.75" customHeight="1" x14ac:dyDescent="0.25">
      <c r="A332" s="55">
        <f>A323+1</f>
        <v>22</v>
      </c>
      <c r="B332" s="633">
        <v>44621</v>
      </c>
      <c r="C332" s="755"/>
      <c r="D332" s="824" t="s">
        <v>2892</v>
      </c>
      <c r="E332" s="884"/>
      <c r="F332" s="33" t="s">
        <v>3982</v>
      </c>
      <c r="G332" s="404" t="s">
        <v>988</v>
      </c>
      <c r="H332" s="45">
        <v>2480000</v>
      </c>
      <c r="I332" s="377" t="s">
        <v>4015</v>
      </c>
      <c r="J332" s="774">
        <v>44621</v>
      </c>
      <c r="K332" s="928">
        <f t="shared" si="75"/>
        <v>2480000</v>
      </c>
      <c r="L332" s="846"/>
      <c r="M332" s="846"/>
      <c r="N332" s="894"/>
      <c r="O332" s="846"/>
      <c r="P332" s="846"/>
      <c r="Q332" s="28">
        <f t="shared" si="76"/>
        <v>2480000</v>
      </c>
      <c r="R332" s="55"/>
      <c r="S332" s="301"/>
      <c r="T332" s="55">
        <v>14</v>
      </c>
      <c r="U332" s="197">
        <f t="shared" ref="U332" si="87">J332+T332</f>
        <v>44635</v>
      </c>
      <c r="V332" s="5"/>
      <c r="W332"/>
      <c r="X332"/>
      <c r="Y332"/>
      <c r="Z332"/>
      <c r="AA332"/>
      <c r="AB332"/>
      <c r="AC332"/>
      <c r="AD332"/>
      <c r="AE332"/>
      <c r="AF332"/>
      <c r="AG332"/>
      <c r="AH332"/>
      <c r="AI332"/>
      <c r="AJ332"/>
      <c r="AK332"/>
      <c r="AL332"/>
      <c r="AM332"/>
      <c r="AN332"/>
      <c r="AO332"/>
      <c r="AP332"/>
      <c r="AQ332"/>
      <c r="AR332"/>
    </row>
    <row r="333" spans="1:44" s="10" customFormat="1" ht="15.75" customHeight="1" x14ac:dyDescent="0.25">
      <c r="A333" s="55">
        <f t="shared" si="77"/>
        <v>23</v>
      </c>
      <c r="B333" s="633">
        <v>44621</v>
      </c>
      <c r="C333" s="755"/>
      <c r="D333" s="824" t="s">
        <v>3058</v>
      </c>
      <c r="E333" s="884"/>
      <c r="F333" s="33" t="s">
        <v>4017</v>
      </c>
      <c r="G333" s="404" t="s">
        <v>988</v>
      </c>
      <c r="H333" s="45">
        <v>1183500</v>
      </c>
      <c r="I333" s="377" t="s">
        <v>4016</v>
      </c>
      <c r="J333" s="774">
        <v>44621</v>
      </c>
      <c r="K333" s="928">
        <f t="shared" si="75"/>
        <v>1183500</v>
      </c>
      <c r="L333" s="866"/>
      <c r="M333" s="866"/>
      <c r="N333" s="894"/>
      <c r="O333" s="866"/>
      <c r="P333" s="866"/>
      <c r="Q333" s="28">
        <f t="shared" si="76"/>
        <v>1183500</v>
      </c>
      <c r="R333" s="55"/>
      <c r="S333" s="301"/>
      <c r="T333" s="55">
        <v>14</v>
      </c>
      <c r="U333" s="24"/>
      <c r="V333" s="5"/>
      <c r="W333"/>
      <c r="X333"/>
      <c r="Y333"/>
      <c r="Z333"/>
      <c r="AA333"/>
      <c r="AB333"/>
      <c r="AC333"/>
      <c r="AD333"/>
      <c r="AE333"/>
      <c r="AF333"/>
      <c r="AG333"/>
      <c r="AH333"/>
      <c r="AI333"/>
      <c r="AJ333"/>
      <c r="AK333"/>
      <c r="AL333"/>
      <c r="AM333"/>
      <c r="AN333"/>
      <c r="AO333"/>
      <c r="AP333"/>
      <c r="AQ333"/>
      <c r="AR333"/>
    </row>
    <row r="334" spans="1:44" s="10" customFormat="1" ht="15.75" customHeight="1" x14ac:dyDescent="0.25">
      <c r="A334" s="55">
        <f t="shared" si="77"/>
        <v>24</v>
      </c>
      <c r="B334" s="633">
        <v>44621</v>
      </c>
      <c r="C334" s="755"/>
      <c r="D334" s="824" t="s">
        <v>2929</v>
      </c>
      <c r="E334" s="884"/>
      <c r="F334" s="33" t="s">
        <v>4019</v>
      </c>
      <c r="G334" s="404" t="s">
        <v>988</v>
      </c>
      <c r="H334" s="45">
        <v>464000</v>
      </c>
      <c r="I334" s="377" t="s">
        <v>4018</v>
      </c>
      <c r="J334" s="774">
        <v>44621</v>
      </c>
      <c r="K334" s="928">
        <f t="shared" si="75"/>
        <v>464000</v>
      </c>
      <c r="L334" s="866"/>
      <c r="M334" s="866"/>
      <c r="N334" s="894"/>
      <c r="O334" s="866"/>
      <c r="P334" s="866">
        <v>464000</v>
      </c>
      <c r="Q334" s="28">
        <f t="shared" si="76"/>
        <v>0</v>
      </c>
      <c r="R334" s="55"/>
      <c r="S334" s="301">
        <v>44623</v>
      </c>
      <c r="T334" s="55">
        <v>14</v>
      </c>
      <c r="U334" s="24">
        <f t="shared" ref="U334:U335" si="88">J334+T334</f>
        <v>44635</v>
      </c>
      <c r="V334" s="5"/>
      <c r="W334"/>
      <c r="X334"/>
      <c r="Y334"/>
      <c r="Z334"/>
      <c r="AA334"/>
      <c r="AB334"/>
      <c r="AC334"/>
      <c r="AD334"/>
      <c r="AE334"/>
      <c r="AF334"/>
      <c r="AG334"/>
      <c r="AH334"/>
      <c r="AI334"/>
      <c r="AJ334"/>
      <c r="AK334"/>
      <c r="AL334"/>
      <c r="AM334"/>
      <c r="AN334"/>
      <c r="AO334"/>
      <c r="AP334"/>
      <c r="AQ334"/>
      <c r="AR334"/>
    </row>
    <row r="335" spans="1:44" s="10" customFormat="1" ht="15.75" customHeight="1" x14ac:dyDescent="0.25">
      <c r="A335" s="55">
        <f t="shared" si="77"/>
        <v>25</v>
      </c>
      <c r="B335" s="633">
        <v>44621</v>
      </c>
      <c r="C335" s="755"/>
      <c r="D335" s="824" t="s">
        <v>2929</v>
      </c>
      <c r="E335" s="884"/>
      <c r="F335" s="33" t="s">
        <v>4021</v>
      </c>
      <c r="G335" s="404" t="s">
        <v>988</v>
      </c>
      <c r="H335" s="45">
        <v>150000</v>
      </c>
      <c r="I335" s="377" t="s">
        <v>4020</v>
      </c>
      <c r="J335" s="774">
        <v>44621</v>
      </c>
      <c r="K335" s="928">
        <f t="shared" si="75"/>
        <v>150000</v>
      </c>
      <c r="L335" s="866"/>
      <c r="M335" s="866"/>
      <c r="N335" s="894"/>
      <c r="O335" s="866"/>
      <c r="P335" s="866">
        <v>150000</v>
      </c>
      <c r="Q335" s="28">
        <f t="shared" si="76"/>
        <v>0</v>
      </c>
      <c r="R335" s="55"/>
      <c r="S335" s="301">
        <v>44619</v>
      </c>
      <c r="T335" s="55">
        <v>14</v>
      </c>
      <c r="U335" s="24">
        <f t="shared" si="88"/>
        <v>44635</v>
      </c>
      <c r="V335" s="5"/>
      <c r="W335"/>
      <c r="X335"/>
      <c r="Y335"/>
      <c r="Z335"/>
      <c r="AA335"/>
      <c r="AB335"/>
      <c r="AC335"/>
      <c r="AD335"/>
      <c r="AE335"/>
      <c r="AF335"/>
      <c r="AG335"/>
      <c r="AH335"/>
      <c r="AI335"/>
      <c r="AJ335"/>
      <c r="AK335"/>
      <c r="AL335"/>
      <c r="AM335"/>
      <c r="AN335"/>
      <c r="AO335"/>
      <c r="AP335"/>
      <c r="AQ335"/>
      <c r="AR335"/>
    </row>
    <row r="336" spans="1:44" s="10" customFormat="1" ht="15.75" customHeight="1" x14ac:dyDescent="0.25">
      <c r="A336" s="55">
        <f t="shared" si="77"/>
        <v>26</v>
      </c>
      <c r="B336" s="633">
        <v>44621</v>
      </c>
      <c r="C336" s="755"/>
      <c r="D336" s="824" t="s">
        <v>2931</v>
      </c>
      <c r="E336" s="884"/>
      <c r="F336" s="33" t="s">
        <v>4017</v>
      </c>
      <c r="G336" s="404" t="s">
        <v>988</v>
      </c>
      <c r="H336" s="45">
        <v>225000</v>
      </c>
      <c r="I336" s="377" t="s">
        <v>4022</v>
      </c>
      <c r="J336" s="774">
        <v>44621</v>
      </c>
      <c r="K336" s="928">
        <f t="shared" si="75"/>
        <v>225000</v>
      </c>
      <c r="L336" s="866"/>
      <c r="M336" s="866"/>
      <c r="N336" s="894"/>
      <c r="O336" s="866"/>
      <c r="P336" s="866"/>
      <c r="Q336" s="28">
        <f t="shared" si="76"/>
        <v>225000</v>
      </c>
      <c r="R336" s="55"/>
      <c r="S336" s="301"/>
      <c r="T336" s="55">
        <v>14</v>
      </c>
      <c r="U336" s="24"/>
      <c r="V336" s="5"/>
      <c r="W336"/>
      <c r="X336"/>
      <c r="Y336"/>
      <c r="Z336"/>
      <c r="AA336"/>
      <c r="AB336"/>
      <c r="AC336"/>
      <c r="AD336"/>
      <c r="AE336"/>
      <c r="AF336"/>
      <c r="AG336"/>
      <c r="AH336"/>
      <c r="AI336"/>
      <c r="AJ336"/>
      <c r="AK336"/>
      <c r="AL336"/>
      <c r="AM336"/>
      <c r="AN336"/>
      <c r="AO336"/>
      <c r="AP336"/>
      <c r="AQ336"/>
      <c r="AR336"/>
    </row>
    <row r="337" spans="1:44" s="10" customFormat="1" ht="15.75" customHeight="1" x14ac:dyDescent="0.25">
      <c r="A337" s="55">
        <f t="shared" si="77"/>
        <v>27</v>
      </c>
      <c r="B337" s="633">
        <v>44621</v>
      </c>
      <c r="C337" s="755"/>
      <c r="D337" s="824" t="s">
        <v>4024</v>
      </c>
      <c r="E337" s="884"/>
      <c r="F337" s="33" t="s">
        <v>4019</v>
      </c>
      <c r="G337" s="404" t="s">
        <v>988</v>
      </c>
      <c r="H337" s="45">
        <v>200000</v>
      </c>
      <c r="I337" s="377" t="s">
        <v>4023</v>
      </c>
      <c r="J337" s="774">
        <v>44621</v>
      </c>
      <c r="K337" s="928">
        <f t="shared" si="75"/>
        <v>200000</v>
      </c>
      <c r="L337" s="866"/>
      <c r="M337" s="866"/>
      <c r="N337" s="894"/>
      <c r="O337" s="866"/>
      <c r="P337" s="866">
        <v>200000</v>
      </c>
      <c r="Q337" s="28">
        <f t="shared" si="76"/>
        <v>0</v>
      </c>
      <c r="R337" s="55"/>
      <c r="S337" s="301">
        <v>44623</v>
      </c>
      <c r="T337" s="55">
        <v>14</v>
      </c>
      <c r="U337" s="24">
        <f t="shared" ref="U337:U341" si="89">J337+T337</f>
        <v>44635</v>
      </c>
      <c r="V337" s="5"/>
      <c r="W337"/>
      <c r="X337"/>
      <c r="Y337"/>
      <c r="Z337"/>
      <c r="AA337"/>
      <c r="AB337"/>
      <c r="AC337"/>
      <c r="AD337"/>
      <c r="AE337"/>
      <c r="AF337"/>
      <c r="AG337"/>
      <c r="AH337"/>
      <c r="AI337"/>
      <c r="AJ337"/>
      <c r="AK337"/>
      <c r="AL337"/>
      <c r="AM337"/>
      <c r="AN337"/>
      <c r="AO337"/>
      <c r="AP337"/>
      <c r="AQ337"/>
      <c r="AR337"/>
    </row>
    <row r="338" spans="1:44" s="10" customFormat="1" ht="15.75" customHeight="1" x14ac:dyDescent="0.25">
      <c r="A338" s="55">
        <f t="shared" si="77"/>
        <v>28</v>
      </c>
      <c r="B338" s="633">
        <v>44621</v>
      </c>
      <c r="C338" s="755"/>
      <c r="D338" s="824" t="s">
        <v>4038</v>
      </c>
      <c r="E338" s="884"/>
      <c r="F338" s="33" t="s">
        <v>4039</v>
      </c>
      <c r="G338" s="404" t="s">
        <v>988</v>
      </c>
      <c r="H338" s="45">
        <v>1144000</v>
      </c>
      <c r="I338" s="377" t="s">
        <v>4037</v>
      </c>
      <c r="J338" s="774">
        <v>44622</v>
      </c>
      <c r="K338" s="928">
        <f t="shared" si="75"/>
        <v>1144000</v>
      </c>
      <c r="L338" s="866"/>
      <c r="M338" s="866"/>
      <c r="N338" s="894"/>
      <c r="O338" s="866"/>
      <c r="P338" s="866">
        <v>1144000</v>
      </c>
      <c r="Q338" s="28">
        <f t="shared" si="76"/>
        <v>0</v>
      </c>
      <c r="R338" s="55"/>
      <c r="S338" s="301">
        <v>44623</v>
      </c>
      <c r="T338" s="55">
        <v>14</v>
      </c>
      <c r="U338" s="24">
        <f t="shared" si="89"/>
        <v>44636</v>
      </c>
      <c r="V338" s="5"/>
      <c r="W338"/>
      <c r="X338"/>
      <c r="Y338"/>
      <c r="Z338"/>
      <c r="AA338"/>
      <c r="AB338"/>
      <c r="AC338"/>
      <c r="AD338"/>
      <c r="AE338"/>
      <c r="AF338"/>
      <c r="AG338"/>
      <c r="AH338"/>
      <c r="AI338"/>
      <c r="AJ338"/>
      <c r="AK338"/>
      <c r="AL338"/>
      <c r="AM338"/>
      <c r="AN338"/>
      <c r="AO338"/>
      <c r="AP338"/>
      <c r="AQ338"/>
      <c r="AR338"/>
    </row>
    <row r="339" spans="1:44" s="10" customFormat="1" ht="15.75" customHeight="1" x14ac:dyDescent="0.25">
      <c r="A339" s="55">
        <f t="shared" si="77"/>
        <v>29</v>
      </c>
      <c r="B339" s="633">
        <v>44622</v>
      </c>
      <c r="C339" s="755">
        <v>403834</v>
      </c>
      <c r="D339" s="824" t="s">
        <v>4052</v>
      </c>
      <c r="E339" s="884"/>
      <c r="F339" s="33" t="s">
        <v>4019</v>
      </c>
      <c r="G339" s="404" t="s">
        <v>988</v>
      </c>
      <c r="H339" s="45">
        <v>572000</v>
      </c>
      <c r="I339" s="377" t="s">
        <v>4051</v>
      </c>
      <c r="J339" s="774">
        <v>44622</v>
      </c>
      <c r="K339" s="928">
        <f t="shared" si="75"/>
        <v>572000</v>
      </c>
      <c r="L339" s="866"/>
      <c r="M339" s="866"/>
      <c r="N339" s="894"/>
      <c r="O339" s="866"/>
      <c r="P339" s="866">
        <v>572000</v>
      </c>
      <c r="Q339" s="28">
        <f t="shared" si="76"/>
        <v>0</v>
      </c>
      <c r="R339" s="55"/>
      <c r="S339" s="301">
        <v>44624</v>
      </c>
      <c r="T339" s="55">
        <v>14</v>
      </c>
      <c r="U339" s="24">
        <f t="shared" si="89"/>
        <v>44636</v>
      </c>
      <c r="V339" s="5"/>
      <c r="W339"/>
      <c r="X339"/>
      <c r="Y339"/>
      <c r="Z339"/>
      <c r="AA339"/>
      <c r="AB339"/>
      <c r="AC339"/>
      <c r="AD339"/>
      <c r="AE339"/>
      <c r="AF339"/>
      <c r="AG339"/>
      <c r="AH339"/>
      <c r="AI339"/>
      <c r="AJ339"/>
      <c r="AK339"/>
      <c r="AL339"/>
      <c r="AM339"/>
      <c r="AN339"/>
      <c r="AO339"/>
      <c r="AP339"/>
      <c r="AQ339"/>
      <c r="AR339"/>
    </row>
    <row r="340" spans="1:44" s="10" customFormat="1" ht="15.75" customHeight="1" x14ac:dyDescent="0.25">
      <c r="A340" s="55">
        <f t="shared" si="77"/>
        <v>30</v>
      </c>
      <c r="B340" s="633">
        <v>44622</v>
      </c>
      <c r="C340" s="755">
        <v>403836</v>
      </c>
      <c r="D340" s="824" t="s">
        <v>4054</v>
      </c>
      <c r="E340" s="884"/>
      <c r="F340" s="33" t="s">
        <v>4019</v>
      </c>
      <c r="G340" s="404" t="s">
        <v>988</v>
      </c>
      <c r="H340" s="45">
        <v>324000</v>
      </c>
      <c r="I340" s="377" t="s">
        <v>4053</v>
      </c>
      <c r="J340" s="774">
        <v>44622</v>
      </c>
      <c r="K340" s="928">
        <f t="shared" si="75"/>
        <v>324000</v>
      </c>
      <c r="L340" s="866"/>
      <c r="M340" s="866"/>
      <c r="N340" s="894"/>
      <c r="O340" s="866"/>
      <c r="P340" s="866">
        <v>324000</v>
      </c>
      <c r="Q340" s="28">
        <f t="shared" si="76"/>
        <v>0</v>
      </c>
      <c r="R340" s="55"/>
      <c r="S340" s="301">
        <v>44624</v>
      </c>
      <c r="T340" s="55">
        <v>14</v>
      </c>
      <c r="U340" s="24">
        <f t="shared" si="89"/>
        <v>44636</v>
      </c>
      <c r="V340" s="5"/>
      <c r="W340"/>
      <c r="X340"/>
      <c r="Y340"/>
      <c r="Z340"/>
      <c r="AA340"/>
      <c r="AB340"/>
      <c r="AC340"/>
      <c r="AD340"/>
      <c r="AE340"/>
      <c r="AF340"/>
      <c r="AG340"/>
      <c r="AH340"/>
      <c r="AI340"/>
      <c r="AJ340"/>
      <c r="AK340"/>
      <c r="AL340"/>
      <c r="AM340"/>
      <c r="AN340"/>
      <c r="AO340"/>
      <c r="AP340"/>
      <c r="AQ340"/>
      <c r="AR340"/>
    </row>
    <row r="341" spans="1:44" s="10" customFormat="1" ht="15.75" customHeight="1" x14ac:dyDescent="0.25">
      <c r="A341" s="55">
        <f t="shared" si="77"/>
        <v>31</v>
      </c>
      <c r="B341" s="633">
        <v>44624</v>
      </c>
      <c r="C341" s="755"/>
      <c r="D341" s="824" t="s">
        <v>4066</v>
      </c>
      <c r="E341" s="884"/>
      <c r="F341" s="33" t="s">
        <v>4067</v>
      </c>
      <c r="G341" s="404" t="s">
        <v>4065</v>
      </c>
      <c r="H341" s="45">
        <v>5332500</v>
      </c>
      <c r="I341" s="377" t="s">
        <v>4064</v>
      </c>
      <c r="J341" s="774">
        <v>44624</v>
      </c>
      <c r="K341" s="928">
        <f t="shared" si="75"/>
        <v>5332500</v>
      </c>
      <c r="L341" s="866"/>
      <c r="M341" s="866"/>
      <c r="N341" s="894"/>
      <c r="O341" s="866"/>
      <c r="P341" s="866"/>
      <c r="Q341" s="28">
        <f t="shared" si="76"/>
        <v>5332500</v>
      </c>
      <c r="R341" s="55"/>
      <c r="S341" s="301"/>
      <c r="T341" s="55">
        <v>14</v>
      </c>
      <c r="U341" s="24">
        <f t="shared" si="89"/>
        <v>44638</v>
      </c>
      <c r="V341" s="5"/>
      <c r="W341" t="s">
        <v>4520</v>
      </c>
      <c r="X341"/>
      <c r="Y341"/>
      <c r="Z341"/>
      <c r="AA341"/>
      <c r="AB341"/>
      <c r="AC341"/>
      <c r="AD341"/>
      <c r="AE341"/>
      <c r="AF341"/>
      <c r="AG341"/>
      <c r="AH341"/>
      <c r="AI341"/>
      <c r="AJ341"/>
      <c r="AK341"/>
      <c r="AL341"/>
      <c r="AM341"/>
      <c r="AN341"/>
      <c r="AO341"/>
      <c r="AP341"/>
      <c r="AQ341"/>
      <c r="AR341"/>
    </row>
    <row r="342" spans="1:44" s="10" customFormat="1" ht="15.75" customHeight="1" x14ac:dyDescent="0.25">
      <c r="A342" s="55">
        <f t="shared" si="77"/>
        <v>32</v>
      </c>
      <c r="B342" s="633">
        <v>44624</v>
      </c>
      <c r="C342" s="755">
        <v>404912</v>
      </c>
      <c r="D342" s="824" t="s">
        <v>4069</v>
      </c>
      <c r="E342" s="884"/>
      <c r="F342" s="33" t="s">
        <v>933</v>
      </c>
      <c r="G342" s="404" t="s">
        <v>4070</v>
      </c>
      <c r="H342" s="45">
        <v>15840000</v>
      </c>
      <c r="I342" s="925" t="s">
        <v>4068</v>
      </c>
      <c r="J342" s="774">
        <v>44624</v>
      </c>
      <c r="K342" s="928">
        <f t="shared" si="75"/>
        <v>15840000</v>
      </c>
      <c r="L342" s="866"/>
      <c r="M342" s="866"/>
      <c r="N342" s="894"/>
      <c r="O342" s="866"/>
      <c r="P342" s="866"/>
      <c r="Q342" s="28">
        <f t="shared" si="76"/>
        <v>15840000</v>
      </c>
      <c r="R342" s="55"/>
      <c r="S342" s="301"/>
      <c r="T342" s="55">
        <v>30</v>
      </c>
      <c r="U342" s="24">
        <f t="shared" ref="U342:U343" si="90">J342+T342</f>
        <v>44654</v>
      </c>
      <c r="V342" s="5"/>
      <c r="W342"/>
      <c r="X342"/>
      <c r="Y342"/>
      <c r="Z342"/>
      <c r="AA342"/>
      <c r="AB342"/>
      <c r="AC342"/>
      <c r="AD342"/>
      <c r="AE342"/>
      <c r="AF342"/>
      <c r="AG342"/>
      <c r="AH342"/>
      <c r="AI342"/>
      <c r="AJ342"/>
      <c r="AK342"/>
      <c r="AL342"/>
      <c r="AM342"/>
      <c r="AN342"/>
      <c r="AO342"/>
      <c r="AP342"/>
      <c r="AQ342"/>
      <c r="AR342"/>
    </row>
    <row r="343" spans="1:44" s="10" customFormat="1" ht="15.75" customHeight="1" x14ac:dyDescent="0.25">
      <c r="A343" s="55">
        <f t="shared" si="77"/>
        <v>33</v>
      </c>
      <c r="B343" s="633">
        <v>44625</v>
      </c>
      <c r="C343" s="755" t="s">
        <v>4079</v>
      </c>
      <c r="D343" s="824" t="s">
        <v>4078</v>
      </c>
      <c r="E343" s="884"/>
      <c r="F343" s="33" t="s">
        <v>4077</v>
      </c>
      <c r="G343" s="404" t="s">
        <v>190</v>
      </c>
      <c r="H343" s="45">
        <v>700000</v>
      </c>
      <c r="I343" s="377" t="s">
        <v>4076</v>
      </c>
      <c r="J343" s="774">
        <v>44627</v>
      </c>
      <c r="K343" s="928">
        <f t="shared" si="75"/>
        <v>700000</v>
      </c>
      <c r="L343" s="866"/>
      <c r="M343" s="866"/>
      <c r="N343" s="894"/>
      <c r="O343" s="866"/>
      <c r="P343" s="866">
        <v>700000</v>
      </c>
      <c r="Q343" s="28">
        <f t="shared" si="76"/>
        <v>0</v>
      </c>
      <c r="R343" s="55"/>
      <c r="S343" s="301">
        <v>44627</v>
      </c>
      <c r="T343" s="55">
        <v>14</v>
      </c>
      <c r="U343" s="24">
        <f t="shared" si="90"/>
        <v>44641</v>
      </c>
      <c r="V343" s="5"/>
      <c r="W343" t="s">
        <v>4522</v>
      </c>
      <c r="X343"/>
      <c r="Y343"/>
      <c r="Z343"/>
      <c r="AA343"/>
      <c r="AB343"/>
      <c r="AC343"/>
      <c r="AD343"/>
      <c r="AE343"/>
      <c r="AF343"/>
      <c r="AG343"/>
      <c r="AH343"/>
      <c r="AI343"/>
      <c r="AJ343"/>
      <c r="AK343"/>
      <c r="AL343"/>
      <c r="AM343"/>
      <c r="AN343"/>
      <c r="AO343"/>
      <c r="AP343"/>
      <c r="AQ343"/>
      <c r="AR343"/>
    </row>
    <row r="344" spans="1:44" s="10" customFormat="1" ht="15.75" customHeight="1" x14ac:dyDescent="0.25">
      <c r="A344" s="55">
        <f t="shared" si="77"/>
        <v>34</v>
      </c>
      <c r="B344" s="633">
        <v>44627</v>
      </c>
      <c r="C344" s="879" t="s">
        <v>4082</v>
      </c>
      <c r="D344" s="824" t="s">
        <v>4081</v>
      </c>
      <c r="E344" s="884"/>
      <c r="F344" s="33" t="s">
        <v>4083</v>
      </c>
      <c r="G344" s="404" t="s">
        <v>521</v>
      </c>
      <c r="H344" s="45">
        <v>499000</v>
      </c>
      <c r="I344" s="377" t="s">
        <v>4080</v>
      </c>
      <c r="J344" s="774">
        <v>44627</v>
      </c>
      <c r="K344" s="928">
        <f t="shared" si="75"/>
        <v>499000</v>
      </c>
      <c r="L344" s="876"/>
      <c r="M344" s="876"/>
      <c r="N344" s="894"/>
      <c r="O344" s="876"/>
      <c r="P344" s="876">
        <v>499000</v>
      </c>
      <c r="Q344" s="28">
        <f t="shared" si="76"/>
        <v>0</v>
      </c>
      <c r="R344" s="55"/>
      <c r="S344" s="301">
        <v>44628</v>
      </c>
      <c r="T344" s="55">
        <v>14</v>
      </c>
      <c r="U344" s="197">
        <f t="shared" ref="U344" si="91">J344+T344</f>
        <v>44641</v>
      </c>
      <c r="V344" s="5"/>
      <c r="W344"/>
      <c r="X344"/>
      <c r="Y344"/>
      <c r="Z344"/>
      <c r="AA344"/>
      <c r="AB344"/>
      <c r="AC344"/>
      <c r="AD344"/>
      <c r="AE344"/>
      <c r="AF344"/>
      <c r="AG344"/>
      <c r="AH344"/>
      <c r="AI344"/>
      <c r="AJ344"/>
      <c r="AK344"/>
      <c r="AL344"/>
      <c r="AM344"/>
      <c r="AN344"/>
      <c r="AO344"/>
      <c r="AP344"/>
      <c r="AQ344"/>
      <c r="AR344"/>
    </row>
    <row r="345" spans="1:44" s="10" customFormat="1" ht="15.75" customHeight="1" x14ac:dyDescent="0.25">
      <c r="A345" s="55">
        <f t="shared" si="77"/>
        <v>35</v>
      </c>
      <c r="B345" s="633">
        <v>44624</v>
      </c>
      <c r="C345" s="878" t="s">
        <v>4086</v>
      </c>
      <c r="D345" s="824" t="s">
        <v>2978</v>
      </c>
      <c r="E345" s="884"/>
      <c r="F345" s="33" t="s">
        <v>4084</v>
      </c>
      <c r="G345" s="404" t="s">
        <v>988</v>
      </c>
      <c r="H345" s="45">
        <v>225000</v>
      </c>
      <c r="I345" s="377" t="s">
        <v>4085</v>
      </c>
      <c r="J345" s="774">
        <v>44627</v>
      </c>
      <c r="K345" s="928">
        <f t="shared" si="75"/>
        <v>225000</v>
      </c>
      <c r="L345" s="876"/>
      <c r="M345" s="876"/>
      <c r="N345" s="876"/>
      <c r="O345" s="876"/>
      <c r="P345" s="876"/>
      <c r="Q345" s="28">
        <f t="shared" si="76"/>
        <v>225000</v>
      </c>
      <c r="R345" s="55"/>
      <c r="S345" s="301"/>
      <c r="T345" s="55">
        <v>14</v>
      </c>
      <c r="U345" s="24"/>
      <c r="V345" s="5"/>
      <c r="W345"/>
      <c r="X345"/>
      <c r="Y345"/>
      <c r="Z345"/>
      <c r="AA345"/>
      <c r="AB345"/>
      <c r="AC345"/>
      <c r="AD345"/>
      <c r="AE345"/>
      <c r="AF345"/>
      <c r="AG345"/>
      <c r="AH345"/>
      <c r="AI345"/>
      <c r="AJ345"/>
      <c r="AK345"/>
      <c r="AL345"/>
      <c r="AM345"/>
      <c r="AN345"/>
      <c r="AO345"/>
      <c r="AP345"/>
      <c r="AQ345"/>
      <c r="AR345"/>
    </row>
    <row r="346" spans="1:44" s="10" customFormat="1" ht="15.75" customHeight="1" x14ac:dyDescent="0.25">
      <c r="A346" s="55">
        <f t="shared" si="77"/>
        <v>36</v>
      </c>
      <c r="B346" s="633">
        <v>44624</v>
      </c>
      <c r="C346" s="755" t="s">
        <v>4088</v>
      </c>
      <c r="D346" s="824" t="s">
        <v>3218</v>
      </c>
      <c r="E346" s="884"/>
      <c r="F346" s="33" t="s">
        <v>4019</v>
      </c>
      <c r="G346" s="404" t="s">
        <v>988</v>
      </c>
      <c r="H346" s="45">
        <v>556000</v>
      </c>
      <c r="I346" s="377" t="s">
        <v>4087</v>
      </c>
      <c r="J346" s="774">
        <v>44627</v>
      </c>
      <c r="K346" s="928">
        <f t="shared" si="75"/>
        <v>556000</v>
      </c>
      <c r="L346" s="876"/>
      <c r="M346" s="876"/>
      <c r="N346" s="876"/>
      <c r="O346" s="876"/>
      <c r="P346" s="876">
        <v>556000</v>
      </c>
      <c r="Q346" s="28">
        <f t="shared" si="76"/>
        <v>0</v>
      </c>
      <c r="R346" s="55"/>
      <c r="S346" s="301">
        <v>44628</v>
      </c>
      <c r="T346" s="55">
        <v>14</v>
      </c>
      <c r="U346" s="24">
        <f t="shared" ref="U346:U347" si="92">J346+T346</f>
        <v>44641</v>
      </c>
      <c r="V346" s="5"/>
      <c r="W346"/>
      <c r="X346"/>
      <c r="Y346"/>
      <c r="Z346"/>
      <c r="AA346"/>
      <c r="AB346"/>
      <c r="AC346"/>
      <c r="AD346"/>
      <c r="AE346"/>
      <c r="AF346"/>
      <c r="AG346"/>
      <c r="AH346"/>
      <c r="AI346"/>
      <c r="AJ346"/>
      <c r="AK346"/>
      <c r="AL346"/>
      <c r="AM346"/>
      <c r="AN346"/>
      <c r="AO346"/>
      <c r="AP346"/>
      <c r="AQ346"/>
      <c r="AR346"/>
    </row>
    <row r="347" spans="1:44" s="10" customFormat="1" ht="15.75" customHeight="1" x14ac:dyDescent="0.25">
      <c r="A347" s="55">
        <f t="shared" si="77"/>
        <v>37</v>
      </c>
      <c r="B347" s="633">
        <v>44624</v>
      </c>
      <c r="C347" s="755" t="s">
        <v>4090</v>
      </c>
      <c r="D347" s="824" t="s">
        <v>2965</v>
      </c>
      <c r="E347" s="884"/>
      <c r="F347" s="33" t="s">
        <v>4019</v>
      </c>
      <c r="G347" s="404" t="s">
        <v>988</v>
      </c>
      <c r="H347" s="45">
        <v>200000</v>
      </c>
      <c r="I347" s="377" t="s">
        <v>4089</v>
      </c>
      <c r="J347" s="774">
        <v>44627</v>
      </c>
      <c r="K347" s="928">
        <f t="shared" si="75"/>
        <v>200000</v>
      </c>
      <c r="L347" s="876"/>
      <c r="M347" s="876"/>
      <c r="N347" s="876"/>
      <c r="O347" s="876"/>
      <c r="P347" s="876">
        <v>200000</v>
      </c>
      <c r="Q347" s="28">
        <f t="shared" si="76"/>
        <v>0</v>
      </c>
      <c r="R347" s="55"/>
      <c r="S347" s="301">
        <v>44628</v>
      </c>
      <c r="T347" s="55">
        <v>14</v>
      </c>
      <c r="U347" s="24">
        <f t="shared" si="92"/>
        <v>44641</v>
      </c>
      <c r="V347" s="5"/>
      <c r="W347"/>
      <c r="X347"/>
      <c r="Y347"/>
      <c r="Z347"/>
      <c r="AA347"/>
      <c r="AB347"/>
      <c r="AC347"/>
      <c r="AD347"/>
      <c r="AE347"/>
      <c r="AF347"/>
      <c r="AG347"/>
      <c r="AH347"/>
      <c r="AI347"/>
      <c r="AJ347"/>
      <c r="AK347"/>
      <c r="AL347"/>
      <c r="AM347"/>
      <c r="AN347"/>
      <c r="AO347"/>
      <c r="AP347"/>
      <c r="AQ347"/>
      <c r="AR347"/>
    </row>
    <row r="348" spans="1:44" s="10" customFormat="1" ht="15.75" customHeight="1" x14ac:dyDescent="0.25">
      <c r="A348" s="55">
        <f t="shared" si="77"/>
        <v>38</v>
      </c>
      <c r="B348" s="633">
        <v>44625</v>
      </c>
      <c r="C348" s="755"/>
      <c r="D348" s="824" t="s">
        <v>4092</v>
      </c>
      <c r="E348" s="884"/>
      <c r="F348" s="33" t="s">
        <v>4084</v>
      </c>
      <c r="G348" s="404" t="s">
        <v>988</v>
      </c>
      <c r="H348" s="45">
        <v>225000</v>
      </c>
      <c r="I348" s="377" t="s">
        <v>4091</v>
      </c>
      <c r="J348" s="774">
        <v>44627</v>
      </c>
      <c r="K348" s="928">
        <f t="shared" si="75"/>
        <v>225000</v>
      </c>
      <c r="L348" s="876"/>
      <c r="M348" s="876"/>
      <c r="N348" s="876"/>
      <c r="O348" s="876"/>
      <c r="P348" s="876"/>
      <c r="Q348" s="28">
        <f t="shared" si="76"/>
        <v>225000</v>
      </c>
      <c r="R348" s="55"/>
      <c r="S348" s="301"/>
      <c r="T348" s="55">
        <v>14</v>
      </c>
      <c r="U348" s="24"/>
      <c r="V348" s="5"/>
      <c r="W348"/>
      <c r="X348"/>
      <c r="Y348"/>
      <c r="Z348"/>
      <c r="AA348"/>
      <c r="AB348"/>
      <c r="AC348"/>
      <c r="AD348"/>
      <c r="AE348"/>
      <c r="AF348"/>
      <c r="AG348"/>
      <c r="AH348"/>
      <c r="AI348"/>
      <c r="AJ348"/>
      <c r="AK348"/>
      <c r="AL348"/>
      <c r="AM348"/>
      <c r="AN348"/>
      <c r="AO348"/>
      <c r="AP348"/>
      <c r="AQ348"/>
      <c r="AR348"/>
    </row>
    <row r="349" spans="1:44" s="10" customFormat="1" ht="15.75" customHeight="1" x14ac:dyDescent="0.25">
      <c r="A349" s="55">
        <f t="shared" si="77"/>
        <v>39</v>
      </c>
      <c r="B349" s="633">
        <v>44625</v>
      </c>
      <c r="C349" s="755" t="s">
        <v>4095</v>
      </c>
      <c r="D349" s="824" t="s">
        <v>4096</v>
      </c>
      <c r="E349" s="884"/>
      <c r="F349" s="33" t="s">
        <v>4094</v>
      </c>
      <c r="G349" s="404" t="s">
        <v>988</v>
      </c>
      <c r="H349" s="45">
        <v>98000</v>
      </c>
      <c r="I349" s="377" t="s">
        <v>4093</v>
      </c>
      <c r="J349" s="774">
        <v>44627</v>
      </c>
      <c r="K349" s="928">
        <f t="shared" si="75"/>
        <v>98000</v>
      </c>
      <c r="L349" s="876"/>
      <c r="M349" s="876"/>
      <c r="N349" s="876"/>
      <c r="O349" s="876"/>
      <c r="P349" s="876">
        <v>98000</v>
      </c>
      <c r="Q349" s="28">
        <f t="shared" si="76"/>
        <v>0</v>
      </c>
      <c r="R349" s="55"/>
      <c r="S349" s="301">
        <v>44628</v>
      </c>
      <c r="T349" s="55">
        <v>14</v>
      </c>
      <c r="U349" s="24"/>
      <c r="V349" s="5"/>
      <c r="W349"/>
      <c r="X349"/>
      <c r="Y349"/>
      <c r="Z349"/>
      <c r="AA349"/>
      <c r="AB349"/>
      <c r="AC349"/>
      <c r="AD349"/>
      <c r="AE349"/>
      <c r="AF349"/>
      <c r="AG349"/>
      <c r="AH349"/>
      <c r="AI349"/>
      <c r="AJ349"/>
      <c r="AK349"/>
      <c r="AL349"/>
      <c r="AM349"/>
      <c r="AN349"/>
      <c r="AO349"/>
      <c r="AP349"/>
      <c r="AQ349"/>
      <c r="AR349"/>
    </row>
    <row r="350" spans="1:44" s="10" customFormat="1" ht="15.75" customHeight="1" x14ac:dyDescent="0.25">
      <c r="A350" s="55">
        <f t="shared" si="77"/>
        <v>40</v>
      </c>
      <c r="B350" s="633">
        <v>44627</v>
      </c>
      <c r="C350" s="755"/>
      <c r="D350" s="824" t="s">
        <v>4098</v>
      </c>
      <c r="E350" s="884"/>
      <c r="F350" s="33" t="s">
        <v>4099</v>
      </c>
      <c r="G350" s="404" t="s">
        <v>521</v>
      </c>
      <c r="H350" s="45">
        <v>1407400</v>
      </c>
      <c r="I350" s="377" t="s">
        <v>4097</v>
      </c>
      <c r="J350" s="774">
        <v>44627</v>
      </c>
      <c r="K350" s="928">
        <f t="shared" si="75"/>
        <v>1407400</v>
      </c>
      <c r="L350" s="876"/>
      <c r="M350" s="876"/>
      <c r="N350" s="876"/>
      <c r="O350" s="876"/>
      <c r="P350" s="876">
        <v>1407400</v>
      </c>
      <c r="Q350" s="28">
        <f t="shared" si="76"/>
        <v>0</v>
      </c>
      <c r="R350" s="55"/>
      <c r="S350" s="301">
        <v>44627</v>
      </c>
      <c r="T350" s="55">
        <v>14</v>
      </c>
      <c r="U350" s="197">
        <f t="shared" ref="U350" si="93">J350+T350</f>
        <v>44641</v>
      </c>
      <c r="V350" s="5"/>
      <c r="W350"/>
      <c r="X350"/>
      <c r="Y350"/>
      <c r="Z350"/>
      <c r="AA350"/>
      <c r="AB350"/>
      <c r="AC350"/>
      <c r="AD350"/>
      <c r="AE350"/>
      <c r="AF350"/>
      <c r="AG350"/>
      <c r="AH350"/>
      <c r="AI350"/>
      <c r="AJ350"/>
      <c r="AK350"/>
      <c r="AL350"/>
      <c r="AM350"/>
      <c r="AN350"/>
      <c r="AO350"/>
      <c r="AP350"/>
      <c r="AQ350"/>
      <c r="AR350"/>
    </row>
    <row r="351" spans="1:44" s="10" customFormat="1" ht="15.75" customHeight="1" x14ac:dyDescent="0.25">
      <c r="A351" s="55">
        <f t="shared" si="77"/>
        <v>41</v>
      </c>
      <c r="B351" s="633">
        <v>44627</v>
      </c>
      <c r="C351" s="755"/>
      <c r="D351" s="824" t="s">
        <v>4101</v>
      </c>
      <c r="E351" s="884"/>
      <c r="F351" s="33" t="s">
        <v>4019</v>
      </c>
      <c r="G351" s="404" t="s">
        <v>988</v>
      </c>
      <c r="H351" s="45">
        <v>1804000</v>
      </c>
      <c r="I351" s="377" t="s">
        <v>4100</v>
      </c>
      <c r="J351" s="774">
        <v>44627</v>
      </c>
      <c r="K351" s="928">
        <f t="shared" si="75"/>
        <v>1804000</v>
      </c>
      <c r="L351" s="876"/>
      <c r="M351" s="876"/>
      <c r="N351" s="876"/>
      <c r="O351" s="876"/>
      <c r="P351" s="876">
        <v>1804000</v>
      </c>
      <c r="Q351" s="28">
        <f t="shared" si="76"/>
        <v>0</v>
      </c>
      <c r="R351" s="55"/>
      <c r="S351" s="301">
        <v>44628</v>
      </c>
      <c r="T351" s="55">
        <v>14</v>
      </c>
      <c r="U351" s="24">
        <f t="shared" ref="U351:U352" si="94">J351+T351</f>
        <v>44641</v>
      </c>
      <c r="V351" s="5"/>
      <c r="W351"/>
      <c r="X351"/>
      <c r="Y351"/>
      <c r="Z351"/>
      <c r="AA351"/>
      <c r="AB351"/>
      <c r="AC351"/>
      <c r="AD351"/>
      <c r="AE351"/>
      <c r="AF351"/>
      <c r="AG351"/>
      <c r="AH351"/>
      <c r="AI351"/>
      <c r="AJ351"/>
      <c r="AK351"/>
      <c r="AL351"/>
      <c r="AM351"/>
      <c r="AN351"/>
      <c r="AO351"/>
      <c r="AP351"/>
      <c r="AQ351"/>
      <c r="AR351"/>
    </row>
    <row r="352" spans="1:44" s="10" customFormat="1" ht="15.75" customHeight="1" x14ac:dyDescent="0.25">
      <c r="A352" s="55">
        <f t="shared" si="77"/>
        <v>42</v>
      </c>
      <c r="B352" s="633">
        <v>44624</v>
      </c>
      <c r="C352" s="755">
        <v>404863</v>
      </c>
      <c r="D352" s="824" t="s">
        <v>3062</v>
      </c>
      <c r="E352" s="884"/>
      <c r="F352" s="33" t="s">
        <v>4513</v>
      </c>
      <c r="G352" s="404" t="s">
        <v>988</v>
      </c>
      <c r="H352" s="45">
        <v>250000</v>
      </c>
      <c r="I352" s="377" t="s">
        <v>4108</v>
      </c>
      <c r="J352" s="774">
        <v>44627</v>
      </c>
      <c r="K352" s="928">
        <f t="shared" si="75"/>
        <v>250000</v>
      </c>
      <c r="L352" s="876"/>
      <c r="M352" s="876"/>
      <c r="N352" s="876"/>
      <c r="O352" s="876"/>
      <c r="P352" s="876"/>
      <c r="Q352" s="28">
        <f t="shared" si="76"/>
        <v>250000</v>
      </c>
      <c r="R352" s="55"/>
      <c r="S352" s="301"/>
      <c r="T352" s="55">
        <v>30</v>
      </c>
      <c r="U352" s="24">
        <f t="shared" si="94"/>
        <v>44657</v>
      </c>
      <c r="V352" s="5"/>
      <c r="W352"/>
      <c r="X352"/>
      <c r="Y352"/>
      <c r="Z352"/>
      <c r="AA352"/>
      <c r="AB352"/>
      <c r="AC352"/>
      <c r="AD352"/>
      <c r="AE352"/>
      <c r="AF352"/>
      <c r="AG352"/>
      <c r="AH352"/>
      <c r="AI352"/>
      <c r="AJ352"/>
      <c r="AK352"/>
      <c r="AL352"/>
      <c r="AM352"/>
      <c r="AN352"/>
      <c r="AO352"/>
      <c r="AP352"/>
      <c r="AQ352"/>
      <c r="AR352"/>
    </row>
    <row r="353" spans="1:44" s="10" customFormat="1" ht="15.75" customHeight="1" x14ac:dyDescent="0.25">
      <c r="A353" s="55">
        <f t="shared" si="77"/>
        <v>43</v>
      </c>
      <c r="B353" s="633">
        <v>44627</v>
      </c>
      <c r="C353" s="755" t="s">
        <v>4207</v>
      </c>
      <c r="D353" s="824" t="s">
        <v>3247</v>
      </c>
      <c r="E353" s="884"/>
      <c r="F353" s="33" t="s">
        <v>4019</v>
      </c>
      <c r="G353" s="404" t="s">
        <v>988</v>
      </c>
      <c r="H353" s="45">
        <v>288000</v>
      </c>
      <c r="I353" s="377" t="s">
        <v>4206</v>
      </c>
      <c r="J353" s="774">
        <v>44628</v>
      </c>
      <c r="K353" s="928">
        <f t="shared" si="75"/>
        <v>288000</v>
      </c>
      <c r="L353" s="866"/>
      <c r="M353" s="866"/>
      <c r="N353" s="866"/>
      <c r="O353" s="866"/>
      <c r="P353" s="866">
        <v>288000</v>
      </c>
      <c r="Q353" s="28">
        <f t="shared" si="76"/>
        <v>0</v>
      </c>
      <c r="R353" s="55"/>
      <c r="S353" s="301">
        <v>44630</v>
      </c>
      <c r="T353" s="55">
        <v>14</v>
      </c>
      <c r="U353" s="24">
        <f t="shared" ref="U353:U354" si="95">J353+T353</f>
        <v>44642</v>
      </c>
      <c r="V353" s="5"/>
      <c r="W353"/>
      <c r="X353"/>
      <c r="Y353"/>
      <c r="Z353"/>
      <c r="AA353"/>
      <c r="AB353"/>
      <c r="AC353"/>
      <c r="AD353"/>
      <c r="AE353"/>
      <c r="AF353"/>
      <c r="AG353"/>
      <c r="AH353"/>
      <c r="AI353"/>
      <c r="AJ353"/>
      <c r="AK353"/>
      <c r="AL353"/>
      <c r="AM353"/>
      <c r="AN353"/>
      <c r="AO353"/>
      <c r="AP353"/>
      <c r="AQ353"/>
      <c r="AR353"/>
    </row>
    <row r="354" spans="1:44" s="10" customFormat="1" ht="15.75" customHeight="1" x14ac:dyDescent="0.25">
      <c r="A354" s="55">
        <f t="shared" si="77"/>
        <v>44</v>
      </c>
      <c r="B354" s="633">
        <v>44628</v>
      </c>
      <c r="C354" s="755">
        <v>403843</v>
      </c>
      <c r="D354" s="824" t="s">
        <v>4209</v>
      </c>
      <c r="E354" s="884"/>
      <c r="F354" s="33" t="s">
        <v>4019</v>
      </c>
      <c r="G354" s="404" t="s">
        <v>988</v>
      </c>
      <c r="H354" s="45">
        <v>436000</v>
      </c>
      <c r="I354" s="377" t="s">
        <v>4208</v>
      </c>
      <c r="J354" s="774">
        <v>44628</v>
      </c>
      <c r="K354" s="928">
        <f t="shared" si="75"/>
        <v>436000</v>
      </c>
      <c r="L354" s="866"/>
      <c r="M354" s="866"/>
      <c r="N354" s="866"/>
      <c r="O354" s="866"/>
      <c r="P354" s="866">
        <v>436000</v>
      </c>
      <c r="Q354" s="28">
        <f t="shared" si="76"/>
        <v>0</v>
      </c>
      <c r="R354" s="55"/>
      <c r="S354" s="301">
        <v>44630</v>
      </c>
      <c r="T354" s="55">
        <v>14</v>
      </c>
      <c r="U354" s="24">
        <f t="shared" si="95"/>
        <v>44642</v>
      </c>
      <c r="V354" s="5"/>
      <c r="W354"/>
      <c r="X354"/>
      <c r="Y354"/>
      <c r="Z354"/>
      <c r="AA354"/>
      <c r="AB354"/>
      <c r="AC354"/>
      <c r="AD354"/>
      <c r="AE354"/>
      <c r="AF354"/>
      <c r="AG354"/>
      <c r="AH354"/>
      <c r="AI354"/>
      <c r="AJ354"/>
      <c r="AK354"/>
      <c r="AL354"/>
      <c r="AM354"/>
      <c r="AN354"/>
      <c r="AO354"/>
      <c r="AP354"/>
      <c r="AQ354"/>
      <c r="AR354"/>
    </row>
    <row r="355" spans="1:44" s="10" customFormat="1" ht="15.75" customHeight="1" x14ac:dyDescent="0.25">
      <c r="A355" s="55">
        <f t="shared" si="77"/>
        <v>45</v>
      </c>
      <c r="B355" s="633">
        <v>44623</v>
      </c>
      <c r="C355" s="755"/>
      <c r="D355" s="824" t="s">
        <v>4219</v>
      </c>
      <c r="E355" s="884"/>
      <c r="F355" s="33" t="s">
        <v>4220</v>
      </c>
      <c r="G355" s="404" t="s">
        <v>4221</v>
      </c>
      <c r="H355" s="45">
        <v>4500000</v>
      </c>
      <c r="I355" s="377" t="s">
        <v>4218</v>
      </c>
      <c r="J355" s="774">
        <v>44628</v>
      </c>
      <c r="K355" s="928">
        <f t="shared" si="75"/>
        <v>4500000</v>
      </c>
      <c r="L355" s="866"/>
      <c r="M355" s="866"/>
      <c r="N355" s="866"/>
      <c r="O355" s="866"/>
      <c r="P355" s="866">
        <v>4500000</v>
      </c>
      <c r="Q355" s="28">
        <f t="shared" si="76"/>
        <v>0</v>
      </c>
      <c r="R355" s="301"/>
      <c r="S355" s="301">
        <v>44650</v>
      </c>
      <c r="T355" s="55"/>
      <c r="U355" s="24"/>
      <c r="V355" s="5"/>
      <c r="W355" t="s">
        <v>4524</v>
      </c>
      <c r="X355"/>
      <c r="Y355"/>
      <c r="Z355"/>
      <c r="AA355"/>
      <c r="AB355"/>
      <c r="AC355"/>
      <c r="AD355"/>
      <c r="AE355"/>
      <c r="AF355"/>
      <c r="AG355"/>
      <c r="AH355"/>
      <c r="AI355"/>
      <c r="AJ355"/>
      <c r="AK355"/>
      <c r="AL355"/>
      <c r="AM355"/>
      <c r="AN355"/>
      <c r="AO355"/>
      <c r="AP355"/>
      <c r="AQ355"/>
      <c r="AR355"/>
    </row>
    <row r="356" spans="1:44" s="10" customFormat="1" ht="15.75" customHeight="1" x14ac:dyDescent="0.25">
      <c r="A356" s="55">
        <f t="shared" si="77"/>
        <v>46</v>
      </c>
      <c r="B356" s="633">
        <v>44623</v>
      </c>
      <c r="C356" s="755"/>
      <c r="D356" s="824" t="s">
        <v>4219</v>
      </c>
      <c r="E356" s="884"/>
      <c r="F356" s="33" t="s">
        <v>4223</v>
      </c>
      <c r="G356" s="404" t="s">
        <v>4221</v>
      </c>
      <c r="H356" s="45">
        <v>1500000</v>
      </c>
      <c r="I356" s="377" t="s">
        <v>4222</v>
      </c>
      <c r="J356" s="774">
        <v>44628</v>
      </c>
      <c r="K356" s="928">
        <f t="shared" si="75"/>
        <v>1500000</v>
      </c>
      <c r="L356" s="866"/>
      <c r="M356" s="866"/>
      <c r="N356" s="866"/>
      <c r="O356" s="866"/>
      <c r="P356" s="866"/>
      <c r="Q356" s="28">
        <f t="shared" si="76"/>
        <v>1500000</v>
      </c>
      <c r="R356" s="301"/>
      <c r="S356" s="301"/>
      <c r="T356" s="55"/>
      <c r="U356" s="24"/>
      <c r="V356" s="5"/>
      <c r="W356" t="s">
        <v>4524</v>
      </c>
      <c r="X356"/>
      <c r="Y356"/>
      <c r="Z356"/>
      <c r="AA356"/>
      <c r="AB356"/>
      <c r="AC356"/>
      <c r="AD356"/>
      <c r="AE356"/>
      <c r="AF356"/>
      <c r="AG356"/>
      <c r="AH356"/>
      <c r="AI356"/>
      <c r="AJ356"/>
      <c r="AK356"/>
      <c r="AL356"/>
      <c r="AM356"/>
      <c r="AN356"/>
      <c r="AO356"/>
      <c r="AP356"/>
      <c r="AQ356"/>
      <c r="AR356"/>
    </row>
    <row r="357" spans="1:44" s="10" customFormat="1" ht="15.75" customHeight="1" x14ac:dyDescent="0.25">
      <c r="A357" s="55">
        <f t="shared" si="77"/>
        <v>47</v>
      </c>
      <c r="B357" s="633">
        <v>44629</v>
      </c>
      <c r="C357" s="755" t="s">
        <v>4228</v>
      </c>
      <c r="D357" s="824" t="s">
        <v>4227</v>
      </c>
      <c r="E357" s="884"/>
      <c r="F357" s="33" t="s">
        <v>4019</v>
      </c>
      <c r="G357" s="404" t="s">
        <v>4229</v>
      </c>
      <c r="H357" s="45">
        <v>1560000</v>
      </c>
      <c r="I357" s="377" t="s">
        <v>4226</v>
      </c>
      <c r="J357" s="774">
        <v>44630</v>
      </c>
      <c r="K357" s="928">
        <f t="shared" si="75"/>
        <v>1560000</v>
      </c>
      <c r="L357" s="866"/>
      <c r="M357" s="866"/>
      <c r="N357" s="866"/>
      <c r="O357" s="866"/>
      <c r="P357" s="866">
        <v>1560000</v>
      </c>
      <c r="Q357" s="28">
        <f t="shared" si="76"/>
        <v>0</v>
      </c>
      <c r="R357" s="301"/>
      <c r="S357" s="301">
        <v>44631</v>
      </c>
      <c r="T357" s="55"/>
      <c r="U357" s="24"/>
      <c r="V357" s="5"/>
      <c r="W357"/>
      <c r="X357"/>
      <c r="Y357"/>
      <c r="Z357"/>
      <c r="AA357"/>
      <c r="AB357"/>
      <c r="AC357"/>
      <c r="AD357"/>
      <c r="AE357"/>
      <c r="AF357"/>
      <c r="AG357"/>
      <c r="AH357"/>
      <c r="AI357"/>
      <c r="AJ357"/>
      <c r="AK357"/>
      <c r="AL357"/>
      <c r="AM357"/>
      <c r="AN357"/>
      <c r="AO357"/>
      <c r="AP357"/>
      <c r="AQ357"/>
      <c r="AR357"/>
    </row>
    <row r="358" spans="1:44" s="10" customFormat="1" ht="15.75" customHeight="1" x14ac:dyDescent="0.25">
      <c r="A358" s="55">
        <f t="shared" si="77"/>
        <v>48</v>
      </c>
      <c r="B358" s="633">
        <v>44629</v>
      </c>
      <c r="C358" s="889" t="s">
        <v>4233</v>
      </c>
      <c r="D358" s="824" t="s">
        <v>4231</v>
      </c>
      <c r="E358" s="884"/>
      <c r="F358" s="33" t="s">
        <v>4232</v>
      </c>
      <c r="G358" s="404" t="s">
        <v>4065</v>
      </c>
      <c r="H358" s="45">
        <v>708200</v>
      </c>
      <c r="I358" s="377" t="s">
        <v>4230</v>
      </c>
      <c r="J358" s="774">
        <v>44630</v>
      </c>
      <c r="K358" s="928">
        <f t="shared" si="75"/>
        <v>708200</v>
      </c>
      <c r="L358" s="866"/>
      <c r="M358" s="866"/>
      <c r="N358" s="866"/>
      <c r="O358" s="866"/>
      <c r="P358" s="866">
        <v>708200</v>
      </c>
      <c r="Q358" s="28">
        <f t="shared" si="76"/>
        <v>0</v>
      </c>
      <c r="R358" s="301"/>
      <c r="S358" s="301">
        <v>44637</v>
      </c>
      <c r="T358" s="55"/>
      <c r="U358" s="24"/>
      <c r="V358" s="5"/>
      <c r="W358"/>
      <c r="X358"/>
      <c r="Y358"/>
      <c r="Z358"/>
      <c r="AA358"/>
      <c r="AB358"/>
      <c r="AC358"/>
      <c r="AD358"/>
      <c r="AE358"/>
      <c r="AF358"/>
      <c r="AG358"/>
      <c r="AH358"/>
      <c r="AI358"/>
      <c r="AJ358"/>
      <c r="AK358"/>
      <c r="AL358"/>
      <c r="AM358"/>
      <c r="AN358"/>
      <c r="AO358"/>
      <c r="AP358"/>
      <c r="AQ358"/>
      <c r="AR358"/>
    </row>
    <row r="359" spans="1:44" s="10" customFormat="1" ht="15.75" customHeight="1" x14ac:dyDescent="0.25">
      <c r="A359" s="55">
        <f t="shared" si="77"/>
        <v>49</v>
      </c>
      <c r="B359" s="633">
        <v>44623</v>
      </c>
      <c r="C359" s="888"/>
      <c r="D359" s="824" t="s">
        <v>4236</v>
      </c>
      <c r="E359" s="884"/>
      <c r="F359" s="33" t="s">
        <v>4235</v>
      </c>
      <c r="G359" s="404" t="s">
        <v>521</v>
      </c>
      <c r="H359" s="45">
        <v>48228000</v>
      </c>
      <c r="I359" s="377" t="s">
        <v>4234</v>
      </c>
      <c r="J359" s="774">
        <v>44630</v>
      </c>
      <c r="K359" s="928">
        <f t="shared" si="75"/>
        <v>48228000</v>
      </c>
      <c r="L359" s="866"/>
      <c r="M359" s="866">
        <v>6028500</v>
      </c>
      <c r="N359" s="866"/>
      <c r="O359" s="866"/>
      <c r="P359" s="866">
        <v>42199500</v>
      </c>
      <c r="Q359" s="28">
        <f t="shared" si="76"/>
        <v>0</v>
      </c>
      <c r="R359" s="301"/>
      <c r="S359" s="301"/>
      <c r="T359" s="55">
        <v>14</v>
      </c>
      <c r="U359" s="197">
        <f t="shared" ref="U359:U360" si="96">J359+T359</f>
        <v>44644</v>
      </c>
      <c r="V359" s="5"/>
      <c r="W359"/>
      <c r="X359"/>
      <c r="Y359"/>
      <c r="Z359"/>
      <c r="AA359"/>
      <c r="AB359"/>
      <c r="AC359"/>
      <c r="AD359"/>
      <c r="AE359"/>
      <c r="AF359"/>
      <c r="AG359"/>
      <c r="AH359"/>
      <c r="AI359"/>
      <c r="AJ359"/>
      <c r="AK359"/>
      <c r="AL359"/>
      <c r="AM359"/>
      <c r="AN359"/>
      <c r="AO359"/>
      <c r="AP359"/>
      <c r="AQ359"/>
      <c r="AR359"/>
    </row>
    <row r="360" spans="1:44" s="10" customFormat="1" ht="15.75" customHeight="1" x14ac:dyDescent="0.25">
      <c r="A360" s="55">
        <f t="shared" si="77"/>
        <v>50</v>
      </c>
      <c r="B360" s="633">
        <v>44627</v>
      </c>
      <c r="C360" s="755" t="s">
        <v>4239</v>
      </c>
      <c r="D360" s="824" t="s">
        <v>4238</v>
      </c>
      <c r="E360" s="884"/>
      <c r="F360" s="33" t="s">
        <v>4240</v>
      </c>
      <c r="G360" s="404" t="s">
        <v>171</v>
      </c>
      <c r="H360" s="45">
        <v>700000</v>
      </c>
      <c r="I360" s="377" t="s">
        <v>4237</v>
      </c>
      <c r="J360" s="774">
        <v>44630</v>
      </c>
      <c r="K360" s="928">
        <f t="shared" si="75"/>
        <v>700000</v>
      </c>
      <c r="L360" s="866"/>
      <c r="M360" s="866"/>
      <c r="N360" s="866"/>
      <c r="O360" s="866"/>
      <c r="P360" s="866"/>
      <c r="Q360" s="28">
        <f t="shared" si="76"/>
        <v>700000</v>
      </c>
      <c r="R360" s="301"/>
      <c r="S360" s="301"/>
      <c r="T360" s="55">
        <v>14</v>
      </c>
      <c r="U360" s="24">
        <f t="shared" si="96"/>
        <v>44644</v>
      </c>
      <c r="V360" s="5"/>
      <c r="W360"/>
      <c r="X360"/>
      <c r="Y360"/>
      <c r="Z360"/>
      <c r="AA360"/>
      <c r="AB360"/>
      <c r="AC360"/>
      <c r="AD360"/>
      <c r="AE360"/>
      <c r="AF360"/>
      <c r="AG360"/>
      <c r="AH360"/>
      <c r="AI360"/>
      <c r="AJ360"/>
      <c r="AK360"/>
      <c r="AL360"/>
      <c r="AM360"/>
      <c r="AN360"/>
      <c r="AO360"/>
      <c r="AP360"/>
      <c r="AQ360"/>
      <c r="AR360"/>
    </row>
    <row r="361" spans="1:44" s="10" customFormat="1" ht="15.75" customHeight="1" x14ac:dyDescent="0.25">
      <c r="A361" s="55">
        <f t="shared" si="77"/>
        <v>51</v>
      </c>
      <c r="B361" s="633">
        <v>44629</v>
      </c>
      <c r="C361" s="755" t="s">
        <v>4244</v>
      </c>
      <c r="D361" s="824" t="s">
        <v>4242</v>
      </c>
      <c r="E361" s="884"/>
      <c r="F361" s="33" t="s">
        <v>4243</v>
      </c>
      <c r="G361" s="404" t="s">
        <v>653</v>
      </c>
      <c r="H361" s="45">
        <v>650000</v>
      </c>
      <c r="I361" s="377" t="s">
        <v>4241</v>
      </c>
      <c r="J361" s="774">
        <v>44630</v>
      </c>
      <c r="K361" s="928">
        <f t="shared" si="75"/>
        <v>650000</v>
      </c>
      <c r="L361" s="866"/>
      <c r="M361" s="866"/>
      <c r="N361" s="866"/>
      <c r="O361" s="866"/>
      <c r="P361" s="866">
        <v>650000</v>
      </c>
      <c r="Q361" s="28">
        <f t="shared" si="76"/>
        <v>0</v>
      </c>
      <c r="R361" s="301"/>
      <c r="S361" s="301">
        <v>44630</v>
      </c>
      <c r="T361" s="55"/>
      <c r="U361" s="24"/>
      <c r="V361" s="5"/>
      <c r="W361"/>
      <c r="X361"/>
      <c r="Y361"/>
      <c r="Z361"/>
      <c r="AA361"/>
      <c r="AB361"/>
      <c r="AC361"/>
      <c r="AD361"/>
      <c r="AE361"/>
      <c r="AF361"/>
      <c r="AG361"/>
      <c r="AH361"/>
      <c r="AI361"/>
      <c r="AJ361"/>
      <c r="AK361"/>
      <c r="AL361"/>
      <c r="AM361"/>
      <c r="AN361"/>
      <c r="AO361"/>
      <c r="AP361"/>
      <c r="AQ361"/>
      <c r="AR361"/>
    </row>
    <row r="362" spans="1:44" s="10" customFormat="1" ht="15.75" customHeight="1" x14ac:dyDescent="0.25">
      <c r="A362" s="55">
        <f t="shared" si="77"/>
        <v>52</v>
      </c>
      <c r="B362" s="633">
        <v>44629</v>
      </c>
      <c r="C362" s="755" t="s">
        <v>4249</v>
      </c>
      <c r="D362" s="824" t="s">
        <v>4246</v>
      </c>
      <c r="E362" s="884"/>
      <c r="F362" s="33" t="s">
        <v>4247</v>
      </c>
      <c r="G362" s="404" t="s">
        <v>4248</v>
      </c>
      <c r="H362" s="45">
        <v>1346000</v>
      </c>
      <c r="I362" s="377" t="s">
        <v>4245</v>
      </c>
      <c r="J362" s="774">
        <v>44630</v>
      </c>
      <c r="K362" s="928">
        <f t="shared" si="75"/>
        <v>1346000</v>
      </c>
      <c r="L362" s="866"/>
      <c r="M362" s="866"/>
      <c r="N362" s="866"/>
      <c r="O362" s="866"/>
      <c r="P362" s="866">
        <v>1346000</v>
      </c>
      <c r="Q362" s="28">
        <f t="shared" si="76"/>
        <v>0</v>
      </c>
      <c r="R362" s="301"/>
      <c r="S362" s="301"/>
      <c r="T362" s="55"/>
      <c r="U362" s="24"/>
      <c r="V362" s="5"/>
      <c r="W362"/>
      <c r="X362"/>
      <c r="Y362"/>
      <c r="Z362"/>
      <c r="AA362"/>
      <c r="AB362"/>
      <c r="AC362"/>
      <c r="AD362"/>
      <c r="AE362"/>
      <c r="AF362"/>
      <c r="AG362"/>
      <c r="AH362"/>
      <c r="AI362"/>
      <c r="AJ362"/>
      <c r="AK362"/>
      <c r="AL362"/>
      <c r="AM362"/>
      <c r="AN362"/>
      <c r="AO362"/>
      <c r="AP362"/>
      <c r="AQ362"/>
      <c r="AR362"/>
    </row>
    <row r="363" spans="1:44" s="10" customFormat="1" ht="15.75" customHeight="1" x14ac:dyDescent="0.25">
      <c r="A363" s="55">
        <f t="shared" si="77"/>
        <v>53</v>
      </c>
      <c r="B363" s="633">
        <v>44622</v>
      </c>
      <c r="C363" s="755"/>
      <c r="D363" s="824" t="s">
        <v>4256</v>
      </c>
      <c r="E363" s="884"/>
      <c r="F363" s="33" t="s">
        <v>4257</v>
      </c>
      <c r="G363" s="404" t="s">
        <v>2302</v>
      </c>
      <c r="H363" s="45">
        <v>3800000</v>
      </c>
      <c r="I363" s="377" t="s">
        <v>4255</v>
      </c>
      <c r="J363" s="774">
        <v>44632</v>
      </c>
      <c r="K363" s="928">
        <f t="shared" si="75"/>
        <v>3800000</v>
      </c>
      <c r="L363" s="866"/>
      <c r="M363" s="866"/>
      <c r="N363" s="866">
        <f t="shared" ref="N363:N366" si="97">K363*1%</f>
        <v>38000</v>
      </c>
      <c r="O363" s="866">
        <f t="shared" ref="O363:O366" si="98">K363*2%</f>
        <v>76000</v>
      </c>
      <c r="P363" s="866"/>
      <c r="Q363" s="28">
        <f t="shared" si="76"/>
        <v>3762000</v>
      </c>
      <c r="R363" s="301"/>
      <c r="S363" s="301"/>
      <c r="T363" s="55"/>
      <c r="U363" s="24"/>
      <c r="V363" s="5"/>
      <c r="W363"/>
      <c r="X363"/>
      <c r="Y363"/>
      <c r="Z363"/>
      <c r="AA363"/>
      <c r="AB363"/>
      <c r="AC363"/>
      <c r="AD363"/>
      <c r="AE363"/>
      <c r="AF363"/>
      <c r="AG363"/>
      <c r="AH363"/>
      <c r="AI363"/>
      <c r="AJ363"/>
      <c r="AK363"/>
      <c r="AL363"/>
      <c r="AM363"/>
      <c r="AN363"/>
      <c r="AO363"/>
      <c r="AP363"/>
      <c r="AQ363"/>
      <c r="AR363"/>
    </row>
    <row r="364" spans="1:44" s="10" customFormat="1" ht="15.75" customHeight="1" x14ac:dyDescent="0.25">
      <c r="A364" s="55">
        <f t="shared" si="77"/>
        <v>54</v>
      </c>
      <c r="B364" s="633">
        <v>44631</v>
      </c>
      <c r="C364" s="755" t="s">
        <v>4262</v>
      </c>
      <c r="D364" s="824" t="s">
        <v>4261</v>
      </c>
      <c r="E364" s="884"/>
      <c r="F364" s="33" t="s">
        <v>4199</v>
      </c>
      <c r="G364" s="404" t="s">
        <v>161</v>
      </c>
      <c r="H364" s="45">
        <v>800000</v>
      </c>
      <c r="I364" s="377" t="s">
        <v>4260</v>
      </c>
      <c r="J364" s="774">
        <v>44632</v>
      </c>
      <c r="K364" s="928">
        <f t="shared" si="75"/>
        <v>800000</v>
      </c>
      <c r="L364" s="866"/>
      <c r="M364" s="866"/>
      <c r="N364" s="866"/>
      <c r="O364" s="866"/>
      <c r="P364" s="866">
        <v>800000</v>
      </c>
      <c r="Q364" s="28">
        <f t="shared" si="76"/>
        <v>0</v>
      </c>
      <c r="R364" s="301"/>
      <c r="S364" s="301">
        <v>44656</v>
      </c>
      <c r="T364" s="55">
        <v>14</v>
      </c>
      <c r="U364" s="24">
        <f t="shared" ref="U364" si="99">J364+T364</f>
        <v>44646</v>
      </c>
      <c r="V364" s="5"/>
      <c r="W364"/>
      <c r="X364"/>
      <c r="Y364"/>
      <c r="Z364"/>
      <c r="AA364"/>
      <c r="AB364"/>
      <c r="AC364"/>
      <c r="AD364"/>
      <c r="AE364"/>
      <c r="AF364"/>
      <c r="AG364"/>
      <c r="AH364"/>
      <c r="AI364"/>
      <c r="AJ364"/>
      <c r="AK364"/>
      <c r="AL364"/>
      <c r="AM364"/>
      <c r="AN364"/>
      <c r="AO364"/>
      <c r="AP364"/>
      <c r="AQ364"/>
      <c r="AR364"/>
    </row>
    <row r="365" spans="1:44" s="10" customFormat="1" ht="15.75" customHeight="1" x14ac:dyDescent="0.25">
      <c r="A365" s="55">
        <f t="shared" si="77"/>
        <v>55</v>
      </c>
      <c r="B365" s="499">
        <v>44631</v>
      </c>
      <c r="C365" s="604" t="s">
        <v>4270</v>
      </c>
      <c r="D365" s="890" t="s">
        <v>4269</v>
      </c>
      <c r="E365" s="891"/>
      <c r="F365" s="502" t="s">
        <v>4268</v>
      </c>
      <c r="G365" s="503" t="s">
        <v>4271</v>
      </c>
      <c r="H365" s="504">
        <v>3300000</v>
      </c>
      <c r="I365" s="505" t="s">
        <v>4267</v>
      </c>
      <c r="J365" s="517">
        <v>44634</v>
      </c>
      <c r="K365" s="928">
        <f t="shared" si="75"/>
        <v>3300000</v>
      </c>
      <c r="L365" s="504"/>
      <c r="M365" s="504"/>
      <c r="N365" s="504">
        <f t="shared" si="97"/>
        <v>33000</v>
      </c>
      <c r="O365" s="504">
        <f t="shared" si="98"/>
        <v>66000</v>
      </c>
      <c r="P365" s="504"/>
      <c r="Q365" s="28">
        <f t="shared" si="76"/>
        <v>3267000</v>
      </c>
      <c r="R365" s="506"/>
      <c r="S365" s="506"/>
      <c r="T365" s="498"/>
      <c r="U365" s="892"/>
      <c r="V365" s="893"/>
      <c r="W365"/>
      <c r="X365"/>
      <c r="Y365"/>
      <c r="Z365"/>
      <c r="AA365"/>
      <c r="AB365"/>
      <c r="AC365"/>
      <c r="AD365"/>
      <c r="AE365"/>
      <c r="AF365"/>
      <c r="AG365"/>
      <c r="AH365"/>
      <c r="AI365"/>
      <c r="AJ365"/>
      <c r="AK365"/>
      <c r="AL365"/>
      <c r="AM365"/>
      <c r="AN365"/>
      <c r="AO365"/>
      <c r="AP365"/>
      <c r="AQ365"/>
      <c r="AR365"/>
    </row>
    <row r="366" spans="1:44" s="10" customFormat="1" ht="15.75" customHeight="1" x14ac:dyDescent="0.25">
      <c r="A366" s="55">
        <f t="shared" si="77"/>
        <v>56</v>
      </c>
      <c r="B366" s="633">
        <v>44634</v>
      </c>
      <c r="C366" s="755" t="s">
        <v>4274</v>
      </c>
      <c r="D366" s="824" t="s">
        <v>4273</v>
      </c>
      <c r="E366" s="884"/>
      <c r="F366" s="33" t="s">
        <v>3982</v>
      </c>
      <c r="G366" s="404" t="s">
        <v>988</v>
      </c>
      <c r="H366" s="45">
        <v>1072000</v>
      </c>
      <c r="I366" s="377" t="s">
        <v>4272</v>
      </c>
      <c r="J366" s="774">
        <v>44634</v>
      </c>
      <c r="K366" s="928">
        <f t="shared" si="75"/>
        <v>1072000</v>
      </c>
      <c r="L366" s="866"/>
      <c r="M366" s="866"/>
      <c r="N366" s="866">
        <f t="shared" si="97"/>
        <v>10720</v>
      </c>
      <c r="O366" s="866">
        <f t="shared" si="98"/>
        <v>21440</v>
      </c>
      <c r="P366" s="866"/>
      <c r="Q366" s="28">
        <f t="shared" si="76"/>
        <v>1061280</v>
      </c>
      <c r="R366" s="301"/>
      <c r="S366" s="301"/>
      <c r="T366" s="55"/>
      <c r="U366" s="24"/>
      <c r="V366" s="5"/>
      <c r="W366"/>
      <c r="X366"/>
      <c r="Y366"/>
      <c r="Z366"/>
      <c r="AA366"/>
      <c r="AB366"/>
      <c r="AC366"/>
      <c r="AD366"/>
      <c r="AE366"/>
      <c r="AF366"/>
      <c r="AG366"/>
      <c r="AH366"/>
      <c r="AI366"/>
      <c r="AJ366"/>
      <c r="AK366"/>
      <c r="AL366"/>
      <c r="AM366"/>
      <c r="AN366"/>
      <c r="AO366"/>
      <c r="AP366"/>
      <c r="AQ366"/>
      <c r="AR366"/>
    </row>
    <row r="367" spans="1:44" s="10" customFormat="1" ht="15.75" customHeight="1" x14ac:dyDescent="0.25">
      <c r="A367" s="55">
        <f t="shared" si="77"/>
        <v>57</v>
      </c>
      <c r="B367" s="633">
        <v>44629</v>
      </c>
      <c r="C367" s="755" t="s">
        <v>4283</v>
      </c>
      <c r="D367" s="824" t="s">
        <v>4284</v>
      </c>
      <c r="E367" s="884"/>
      <c r="F367" s="33" t="s">
        <v>3549</v>
      </c>
      <c r="G367" s="404" t="s">
        <v>1190</v>
      </c>
      <c r="H367" s="45">
        <v>6518000</v>
      </c>
      <c r="I367" s="377" t="s">
        <v>4282</v>
      </c>
      <c r="J367" s="774">
        <v>44634</v>
      </c>
      <c r="K367" s="928">
        <f t="shared" si="75"/>
        <v>6518000</v>
      </c>
      <c r="L367" s="866">
        <v>3800000</v>
      </c>
      <c r="M367" s="866"/>
      <c r="N367" s="866"/>
      <c r="O367" s="866"/>
      <c r="P367" s="866">
        <v>2718000</v>
      </c>
      <c r="Q367" s="28">
        <f t="shared" si="76"/>
        <v>0</v>
      </c>
      <c r="R367" s="301">
        <v>44630</v>
      </c>
      <c r="S367" s="301">
        <v>44656</v>
      </c>
      <c r="T367" s="55">
        <v>14</v>
      </c>
      <c r="U367" s="197">
        <f t="shared" ref="U367:U370" si="100">J367+T367</f>
        <v>44648</v>
      </c>
      <c r="V367" s="5"/>
      <c r="W367"/>
      <c r="X367"/>
      <c r="Y367"/>
      <c r="Z367"/>
      <c r="AA367"/>
      <c r="AB367"/>
      <c r="AC367"/>
      <c r="AD367"/>
      <c r="AE367"/>
      <c r="AF367"/>
      <c r="AG367"/>
      <c r="AH367"/>
      <c r="AI367"/>
      <c r="AJ367"/>
      <c r="AK367"/>
      <c r="AL367"/>
      <c r="AM367"/>
      <c r="AN367"/>
      <c r="AO367"/>
      <c r="AP367"/>
      <c r="AQ367"/>
      <c r="AR367"/>
    </row>
    <row r="368" spans="1:44" s="10" customFormat="1" ht="15.75" customHeight="1" x14ac:dyDescent="0.25">
      <c r="A368" s="55">
        <f t="shared" si="77"/>
        <v>58</v>
      </c>
      <c r="B368" s="633">
        <v>44629</v>
      </c>
      <c r="C368" s="755" t="s">
        <v>4286</v>
      </c>
      <c r="D368" s="938" t="s">
        <v>4287</v>
      </c>
      <c r="E368" s="884"/>
      <c r="F368" s="33" t="s">
        <v>3549</v>
      </c>
      <c r="G368" s="404" t="s">
        <v>1190</v>
      </c>
      <c r="H368" s="45">
        <v>7517000</v>
      </c>
      <c r="I368" s="377" t="s">
        <v>4285</v>
      </c>
      <c r="J368" s="774">
        <v>44634</v>
      </c>
      <c r="K368" s="928">
        <f t="shared" si="75"/>
        <v>7517000</v>
      </c>
      <c r="L368" s="866">
        <v>4200000</v>
      </c>
      <c r="M368" s="866"/>
      <c r="N368" s="866"/>
      <c r="O368" s="866"/>
      <c r="P368" s="866">
        <v>3317000</v>
      </c>
      <c r="Q368" s="28">
        <f t="shared" si="76"/>
        <v>0</v>
      </c>
      <c r="R368" s="301">
        <v>44630</v>
      </c>
      <c r="S368" s="301">
        <v>44656</v>
      </c>
      <c r="T368" s="55">
        <v>14</v>
      </c>
      <c r="U368" s="197">
        <f t="shared" si="100"/>
        <v>44648</v>
      </c>
      <c r="V368" s="5"/>
      <c r="W368"/>
      <c r="X368"/>
      <c r="Y368"/>
      <c r="Z368"/>
      <c r="AA368"/>
      <c r="AB368"/>
      <c r="AC368"/>
      <c r="AD368"/>
      <c r="AE368"/>
      <c r="AF368"/>
      <c r="AG368"/>
      <c r="AH368"/>
      <c r="AI368"/>
      <c r="AJ368"/>
      <c r="AK368"/>
      <c r="AL368"/>
      <c r="AM368"/>
      <c r="AN368"/>
      <c r="AO368"/>
      <c r="AP368"/>
      <c r="AQ368"/>
      <c r="AR368"/>
    </row>
    <row r="369" spans="1:44" s="10" customFormat="1" ht="15.75" customHeight="1" x14ac:dyDescent="0.25">
      <c r="A369" s="55">
        <f t="shared" si="77"/>
        <v>59</v>
      </c>
      <c r="B369" s="633">
        <v>44624</v>
      </c>
      <c r="C369" s="755" t="s">
        <v>4290</v>
      </c>
      <c r="D369" s="824" t="s">
        <v>4289</v>
      </c>
      <c r="E369" s="884"/>
      <c r="F369" s="33" t="s">
        <v>3857</v>
      </c>
      <c r="G369" s="404" t="s">
        <v>417</v>
      </c>
      <c r="H369" s="45">
        <v>2870000</v>
      </c>
      <c r="I369" s="377" t="s">
        <v>4288</v>
      </c>
      <c r="J369" s="774">
        <v>44634</v>
      </c>
      <c r="K369" s="928">
        <f t="shared" si="75"/>
        <v>2870000</v>
      </c>
      <c r="L369" s="866">
        <v>1850000</v>
      </c>
      <c r="M369" s="866"/>
      <c r="N369" s="866"/>
      <c r="O369" s="866"/>
      <c r="P369" s="866"/>
      <c r="Q369" s="28">
        <f t="shared" si="76"/>
        <v>1020000</v>
      </c>
      <c r="R369" s="301"/>
      <c r="S369" s="301"/>
      <c r="T369" s="55">
        <v>14</v>
      </c>
      <c r="U369" s="197">
        <f t="shared" si="100"/>
        <v>44648</v>
      </c>
      <c r="V369" s="5"/>
      <c r="W369"/>
      <c r="X369"/>
      <c r="Y369"/>
      <c r="Z369"/>
      <c r="AA369"/>
      <c r="AB369"/>
      <c r="AC369"/>
      <c r="AD369"/>
      <c r="AE369"/>
      <c r="AF369"/>
      <c r="AG369"/>
      <c r="AH369"/>
      <c r="AI369"/>
      <c r="AJ369"/>
      <c r="AK369"/>
      <c r="AL369"/>
      <c r="AM369"/>
      <c r="AN369"/>
      <c r="AO369"/>
      <c r="AP369"/>
      <c r="AQ369"/>
      <c r="AR369"/>
    </row>
    <row r="370" spans="1:44" s="10" customFormat="1" ht="15.75" customHeight="1" x14ac:dyDescent="0.25">
      <c r="A370" s="55">
        <f t="shared" si="77"/>
        <v>60</v>
      </c>
      <c r="B370" s="633">
        <v>44631</v>
      </c>
      <c r="C370" s="755" t="s">
        <v>4293</v>
      </c>
      <c r="D370" s="824" t="s">
        <v>4292</v>
      </c>
      <c r="E370" s="884"/>
      <c r="F370" s="33" t="s">
        <v>3857</v>
      </c>
      <c r="G370" s="404" t="s">
        <v>653</v>
      </c>
      <c r="H370" s="45">
        <v>6028000</v>
      </c>
      <c r="I370" s="377" t="s">
        <v>4291</v>
      </c>
      <c r="J370" s="774">
        <v>44634</v>
      </c>
      <c r="K370" s="928">
        <f t="shared" si="75"/>
        <v>6028000</v>
      </c>
      <c r="L370" s="866">
        <v>3800000</v>
      </c>
      <c r="M370" s="866"/>
      <c r="N370" s="866"/>
      <c r="O370" s="866"/>
      <c r="P370" s="866">
        <v>2228000</v>
      </c>
      <c r="Q370" s="28">
        <f t="shared" si="76"/>
        <v>0</v>
      </c>
      <c r="R370" s="301"/>
      <c r="S370" s="301">
        <v>44656</v>
      </c>
      <c r="T370" s="55">
        <v>14</v>
      </c>
      <c r="U370" s="197">
        <f t="shared" si="100"/>
        <v>44648</v>
      </c>
      <c r="V370" s="5"/>
      <c r="W370"/>
      <c r="X370"/>
      <c r="Y370"/>
      <c r="Z370"/>
      <c r="AA370"/>
      <c r="AB370"/>
      <c r="AC370"/>
      <c r="AD370"/>
      <c r="AE370"/>
      <c r="AF370"/>
      <c r="AG370"/>
      <c r="AH370"/>
      <c r="AI370"/>
      <c r="AJ370"/>
      <c r="AK370"/>
      <c r="AL370"/>
      <c r="AM370"/>
      <c r="AN370"/>
      <c r="AO370"/>
      <c r="AP370"/>
      <c r="AQ370"/>
      <c r="AR370"/>
    </row>
    <row r="371" spans="1:44" s="10" customFormat="1" ht="15.75" customHeight="1" x14ac:dyDescent="0.25">
      <c r="A371" s="55">
        <f t="shared" si="77"/>
        <v>61</v>
      </c>
      <c r="B371" s="633">
        <v>44634</v>
      </c>
      <c r="C371" s="755" t="s">
        <v>4295</v>
      </c>
      <c r="D371" s="824" t="s">
        <v>4296</v>
      </c>
      <c r="E371" s="884"/>
      <c r="F371" s="33" t="s">
        <v>3982</v>
      </c>
      <c r="G371" s="404" t="s">
        <v>988</v>
      </c>
      <c r="H371" s="45">
        <v>2664000</v>
      </c>
      <c r="I371" s="377" t="s">
        <v>4294</v>
      </c>
      <c r="J371" s="774">
        <v>44634</v>
      </c>
      <c r="K371" s="928">
        <f t="shared" si="75"/>
        <v>2664000</v>
      </c>
      <c r="L371" s="866"/>
      <c r="M371" s="866"/>
      <c r="N371" s="866"/>
      <c r="O371" s="866"/>
      <c r="P371" s="866"/>
      <c r="Q371" s="28">
        <f t="shared" si="76"/>
        <v>2664000</v>
      </c>
      <c r="R371" s="301"/>
      <c r="S371" s="301"/>
      <c r="T371" s="55"/>
      <c r="U371" s="24"/>
      <c r="V371" s="5"/>
      <c r="W371"/>
      <c r="X371"/>
      <c r="Y371"/>
      <c r="Z371"/>
      <c r="AA371"/>
      <c r="AB371"/>
      <c r="AC371"/>
      <c r="AD371"/>
      <c r="AE371"/>
      <c r="AF371"/>
      <c r="AG371"/>
      <c r="AH371"/>
      <c r="AI371"/>
      <c r="AJ371"/>
      <c r="AK371"/>
      <c r="AL371"/>
      <c r="AM371"/>
      <c r="AN371"/>
      <c r="AO371"/>
      <c r="AP371"/>
      <c r="AQ371"/>
      <c r="AR371"/>
    </row>
    <row r="372" spans="1:44" s="10" customFormat="1" ht="15.75" customHeight="1" x14ac:dyDescent="0.25">
      <c r="A372" s="55">
        <f t="shared" si="77"/>
        <v>62</v>
      </c>
      <c r="B372" s="633">
        <v>44634</v>
      </c>
      <c r="C372" s="755" t="s">
        <v>4298</v>
      </c>
      <c r="D372" s="824" t="s">
        <v>3248</v>
      </c>
      <c r="E372" s="884"/>
      <c r="F372" s="33" t="s">
        <v>3982</v>
      </c>
      <c r="G372" s="404" t="s">
        <v>988</v>
      </c>
      <c r="H372" s="45">
        <v>1632000</v>
      </c>
      <c r="I372" s="377" t="s">
        <v>4297</v>
      </c>
      <c r="J372" s="774">
        <v>44635</v>
      </c>
      <c r="K372" s="928">
        <f t="shared" si="75"/>
        <v>1632000</v>
      </c>
      <c r="L372" s="866"/>
      <c r="M372" s="866"/>
      <c r="N372" s="866"/>
      <c r="O372" s="866"/>
      <c r="P372" s="866"/>
      <c r="Q372" s="28">
        <f t="shared" si="76"/>
        <v>1632000</v>
      </c>
      <c r="R372" s="301"/>
      <c r="S372" s="301"/>
      <c r="T372" s="55"/>
      <c r="U372" s="24"/>
      <c r="V372" s="5"/>
      <c r="W372"/>
      <c r="X372"/>
      <c r="Y372"/>
      <c r="Z372"/>
      <c r="AA372"/>
      <c r="AB372"/>
      <c r="AC372"/>
      <c r="AD372"/>
      <c r="AE372"/>
      <c r="AF372"/>
      <c r="AG372"/>
      <c r="AH372"/>
      <c r="AI372"/>
      <c r="AJ372"/>
      <c r="AK372"/>
      <c r="AL372"/>
      <c r="AM372"/>
      <c r="AN372"/>
      <c r="AO372"/>
      <c r="AP372"/>
      <c r="AQ372"/>
      <c r="AR372"/>
    </row>
    <row r="373" spans="1:44" s="10" customFormat="1" ht="15.75" customHeight="1" x14ac:dyDescent="0.25">
      <c r="A373" s="55">
        <f t="shared" si="77"/>
        <v>63</v>
      </c>
      <c r="B373" s="633">
        <v>44635</v>
      </c>
      <c r="C373" s="755" t="s">
        <v>4300</v>
      </c>
      <c r="D373" s="824" t="s">
        <v>3136</v>
      </c>
      <c r="E373" s="884"/>
      <c r="F373" s="33" t="s">
        <v>4301</v>
      </c>
      <c r="G373" s="404" t="s">
        <v>988</v>
      </c>
      <c r="H373" s="45">
        <v>70000</v>
      </c>
      <c r="I373" s="377" t="s">
        <v>4299</v>
      </c>
      <c r="J373" s="774">
        <v>44636</v>
      </c>
      <c r="K373" s="928">
        <f t="shared" si="75"/>
        <v>70000</v>
      </c>
      <c r="L373" s="866"/>
      <c r="M373" s="866"/>
      <c r="N373" s="866"/>
      <c r="O373" s="866"/>
      <c r="P373" s="866">
        <v>70000</v>
      </c>
      <c r="Q373" s="28">
        <f t="shared" si="76"/>
        <v>0</v>
      </c>
      <c r="R373" s="301"/>
      <c r="S373" s="301">
        <v>44637</v>
      </c>
      <c r="T373" s="55"/>
      <c r="U373" s="24"/>
      <c r="V373" s="5"/>
      <c r="W373"/>
      <c r="X373"/>
      <c r="Y373"/>
      <c r="Z373"/>
      <c r="AA373"/>
      <c r="AB373"/>
      <c r="AC373"/>
      <c r="AD373"/>
      <c r="AE373"/>
      <c r="AF373"/>
      <c r="AG373"/>
      <c r="AH373"/>
      <c r="AI373"/>
      <c r="AJ373"/>
      <c r="AK373"/>
      <c r="AL373"/>
      <c r="AM373"/>
      <c r="AN373"/>
      <c r="AO373"/>
      <c r="AP373"/>
      <c r="AQ373"/>
      <c r="AR373"/>
    </row>
    <row r="374" spans="1:44" s="10" customFormat="1" ht="15.75" customHeight="1" x14ac:dyDescent="0.25">
      <c r="A374" s="55">
        <f t="shared" si="77"/>
        <v>64</v>
      </c>
      <c r="B374" s="633">
        <v>44635</v>
      </c>
      <c r="C374" s="755" t="s">
        <v>4305</v>
      </c>
      <c r="D374" s="824" t="s">
        <v>4304</v>
      </c>
      <c r="E374" s="884"/>
      <c r="F374" s="33" t="s">
        <v>4019</v>
      </c>
      <c r="G374" s="404" t="s">
        <v>4303</v>
      </c>
      <c r="H374" s="45">
        <v>824000</v>
      </c>
      <c r="I374" s="377" t="s">
        <v>4302</v>
      </c>
      <c r="J374" s="774">
        <v>44636</v>
      </c>
      <c r="K374" s="928">
        <f t="shared" si="75"/>
        <v>824000</v>
      </c>
      <c r="L374" s="866"/>
      <c r="M374" s="866"/>
      <c r="N374" s="866"/>
      <c r="O374" s="866"/>
      <c r="P374" s="866">
        <v>824000</v>
      </c>
      <c r="Q374" s="28">
        <f t="shared" si="76"/>
        <v>0</v>
      </c>
      <c r="R374" s="301"/>
      <c r="S374" s="301">
        <v>44637</v>
      </c>
      <c r="T374" s="55"/>
      <c r="U374" s="24"/>
      <c r="V374" s="5"/>
      <c r="W374"/>
      <c r="X374"/>
      <c r="Y374"/>
      <c r="Z374"/>
      <c r="AA374"/>
      <c r="AB374"/>
      <c r="AC374"/>
      <c r="AD374"/>
      <c r="AE374"/>
      <c r="AF374"/>
      <c r="AG374"/>
      <c r="AH374"/>
      <c r="AI374"/>
      <c r="AJ374"/>
      <c r="AK374"/>
      <c r="AL374"/>
      <c r="AM374"/>
      <c r="AN374"/>
      <c r="AO374"/>
      <c r="AP374"/>
      <c r="AQ374"/>
      <c r="AR374"/>
    </row>
    <row r="375" spans="1:44" s="10" customFormat="1" ht="15.75" customHeight="1" x14ac:dyDescent="0.25">
      <c r="A375" s="55">
        <f t="shared" si="77"/>
        <v>65</v>
      </c>
      <c r="B375" s="633">
        <v>44635</v>
      </c>
      <c r="C375" s="755" t="s">
        <v>4309</v>
      </c>
      <c r="D375" s="824" t="s">
        <v>4308</v>
      </c>
      <c r="E375" s="884"/>
      <c r="F375" s="33" t="s">
        <v>4019</v>
      </c>
      <c r="G375" s="404" t="s">
        <v>4307</v>
      </c>
      <c r="H375" s="45">
        <v>1164000</v>
      </c>
      <c r="I375" s="377" t="s">
        <v>4306</v>
      </c>
      <c r="J375" s="774">
        <v>44636</v>
      </c>
      <c r="K375" s="928">
        <f t="shared" si="75"/>
        <v>1164000</v>
      </c>
      <c r="L375" s="866"/>
      <c r="M375" s="866"/>
      <c r="N375" s="866"/>
      <c r="O375" s="866"/>
      <c r="P375" s="866">
        <v>1164000</v>
      </c>
      <c r="Q375" s="28">
        <f t="shared" si="76"/>
        <v>0</v>
      </c>
      <c r="R375" s="301"/>
      <c r="S375" s="301">
        <v>44637</v>
      </c>
      <c r="T375" s="55"/>
      <c r="U375" s="24"/>
      <c r="V375" s="5"/>
      <c r="W375"/>
      <c r="X375"/>
      <c r="Y375"/>
      <c r="Z375"/>
      <c r="AA375"/>
      <c r="AB375"/>
      <c r="AC375"/>
      <c r="AD375"/>
      <c r="AE375"/>
      <c r="AF375"/>
      <c r="AG375"/>
      <c r="AH375"/>
      <c r="AI375"/>
      <c r="AJ375"/>
      <c r="AK375"/>
      <c r="AL375"/>
      <c r="AM375"/>
      <c r="AN375"/>
      <c r="AO375"/>
      <c r="AP375"/>
      <c r="AQ375"/>
      <c r="AR375"/>
    </row>
    <row r="376" spans="1:44" s="10" customFormat="1" ht="15.75" customHeight="1" x14ac:dyDescent="0.25">
      <c r="A376" s="55">
        <f t="shared" si="77"/>
        <v>66</v>
      </c>
      <c r="B376" s="633">
        <v>44635</v>
      </c>
      <c r="C376" s="755" t="s">
        <v>4313</v>
      </c>
      <c r="D376" s="824" t="s">
        <v>4311</v>
      </c>
      <c r="E376" s="884"/>
      <c r="F376" s="33" t="s">
        <v>4019</v>
      </c>
      <c r="G376" s="404" t="s">
        <v>4312</v>
      </c>
      <c r="H376" s="45">
        <v>712000</v>
      </c>
      <c r="I376" s="377" t="s">
        <v>4310</v>
      </c>
      <c r="J376" s="774">
        <v>44636</v>
      </c>
      <c r="K376" s="928">
        <f t="shared" ref="K376:K439" si="101">H376</f>
        <v>712000</v>
      </c>
      <c r="L376" s="866"/>
      <c r="M376" s="866"/>
      <c r="N376" s="866"/>
      <c r="O376" s="866"/>
      <c r="P376" s="866">
        <v>712000</v>
      </c>
      <c r="Q376" s="28">
        <f t="shared" ref="Q376:Q439" si="102">K376-L376-M376-O376-P376+N376</f>
        <v>0</v>
      </c>
      <c r="R376" s="301"/>
      <c r="S376" s="301">
        <v>44637</v>
      </c>
      <c r="T376" s="55"/>
      <c r="U376" s="24"/>
      <c r="V376" s="5"/>
      <c r="W376"/>
      <c r="X376"/>
      <c r="Y376"/>
      <c r="Z376"/>
      <c r="AA376"/>
      <c r="AB376"/>
      <c r="AC376"/>
      <c r="AD376"/>
      <c r="AE376"/>
      <c r="AF376"/>
      <c r="AG376"/>
      <c r="AH376"/>
      <c r="AI376"/>
      <c r="AJ376"/>
      <c r="AK376"/>
      <c r="AL376"/>
      <c r="AM376"/>
      <c r="AN376"/>
      <c r="AO376"/>
      <c r="AP376"/>
      <c r="AQ376"/>
      <c r="AR376"/>
    </row>
    <row r="377" spans="1:44" s="10" customFormat="1" ht="15.75" customHeight="1" x14ac:dyDescent="0.25">
      <c r="A377" s="55">
        <f t="shared" ref="A377:A440" si="103">A376+1</f>
        <v>67</v>
      </c>
      <c r="B377" s="633">
        <v>44635</v>
      </c>
      <c r="C377" s="755"/>
      <c r="D377" s="824" t="s">
        <v>4316</v>
      </c>
      <c r="E377" s="884"/>
      <c r="F377" s="33" t="s">
        <v>4315</v>
      </c>
      <c r="G377" s="404" t="s">
        <v>521</v>
      </c>
      <c r="H377" s="45">
        <v>280000</v>
      </c>
      <c r="I377" s="377" t="s">
        <v>4314</v>
      </c>
      <c r="J377" s="774">
        <v>44636</v>
      </c>
      <c r="K377" s="928">
        <f t="shared" si="101"/>
        <v>280000</v>
      </c>
      <c r="L377" s="866"/>
      <c r="M377" s="866"/>
      <c r="N377" s="866"/>
      <c r="O377" s="866"/>
      <c r="P377" s="866">
        <v>280000</v>
      </c>
      <c r="Q377" s="28">
        <f t="shared" si="102"/>
        <v>0</v>
      </c>
      <c r="R377" s="301"/>
      <c r="S377" s="301">
        <v>44637</v>
      </c>
      <c r="T377" s="55"/>
      <c r="U377" s="24"/>
      <c r="V377" s="5"/>
      <c r="W377"/>
      <c r="X377"/>
      <c r="Y377"/>
      <c r="Z377"/>
      <c r="AA377"/>
      <c r="AB377"/>
      <c r="AC377"/>
      <c r="AD377"/>
      <c r="AE377"/>
      <c r="AF377"/>
      <c r="AG377"/>
      <c r="AH377"/>
      <c r="AI377"/>
      <c r="AJ377"/>
      <c r="AK377"/>
      <c r="AL377"/>
      <c r="AM377"/>
      <c r="AN377"/>
      <c r="AO377"/>
      <c r="AP377"/>
      <c r="AQ377"/>
      <c r="AR377"/>
    </row>
    <row r="378" spans="1:44" s="10" customFormat="1" ht="15.75" customHeight="1" x14ac:dyDescent="0.25">
      <c r="A378" s="55">
        <f t="shared" si="103"/>
        <v>68</v>
      </c>
      <c r="B378" s="633">
        <v>44636</v>
      </c>
      <c r="C378" s="755"/>
      <c r="D378" s="824" t="s">
        <v>4320</v>
      </c>
      <c r="E378" s="884"/>
      <c r="F378" s="33" t="s">
        <v>4318</v>
      </c>
      <c r="G378" s="404" t="s">
        <v>988</v>
      </c>
      <c r="H378" s="45">
        <v>1640000</v>
      </c>
      <c r="I378" s="377" t="s">
        <v>4317</v>
      </c>
      <c r="J378" s="774">
        <v>44636</v>
      </c>
      <c r="K378" s="928">
        <f t="shared" si="101"/>
        <v>1640000</v>
      </c>
      <c r="L378" s="866"/>
      <c r="M378" s="866"/>
      <c r="N378" s="866"/>
      <c r="O378" s="866"/>
      <c r="P378" s="866">
        <v>1640000</v>
      </c>
      <c r="Q378" s="28">
        <f t="shared" si="102"/>
        <v>0</v>
      </c>
      <c r="R378" s="301"/>
      <c r="S378" s="301">
        <v>44636</v>
      </c>
      <c r="T378" s="55"/>
      <c r="U378" s="24"/>
      <c r="V378" s="5"/>
      <c r="W378"/>
      <c r="X378"/>
      <c r="Y378"/>
      <c r="Z378"/>
      <c r="AA378"/>
      <c r="AB378"/>
      <c r="AC378"/>
      <c r="AD378"/>
      <c r="AE378"/>
      <c r="AF378"/>
      <c r="AG378"/>
      <c r="AH378"/>
      <c r="AI378"/>
      <c r="AJ378"/>
      <c r="AK378"/>
      <c r="AL378"/>
      <c r="AM378"/>
      <c r="AN378"/>
      <c r="AO378"/>
      <c r="AP378"/>
      <c r="AQ378"/>
      <c r="AR378"/>
    </row>
    <row r="379" spans="1:44" s="10" customFormat="1" ht="15.75" customHeight="1" x14ac:dyDescent="0.25">
      <c r="A379" s="55">
        <f t="shared" si="103"/>
        <v>69</v>
      </c>
      <c r="B379" s="633">
        <v>44627</v>
      </c>
      <c r="C379" s="755">
        <v>404958</v>
      </c>
      <c r="D379" s="824" t="s">
        <v>4322</v>
      </c>
      <c r="E379" s="884"/>
      <c r="F379" s="33" t="s">
        <v>4321</v>
      </c>
      <c r="G379" s="404" t="s">
        <v>4323</v>
      </c>
      <c r="H379" s="45">
        <v>770000</v>
      </c>
      <c r="I379" s="377" t="s">
        <v>4319</v>
      </c>
      <c r="J379" s="774">
        <v>44637</v>
      </c>
      <c r="K379" s="928">
        <f t="shared" si="101"/>
        <v>770000</v>
      </c>
      <c r="L379" s="866"/>
      <c r="M379" s="866"/>
      <c r="N379" s="866"/>
      <c r="O379" s="866"/>
      <c r="P379" s="866"/>
      <c r="Q379" s="28">
        <f t="shared" si="102"/>
        <v>770000</v>
      </c>
      <c r="R379" s="301"/>
      <c r="S379" s="301"/>
      <c r="T379" s="55"/>
      <c r="U379" s="24"/>
      <c r="V379" s="5"/>
      <c r="W379"/>
      <c r="X379"/>
      <c r="Y379"/>
      <c r="Z379"/>
      <c r="AA379"/>
      <c r="AB379"/>
      <c r="AC379"/>
      <c r="AD379"/>
      <c r="AE379"/>
      <c r="AF379"/>
      <c r="AG379"/>
      <c r="AH379"/>
      <c r="AI379"/>
      <c r="AJ379"/>
      <c r="AK379"/>
      <c r="AL379"/>
      <c r="AM379"/>
      <c r="AN379"/>
      <c r="AO379"/>
      <c r="AP379"/>
      <c r="AQ379"/>
      <c r="AR379"/>
    </row>
    <row r="380" spans="1:44" s="10" customFormat="1" ht="15.75" customHeight="1" x14ac:dyDescent="0.25">
      <c r="A380" s="55">
        <f t="shared" si="103"/>
        <v>70</v>
      </c>
      <c r="B380" s="633">
        <v>44621</v>
      </c>
      <c r="C380" s="755" t="s">
        <v>4326</v>
      </c>
      <c r="D380" s="824" t="s">
        <v>4325</v>
      </c>
      <c r="E380" s="884"/>
      <c r="F380" s="33" t="s">
        <v>53</v>
      </c>
      <c r="G380" s="404" t="s">
        <v>161</v>
      </c>
      <c r="H380" s="45">
        <v>1100000</v>
      </c>
      <c r="I380" s="377" t="s">
        <v>4324</v>
      </c>
      <c r="J380" s="774">
        <v>44637</v>
      </c>
      <c r="K380" s="928">
        <f t="shared" si="101"/>
        <v>1100000</v>
      </c>
      <c r="L380" s="866"/>
      <c r="M380" s="866"/>
      <c r="N380" s="866"/>
      <c r="O380" s="866"/>
      <c r="P380" s="866"/>
      <c r="Q380" s="28">
        <f t="shared" si="102"/>
        <v>1100000</v>
      </c>
      <c r="R380" s="301"/>
      <c r="S380" s="301"/>
      <c r="T380" s="55">
        <v>14</v>
      </c>
      <c r="U380" s="24">
        <f t="shared" ref="U380" si="104">J380+T380</f>
        <v>44651</v>
      </c>
      <c r="V380" s="5"/>
      <c r="W380"/>
      <c r="X380"/>
      <c r="Y380"/>
      <c r="Z380"/>
      <c r="AA380"/>
      <c r="AB380"/>
      <c r="AC380"/>
      <c r="AD380"/>
      <c r="AE380"/>
      <c r="AF380"/>
      <c r="AG380"/>
      <c r="AH380"/>
      <c r="AI380"/>
      <c r="AJ380"/>
      <c r="AK380"/>
      <c r="AL380"/>
      <c r="AM380"/>
      <c r="AN380"/>
      <c r="AO380"/>
      <c r="AP380"/>
      <c r="AQ380"/>
      <c r="AR380"/>
    </row>
    <row r="381" spans="1:44" s="10" customFormat="1" ht="15.75" customHeight="1" x14ac:dyDescent="0.25">
      <c r="A381" s="55">
        <f t="shared" si="103"/>
        <v>71</v>
      </c>
      <c r="B381" s="633">
        <v>44637</v>
      </c>
      <c r="C381" s="755" t="s">
        <v>4328</v>
      </c>
      <c r="D381" s="824" t="s">
        <v>4329</v>
      </c>
      <c r="E381" s="884"/>
      <c r="F381" s="33" t="s">
        <v>3982</v>
      </c>
      <c r="G381" s="404" t="s">
        <v>988</v>
      </c>
      <c r="H381" s="45">
        <v>508000</v>
      </c>
      <c r="I381" s="377" t="s">
        <v>4327</v>
      </c>
      <c r="J381" s="774">
        <v>44637</v>
      </c>
      <c r="K381" s="928">
        <f t="shared" si="101"/>
        <v>508000</v>
      </c>
      <c r="L381" s="866"/>
      <c r="M381" s="866"/>
      <c r="N381" s="866"/>
      <c r="O381" s="866"/>
      <c r="P381" s="866"/>
      <c r="Q381" s="28">
        <f t="shared" si="102"/>
        <v>508000</v>
      </c>
      <c r="R381" s="301"/>
      <c r="S381" s="301"/>
      <c r="T381" s="55"/>
      <c r="U381" s="24"/>
      <c r="V381" s="5"/>
      <c r="W381"/>
      <c r="X381"/>
      <c r="Y381"/>
      <c r="Z381"/>
      <c r="AA381"/>
      <c r="AB381"/>
      <c r="AC381"/>
      <c r="AD381"/>
      <c r="AE381"/>
      <c r="AF381"/>
      <c r="AG381"/>
      <c r="AH381"/>
      <c r="AI381"/>
      <c r="AJ381"/>
      <c r="AK381"/>
      <c r="AL381"/>
      <c r="AM381"/>
      <c r="AN381"/>
      <c r="AO381"/>
      <c r="AP381"/>
      <c r="AQ381"/>
      <c r="AR381"/>
    </row>
    <row r="382" spans="1:44" s="10" customFormat="1" ht="15.75" customHeight="1" x14ac:dyDescent="0.25">
      <c r="A382" s="55">
        <f t="shared" si="103"/>
        <v>72</v>
      </c>
      <c r="B382" s="633">
        <v>44624</v>
      </c>
      <c r="C382" s="755" t="s">
        <v>4334</v>
      </c>
      <c r="D382" s="824" t="s">
        <v>3061</v>
      </c>
      <c r="E382" s="884"/>
      <c r="F382" s="33" t="s">
        <v>1364</v>
      </c>
      <c r="G382" s="404" t="s">
        <v>4333</v>
      </c>
      <c r="H382" s="45">
        <v>1125000</v>
      </c>
      <c r="I382" s="925" t="s">
        <v>4332</v>
      </c>
      <c r="J382" s="774">
        <v>44638</v>
      </c>
      <c r="K382" s="928">
        <f t="shared" si="101"/>
        <v>1125000</v>
      </c>
      <c r="L382" s="866"/>
      <c r="M382" s="866"/>
      <c r="N382" s="866"/>
      <c r="O382" s="866"/>
      <c r="P382" s="866"/>
      <c r="Q382" s="28">
        <f t="shared" si="102"/>
        <v>1125000</v>
      </c>
      <c r="R382" s="301"/>
      <c r="S382" s="301"/>
      <c r="T382" s="55"/>
      <c r="U382" s="24"/>
      <c r="V382" s="5"/>
      <c r="W382"/>
      <c r="X382"/>
      <c r="Y382"/>
      <c r="Z382"/>
      <c r="AA382"/>
      <c r="AB382"/>
      <c r="AC382"/>
      <c r="AD382"/>
      <c r="AE382"/>
      <c r="AF382"/>
      <c r="AG382"/>
      <c r="AH382"/>
      <c r="AI382"/>
      <c r="AJ382"/>
      <c r="AK382"/>
      <c r="AL382"/>
      <c r="AM382"/>
      <c r="AN382"/>
      <c r="AO382"/>
      <c r="AP382"/>
      <c r="AQ382"/>
      <c r="AR382"/>
    </row>
    <row r="383" spans="1:44" s="10" customFormat="1" ht="15.75" customHeight="1" x14ac:dyDescent="0.25">
      <c r="A383" s="55">
        <f t="shared" si="103"/>
        <v>73</v>
      </c>
      <c r="B383" s="633">
        <v>44631</v>
      </c>
      <c r="C383" s="755" t="s">
        <v>4337</v>
      </c>
      <c r="D383" s="824" t="s">
        <v>4336</v>
      </c>
      <c r="E383" s="884"/>
      <c r="F383" s="33" t="s">
        <v>4338</v>
      </c>
      <c r="G383" s="404" t="s">
        <v>668</v>
      </c>
      <c r="H383" s="45">
        <v>7514250</v>
      </c>
      <c r="I383" s="377" t="s">
        <v>4335</v>
      </c>
      <c r="J383" s="774">
        <v>44638</v>
      </c>
      <c r="K383" s="928">
        <f t="shared" si="101"/>
        <v>7514250</v>
      </c>
      <c r="L383" s="866">
        <v>4900000</v>
      </c>
      <c r="M383" s="866"/>
      <c r="N383" s="866"/>
      <c r="O383" s="866"/>
      <c r="P383" s="866">
        <v>2614250</v>
      </c>
      <c r="Q383" s="28">
        <f t="shared" si="102"/>
        <v>0</v>
      </c>
      <c r="R383" s="301">
        <v>44631</v>
      </c>
      <c r="S383" s="301">
        <v>44656</v>
      </c>
      <c r="T383" s="55">
        <v>14</v>
      </c>
      <c r="U383" s="197">
        <f t="shared" ref="U383:U387" si="105">J383+T383</f>
        <v>44652</v>
      </c>
      <c r="V383" s="5"/>
      <c r="W383"/>
      <c r="X383"/>
      <c r="Y383"/>
      <c r="Z383"/>
      <c r="AA383"/>
      <c r="AB383"/>
      <c r="AC383"/>
      <c r="AD383"/>
      <c r="AE383"/>
      <c r="AF383"/>
      <c r="AG383"/>
      <c r="AH383"/>
      <c r="AI383"/>
      <c r="AJ383"/>
      <c r="AK383"/>
      <c r="AL383"/>
      <c r="AM383"/>
      <c r="AN383"/>
      <c r="AO383"/>
      <c r="AP383"/>
      <c r="AQ383"/>
      <c r="AR383"/>
    </row>
    <row r="384" spans="1:44" s="10" customFormat="1" ht="15.75" customHeight="1" x14ac:dyDescent="0.25">
      <c r="A384" s="55">
        <f t="shared" si="103"/>
        <v>74</v>
      </c>
      <c r="B384" s="633">
        <v>44624</v>
      </c>
      <c r="C384" s="755" t="s">
        <v>4341</v>
      </c>
      <c r="D384" s="824" t="s">
        <v>4340</v>
      </c>
      <c r="E384" s="884"/>
      <c r="F384" s="33" t="s">
        <v>3857</v>
      </c>
      <c r="G384" s="404" t="s">
        <v>4342</v>
      </c>
      <c r="H384" s="45">
        <v>1200000</v>
      </c>
      <c r="I384" s="377" t="s">
        <v>4339</v>
      </c>
      <c r="J384" s="774">
        <v>44638</v>
      </c>
      <c r="K384" s="928">
        <f t="shared" si="101"/>
        <v>1200000</v>
      </c>
      <c r="L384" s="866">
        <v>800000</v>
      </c>
      <c r="M384" s="866"/>
      <c r="N384" s="866"/>
      <c r="O384" s="866"/>
      <c r="P384" s="866"/>
      <c r="Q384" s="28">
        <f t="shared" si="102"/>
        <v>400000</v>
      </c>
      <c r="R384" s="301">
        <v>44635</v>
      </c>
      <c r="S384" s="301"/>
      <c r="T384" s="55">
        <v>14</v>
      </c>
      <c r="U384" s="197">
        <f t="shared" si="105"/>
        <v>44652</v>
      </c>
      <c r="V384" s="5"/>
      <c r="W384"/>
      <c r="X384"/>
      <c r="Y384"/>
      <c r="Z384"/>
      <c r="AA384"/>
      <c r="AB384"/>
      <c r="AC384"/>
      <c r="AD384"/>
      <c r="AE384"/>
      <c r="AF384"/>
      <c r="AG384"/>
      <c r="AH384"/>
      <c r="AI384"/>
      <c r="AJ384"/>
      <c r="AK384"/>
      <c r="AL384"/>
      <c r="AM384"/>
      <c r="AN384"/>
      <c r="AO384"/>
      <c r="AP384"/>
      <c r="AQ384"/>
      <c r="AR384"/>
    </row>
    <row r="385" spans="1:44" s="10" customFormat="1" ht="15.75" customHeight="1" x14ac:dyDescent="0.25">
      <c r="A385" s="55">
        <f t="shared" si="103"/>
        <v>75</v>
      </c>
      <c r="B385" s="633">
        <v>44628</v>
      </c>
      <c r="C385" s="755" t="s">
        <v>4345</v>
      </c>
      <c r="D385" s="824" t="s">
        <v>4344</v>
      </c>
      <c r="E385" s="884"/>
      <c r="F385" s="33" t="s">
        <v>3857</v>
      </c>
      <c r="G385" s="404" t="s">
        <v>653</v>
      </c>
      <c r="H385" s="45">
        <v>7800000</v>
      </c>
      <c r="I385" s="377" t="s">
        <v>4343</v>
      </c>
      <c r="J385" s="774">
        <v>44638</v>
      </c>
      <c r="K385" s="928">
        <f t="shared" si="101"/>
        <v>7800000</v>
      </c>
      <c r="L385" s="866">
        <v>5400000</v>
      </c>
      <c r="M385" s="866"/>
      <c r="N385" s="866"/>
      <c r="O385" s="866"/>
      <c r="P385" s="866"/>
      <c r="Q385" s="28">
        <f t="shared" si="102"/>
        <v>2400000</v>
      </c>
      <c r="R385" s="301">
        <v>44635</v>
      </c>
      <c r="S385" s="301"/>
      <c r="T385" s="55">
        <v>14</v>
      </c>
      <c r="U385" s="197">
        <f t="shared" si="105"/>
        <v>44652</v>
      </c>
      <c r="V385" s="5"/>
      <c r="W385"/>
      <c r="X385"/>
      <c r="Y385"/>
      <c r="Z385"/>
      <c r="AA385"/>
      <c r="AB385"/>
      <c r="AC385"/>
      <c r="AD385"/>
      <c r="AE385"/>
      <c r="AF385"/>
      <c r="AG385"/>
      <c r="AH385"/>
      <c r="AI385"/>
      <c r="AJ385"/>
      <c r="AK385"/>
      <c r="AL385"/>
      <c r="AM385"/>
      <c r="AN385"/>
      <c r="AO385"/>
      <c r="AP385"/>
      <c r="AQ385"/>
      <c r="AR385"/>
    </row>
    <row r="386" spans="1:44" s="10" customFormat="1" ht="15.75" customHeight="1" x14ac:dyDescent="0.25">
      <c r="A386" s="55">
        <f t="shared" si="103"/>
        <v>76</v>
      </c>
      <c r="B386" s="633">
        <v>12121</v>
      </c>
      <c r="C386" s="755" t="s">
        <v>4348</v>
      </c>
      <c r="D386" s="824" t="s">
        <v>4347</v>
      </c>
      <c r="E386" s="884"/>
      <c r="F386" s="33" t="s">
        <v>3857</v>
      </c>
      <c r="G386" s="404" t="s">
        <v>4349</v>
      </c>
      <c r="H386" s="45">
        <v>8000000</v>
      </c>
      <c r="I386" s="377" t="s">
        <v>4346</v>
      </c>
      <c r="J386" s="774">
        <v>44638</v>
      </c>
      <c r="K386" s="928">
        <f t="shared" si="101"/>
        <v>8000000</v>
      </c>
      <c r="L386" s="866">
        <v>5600000</v>
      </c>
      <c r="M386" s="866"/>
      <c r="N386" s="866"/>
      <c r="O386" s="866"/>
      <c r="P386" s="866"/>
      <c r="Q386" s="28">
        <f t="shared" si="102"/>
        <v>2400000</v>
      </c>
      <c r="R386" s="301">
        <v>44635</v>
      </c>
      <c r="S386" s="301"/>
      <c r="T386" s="55">
        <v>14</v>
      </c>
      <c r="U386" s="197">
        <f t="shared" si="105"/>
        <v>44652</v>
      </c>
      <c r="V386" s="5"/>
      <c r="W386"/>
      <c r="X386"/>
      <c r="Y386"/>
      <c r="Z386"/>
      <c r="AA386"/>
      <c r="AB386"/>
      <c r="AC386"/>
      <c r="AD386"/>
      <c r="AE386"/>
      <c r="AF386"/>
      <c r="AG386"/>
      <c r="AH386"/>
      <c r="AI386"/>
      <c r="AJ386"/>
      <c r="AK386"/>
      <c r="AL386"/>
      <c r="AM386"/>
      <c r="AN386"/>
      <c r="AO386"/>
      <c r="AP386"/>
      <c r="AQ386"/>
      <c r="AR386"/>
    </row>
    <row r="387" spans="1:44" s="10" customFormat="1" ht="15.75" customHeight="1" x14ac:dyDescent="0.25">
      <c r="A387" s="55">
        <f t="shared" si="103"/>
        <v>77</v>
      </c>
      <c r="B387" s="633">
        <v>12121</v>
      </c>
      <c r="C387" s="755" t="s">
        <v>4352</v>
      </c>
      <c r="D387" s="824" t="s">
        <v>4351</v>
      </c>
      <c r="E387" s="884"/>
      <c r="F387" s="33" t="s">
        <v>3857</v>
      </c>
      <c r="G387" s="404" t="s">
        <v>4349</v>
      </c>
      <c r="H387" s="45">
        <v>9454000</v>
      </c>
      <c r="I387" s="377" t="s">
        <v>4350</v>
      </c>
      <c r="J387" s="774">
        <v>44638</v>
      </c>
      <c r="K387" s="928">
        <f t="shared" si="101"/>
        <v>9454000</v>
      </c>
      <c r="L387" s="866">
        <v>5950000</v>
      </c>
      <c r="M387" s="866"/>
      <c r="N387" s="866"/>
      <c r="O387" s="866"/>
      <c r="P387" s="866"/>
      <c r="Q387" s="28">
        <f t="shared" si="102"/>
        <v>3504000</v>
      </c>
      <c r="R387" s="301">
        <v>44635</v>
      </c>
      <c r="S387" s="301"/>
      <c r="T387" s="55">
        <v>14</v>
      </c>
      <c r="U387" s="197">
        <f t="shared" si="105"/>
        <v>44652</v>
      </c>
      <c r="V387" s="5"/>
      <c r="W387" s="130"/>
      <c r="X387" s="130"/>
      <c r="Y387"/>
      <c r="Z387"/>
      <c r="AA387"/>
      <c r="AB387"/>
      <c r="AC387"/>
      <c r="AD387"/>
      <c r="AE387"/>
      <c r="AF387"/>
      <c r="AG387"/>
      <c r="AH387"/>
      <c r="AI387"/>
      <c r="AJ387"/>
      <c r="AK387"/>
      <c r="AL387"/>
      <c r="AM387"/>
      <c r="AN387"/>
      <c r="AO387"/>
      <c r="AP387"/>
      <c r="AQ387"/>
      <c r="AR387"/>
    </row>
    <row r="388" spans="1:44" s="10" customFormat="1" ht="15.75" customHeight="1" x14ac:dyDescent="0.25">
      <c r="A388" s="55">
        <f t="shared" si="103"/>
        <v>78</v>
      </c>
      <c r="B388" s="633">
        <v>44638</v>
      </c>
      <c r="C388" s="755"/>
      <c r="D388" s="824" t="s">
        <v>4355</v>
      </c>
      <c r="E388" s="884"/>
      <c r="F388" s="33" t="s">
        <v>4354</v>
      </c>
      <c r="G388" s="404" t="s">
        <v>503</v>
      </c>
      <c r="H388" s="45">
        <v>460200</v>
      </c>
      <c r="I388" s="377" t="s">
        <v>4353</v>
      </c>
      <c r="J388" s="774">
        <v>44638</v>
      </c>
      <c r="K388" s="928">
        <f t="shared" si="101"/>
        <v>460200</v>
      </c>
      <c r="L388" s="866"/>
      <c r="M388" s="866"/>
      <c r="N388" s="866"/>
      <c r="O388" s="866"/>
      <c r="P388" s="866">
        <v>460200</v>
      </c>
      <c r="Q388" s="28">
        <f t="shared" si="102"/>
        <v>0</v>
      </c>
      <c r="R388" s="301"/>
      <c r="S388" s="301">
        <v>44639</v>
      </c>
      <c r="T388" s="55"/>
      <c r="U388" s="24"/>
      <c r="V388" s="5"/>
      <c r="W388"/>
      <c r="X388"/>
      <c r="Y388"/>
      <c r="Z388"/>
      <c r="AA388"/>
      <c r="AB388"/>
      <c r="AC388"/>
      <c r="AD388"/>
      <c r="AE388"/>
      <c r="AF388"/>
      <c r="AG388"/>
      <c r="AH388"/>
      <c r="AI388"/>
      <c r="AJ388"/>
      <c r="AK388"/>
      <c r="AL388"/>
      <c r="AM388"/>
      <c r="AN388"/>
      <c r="AO388"/>
      <c r="AP388"/>
      <c r="AQ388"/>
      <c r="AR388"/>
    </row>
    <row r="389" spans="1:44" s="10" customFormat="1" ht="15.75" customHeight="1" x14ac:dyDescent="0.25">
      <c r="A389" s="55">
        <f t="shared" si="103"/>
        <v>79</v>
      </c>
      <c r="B389" s="633">
        <v>44274</v>
      </c>
      <c r="C389" s="755" t="s">
        <v>4423</v>
      </c>
      <c r="D389" s="824" t="s">
        <v>4422</v>
      </c>
      <c r="E389" s="884"/>
      <c r="F389" s="33" t="s">
        <v>5051</v>
      </c>
      <c r="G389" s="404" t="s">
        <v>4424</v>
      </c>
      <c r="H389" s="45">
        <v>200000</v>
      </c>
      <c r="I389" s="377" t="s">
        <v>4425</v>
      </c>
      <c r="J389" s="774">
        <v>44641</v>
      </c>
      <c r="K389" s="928">
        <f t="shared" si="101"/>
        <v>200000</v>
      </c>
      <c r="L389" s="866"/>
      <c r="M389" s="866"/>
      <c r="N389" s="866"/>
      <c r="O389" s="866"/>
      <c r="P389" s="866">
        <v>200000</v>
      </c>
      <c r="Q389" s="28">
        <f t="shared" si="102"/>
        <v>0</v>
      </c>
      <c r="R389" s="301"/>
      <c r="S389" s="301">
        <v>44642</v>
      </c>
      <c r="T389" s="55"/>
      <c r="U389" s="24"/>
      <c r="V389" s="5"/>
      <c r="W389"/>
      <c r="X389"/>
      <c r="Y389"/>
      <c r="Z389"/>
      <c r="AA389"/>
      <c r="AB389"/>
      <c r="AC389"/>
      <c r="AD389"/>
      <c r="AE389"/>
      <c r="AF389"/>
      <c r="AG389"/>
      <c r="AH389"/>
      <c r="AI389"/>
      <c r="AJ389"/>
      <c r="AK389"/>
      <c r="AL389"/>
      <c r="AM389"/>
      <c r="AN389"/>
      <c r="AO389"/>
      <c r="AP389"/>
      <c r="AQ389"/>
      <c r="AR389"/>
    </row>
    <row r="390" spans="1:44" s="10" customFormat="1" ht="15.75" customHeight="1" x14ac:dyDescent="0.25">
      <c r="A390" s="55">
        <f t="shared" si="103"/>
        <v>80</v>
      </c>
      <c r="B390" s="633">
        <v>44274</v>
      </c>
      <c r="C390" s="755" t="s">
        <v>4427</v>
      </c>
      <c r="D390" s="824" t="s">
        <v>4428</v>
      </c>
      <c r="E390" s="884"/>
      <c r="F390" s="33" t="s">
        <v>4019</v>
      </c>
      <c r="G390" s="404" t="s">
        <v>4424</v>
      </c>
      <c r="H390" s="45">
        <v>324000</v>
      </c>
      <c r="I390" s="377" t="s">
        <v>4426</v>
      </c>
      <c r="J390" s="774">
        <v>44641</v>
      </c>
      <c r="K390" s="928">
        <f t="shared" si="101"/>
        <v>324000</v>
      </c>
      <c r="L390" s="866"/>
      <c r="M390" s="866"/>
      <c r="N390" s="866"/>
      <c r="O390" s="866"/>
      <c r="P390" s="866">
        <v>324000</v>
      </c>
      <c r="Q390" s="28">
        <f t="shared" si="102"/>
        <v>0</v>
      </c>
      <c r="R390" s="301"/>
      <c r="S390" s="301">
        <v>44642</v>
      </c>
      <c r="T390" s="55"/>
      <c r="U390" s="24"/>
      <c r="V390" s="5"/>
      <c r="W390"/>
      <c r="X390"/>
      <c r="Y390"/>
      <c r="Z390"/>
      <c r="AA390"/>
      <c r="AB390"/>
      <c r="AC390"/>
      <c r="AD390"/>
      <c r="AE390"/>
      <c r="AF390"/>
      <c r="AG390"/>
      <c r="AH390"/>
      <c r="AI390"/>
      <c r="AJ390"/>
      <c r="AK390"/>
      <c r="AL390"/>
      <c r="AM390"/>
      <c r="AN390"/>
      <c r="AO390"/>
      <c r="AP390"/>
      <c r="AQ390"/>
      <c r="AR390"/>
    </row>
    <row r="391" spans="1:44" s="10" customFormat="1" ht="15.75" customHeight="1" x14ac:dyDescent="0.25">
      <c r="A391" s="55">
        <f t="shared" si="103"/>
        <v>81</v>
      </c>
      <c r="B391" s="633">
        <v>44274</v>
      </c>
      <c r="C391" s="905">
        <v>405254</v>
      </c>
      <c r="D391" s="824" t="s">
        <v>3108</v>
      </c>
      <c r="E391" s="884"/>
      <c r="F391" s="33" t="s">
        <v>4019</v>
      </c>
      <c r="G391" s="404" t="s">
        <v>4424</v>
      </c>
      <c r="H391" s="45">
        <v>268000</v>
      </c>
      <c r="I391" s="377" t="s">
        <v>4429</v>
      </c>
      <c r="J391" s="774">
        <v>44641</v>
      </c>
      <c r="K391" s="928">
        <f t="shared" si="101"/>
        <v>268000</v>
      </c>
      <c r="L391" s="866"/>
      <c r="M391" s="866"/>
      <c r="N391" s="866"/>
      <c r="O391" s="866"/>
      <c r="P391" s="866">
        <v>268000</v>
      </c>
      <c r="Q391" s="28">
        <f t="shared" si="102"/>
        <v>0</v>
      </c>
      <c r="R391" s="301"/>
      <c r="S391" s="301">
        <v>44642</v>
      </c>
      <c r="T391" s="55"/>
      <c r="U391" s="24"/>
      <c r="V391" s="5"/>
      <c r="W391"/>
      <c r="X391"/>
      <c r="Y391"/>
      <c r="Z391"/>
      <c r="AA391"/>
      <c r="AB391"/>
      <c r="AC391"/>
      <c r="AD391"/>
      <c r="AE391"/>
      <c r="AF391"/>
      <c r="AG391"/>
      <c r="AH391"/>
      <c r="AI391"/>
      <c r="AJ391"/>
      <c r="AK391"/>
      <c r="AL391"/>
      <c r="AM391"/>
      <c r="AN391"/>
      <c r="AO391"/>
      <c r="AP391"/>
      <c r="AQ391"/>
      <c r="AR391"/>
    </row>
    <row r="392" spans="1:44" s="10" customFormat="1" ht="15.75" customHeight="1" x14ac:dyDescent="0.25">
      <c r="A392" s="55">
        <f t="shared" si="103"/>
        <v>82</v>
      </c>
      <c r="B392" s="633">
        <v>44639</v>
      </c>
      <c r="C392" s="755" t="s">
        <v>4433</v>
      </c>
      <c r="D392" s="824" t="s">
        <v>4431</v>
      </c>
      <c r="E392" s="884"/>
      <c r="F392" s="33" t="s">
        <v>4432</v>
      </c>
      <c r="G392" s="404" t="s">
        <v>4434</v>
      </c>
      <c r="H392" s="45">
        <v>610500</v>
      </c>
      <c r="I392" s="377" t="s">
        <v>4430</v>
      </c>
      <c r="J392" s="774">
        <v>44641</v>
      </c>
      <c r="K392" s="928">
        <f t="shared" si="101"/>
        <v>610500</v>
      </c>
      <c r="L392" s="866"/>
      <c r="M392" s="866"/>
      <c r="N392" s="866"/>
      <c r="O392" s="866"/>
      <c r="P392" s="866">
        <v>610500</v>
      </c>
      <c r="Q392" s="28">
        <f t="shared" si="102"/>
        <v>0</v>
      </c>
      <c r="R392" s="301"/>
      <c r="S392" s="301">
        <v>44641</v>
      </c>
      <c r="T392" s="55"/>
      <c r="U392" s="197"/>
      <c r="V392" s="5"/>
      <c r="W392"/>
      <c r="X392"/>
      <c r="Y392"/>
      <c r="Z392"/>
      <c r="AA392"/>
      <c r="AB392"/>
      <c r="AC392"/>
      <c r="AD392"/>
      <c r="AE392"/>
      <c r="AF392"/>
      <c r="AG392"/>
      <c r="AH392"/>
      <c r="AI392"/>
      <c r="AJ392"/>
      <c r="AK392"/>
      <c r="AL392"/>
      <c r="AM392"/>
      <c r="AN392"/>
      <c r="AO392"/>
      <c r="AP392"/>
      <c r="AQ392"/>
      <c r="AR392"/>
    </row>
    <row r="393" spans="1:44" s="10" customFormat="1" ht="15.75" customHeight="1" x14ac:dyDescent="0.25">
      <c r="A393" s="55">
        <f t="shared" si="103"/>
        <v>83</v>
      </c>
      <c r="B393" s="633">
        <v>44641</v>
      </c>
      <c r="C393" s="755"/>
      <c r="D393" s="824" t="s">
        <v>4437</v>
      </c>
      <c r="E393" s="884"/>
      <c r="F393" s="33" t="s">
        <v>4436</v>
      </c>
      <c r="G393" s="404" t="s">
        <v>4438</v>
      </c>
      <c r="H393" s="45">
        <v>189000</v>
      </c>
      <c r="I393" s="377" t="s">
        <v>4435</v>
      </c>
      <c r="J393" s="774">
        <v>44641</v>
      </c>
      <c r="K393" s="928">
        <f t="shared" si="101"/>
        <v>189000</v>
      </c>
      <c r="L393" s="866"/>
      <c r="M393" s="866"/>
      <c r="N393" s="866"/>
      <c r="O393" s="866"/>
      <c r="P393" s="866">
        <v>189000</v>
      </c>
      <c r="Q393" s="28">
        <f t="shared" si="102"/>
        <v>0</v>
      </c>
      <c r="R393" s="301"/>
      <c r="S393" s="301">
        <v>44641</v>
      </c>
      <c r="T393" s="55"/>
      <c r="U393" s="197"/>
      <c r="V393" s="5"/>
      <c r="W393"/>
      <c r="X393"/>
      <c r="Y393"/>
      <c r="Z393"/>
      <c r="AA393"/>
      <c r="AB393"/>
      <c r="AC393"/>
      <c r="AD393"/>
      <c r="AE393"/>
      <c r="AF393"/>
      <c r="AG393"/>
      <c r="AH393"/>
      <c r="AI393"/>
      <c r="AJ393"/>
      <c r="AK393"/>
      <c r="AL393"/>
      <c r="AM393"/>
      <c r="AN393"/>
      <c r="AO393"/>
      <c r="AP393"/>
      <c r="AQ393"/>
      <c r="AR393"/>
    </row>
    <row r="394" spans="1:44" s="10" customFormat="1" ht="15.75" customHeight="1" x14ac:dyDescent="0.25">
      <c r="A394" s="55">
        <f t="shared" si="103"/>
        <v>84</v>
      </c>
      <c r="B394" s="633">
        <v>44622</v>
      </c>
      <c r="C394" s="755" t="s">
        <v>4442</v>
      </c>
      <c r="D394" s="824" t="s">
        <v>4440</v>
      </c>
      <c r="E394" s="884"/>
      <c r="F394" s="33" t="s">
        <v>933</v>
      </c>
      <c r="G394" s="404" t="s">
        <v>4441</v>
      </c>
      <c r="H394" s="45">
        <v>6592000</v>
      </c>
      <c r="I394" s="925" t="s">
        <v>4439</v>
      </c>
      <c r="J394" s="774">
        <v>44641</v>
      </c>
      <c r="K394" s="928">
        <f t="shared" si="101"/>
        <v>6592000</v>
      </c>
      <c r="L394" s="866"/>
      <c r="M394" s="866"/>
      <c r="N394" s="866"/>
      <c r="O394" s="866"/>
      <c r="P394" s="866"/>
      <c r="Q394" s="28">
        <f t="shared" si="102"/>
        <v>6592000</v>
      </c>
      <c r="R394" s="301"/>
      <c r="S394" s="301"/>
      <c r="T394" s="55"/>
      <c r="U394" s="197"/>
      <c r="V394" s="5"/>
      <c r="W394"/>
      <c r="X394"/>
      <c r="Y394"/>
      <c r="Z394"/>
      <c r="AA394"/>
      <c r="AB394"/>
      <c r="AC394"/>
      <c r="AD394"/>
      <c r="AE394"/>
      <c r="AF394"/>
      <c r="AG394"/>
      <c r="AH394"/>
      <c r="AI394"/>
      <c r="AJ394"/>
      <c r="AK394"/>
      <c r="AL394"/>
      <c r="AM394"/>
      <c r="AN394"/>
      <c r="AO394"/>
      <c r="AP394"/>
      <c r="AQ394"/>
      <c r="AR394"/>
    </row>
    <row r="395" spans="1:44" s="10" customFormat="1" ht="15.75" customHeight="1" x14ac:dyDescent="0.25">
      <c r="A395" s="55">
        <f t="shared" si="103"/>
        <v>85</v>
      </c>
      <c r="B395" s="633">
        <v>44634</v>
      </c>
      <c r="C395" s="755" t="s">
        <v>328</v>
      </c>
      <c r="D395" s="824" t="s">
        <v>2973</v>
      </c>
      <c r="E395" s="884"/>
      <c r="F395" s="33" t="s">
        <v>4220</v>
      </c>
      <c r="G395" s="404" t="s">
        <v>4444</v>
      </c>
      <c r="H395" s="45">
        <v>4700000</v>
      </c>
      <c r="I395" s="377" t="s">
        <v>4443</v>
      </c>
      <c r="J395" s="774">
        <v>44641</v>
      </c>
      <c r="K395" s="928">
        <f t="shared" si="101"/>
        <v>4700000</v>
      </c>
      <c r="L395" s="866"/>
      <c r="M395" s="866"/>
      <c r="N395" s="866"/>
      <c r="O395" s="866"/>
      <c r="P395" s="866">
        <v>4700000</v>
      </c>
      <c r="Q395" s="28">
        <f t="shared" si="102"/>
        <v>0</v>
      </c>
      <c r="R395" s="301"/>
      <c r="S395" s="301"/>
      <c r="T395" s="55"/>
      <c r="U395" s="197"/>
      <c r="V395" s="5"/>
      <c r="W395"/>
      <c r="X395"/>
      <c r="Y395"/>
      <c r="Z395"/>
      <c r="AA395"/>
      <c r="AB395"/>
      <c r="AC395"/>
      <c r="AD395"/>
      <c r="AE395"/>
      <c r="AF395"/>
      <c r="AG395"/>
      <c r="AH395"/>
      <c r="AI395"/>
      <c r="AJ395"/>
      <c r="AK395"/>
      <c r="AL395"/>
      <c r="AM395"/>
      <c r="AN395"/>
      <c r="AO395"/>
      <c r="AP395"/>
      <c r="AQ395"/>
      <c r="AR395"/>
    </row>
    <row r="396" spans="1:44" s="10" customFormat="1" ht="15.75" customHeight="1" x14ac:dyDescent="0.25">
      <c r="A396" s="55">
        <f t="shared" si="103"/>
        <v>86</v>
      </c>
      <c r="B396" s="633">
        <v>44642</v>
      </c>
      <c r="C396" s="755"/>
      <c r="D396" s="938" t="s">
        <v>4446</v>
      </c>
      <c r="E396" s="884"/>
      <c r="F396" s="33" t="s">
        <v>4354</v>
      </c>
      <c r="G396" s="404" t="s">
        <v>503</v>
      </c>
      <c r="H396" s="45">
        <v>2800000</v>
      </c>
      <c r="I396" s="377" t="s">
        <v>4445</v>
      </c>
      <c r="J396" s="774">
        <v>44642</v>
      </c>
      <c r="K396" s="928">
        <f t="shared" si="101"/>
        <v>2800000</v>
      </c>
      <c r="L396" s="866"/>
      <c r="M396" s="866"/>
      <c r="N396" s="866"/>
      <c r="O396" s="866"/>
      <c r="P396" s="866">
        <v>2800000</v>
      </c>
      <c r="Q396" s="28">
        <f t="shared" si="102"/>
        <v>0</v>
      </c>
      <c r="R396" s="55"/>
      <c r="S396" s="301">
        <v>44642</v>
      </c>
      <c r="T396" s="55">
        <v>14</v>
      </c>
      <c r="U396" s="24">
        <f t="shared" ref="U396" si="106">J396+T396</f>
        <v>44656</v>
      </c>
      <c r="V396" s="5"/>
      <c r="W396"/>
      <c r="X396"/>
      <c r="Y396"/>
      <c r="Z396"/>
      <c r="AA396"/>
      <c r="AB396"/>
      <c r="AC396"/>
      <c r="AD396"/>
      <c r="AE396"/>
      <c r="AF396"/>
      <c r="AG396"/>
      <c r="AH396"/>
      <c r="AI396"/>
      <c r="AJ396"/>
      <c r="AK396"/>
      <c r="AL396"/>
      <c r="AM396"/>
      <c r="AN396"/>
      <c r="AO396"/>
      <c r="AP396"/>
      <c r="AQ396"/>
      <c r="AR396"/>
    </row>
    <row r="397" spans="1:44" s="10" customFormat="1" ht="15.75" customHeight="1" x14ac:dyDescent="0.25">
      <c r="A397" s="55">
        <f t="shared" si="103"/>
        <v>87</v>
      </c>
      <c r="B397" s="633">
        <v>12120</v>
      </c>
      <c r="C397" s="755" t="s">
        <v>4448</v>
      </c>
      <c r="D397" s="824" t="s">
        <v>3226</v>
      </c>
      <c r="E397" s="884"/>
      <c r="F397" s="33" t="s">
        <v>4449</v>
      </c>
      <c r="G397" s="404" t="s">
        <v>4424</v>
      </c>
      <c r="H397" s="45">
        <v>3500000</v>
      </c>
      <c r="I397" s="377" t="s">
        <v>4447</v>
      </c>
      <c r="J397" s="774">
        <v>44642</v>
      </c>
      <c r="K397" s="928">
        <f t="shared" si="101"/>
        <v>3500000</v>
      </c>
      <c r="L397" s="866"/>
      <c r="M397" s="866"/>
      <c r="N397" s="866"/>
      <c r="O397" s="866"/>
      <c r="P397" s="866"/>
      <c r="Q397" s="28">
        <f t="shared" si="102"/>
        <v>3500000</v>
      </c>
      <c r="R397" s="55"/>
      <c r="S397" s="301"/>
      <c r="T397" s="55"/>
      <c r="U397" s="197"/>
      <c r="V397" s="5"/>
      <c r="W397"/>
      <c r="X397"/>
      <c r="Y397"/>
      <c r="Z397"/>
      <c r="AA397"/>
      <c r="AB397"/>
      <c r="AC397"/>
      <c r="AD397"/>
      <c r="AE397"/>
      <c r="AF397"/>
      <c r="AG397"/>
      <c r="AH397"/>
      <c r="AI397"/>
      <c r="AJ397"/>
      <c r="AK397"/>
      <c r="AL397"/>
      <c r="AM397"/>
      <c r="AN397"/>
      <c r="AO397"/>
      <c r="AP397"/>
      <c r="AQ397"/>
      <c r="AR397"/>
    </row>
    <row r="398" spans="1:44" s="10" customFormat="1" ht="16.5" customHeight="1" x14ac:dyDescent="0.25">
      <c r="A398" s="55">
        <f t="shared" si="103"/>
        <v>88</v>
      </c>
      <c r="B398" s="633">
        <v>44634</v>
      </c>
      <c r="C398" s="755" t="s">
        <v>4451</v>
      </c>
      <c r="D398" s="824" t="s">
        <v>4452</v>
      </c>
      <c r="E398" s="884"/>
      <c r="F398" s="33" t="s">
        <v>4019</v>
      </c>
      <c r="G398" s="404" t="s">
        <v>4424</v>
      </c>
      <c r="H398" s="45">
        <v>200000</v>
      </c>
      <c r="I398" s="377" t="s">
        <v>4450</v>
      </c>
      <c r="J398" s="774">
        <v>44642</v>
      </c>
      <c r="K398" s="928">
        <f t="shared" si="101"/>
        <v>200000</v>
      </c>
      <c r="L398" s="866"/>
      <c r="M398" s="866"/>
      <c r="N398" s="866"/>
      <c r="O398" s="866"/>
      <c r="P398" s="866">
        <v>200000</v>
      </c>
      <c r="Q398" s="28">
        <f t="shared" si="102"/>
        <v>0</v>
      </c>
      <c r="R398" s="55"/>
      <c r="S398" s="301">
        <v>44645</v>
      </c>
      <c r="T398" s="55"/>
      <c r="U398" s="24"/>
      <c r="V398" s="5"/>
      <c r="W398"/>
      <c r="X398"/>
      <c r="Y398"/>
      <c r="Z398"/>
      <c r="AA398"/>
      <c r="AB398"/>
      <c r="AC398"/>
      <c r="AD398"/>
      <c r="AE398"/>
      <c r="AF398"/>
      <c r="AG398"/>
      <c r="AH398"/>
      <c r="AI398"/>
      <c r="AJ398"/>
      <c r="AK398"/>
      <c r="AL398"/>
      <c r="AM398"/>
      <c r="AN398"/>
      <c r="AO398"/>
      <c r="AP398"/>
      <c r="AQ398"/>
      <c r="AR398"/>
    </row>
    <row r="399" spans="1:44" s="10" customFormat="1" ht="15.75" customHeight="1" x14ac:dyDescent="0.25">
      <c r="A399" s="55">
        <f t="shared" si="103"/>
        <v>89</v>
      </c>
      <c r="B399" s="633">
        <v>44630</v>
      </c>
      <c r="C399" s="755" t="s">
        <v>4457</v>
      </c>
      <c r="D399" s="824" t="s">
        <v>4456</v>
      </c>
      <c r="E399" s="884"/>
      <c r="F399" s="33" t="s">
        <v>4458</v>
      </c>
      <c r="G399" s="404" t="s">
        <v>4424</v>
      </c>
      <c r="H399" s="45">
        <v>2944000</v>
      </c>
      <c r="I399" s="377" t="s">
        <v>4455</v>
      </c>
      <c r="J399" s="774">
        <v>44642</v>
      </c>
      <c r="K399" s="928">
        <f t="shared" si="101"/>
        <v>2944000</v>
      </c>
      <c r="L399" s="866"/>
      <c r="M399" s="866"/>
      <c r="N399" s="866"/>
      <c r="O399" s="866"/>
      <c r="P399" s="866"/>
      <c r="Q399" s="28">
        <f t="shared" si="102"/>
        <v>2944000</v>
      </c>
      <c r="R399" s="55"/>
      <c r="S399" s="301"/>
      <c r="T399" s="55"/>
      <c r="U399" s="24"/>
      <c r="V399" s="5"/>
      <c r="W399"/>
      <c r="X399"/>
      <c r="Y399"/>
      <c r="Z399"/>
      <c r="AA399"/>
      <c r="AB399"/>
      <c r="AC399"/>
      <c r="AD399"/>
      <c r="AE399"/>
      <c r="AF399"/>
      <c r="AG399"/>
      <c r="AH399"/>
      <c r="AI399"/>
      <c r="AJ399"/>
      <c r="AK399"/>
      <c r="AL399"/>
      <c r="AM399"/>
      <c r="AN399"/>
      <c r="AO399"/>
      <c r="AP399"/>
      <c r="AQ399"/>
      <c r="AR399"/>
    </row>
    <row r="400" spans="1:44" s="10" customFormat="1" ht="15.75" customHeight="1" x14ac:dyDescent="0.25">
      <c r="A400" s="55">
        <f t="shared" si="103"/>
        <v>90</v>
      </c>
      <c r="B400" s="633">
        <v>44643</v>
      </c>
      <c r="C400" s="755"/>
      <c r="D400" s="824" t="s">
        <v>4460</v>
      </c>
      <c r="E400" s="884"/>
      <c r="F400" s="33" t="s">
        <v>4461</v>
      </c>
      <c r="G400" s="404" t="s">
        <v>4462</v>
      </c>
      <c r="H400" s="45">
        <v>960000</v>
      </c>
      <c r="I400" s="377" t="s">
        <v>4459</v>
      </c>
      <c r="J400" s="774">
        <v>44642</v>
      </c>
      <c r="K400" s="928">
        <f t="shared" si="101"/>
        <v>960000</v>
      </c>
      <c r="L400" s="903"/>
      <c r="M400" s="903"/>
      <c r="N400" s="903"/>
      <c r="O400" s="903"/>
      <c r="P400" s="903">
        <v>960000</v>
      </c>
      <c r="Q400" s="28">
        <f t="shared" si="102"/>
        <v>0</v>
      </c>
      <c r="R400" s="55"/>
      <c r="S400" s="301">
        <v>44643</v>
      </c>
      <c r="T400" s="55"/>
      <c r="U400" s="24"/>
      <c r="V400" s="5"/>
      <c r="W400"/>
      <c r="X400"/>
      <c r="Y400"/>
      <c r="Z400"/>
      <c r="AA400"/>
      <c r="AB400"/>
      <c r="AC400"/>
      <c r="AD400"/>
      <c r="AE400"/>
      <c r="AF400"/>
      <c r="AG400"/>
      <c r="AH400"/>
      <c r="AI400"/>
      <c r="AJ400"/>
      <c r="AK400"/>
      <c r="AL400"/>
      <c r="AM400"/>
      <c r="AN400"/>
      <c r="AO400"/>
      <c r="AP400"/>
      <c r="AQ400"/>
      <c r="AR400"/>
    </row>
    <row r="401" spans="1:44" s="10" customFormat="1" ht="15.75" customHeight="1" x14ac:dyDescent="0.25">
      <c r="A401" s="55">
        <f t="shared" si="103"/>
        <v>91</v>
      </c>
      <c r="B401" s="633">
        <v>44643</v>
      </c>
      <c r="C401" s="755" t="s">
        <v>4466</v>
      </c>
      <c r="D401" s="824" t="s">
        <v>4464</v>
      </c>
      <c r="E401" s="884"/>
      <c r="F401" s="33" t="s">
        <v>4465</v>
      </c>
      <c r="G401" s="404" t="s">
        <v>503</v>
      </c>
      <c r="H401" s="45">
        <v>1248000</v>
      </c>
      <c r="I401" s="377" t="s">
        <v>4463</v>
      </c>
      <c r="J401" s="774">
        <v>44643</v>
      </c>
      <c r="K401" s="928">
        <f t="shared" si="101"/>
        <v>1248000</v>
      </c>
      <c r="L401" s="904"/>
      <c r="M401" s="904"/>
      <c r="N401" s="904"/>
      <c r="O401" s="904"/>
      <c r="P401" s="904">
        <v>1248000</v>
      </c>
      <c r="Q401" s="28">
        <f t="shared" si="102"/>
        <v>0</v>
      </c>
      <c r="R401" s="55"/>
      <c r="S401" s="301">
        <v>44643</v>
      </c>
      <c r="T401" s="55"/>
      <c r="U401" s="24"/>
      <c r="V401" s="5"/>
      <c r="W401"/>
      <c r="X401"/>
      <c r="Y401"/>
      <c r="Z401"/>
      <c r="AA401"/>
      <c r="AB401"/>
      <c r="AC401"/>
      <c r="AD401"/>
      <c r="AE401"/>
      <c r="AF401"/>
      <c r="AG401"/>
      <c r="AH401"/>
      <c r="AI401"/>
      <c r="AJ401"/>
      <c r="AK401"/>
      <c r="AL401"/>
      <c r="AM401"/>
      <c r="AN401"/>
      <c r="AO401"/>
      <c r="AP401"/>
      <c r="AQ401"/>
      <c r="AR401"/>
    </row>
    <row r="402" spans="1:44" s="10" customFormat="1" ht="15.75" customHeight="1" x14ac:dyDescent="0.25">
      <c r="A402" s="55">
        <f t="shared" si="103"/>
        <v>92</v>
      </c>
      <c r="B402" s="633">
        <v>44643</v>
      </c>
      <c r="C402" s="755" t="s">
        <v>4468</v>
      </c>
      <c r="D402" s="824" t="s">
        <v>4469</v>
      </c>
      <c r="E402" s="884"/>
      <c r="F402" s="33" t="s">
        <v>4019</v>
      </c>
      <c r="G402" s="404" t="s">
        <v>4424</v>
      </c>
      <c r="H402" s="45">
        <v>3248000</v>
      </c>
      <c r="I402" s="377" t="s">
        <v>4467</v>
      </c>
      <c r="J402" s="774">
        <v>44643</v>
      </c>
      <c r="K402" s="928">
        <f t="shared" si="101"/>
        <v>3248000</v>
      </c>
      <c r="L402" s="904"/>
      <c r="M402" s="904"/>
      <c r="N402" s="904"/>
      <c r="O402" s="904"/>
      <c r="P402" s="904">
        <v>3248000</v>
      </c>
      <c r="Q402" s="28">
        <f t="shared" si="102"/>
        <v>0</v>
      </c>
      <c r="R402" s="55"/>
      <c r="S402" s="301">
        <v>44645</v>
      </c>
      <c r="T402" s="55"/>
      <c r="U402" s="24"/>
      <c r="V402" s="5"/>
      <c r="W402"/>
      <c r="X402"/>
      <c r="Y402"/>
      <c r="Z402"/>
      <c r="AA402"/>
      <c r="AB402"/>
      <c r="AC402"/>
      <c r="AD402"/>
      <c r="AE402"/>
      <c r="AF402"/>
      <c r="AG402"/>
      <c r="AH402"/>
      <c r="AI402"/>
      <c r="AJ402"/>
      <c r="AK402"/>
      <c r="AL402"/>
      <c r="AM402"/>
      <c r="AN402"/>
      <c r="AO402"/>
      <c r="AP402"/>
      <c r="AQ402"/>
      <c r="AR402"/>
    </row>
    <row r="403" spans="1:44" s="10" customFormat="1" ht="15.75" customHeight="1" x14ac:dyDescent="0.25">
      <c r="A403" s="55">
        <f t="shared" si="103"/>
        <v>93</v>
      </c>
      <c r="B403" s="633">
        <v>44643</v>
      </c>
      <c r="C403" s="755" t="s">
        <v>4471</v>
      </c>
      <c r="D403" s="824" t="s">
        <v>3190</v>
      </c>
      <c r="E403" s="884"/>
      <c r="F403" s="33" t="s">
        <v>3435</v>
      </c>
      <c r="G403" s="404" t="s">
        <v>4424</v>
      </c>
      <c r="H403" s="45">
        <v>676000</v>
      </c>
      <c r="I403" s="377" t="s">
        <v>4470</v>
      </c>
      <c r="J403" s="774">
        <v>44643</v>
      </c>
      <c r="K403" s="928">
        <f t="shared" si="101"/>
        <v>676000</v>
      </c>
      <c r="L403" s="904"/>
      <c r="M403" s="904"/>
      <c r="N403" s="904"/>
      <c r="O403" s="904"/>
      <c r="P403" s="904"/>
      <c r="Q403" s="28">
        <f t="shared" si="102"/>
        <v>676000</v>
      </c>
      <c r="R403" s="55"/>
      <c r="S403" s="301"/>
      <c r="T403" s="55"/>
      <c r="U403" s="24"/>
      <c r="V403" s="5"/>
      <c r="W403"/>
      <c r="X403"/>
      <c r="Y403"/>
      <c r="Z403"/>
      <c r="AA403"/>
      <c r="AB403"/>
      <c r="AC403"/>
      <c r="AD403"/>
      <c r="AE403"/>
      <c r="AF403"/>
      <c r="AG403"/>
      <c r="AH403"/>
      <c r="AI403"/>
      <c r="AJ403"/>
      <c r="AK403"/>
      <c r="AL403"/>
      <c r="AM403"/>
      <c r="AN403"/>
      <c r="AO403"/>
      <c r="AP403"/>
      <c r="AQ403"/>
      <c r="AR403"/>
    </row>
    <row r="404" spans="1:44" s="10" customFormat="1" ht="15.75" customHeight="1" x14ac:dyDescent="0.25">
      <c r="A404" s="55">
        <f t="shared" si="103"/>
        <v>94</v>
      </c>
      <c r="B404" s="633">
        <v>44643</v>
      </c>
      <c r="C404" s="755" t="s">
        <v>4473</v>
      </c>
      <c r="D404" s="824" t="s">
        <v>4474</v>
      </c>
      <c r="E404" s="884"/>
      <c r="F404" s="33" t="s">
        <v>4019</v>
      </c>
      <c r="G404" s="404" t="s">
        <v>4424</v>
      </c>
      <c r="H404" s="45">
        <v>200000</v>
      </c>
      <c r="I404" s="377" t="s">
        <v>4472</v>
      </c>
      <c r="J404" s="774">
        <v>44643</v>
      </c>
      <c r="K404" s="928">
        <f t="shared" si="101"/>
        <v>200000</v>
      </c>
      <c r="L404" s="904"/>
      <c r="M404" s="904"/>
      <c r="N404" s="904"/>
      <c r="O404" s="904"/>
      <c r="P404" s="904">
        <v>200000</v>
      </c>
      <c r="Q404" s="28">
        <f t="shared" si="102"/>
        <v>0</v>
      </c>
      <c r="R404" s="55"/>
      <c r="S404" s="301">
        <v>44645</v>
      </c>
      <c r="T404" s="55"/>
      <c r="U404" s="24"/>
      <c r="V404" s="5"/>
      <c r="W404"/>
      <c r="X404"/>
      <c r="Y404"/>
      <c r="Z404"/>
      <c r="AA404"/>
      <c r="AB404"/>
      <c r="AC404"/>
      <c r="AD404"/>
      <c r="AE404"/>
      <c r="AF404"/>
      <c r="AG404"/>
      <c r="AH404"/>
      <c r="AI404"/>
      <c r="AJ404"/>
      <c r="AK404"/>
      <c r="AL404"/>
      <c r="AM404"/>
      <c r="AN404"/>
      <c r="AO404"/>
      <c r="AP404"/>
      <c r="AQ404"/>
      <c r="AR404"/>
    </row>
    <row r="405" spans="1:44" s="10" customFormat="1" ht="15.75" customHeight="1" x14ac:dyDescent="0.25">
      <c r="A405" s="55">
        <f t="shared" si="103"/>
        <v>95</v>
      </c>
      <c r="B405" s="633">
        <v>44643</v>
      </c>
      <c r="C405" s="755" t="s">
        <v>4476</v>
      </c>
      <c r="D405" s="824" t="s">
        <v>4477</v>
      </c>
      <c r="E405" s="884"/>
      <c r="F405" s="33" t="s">
        <v>5049</v>
      </c>
      <c r="G405" s="404" t="s">
        <v>4424</v>
      </c>
      <c r="H405" s="45">
        <v>264000</v>
      </c>
      <c r="I405" s="377" t="s">
        <v>4475</v>
      </c>
      <c r="J405" s="774">
        <v>44643</v>
      </c>
      <c r="K405" s="928">
        <f t="shared" si="101"/>
        <v>264000</v>
      </c>
      <c r="L405" s="904"/>
      <c r="M405" s="904"/>
      <c r="N405" s="904"/>
      <c r="O405" s="904"/>
      <c r="P405" s="904">
        <v>264000</v>
      </c>
      <c r="Q405" s="28">
        <f t="shared" si="102"/>
        <v>0</v>
      </c>
      <c r="R405" s="55"/>
      <c r="S405" s="301">
        <v>44645</v>
      </c>
      <c r="T405" s="55"/>
      <c r="U405" s="24"/>
      <c r="V405" s="5"/>
      <c r="W405"/>
      <c r="X405"/>
      <c r="Y405"/>
      <c r="Z405"/>
      <c r="AA405"/>
      <c r="AB405"/>
      <c r="AC405"/>
      <c r="AD405"/>
      <c r="AE405"/>
      <c r="AF405"/>
      <c r="AG405"/>
      <c r="AH405"/>
      <c r="AI405"/>
      <c r="AJ405"/>
      <c r="AK405"/>
      <c r="AL405"/>
      <c r="AM405"/>
      <c r="AN405"/>
      <c r="AO405"/>
      <c r="AP405"/>
      <c r="AQ405"/>
      <c r="AR405"/>
    </row>
    <row r="406" spans="1:44" s="10" customFormat="1" ht="15.75" customHeight="1" x14ac:dyDescent="0.25">
      <c r="A406" s="55">
        <f t="shared" si="103"/>
        <v>96</v>
      </c>
      <c r="B406" s="633">
        <v>44643</v>
      </c>
      <c r="C406" s="755" t="s">
        <v>4476</v>
      </c>
      <c r="D406" s="824" t="s">
        <v>4477</v>
      </c>
      <c r="E406" s="884"/>
      <c r="F406" s="33" t="s">
        <v>5048</v>
      </c>
      <c r="G406" s="404" t="s">
        <v>4424</v>
      </c>
      <c r="H406" s="45">
        <v>150000</v>
      </c>
      <c r="I406" s="377" t="s">
        <v>4478</v>
      </c>
      <c r="J406" s="774">
        <v>44643</v>
      </c>
      <c r="K406" s="928">
        <f t="shared" si="101"/>
        <v>150000</v>
      </c>
      <c r="L406" s="904"/>
      <c r="M406" s="904"/>
      <c r="N406" s="904"/>
      <c r="O406" s="904"/>
      <c r="P406" s="904">
        <v>150000</v>
      </c>
      <c r="Q406" s="28">
        <f t="shared" si="102"/>
        <v>0</v>
      </c>
      <c r="R406" s="55"/>
      <c r="S406" s="301">
        <v>44644</v>
      </c>
      <c r="T406" s="55">
        <v>14</v>
      </c>
      <c r="U406" s="24">
        <f t="shared" ref="U406" si="107">J406+T406</f>
        <v>44657</v>
      </c>
      <c r="V406" s="5"/>
      <c r="W406"/>
      <c r="X406"/>
      <c r="Y406"/>
      <c r="Z406"/>
      <c r="AA406"/>
      <c r="AB406"/>
      <c r="AC406"/>
      <c r="AD406"/>
      <c r="AE406"/>
      <c r="AF406"/>
      <c r="AG406"/>
      <c r="AH406"/>
      <c r="AI406"/>
      <c r="AJ406"/>
      <c r="AK406"/>
      <c r="AL406"/>
      <c r="AM406"/>
      <c r="AN406"/>
      <c r="AO406"/>
      <c r="AP406"/>
      <c r="AQ406"/>
      <c r="AR406"/>
    </row>
    <row r="407" spans="1:44" s="10" customFormat="1" ht="15.75" customHeight="1" x14ac:dyDescent="0.25">
      <c r="A407" s="55">
        <f t="shared" si="103"/>
        <v>97</v>
      </c>
      <c r="B407" s="633">
        <v>44643</v>
      </c>
      <c r="C407" s="755" t="s">
        <v>4481</v>
      </c>
      <c r="D407" s="824" t="s">
        <v>4480</v>
      </c>
      <c r="E407" s="884"/>
      <c r="F407" s="33" t="s">
        <v>3435</v>
      </c>
      <c r="G407" s="404" t="s">
        <v>4424</v>
      </c>
      <c r="H407" s="45">
        <v>660000</v>
      </c>
      <c r="I407" s="377" t="s">
        <v>4479</v>
      </c>
      <c r="J407" s="774">
        <v>44643</v>
      </c>
      <c r="K407" s="928">
        <f t="shared" si="101"/>
        <v>660000</v>
      </c>
      <c r="L407" s="904"/>
      <c r="M407" s="904"/>
      <c r="N407" s="904"/>
      <c r="O407" s="904"/>
      <c r="P407" s="904"/>
      <c r="Q407" s="28">
        <f t="shared" si="102"/>
        <v>660000</v>
      </c>
      <c r="R407" s="55"/>
      <c r="S407" s="301"/>
      <c r="T407" s="55"/>
      <c r="U407" s="24"/>
      <c r="V407" s="5"/>
      <c r="W407"/>
      <c r="X407"/>
      <c r="Y407"/>
      <c r="Z407"/>
      <c r="AA407"/>
      <c r="AB407"/>
      <c r="AC407"/>
      <c r="AD407"/>
      <c r="AE407"/>
      <c r="AF407"/>
      <c r="AG407"/>
      <c r="AH407"/>
      <c r="AI407"/>
      <c r="AJ407"/>
      <c r="AK407"/>
      <c r="AL407"/>
      <c r="AM407"/>
      <c r="AN407"/>
      <c r="AO407"/>
      <c r="AP407"/>
      <c r="AQ407"/>
      <c r="AR407"/>
    </row>
    <row r="408" spans="1:44" s="10" customFormat="1" ht="15.75" customHeight="1" x14ac:dyDescent="0.25">
      <c r="A408" s="55">
        <f t="shared" si="103"/>
        <v>98</v>
      </c>
      <c r="B408" s="633">
        <v>44643</v>
      </c>
      <c r="C408" s="755" t="s">
        <v>4483</v>
      </c>
      <c r="D408" s="824" t="s">
        <v>3168</v>
      </c>
      <c r="E408" s="884"/>
      <c r="F408" s="33" t="s">
        <v>3982</v>
      </c>
      <c r="G408" s="404" t="s">
        <v>4424</v>
      </c>
      <c r="H408" s="45">
        <v>2464000</v>
      </c>
      <c r="I408" s="377" t="s">
        <v>4482</v>
      </c>
      <c r="J408" s="774">
        <v>44643</v>
      </c>
      <c r="K408" s="928">
        <f t="shared" si="101"/>
        <v>2464000</v>
      </c>
      <c r="L408" s="904"/>
      <c r="M408" s="904"/>
      <c r="N408" s="904"/>
      <c r="O408" s="904"/>
      <c r="P408" s="904"/>
      <c r="Q408" s="28">
        <f t="shared" si="102"/>
        <v>2464000</v>
      </c>
      <c r="R408" s="55"/>
      <c r="S408" s="301"/>
      <c r="T408" s="55"/>
      <c r="U408" s="24"/>
      <c r="V408" s="5"/>
      <c r="W408"/>
      <c r="X408"/>
      <c r="Y408"/>
      <c r="Z408"/>
      <c r="AA408"/>
      <c r="AB408"/>
      <c r="AC408"/>
      <c r="AD408"/>
      <c r="AE408"/>
      <c r="AF408"/>
      <c r="AG408"/>
      <c r="AH408"/>
      <c r="AI408"/>
      <c r="AJ408"/>
      <c r="AK408"/>
      <c r="AL408"/>
      <c r="AM408"/>
      <c r="AN408"/>
      <c r="AO408"/>
      <c r="AP408"/>
      <c r="AQ408"/>
      <c r="AR408"/>
    </row>
    <row r="409" spans="1:44" s="10" customFormat="1" ht="15.75" customHeight="1" x14ac:dyDescent="0.25">
      <c r="A409" s="55">
        <f t="shared" si="103"/>
        <v>99</v>
      </c>
      <c r="B409" s="633">
        <v>12135</v>
      </c>
      <c r="C409" s="755"/>
      <c r="D409" s="824" t="s">
        <v>4485</v>
      </c>
      <c r="E409" s="884"/>
      <c r="F409" s="33" t="s">
        <v>4484</v>
      </c>
      <c r="G409" s="404" t="s">
        <v>4487</v>
      </c>
      <c r="H409" s="45">
        <v>700000</v>
      </c>
      <c r="I409" s="377" t="s">
        <v>4486</v>
      </c>
      <c r="J409" s="774">
        <v>44643</v>
      </c>
      <c r="K409" s="928">
        <f t="shared" si="101"/>
        <v>700000</v>
      </c>
      <c r="L409" s="904"/>
      <c r="M409" s="904"/>
      <c r="N409" s="904"/>
      <c r="O409" s="904"/>
      <c r="P409" s="904"/>
      <c r="Q409" s="28">
        <f t="shared" si="102"/>
        <v>700000</v>
      </c>
      <c r="R409" s="55"/>
      <c r="S409" s="301"/>
      <c r="T409" s="55">
        <v>14</v>
      </c>
      <c r="U409" s="24">
        <f t="shared" ref="U409" si="108">J409+T409</f>
        <v>44657</v>
      </c>
      <c r="V409" s="5"/>
      <c r="W409"/>
      <c r="X409"/>
      <c r="Y409"/>
      <c r="Z409"/>
      <c r="AA409"/>
      <c r="AB409"/>
      <c r="AC409"/>
      <c r="AD409"/>
      <c r="AE409"/>
      <c r="AF409"/>
      <c r="AG409"/>
      <c r="AH409"/>
      <c r="AI409"/>
      <c r="AJ409"/>
      <c r="AK409"/>
      <c r="AL409"/>
      <c r="AM409"/>
      <c r="AN409"/>
      <c r="AO409"/>
      <c r="AP409"/>
      <c r="AQ409"/>
      <c r="AR409"/>
    </row>
    <row r="410" spans="1:44" s="10" customFormat="1" ht="15.75" customHeight="1" x14ac:dyDescent="0.25">
      <c r="A410" s="55">
        <f t="shared" si="103"/>
        <v>100</v>
      </c>
      <c r="B410" s="633">
        <v>44628</v>
      </c>
      <c r="C410" s="755" t="s">
        <v>4489</v>
      </c>
      <c r="D410" s="938" t="s">
        <v>3228</v>
      </c>
      <c r="E410" s="884"/>
      <c r="F410" s="33" t="s">
        <v>3549</v>
      </c>
      <c r="G410" s="404" t="s">
        <v>4490</v>
      </c>
      <c r="H410" s="45">
        <v>12134000</v>
      </c>
      <c r="I410" s="377" t="s">
        <v>4488</v>
      </c>
      <c r="J410" s="774">
        <v>44644</v>
      </c>
      <c r="K410" s="928">
        <f t="shared" si="101"/>
        <v>12134000</v>
      </c>
      <c r="L410" s="904">
        <v>7700000</v>
      </c>
      <c r="M410" s="904"/>
      <c r="N410" s="904"/>
      <c r="O410" s="904"/>
      <c r="P410" s="904"/>
      <c r="Q410" s="28">
        <f t="shared" si="102"/>
        <v>4434000</v>
      </c>
      <c r="R410" s="301">
        <v>44630</v>
      </c>
      <c r="S410" s="301"/>
      <c r="T410" s="55">
        <v>14</v>
      </c>
      <c r="U410" s="197">
        <f t="shared" ref="U410:U412" si="109">J410+T410</f>
        <v>44658</v>
      </c>
      <c r="V410" s="5"/>
      <c r="W410"/>
      <c r="X410"/>
      <c r="Y410"/>
      <c r="Z410"/>
      <c r="AA410"/>
      <c r="AB410"/>
      <c r="AC410"/>
      <c r="AD410"/>
      <c r="AE410"/>
      <c r="AF410"/>
      <c r="AG410"/>
      <c r="AH410"/>
      <c r="AI410"/>
      <c r="AJ410"/>
      <c r="AK410"/>
      <c r="AL410"/>
      <c r="AM410"/>
      <c r="AN410"/>
      <c r="AO410"/>
      <c r="AP410"/>
      <c r="AQ410"/>
      <c r="AR410"/>
    </row>
    <row r="411" spans="1:44" s="10" customFormat="1" ht="15.75" customHeight="1" x14ac:dyDescent="0.25">
      <c r="A411" s="55">
        <f t="shared" si="103"/>
        <v>101</v>
      </c>
      <c r="B411" s="633">
        <v>44629</v>
      </c>
      <c r="C411" s="755" t="s">
        <v>4493</v>
      </c>
      <c r="D411" s="824" t="s">
        <v>4492</v>
      </c>
      <c r="E411" s="884"/>
      <c r="F411" s="33" t="s">
        <v>3857</v>
      </c>
      <c r="G411" s="404" t="s">
        <v>4494</v>
      </c>
      <c r="H411" s="45">
        <v>5420000</v>
      </c>
      <c r="I411" s="377" t="s">
        <v>4491</v>
      </c>
      <c r="J411" s="774">
        <v>44644</v>
      </c>
      <c r="K411" s="928">
        <f t="shared" si="101"/>
        <v>5420000</v>
      </c>
      <c r="L411" s="904">
        <v>3600000</v>
      </c>
      <c r="M411" s="904"/>
      <c r="N411" s="904"/>
      <c r="O411" s="904"/>
      <c r="P411" s="904"/>
      <c r="Q411" s="28">
        <f t="shared" si="102"/>
        <v>1820000</v>
      </c>
      <c r="R411" s="397">
        <v>44635</v>
      </c>
      <c r="S411" s="301"/>
      <c r="T411" s="55">
        <v>14</v>
      </c>
      <c r="U411" s="197">
        <f t="shared" si="109"/>
        <v>44658</v>
      </c>
      <c r="V411" s="5"/>
      <c r="W411"/>
      <c r="X411"/>
      <c r="Y411"/>
      <c r="Z411"/>
      <c r="AA411"/>
      <c r="AB411"/>
      <c r="AC411"/>
      <c r="AD411"/>
      <c r="AE411"/>
      <c r="AF411"/>
      <c r="AG411"/>
      <c r="AH411"/>
      <c r="AI411"/>
      <c r="AJ411"/>
      <c r="AK411"/>
      <c r="AL411"/>
      <c r="AM411"/>
      <c r="AN411"/>
      <c r="AO411"/>
      <c r="AP411"/>
      <c r="AQ411"/>
      <c r="AR411"/>
    </row>
    <row r="412" spans="1:44" s="10" customFormat="1" ht="15.75" customHeight="1" x14ac:dyDescent="0.25">
      <c r="A412" s="55">
        <f t="shared" si="103"/>
        <v>102</v>
      </c>
      <c r="B412" s="633">
        <v>44635</v>
      </c>
      <c r="C412" s="755" t="s">
        <v>4496</v>
      </c>
      <c r="D412" s="824" t="s">
        <v>3317</v>
      </c>
      <c r="E412" s="884"/>
      <c r="F412" s="33" t="s">
        <v>3857</v>
      </c>
      <c r="G412" s="404" t="s">
        <v>4497</v>
      </c>
      <c r="H412" s="45">
        <v>8500000</v>
      </c>
      <c r="I412" s="377" t="s">
        <v>4495</v>
      </c>
      <c r="J412" s="774">
        <v>44644</v>
      </c>
      <c r="K412" s="928">
        <f t="shared" si="101"/>
        <v>8500000</v>
      </c>
      <c r="L412" s="904">
        <v>5850000</v>
      </c>
      <c r="M412" s="904"/>
      <c r="N412" s="904"/>
      <c r="O412" s="904"/>
      <c r="P412" s="904"/>
      <c r="Q412" s="28">
        <f t="shared" si="102"/>
        <v>2650000</v>
      </c>
      <c r="R412" s="301">
        <v>44635</v>
      </c>
      <c r="S412" s="301"/>
      <c r="T412" s="55">
        <v>14</v>
      </c>
      <c r="U412" s="197">
        <f t="shared" si="109"/>
        <v>44658</v>
      </c>
      <c r="V412" s="5"/>
      <c r="W412"/>
      <c r="X412"/>
      <c r="Y412"/>
      <c r="Z412"/>
      <c r="AA412"/>
      <c r="AB412"/>
      <c r="AC412"/>
      <c r="AD412"/>
      <c r="AE412"/>
      <c r="AF412"/>
      <c r="AG412"/>
      <c r="AH412"/>
      <c r="AI412"/>
      <c r="AJ412"/>
      <c r="AK412"/>
      <c r="AL412"/>
      <c r="AM412"/>
      <c r="AN412"/>
      <c r="AO412"/>
      <c r="AP412"/>
      <c r="AQ412"/>
      <c r="AR412"/>
    </row>
    <row r="413" spans="1:44" s="10" customFormat="1" ht="15.75" customHeight="1" x14ac:dyDescent="0.25">
      <c r="A413" s="55">
        <f t="shared" si="103"/>
        <v>103</v>
      </c>
      <c r="B413" s="633">
        <v>44639</v>
      </c>
      <c r="C413" s="755" t="s">
        <v>4500</v>
      </c>
      <c r="D413" s="824" t="s">
        <v>4499</v>
      </c>
      <c r="E413" s="884"/>
      <c r="F413" s="33" t="s">
        <v>4501</v>
      </c>
      <c r="G413" s="404" t="s">
        <v>4502</v>
      </c>
      <c r="H413" s="45">
        <v>1270000</v>
      </c>
      <c r="I413" s="377" t="s">
        <v>4498</v>
      </c>
      <c r="J413" s="774">
        <v>44644</v>
      </c>
      <c r="K413" s="928">
        <f t="shared" si="101"/>
        <v>1270000</v>
      </c>
      <c r="L413" s="904"/>
      <c r="M413" s="904"/>
      <c r="N413" s="904"/>
      <c r="O413" s="904"/>
      <c r="P413" s="904"/>
      <c r="Q413" s="28">
        <f t="shared" si="102"/>
        <v>1270000</v>
      </c>
      <c r="R413" s="55"/>
      <c r="S413" s="301"/>
      <c r="T413" s="55"/>
      <c r="U413" s="24"/>
      <c r="V413" s="5"/>
      <c r="W413"/>
      <c r="X413"/>
      <c r="Y413"/>
      <c r="Z413"/>
      <c r="AA413"/>
      <c r="AB413"/>
      <c r="AC413"/>
      <c r="AD413"/>
      <c r="AE413"/>
      <c r="AF413"/>
      <c r="AG413"/>
      <c r="AH413"/>
      <c r="AI413"/>
      <c r="AJ413"/>
      <c r="AK413"/>
      <c r="AL413"/>
      <c r="AM413"/>
      <c r="AN413"/>
      <c r="AO413"/>
      <c r="AP413"/>
      <c r="AQ413"/>
      <c r="AR413"/>
    </row>
    <row r="414" spans="1:44" s="10" customFormat="1" ht="15.75" customHeight="1" x14ac:dyDescent="0.25">
      <c r="A414" s="55">
        <f t="shared" si="103"/>
        <v>104</v>
      </c>
      <c r="B414" s="633">
        <v>44629</v>
      </c>
      <c r="C414" s="755" t="s">
        <v>4505</v>
      </c>
      <c r="D414" s="824" t="s">
        <v>4504</v>
      </c>
      <c r="E414" s="884"/>
      <c r="F414" s="33" t="s">
        <v>4501</v>
      </c>
      <c r="G414" s="404" t="s">
        <v>4502</v>
      </c>
      <c r="H414" s="45">
        <v>610000</v>
      </c>
      <c r="I414" s="377" t="s">
        <v>4503</v>
      </c>
      <c r="J414" s="774">
        <v>44644</v>
      </c>
      <c r="K414" s="928">
        <f t="shared" si="101"/>
        <v>610000</v>
      </c>
      <c r="L414" s="904"/>
      <c r="M414" s="904"/>
      <c r="N414" s="904"/>
      <c r="O414" s="904"/>
      <c r="P414" s="904"/>
      <c r="Q414" s="28">
        <f t="shared" si="102"/>
        <v>610000</v>
      </c>
      <c r="R414" s="55"/>
      <c r="S414" s="301"/>
      <c r="T414" s="55"/>
      <c r="U414" s="24"/>
      <c r="V414" s="5"/>
      <c r="W414"/>
      <c r="X414"/>
      <c r="Y414"/>
      <c r="Z414"/>
      <c r="AA414"/>
      <c r="AB414"/>
      <c r="AC414"/>
      <c r="AD414"/>
      <c r="AE414"/>
      <c r="AF414"/>
      <c r="AG414"/>
      <c r="AH414"/>
      <c r="AI414"/>
      <c r="AJ414"/>
      <c r="AK414"/>
      <c r="AL414"/>
      <c r="AM414"/>
      <c r="AN414"/>
      <c r="AO414"/>
      <c r="AP414"/>
      <c r="AQ414"/>
      <c r="AR414"/>
    </row>
    <row r="415" spans="1:44" s="10" customFormat="1" ht="15.75" customHeight="1" x14ac:dyDescent="0.25">
      <c r="A415" s="55">
        <f t="shared" si="103"/>
        <v>105</v>
      </c>
      <c r="B415" s="633">
        <v>44634</v>
      </c>
      <c r="C415" s="755" t="s">
        <v>4508</v>
      </c>
      <c r="D415" s="824" t="s">
        <v>4507</v>
      </c>
      <c r="E415" s="884"/>
      <c r="F415" s="33" t="s">
        <v>2755</v>
      </c>
      <c r="G415" s="404" t="s">
        <v>4509</v>
      </c>
      <c r="H415" s="45">
        <v>3200000</v>
      </c>
      <c r="I415" s="377" t="s">
        <v>4506</v>
      </c>
      <c r="J415" s="774">
        <v>44644</v>
      </c>
      <c r="K415" s="928">
        <f t="shared" si="101"/>
        <v>3200000</v>
      </c>
      <c r="L415" s="903"/>
      <c r="M415" s="903"/>
      <c r="N415" s="903"/>
      <c r="O415" s="903"/>
      <c r="P415" s="903"/>
      <c r="Q415" s="28">
        <f t="shared" ref="Q415:Q422" si="110">K415-L415-M415-O415-P415+N415</f>
        <v>3200000</v>
      </c>
      <c r="R415" s="55"/>
      <c r="S415" s="301"/>
      <c r="T415" s="55">
        <v>14</v>
      </c>
      <c r="U415" s="24">
        <f t="shared" ref="U415" si="111">J415+T415</f>
        <v>44658</v>
      </c>
      <c r="V415" s="5"/>
      <c r="W415"/>
      <c r="X415"/>
      <c r="Y415"/>
      <c r="Z415"/>
      <c r="AA415"/>
      <c r="AB415"/>
      <c r="AC415"/>
      <c r="AD415"/>
      <c r="AE415"/>
      <c r="AF415"/>
      <c r="AG415"/>
      <c r="AH415"/>
      <c r="AI415"/>
      <c r="AJ415"/>
      <c r="AK415"/>
      <c r="AL415"/>
      <c r="AM415"/>
      <c r="AN415"/>
      <c r="AO415"/>
      <c r="AP415"/>
      <c r="AQ415"/>
      <c r="AR415"/>
    </row>
    <row r="416" spans="1:44" s="10" customFormat="1" ht="15.75" customHeight="1" x14ac:dyDescent="0.25">
      <c r="A416" s="55">
        <f t="shared" si="103"/>
        <v>106</v>
      </c>
      <c r="B416" s="633">
        <v>44631</v>
      </c>
      <c r="C416" s="755" t="s">
        <v>4512</v>
      </c>
      <c r="D416" s="824" t="s">
        <v>4511</v>
      </c>
      <c r="E416" s="884"/>
      <c r="F416" s="33" t="s">
        <v>4278</v>
      </c>
      <c r="G416" s="404" t="s">
        <v>503</v>
      </c>
      <c r="H416" s="45">
        <v>8095500</v>
      </c>
      <c r="I416" s="377" t="s">
        <v>4525</v>
      </c>
      <c r="J416" s="774">
        <v>44644</v>
      </c>
      <c r="K416" s="928">
        <f t="shared" si="101"/>
        <v>8095500</v>
      </c>
      <c r="L416" s="903"/>
      <c r="M416" s="903"/>
      <c r="N416" s="903"/>
      <c r="O416" s="903"/>
      <c r="P416" s="903"/>
      <c r="Q416" s="28">
        <f t="shared" si="110"/>
        <v>8095500</v>
      </c>
      <c r="R416" s="55"/>
      <c r="S416" s="301"/>
      <c r="T416" s="55"/>
      <c r="U416" s="24"/>
      <c r="V416" s="5"/>
      <c r="W416"/>
      <c r="X416"/>
      <c r="Y416"/>
      <c r="Z416"/>
      <c r="AA416"/>
      <c r="AB416"/>
      <c r="AC416"/>
      <c r="AD416"/>
      <c r="AE416"/>
      <c r="AF416"/>
      <c r="AG416"/>
      <c r="AH416"/>
      <c r="AI416"/>
      <c r="AJ416"/>
      <c r="AK416"/>
      <c r="AL416"/>
      <c r="AM416"/>
      <c r="AN416"/>
      <c r="AO416"/>
      <c r="AP416"/>
      <c r="AQ416"/>
      <c r="AR416"/>
    </row>
    <row r="417" spans="1:44" s="10" customFormat="1" ht="15.75" customHeight="1" x14ac:dyDescent="0.25">
      <c r="A417" s="55">
        <f t="shared" si="103"/>
        <v>107</v>
      </c>
      <c r="B417" s="633">
        <v>44644</v>
      </c>
      <c r="C417" s="755"/>
      <c r="D417" s="824" t="s">
        <v>4526</v>
      </c>
      <c r="E417" s="884"/>
      <c r="F417" s="33" t="s">
        <v>4527</v>
      </c>
      <c r="G417" s="404" t="s">
        <v>161</v>
      </c>
      <c r="H417" s="45">
        <v>700000</v>
      </c>
      <c r="I417" s="377" t="s">
        <v>4510</v>
      </c>
      <c r="J417" s="774">
        <v>44644</v>
      </c>
      <c r="K417" s="928">
        <f t="shared" si="101"/>
        <v>700000</v>
      </c>
      <c r="L417" s="903"/>
      <c r="M417" s="903"/>
      <c r="N417" s="903"/>
      <c r="O417" s="903"/>
      <c r="P417" s="903">
        <v>700000</v>
      </c>
      <c r="Q417" s="28">
        <f t="shared" si="110"/>
        <v>0</v>
      </c>
      <c r="R417" s="55"/>
      <c r="S417" s="301">
        <v>44650</v>
      </c>
      <c r="T417" s="55">
        <v>14</v>
      </c>
      <c r="U417" s="24">
        <f t="shared" ref="U417" si="112">J417+T417</f>
        <v>44658</v>
      </c>
      <c r="V417" s="5"/>
      <c r="W417"/>
      <c r="X417"/>
      <c r="Y417"/>
      <c r="Z417"/>
      <c r="AA417"/>
      <c r="AB417"/>
      <c r="AC417"/>
      <c r="AD417"/>
      <c r="AE417"/>
      <c r="AF417"/>
      <c r="AG417"/>
      <c r="AH417"/>
      <c r="AI417"/>
      <c r="AJ417"/>
      <c r="AK417"/>
      <c r="AL417"/>
      <c r="AM417"/>
      <c r="AN417"/>
      <c r="AO417"/>
      <c r="AP417"/>
      <c r="AQ417"/>
      <c r="AR417"/>
    </row>
    <row r="418" spans="1:44" s="10" customFormat="1" ht="15.75" customHeight="1" x14ac:dyDescent="0.25">
      <c r="A418" s="55">
        <f t="shared" si="103"/>
        <v>108</v>
      </c>
      <c r="B418" s="633">
        <v>44635</v>
      </c>
      <c r="C418" s="755"/>
      <c r="D418" s="824" t="s">
        <v>4529</v>
      </c>
      <c r="E418" s="884"/>
      <c r="F418" s="33" t="s">
        <v>4278</v>
      </c>
      <c r="G418" s="404" t="s">
        <v>503</v>
      </c>
      <c r="H418" s="45">
        <v>4430500</v>
      </c>
      <c r="I418" s="377" t="s">
        <v>4528</v>
      </c>
      <c r="J418" s="774">
        <v>44644</v>
      </c>
      <c r="K418" s="928">
        <f t="shared" si="101"/>
        <v>4430500</v>
      </c>
      <c r="L418" s="903"/>
      <c r="M418" s="903"/>
      <c r="N418" s="903"/>
      <c r="O418" s="903"/>
      <c r="P418" s="903"/>
      <c r="Q418" s="28">
        <f t="shared" si="110"/>
        <v>4430500</v>
      </c>
      <c r="R418" s="55"/>
      <c r="S418" s="301"/>
      <c r="T418" s="55"/>
      <c r="U418" s="24"/>
      <c r="V418" s="5"/>
      <c r="W418"/>
      <c r="X418"/>
      <c r="Y418"/>
      <c r="Z418"/>
      <c r="AA418"/>
      <c r="AB418"/>
      <c r="AC418"/>
      <c r="AD418"/>
      <c r="AE418"/>
      <c r="AF418"/>
      <c r="AG418"/>
      <c r="AH418"/>
      <c r="AI418"/>
      <c r="AJ418"/>
      <c r="AK418"/>
      <c r="AL418"/>
      <c r="AM418"/>
      <c r="AN418"/>
      <c r="AO418"/>
      <c r="AP418"/>
      <c r="AQ418"/>
      <c r="AR418"/>
    </row>
    <row r="419" spans="1:44" s="10" customFormat="1" ht="15.75" customHeight="1" x14ac:dyDescent="0.25">
      <c r="A419" s="55">
        <f t="shared" si="103"/>
        <v>109</v>
      </c>
      <c r="B419" s="633">
        <v>44645</v>
      </c>
      <c r="C419" s="755"/>
      <c r="D419" s="824" t="s">
        <v>4531</v>
      </c>
      <c r="E419" s="884"/>
      <c r="F419" s="33" t="s">
        <v>4019</v>
      </c>
      <c r="G419" s="404" t="s">
        <v>988</v>
      </c>
      <c r="H419" s="45">
        <v>292000</v>
      </c>
      <c r="I419" s="377" t="s">
        <v>4530</v>
      </c>
      <c r="J419" s="774">
        <v>44646</v>
      </c>
      <c r="K419" s="928">
        <f t="shared" si="101"/>
        <v>292000</v>
      </c>
      <c r="L419" s="903"/>
      <c r="M419" s="903"/>
      <c r="N419" s="903"/>
      <c r="O419" s="903"/>
      <c r="P419" s="903">
        <v>292000</v>
      </c>
      <c r="Q419" s="28">
        <f t="shared" si="110"/>
        <v>0</v>
      </c>
      <c r="R419" s="55"/>
      <c r="S419" s="301">
        <v>44646</v>
      </c>
      <c r="T419" s="55"/>
      <c r="U419" s="24"/>
      <c r="V419" s="5"/>
      <c r="W419"/>
      <c r="X419"/>
      <c r="Y419"/>
      <c r="Z419"/>
      <c r="AA419"/>
      <c r="AB419"/>
      <c r="AC419"/>
      <c r="AD419"/>
      <c r="AE419"/>
      <c r="AF419"/>
      <c r="AG419"/>
      <c r="AH419"/>
      <c r="AI419"/>
      <c r="AJ419"/>
      <c r="AK419"/>
      <c r="AL419"/>
      <c r="AM419"/>
      <c r="AN419"/>
      <c r="AO419"/>
      <c r="AP419"/>
      <c r="AQ419"/>
      <c r="AR419"/>
    </row>
    <row r="420" spans="1:44" s="10" customFormat="1" ht="15.75" customHeight="1" x14ac:dyDescent="0.25">
      <c r="A420" s="55">
        <f t="shared" si="103"/>
        <v>110</v>
      </c>
      <c r="B420" s="633">
        <v>44645</v>
      </c>
      <c r="C420" s="755"/>
      <c r="D420" s="824" t="s">
        <v>4533</v>
      </c>
      <c r="E420" s="884"/>
      <c r="F420" s="33" t="s">
        <v>4017</v>
      </c>
      <c r="G420" s="404" t="s">
        <v>988</v>
      </c>
      <c r="H420" s="45">
        <v>337500</v>
      </c>
      <c r="I420" s="377" t="s">
        <v>4532</v>
      </c>
      <c r="J420" s="774">
        <v>44646</v>
      </c>
      <c r="K420" s="928">
        <f t="shared" si="101"/>
        <v>337500</v>
      </c>
      <c r="L420" s="904"/>
      <c r="M420" s="904"/>
      <c r="N420" s="904"/>
      <c r="O420" s="904"/>
      <c r="P420" s="904"/>
      <c r="Q420" s="28">
        <f t="shared" si="110"/>
        <v>337500</v>
      </c>
      <c r="R420" s="55"/>
      <c r="S420" s="301"/>
      <c r="T420" s="55"/>
      <c r="U420" s="24"/>
      <c r="V420" s="5"/>
      <c r="W420"/>
      <c r="X420"/>
      <c r="Y420"/>
      <c r="Z420"/>
      <c r="AA420"/>
      <c r="AB420"/>
      <c r="AC420"/>
      <c r="AD420"/>
      <c r="AE420"/>
      <c r="AF420"/>
      <c r="AG420"/>
      <c r="AH420"/>
      <c r="AI420"/>
      <c r="AJ420"/>
      <c r="AK420"/>
      <c r="AL420"/>
      <c r="AM420"/>
      <c r="AN420"/>
      <c r="AO420"/>
      <c r="AP420"/>
      <c r="AQ420"/>
      <c r="AR420"/>
    </row>
    <row r="421" spans="1:44" s="10" customFormat="1" ht="15.75" customHeight="1" x14ac:dyDescent="0.25">
      <c r="A421" s="55">
        <f t="shared" si="103"/>
        <v>111</v>
      </c>
      <c r="B421" s="633">
        <v>44645</v>
      </c>
      <c r="C421" s="755"/>
      <c r="D421" s="824" t="s">
        <v>4535</v>
      </c>
      <c r="E421" s="884"/>
      <c r="F421" s="33" t="s">
        <v>4019</v>
      </c>
      <c r="G421" s="404" t="s">
        <v>988</v>
      </c>
      <c r="H421" s="45">
        <v>576000</v>
      </c>
      <c r="I421" s="377" t="s">
        <v>4534</v>
      </c>
      <c r="J421" s="774">
        <v>44646</v>
      </c>
      <c r="K421" s="928">
        <f t="shared" si="101"/>
        <v>576000</v>
      </c>
      <c r="L421" s="904"/>
      <c r="M421" s="904"/>
      <c r="N421" s="904"/>
      <c r="O421" s="904"/>
      <c r="P421" s="904">
        <v>576000</v>
      </c>
      <c r="Q421" s="28">
        <f t="shared" si="110"/>
        <v>0</v>
      </c>
      <c r="R421" s="55"/>
      <c r="S421" s="301">
        <v>44646</v>
      </c>
      <c r="T421" s="55"/>
      <c r="U421" s="24"/>
      <c r="V421" s="5"/>
      <c r="W421"/>
      <c r="X421"/>
      <c r="Y421"/>
      <c r="Z421"/>
      <c r="AA421"/>
      <c r="AB421"/>
      <c r="AC421"/>
      <c r="AD421"/>
      <c r="AE421"/>
      <c r="AF421"/>
      <c r="AG421"/>
      <c r="AH421"/>
      <c r="AI421"/>
      <c r="AJ421"/>
      <c r="AK421"/>
      <c r="AL421"/>
      <c r="AM421"/>
      <c r="AN421"/>
      <c r="AO421"/>
      <c r="AP421"/>
      <c r="AQ421"/>
      <c r="AR421"/>
    </row>
    <row r="422" spans="1:44" s="10" customFormat="1" ht="15.75" customHeight="1" x14ac:dyDescent="0.25">
      <c r="A422" s="55">
        <f t="shared" si="103"/>
        <v>112</v>
      </c>
      <c r="B422" s="633">
        <v>44623</v>
      </c>
      <c r="C422" s="755" t="s">
        <v>4538</v>
      </c>
      <c r="D422" s="824" t="s">
        <v>4537</v>
      </c>
      <c r="E422" s="884"/>
      <c r="F422" s="33" t="s">
        <v>3857</v>
      </c>
      <c r="G422" s="404" t="s">
        <v>201</v>
      </c>
      <c r="H422" s="45">
        <v>20220500</v>
      </c>
      <c r="I422" s="377" t="s">
        <v>4536</v>
      </c>
      <c r="J422" s="774">
        <v>44646</v>
      </c>
      <c r="K422" s="928">
        <f t="shared" si="101"/>
        <v>20220500</v>
      </c>
      <c r="L422" s="904">
        <v>13600000</v>
      </c>
      <c r="M422" s="904"/>
      <c r="N422" s="904"/>
      <c r="O422" s="904"/>
      <c r="P422" s="904"/>
      <c r="Q422" s="28">
        <f t="shared" si="110"/>
        <v>6620500</v>
      </c>
      <c r="R422" s="301">
        <v>44627</v>
      </c>
      <c r="S422" s="301"/>
      <c r="T422" s="55">
        <v>14</v>
      </c>
      <c r="U422" s="197">
        <f t="shared" ref="U422:U424" si="113">J422+T422</f>
        <v>44660</v>
      </c>
      <c r="V422" s="5"/>
      <c r="W422"/>
      <c r="X422"/>
      <c r="Y422"/>
      <c r="Z422"/>
      <c r="AA422"/>
      <c r="AB422"/>
      <c r="AC422"/>
      <c r="AD422"/>
      <c r="AE422"/>
      <c r="AF422"/>
      <c r="AG422"/>
      <c r="AH422"/>
      <c r="AI422"/>
      <c r="AJ422"/>
      <c r="AK422"/>
      <c r="AL422"/>
      <c r="AM422"/>
      <c r="AN422"/>
      <c r="AO422"/>
      <c r="AP422"/>
      <c r="AQ422"/>
      <c r="AR422"/>
    </row>
    <row r="423" spans="1:44" s="10" customFormat="1" ht="15.75" customHeight="1" x14ac:dyDescent="0.25">
      <c r="A423" s="55">
        <f t="shared" si="103"/>
        <v>113</v>
      </c>
      <c r="B423" s="633">
        <v>44630</v>
      </c>
      <c r="C423" s="755" t="s">
        <v>4541</v>
      </c>
      <c r="D423" s="824" t="s">
        <v>4542</v>
      </c>
      <c r="E423" s="884"/>
      <c r="F423" s="33" t="s">
        <v>3549</v>
      </c>
      <c r="G423" s="404" t="s">
        <v>4540</v>
      </c>
      <c r="H423" s="45">
        <v>7563000</v>
      </c>
      <c r="I423" s="377" t="s">
        <v>4539</v>
      </c>
      <c r="J423" s="774">
        <v>44646</v>
      </c>
      <c r="K423" s="928">
        <f t="shared" si="101"/>
        <v>7563000</v>
      </c>
      <c r="L423" s="904">
        <v>4300000</v>
      </c>
      <c r="M423" s="904"/>
      <c r="N423" s="904"/>
      <c r="O423" s="904"/>
      <c r="P423" s="904"/>
      <c r="Q423" s="28">
        <f t="shared" si="102"/>
        <v>3263000</v>
      </c>
      <c r="R423" s="301">
        <v>44634</v>
      </c>
      <c r="S423" s="301"/>
      <c r="T423" s="55">
        <v>14</v>
      </c>
      <c r="U423" s="197">
        <f t="shared" si="113"/>
        <v>44660</v>
      </c>
      <c r="V423" s="5"/>
      <c r="W423"/>
      <c r="X423"/>
      <c r="Y423"/>
      <c r="Z423"/>
      <c r="AA423"/>
      <c r="AB423"/>
      <c r="AC423"/>
      <c r="AD423"/>
      <c r="AE423"/>
      <c r="AF423"/>
      <c r="AG423"/>
      <c r="AH423"/>
      <c r="AI423"/>
      <c r="AJ423"/>
      <c r="AK423"/>
      <c r="AL423"/>
      <c r="AM423"/>
      <c r="AN423"/>
      <c r="AO423"/>
      <c r="AP423"/>
      <c r="AQ423"/>
      <c r="AR423"/>
    </row>
    <row r="424" spans="1:44" s="10" customFormat="1" ht="15.75" customHeight="1" x14ac:dyDescent="0.25">
      <c r="A424" s="55">
        <f t="shared" si="103"/>
        <v>114</v>
      </c>
      <c r="B424" s="633">
        <v>44646</v>
      </c>
      <c r="C424" s="755"/>
      <c r="D424" s="824" t="s">
        <v>4544</v>
      </c>
      <c r="E424" s="884"/>
      <c r="F424" s="33" t="s">
        <v>4545</v>
      </c>
      <c r="G424" s="404" t="s">
        <v>503</v>
      </c>
      <c r="H424" s="45">
        <v>130000</v>
      </c>
      <c r="I424" s="377" t="s">
        <v>4543</v>
      </c>
      <c r="J424" s="774">
        <v>44646</v>
      </c>
      <c r="K424" s="928">
        <f t="shared" si="101"/>
        <v>130000</v>
      </c>
      <c r="L424" s="904"/>
      <c r="M424" s="904"/>
      <c r="N424" s="904"/>
      <c r="O424" s="904"/>
      <c r="P424" s="904">
        <v>130000</v>
      </c>
      <c r="Q424" s="28">
        <f t="shared" si="102"/>
        <v>0</v>
      </c>
      <c r="R424" s="55"/>
      <c r="S424" s="301">
        <v>44646</v>
      </c>
      <c r="T424" s="55">
        <v>14</v>
      </c>
      <c r="U424" s="197">
        <f t="shared" si="113"/>
        <v>44660</v>
      </c>
      <c r="V424" s="5"/>
      <c r="W424"/>
      <c r="X424"/>
      <c r="Y424"/>
      <c r="Z424"/>
      <c r="AA424"/>
      <c r="AB424"/>
      <c r="AC424"/>
      <c r="AD424"/>
      <c r="AE424"/>
      <c r="AF424"/>
      <c r="AG424"/>
      <c r="AH424"/>
      <c r="AI424"/>
      <c r="AJ424"/>
      <c r="AK424"/>
      <c r="AL424"/>
      <c r="AM424"/>
      <c r="AN424"/>
      <c r="AO424"/>
      <c r="AP424"/>
      <c r="AQ424"/>
      <c r="AR424"/>
    </row>
    <row r="425" spans="1:44" s="10" customFormat="1" ht="15.75" customHeight="1" x14ac:dyDescent="0.25">
      <c r="A425" s="55">
        <f t="shared" si="103"/>
        <v>115</v>
      </c>
      <c r="B425" s="633">
        <v>44647</v>
      </c>
      <c r="C425" s="755"/>
      <c r="D425" s="824" t="s">
        <v>4547</v>
      </c>
      <c r="E425" s="884"/>
      <c r="F425" s="33" t="s">
        <v>4548</v>
      </c>
      <c r="G425" s="404" t="s">
        <v>4549</v>
      </c>
      <c r="H425" s="45">
        <v>15707000</v>
      </c>
      <c r="I425" s="377" t="s">
        <v>4546</v>
      </c>
      <c r="J425" s="774">
        <v>44648</v>
      </c>
      <c r="K425" s="928">
        <f t="shared" si="101"/>
        <v>15707000</v>
      </c>
      <c r="L425" s="904"/>
      <c r="M425" s="904"/>
      <c r="N425" s="904"/>
      <c r="O425" s="904"/>
      <c r="P425" s="904">
        <v>15707000</v>
      </c>
      <c r="Q425" s="28">
        <f t="shared" si="102"/>
        <v>0</v>
      </c>
      <c r="R425" s="55"/>
      <c r="S425" s="301">
        <v>44648</v>
      </c>
      <c r="T425" s="55"/>
      <c r="U425" s="24"/>
      <c r="V425" s="5"/>
      <c r="W425"/>
      <c r="X425"/>
      <c r="Y425"/>
      <c r="Z425"/>
      <c r="AA425"/>
      <c r="AB425"/>
      <c r="AC425"/>
      <c r="AD425"/>
      <c r="AE425"/>
      <c r="AF425"/>
      <c r="AG425"/>
      <c r="AH425"/>
      <c r="AI425"/>
      <c r="AJ425"/>
      <c r="AK425"/>
      <c r="AL425"/>
      <c r="AM425"/>
      <c r="AN425"/>
      <c r="AO425"/>
      <c r="AP425"/>
      <c r="AQ425"/>
      <c r="AR425"/>
    </row>
    <row r="426" spans="1:44" s="10" customFormat="1" ht="15.75" customHeight="1" x14ac:dyDescent="0.25">
      <c r="A426" s="55">
        <f t="shared" si="103"/>
        <v>116</v>
      </c>
      <c r="B426" s="633">
        <v>44648</v>
      </c>
      <c r="C426" s="755"/>
      <c r="D426" s="824" t="s">
        <v>4551</v>
      </c>
      <c r="E426" s="884"/>
      <c r="F426" s="33" t="s">
        <v>3982</v>
      </c>
      <c r="G426" s="404" t="s">
        <v>988</v>
      </c>
      <c r="H426" s="45">
        <v>1084000</v>
      </c>
      <c r="I426" s="377" t="s">
        <v>4550</v>
      </c>
      <c r="J426" s="774">
        <v>44648</v>
      </c>
      <c r="K426" s="928">
        <f t="shared" si="101"/>
        <v>1084000</v>
      </c>
      <c r="L426" s="904"/>
      <c r="M426" s="904"/>
      <c r="N426" s="904"/>
      <c r="O426" s="904"/>
      <c r="P426" s="904"/>
      <c r="Q426" s="28">
        <f t="shared" si="102"/>
        <v>1084000</v>
      </c>
      <c r="R426" s="55"/>
      <c r="S426" s="301"/>
      <c r="T426" s="55"/>
      <c r="U426" s="24"/>
      <c r="V426" s="5"/>
      <c r="W426"/>
      <c r="X426"/>
      <c r="Y426"/>
      <c r="Z426"/>
      <c r="AA426"/>
      <c r="AB426"/>
      <c r="AC426"/>
      <c r="AD426"/>
      <c r="AE426"/>
      <c r="AF426"/>
      <c r="AG426"/>
      <c r="AH426"/>
      <c r="AI426"/>
      <c r="AJ426"/>
      <c r="AK426"/>
      <c r="AL426"/>
      <c r="AM426"/>
      <c r="AN426"/>
      <c r="AO426"/>
      <c r="AP426"/>
      <c r="AQ426"/>
      <c r="AR426"/>
    </row>
    <row r="427" spans="1:44" s="10" customFormat="1" ht="15.75" customHeight="1" x14ac:dyDescent="0.25">
      <c r="A427" s="55">
        <f t="shared" si="103"/>
        <v>117</v>
      </c>
      <c r="B427" s="633">
        <v>44648</v>
      </c>
      <c r="C427" s="755" t="s">
        <v>4555</v>
      </c>
      <c r="D427" s="824" t="s">
        <v>4553</v>
      </c>
      <c r="E427" s="884"/>
      <c r="F427" s="33" t="s">
        <v>4554</v>
      </c>
      <c r="G427" s="404" t="s">
        <v>988</v>
      </c>
      <c r="H427" s="45">
        <v>200000</v>
      </c>
      <c r="I427" s="377" t="s">
        <v>4552</v>
      </c>
      <c r="J427" s="774">
        <v>44648</v>
      </c>
      <c r="K427" s="928">
        <f t="shared" si="101"/>
        <v>200000</v>
      </c>
      <c r="L427" s="904"/>
      <c r="M427" s="904"/>
      <c r="N427" s="904"/>
      <c r="O427" s="904"/>
      <c r="P427" s="904"/>
      <c r="Q427" s="28">
        <f t="shared" si="102"/>
        <v>200000</v>
      </c>
      <c r="R427" s="55"/>
      <c r="S427" s="301"/>
      <c r="T427" s="55"/>
      <c r="U427" s="24"/>
      <c r="V427" s="5"/>
      <c r="W427"/>
      <c r="X427"/>
      <c r="Y427"/>
      <c r="Z427"/>
      <c r="AA427"/>
      <c r="AB427"/>
      <c r="AC427"/>
      <c r="AD427"/>
      <c r="AE427"/>
      <c r="AF427"/>
      <c r="AG427"/>
      <c r="AH427"/>
      <c r="AI427"/>
      <c r="AJ427"/>
      <c r="AK427"/>
      <c r="AL427"/>
      <c r="AM427"/>
      <c r="AN427"/>
      <c r="AO427"/>
      <c r="AP427"/>
      <c r="AQ427"/>
      <c r="AR427"/>
    </row>
    <row r="428" spans="1:44" s="10" customFormat="1" ht="15.75" customHeight="1" x14ac:dyDescent="0.25">
      <c r="A428" s="55">
        <f t="shared" si="103"/>
        <v>118</v>
      </c>
      <c r="B428" s="633">
        <v>44648</v>
      </c>
      <c r="C428" s="755"/>
      <c r="D428" s="824" t="s">
        <v>4557</v>
      </c>
      <c r="E428" s="884"/>
      <c r="F428" s="33" t="s">
        <v>4017</v>
      </c>
      <c r="G428" s="404" t="s">
        <v>988</v>
      </c>
      <c r="H428" s="45">
        <v>225000</v>
      </c>
      <c r="I428" s="377" t="s">
        <v>4556</v>
      </c>
      <c r="J428" s="774">
        <v>44648</v>
      </c>
      <c r="K428" s="928">
        <f t="shared" si="101"/>
        <v>225000</v>
      </c>
      <c r="L428" s="903"/>
      <c r="M428" s="903"/>
      <c r="N428" s="903"/>
      <c r="O428" s="903"/>
      <c r="P428" s="903"/>
      <c r="Q428" s="28">
        <f t="shared" si="102"/>
        <v>225000</v>
      </c>
      <c r="R428" s="55"/>
      <c r="S428" s="301"/>
      <c r="T428" s="55"/>
      <c r="U428" s="24"/>
      <c r="V428" s="5"/>
      <c r="W428"/>
      <c r="X428"/>
      <c r="Y428"/>
      <c r="Z428"/>
      <c r="AA428"/>
      <c r="AB428"/>
      <c r="AC428"/>
      <c r="AD428"/>
      <c r="AE428"/>
      <c r="AF428"/>
      <c r="AG428"/>
      <c r="AH428"/>
      <c r="AI428"/>
      <c r="AJ428"/>
      <c r="AK428"/>
      <c r="AL428"/>
      <c r="AM428"/>
      <c r="AN428"/>
      <c r="AO428"/>
      <c r="AP428"/>
      <c r="AQ428"/>
      <c r="AR428"/>
    </row>
    <row r="429" spans="1:44" s="10" customFormat="1" ht="15.75" customHeight="1" x14ac:dyDescent="0.25">
      <c r="A429" s="55">
        <f t="shared" si="103"/>
        <v>119</v>
      </c>
      <c r="B429" s="633">
        <v>44648</v>
      </c>
      <c r="C429" s="755"/>
      <c r="D429" s="824" t="s">
        <v>3243</v>
      </c>
      <c r="E429" s="884"/>
      <c r="F429" s="33" t="s">
        <v>4017</v>
      </c>
      <c r="G429" s="404" t="s">
        <v>988</v>
      </c>
      <c r="H429" s="45">
        <v>265500</v>
      </c>
      <c r="I429" s="377" t="s">
        <v>4558</v>
      </c>
      <c r="J429" s="774">
        <v>44648</v>
      </c>
      <c r="K429" s="928">
        <f t="shared" si="101"/>
        <v>265500</v>
      </c>
      <c r="L429" s="903"/>
      <c r="M429" s="903"/>
      <c r="N429" s="903"/>
      <c r="O429" s="903"/>
      <c r="P429" s="903"/>
      <c r="Q429" s="28">
        <f t="shared" si="102"/>
        <v>265500</v>
      </c>
      <c r="R429" s="55"/>
      <c r="S429" s="301"/>
      <c r="T429" s="55"/>
      <c r="U429" s="24"/>
      <c r="V429" s="5"/>
      <c r="W429"/>
      <c r="X429"/>
      <c r="Y429"/>
      <c r="Z429"/>
      <c r="AA429"/>
      <c r="AB429"/>
      <c r="AC429"/>
      <c r="AD429"/>
      <c r="AE429"/>
      <c r="AF429"/>
      <c r="AG429"/>
      <c r="AH429"/>
      <c r="AI429"/>
      <c r="AJ429"/>
      <c r="AK429"/>
      <c r="AL429"/>
      <c r="AM429"/>
      <c r="AN429"/>
      <c r="AO429"/>
      <c r="AP429"/>
      <c r="AQ429"/>
      <c r="AR429"/>
    </row>
    <row r="430" spans="1:44" s="10" customFormat="1" ht="15.75" customHeight="1" x14ac:dyDescent="0.25">
      <c r="A430" s="55">
        <f t="shared" si="103"/>
        <v>120</v>
      </c>
      <c r="B430" s="633">
        <v>44623</v>
      </c>
      <c r="C430" s="755"/>
      <c r="D430" s="824" t="s">
        <v>4560</v>
      </c>
      <c r="E430" s="884"/>
      <c r="F430" s="33" t="s">
        <v>4561</v>
      </c>
      <c r="G430" s="404" t="s">
        <v>503</v>
      </c>
      <c r="H430" s="45">
        <v>3805000</v>
      </c>
      <c r="I430" s="377" t="s">
        <v>4559</v>
      </c>
      <c r="J430" s="774">
        <v>44648</v>
      </c>
      <c r="K430" s="928">
        <f t="shared" si="101"/>
        <v>3805000</v>
      </c>
      <c r="L430" s="903"/>
      <c r="M430" s="903"/>
      <c r="N430" s="903"/>
      <c r="O430" s="903"/>
      <c r="P430" s="903"/>
      <c r="Q430" s="28">
        <f t="shared" si="102"/>
        <v>3805000</v>
      </c>
      <c r="R430" s="55"/>
      <c r="S430" s="301"/>
      <c r="T430" s="55"/>
      <c r="U430" s="24"/>
      <c r="V430" s="5"/>
      <c r="W430" t="s">
        <v>4972</v>
      </c>
      <c r="X430"/>
      <c r="Y430"/>
      <c r="Z430"/>
      <c r="AA430"/>
      <c r="AB430"/>
      <c r="AC430"/>
      <c r="AD430"/>
      <c r="AE430"/>
      <c r="AF430"/>
      <c r="AG430"/>
      <c r="AH430"/>
      <c r="AI430"/>
      <c r="AJ430"/>
      <c r="AK430"/>
      <c r="AL430"/>
      <c r="AM430"/>
      <c r="AN430"/>
      <c r="AO430"/>
      <c r="AP430"/>
      <c r="AQ430"/>
      <c r="AR430"/>
    </row>
    <row r="431" spans="1:44" s="10" customFormat="1" ht="15.75" customHeight="1" x14ac:dyDescent="0.25">
      <c r="A431" s="55">
        <f t="shared" si="103"/>
        <v>121</v>
      </c>
      <c r="B431" s="633">
        <v>44631</v>
      </c>
      <c r="C431" s="755" t="s">
        <v>4564</v>
      </c>
      <c r="D431" s="824" t="s">
        <v>4563</v>
      </c>
      <c r="E431" s="884"/>
      <c r="F431" s="33" t="s">
        <v>3549</v>
      </c>
      <c r="G431" s="404" t="s">
        <v>4565</v>
      </c>
      <c r="H431" s="45">
        <v>14858800</v>
      </c>
      <c r="I431" s="377" t="s">
        <v>4562</v>
      </c>
      <c r="J431" s="774">
        <v>44648</v>
      </c>
      <c r="K431" s="928">
        <f t="shared" si="101"/>
        <v>14858800</v>
      </c>
      <c r="L431" s="903">
        <v>9900000</v>
      </c>
      <c r="M431" s="903"/>
      <c r="N431" s="903"/>
      <c r="O431" s="903"/>
      <c r="P431" s="903"/>
      <c r="Q431" s="28">
        <f t="shared" si="102"/>
        <v>4958800</v>
      </c>
      <c r="R431" s="301">
        <v>44634</v>
      </c>
      <c r="S431" s="301"/>
      <c r="T431" s="55">
        <v>14</v>
      </c>
      <c r="U431" s="197">
        <f t="shared" ref="U431" si="114">J431+T431</f>
        <v>44662</v>
      </c>
      <c r="V431" s="5"/>
      <c r="W431"/>
      <c r="X431"/>
      <c r="Y431"/>
      <c r="Z431"/>
      <c r="AA431"/>
      <c r="AB431"/>
      <c r="AC431"/>
      <c r="AD431"/>
      <c r="AE431"/>
      <c r="AF431"/>
      <c r="AG431"/>
      <c r="AH431"/>
      <c r="AI431"/>
      <c r="AJ431"/>
      <c r="AK431"/>
      <c r="AL431"/>
      <c r="AM431"/>
      <c r="AN431"/>
      <c r="AO431"/>
      <c r="AP431"/>
      <c r="AQ431"/>
      <c r="AR431"/>
    </row>
    <row r="432" spans="1:44" s="10" customFormat="1" ht="15.75" customHeight="1" x14ac:dyDescent="0.25">
      <c r="A432" s="55">
        <f t="shared" si="103"/>
        <v>122</v>
      </c>
      <c r="B432" s="633">
        <v>44631</v>
      </c>
      <c r="C432" s="755">
        <v>405212</v>
      </c>
      <c r="D432" s="824" t="s">
        <v>3244</v>
      </c>
      <c r="E432" s="884"/>
      <c r="F432" s="33" t="s">
        <v>4567</v>
      </c>
      <c r="G432" s="404" t="s">
        <v>688</v>
      </c>
      <c r="H432" s="45">
        <v>16000000</v>
      </c>
      <c r="I432" s="377" t="s">
        <v>4566</v>
      </c>
      <c r="J432" s="774">
        <v>44648</v>
      </c>
      <c r="K432" s="928">
        <f t="shared" si="101"/>
        <v>16000000</v>
      </c>
      <c r="L432" s="904">
        <v>11000000</v>
      </c>
      <c r="M432" s="904"/>
      <c r="N432" s="904"/>
      <c r="O432" s="904"/>
      <c r="P432" s="904"/>
      <c r="Q432" s="28">
        <f t="shared" si="102"/>
        <v>5000000</v>
      </c>
      <c r="R432" s="301">
        <v>44638</v>
      </c>
      <c r="S432" s="301"/>
      <c r="T432" s="55"/>
      <c r="U432" s="24"/>
      <c r="V432" s="5"/>
      <c r="W432"/>
      <c r="X432"/>
      <c r="Y432"/>
      <c r="Z432"/>
      <c r="AA432"/>
      <c r="AB432"/>
      <c r="AC432"/>
      <c r="AD432"/>
      <c r="AE432"/>
      <c r="AF432"/>
      <c r="AG432"/>
      <c r="AH432"/>
      <c r="AI432"/>
      <c r="AJ432"/>
      <c r="AK432"/>
      <c r="AL432"/>
      <c r="AM432"/>
      <c r="AN432"/>
      <c r="AO432"/>
      <c r="AP432"/>
      <c r="AQ432"/>
      <c r="AR432"/>
    </row>
    <row r="433" spans="1:44" s="10" customFormat="1" ht="15.75" customHeight="1" x14ac:dyDescent="0.25">
      <c r="A433" s="55">
        <f t="shared" si="103"/>
        <v>123</v>
      </c>
      <c r="B433" s="633">
        <v>44649</v>
      </c>
      <c r="C433" s="755"/>
      <c r="D433" s="824" t="s">
        <v>4569</v>
      </c>
      <c r="E433" s="884"/>
      <c r="F433" s="33" t="s">
        <v>3982</v>
      </c>
      <c r="G433" s="404" t="s">
        <v>988</v>
      </c>
      <c r="H433" s="45">
        <v>728000</v>
      </c>
      <c r="I433" s="377" t="s">
        <v>4568</v>
      </c>
      <c r="J433" s="774">
        <v>44651</v>
      </c>
      <c r="K433" s="928">
        <f t="shared" si="101"/>
        <v>728000</v>
      </c>
      <c r="L433" s="904"/>
      <c r="M433" s="904"/>
      <c r="N433" s="904"/>
      <c r="O433" s="904"/>
      <c r="P433" s="904"/>
      <c r="Q433" s="28">
        <f t="shared" si="102"/>
        <v>728000</v>
      </c>
      <c r="R433" s="55"/>
      <c r="S433" s="301"/>
      <c r="T433" s="55"/>
      <c r="U433" s="24"/>
      <c r="V433" s="5"/>
      <c r="W433"/>
      <c r="X433"/>
      <c r="Y433"/>
      <c r="Z433"/>
      <c r="AA433"/>
      <c r="AB433"/>
      <c r="AC433"/>
      <c r="AD433"/>
      <c r="AE433"/>
      <c r="AF433"/>
      <c r="AG433"/>
      <c r="AH433"/>
      <c r="AI433"/>
      <c r="AJ433"/>
      <c r="AK433"/>
      <c r="AL433"/>
      <c r="AM433"/>
      <c r="AN433"/>
      <c r="AO433"/>
      <c r="AP433"/>
      <c r="AQ433"/>
      <c r="AR433"/>
    </row>
    <row r="434" spans="1:44" s="10" customFormat="1" ht="15.75" customHeight="1" x14ac:dyDescent="0.25">
      <c r="A434" s="55">
        <f t="shared" si="103"/>
        <v>124</v>
      </c>
      <c r="B434" s="633">
        <v>44649</v>
      </c>
      <c r="C434" s="755"/>
      <c r="D434" s="824" t="s">
        <v>4571</v>
      </c>
      <c r="E434" s="884"/>
      <c r="F434" s="33" t="s">
        <v>4039</v>
      </c>
      <c r="G434" s="404" t="s">
        <v>988</v>
      </c>
      <c r="H434" s="45">
        <v>1636000</v>
      </c>
      <c r="I434" s="377" t="s">
        <v>4570</v>
      </c>
      <c r="J434" s="774">
        <v>44651</v>
      </c>
      <c r="K434" s="928">
        <f t="shared" si="101"/>
        <v>1636000</v>
      </c>
      <c r="L434" s="907"/>
      <c r="M434" s="907"/>
      <c r="N434" s="907"/>
      <c r="O434" s="907"/>
      <c r="P434" s="907"/>
      <c r="Q434" s="28">
        <f t="shared" si="102"/>
        <v>1636000</v>
      </c>
      <c r="R434" s="55"/>
      <c r="S434" s="301"/>
      <c r="T434" s="55"/>
      <c r="U434" s="24"/>
      <c r="V434" s="5"/>
      <c r="W434"/>
      <c r="X434"/>
      <c r="Y434"/>
      <c r="Z434"/>
      <c r="AA434"/>
      <c r="AB434"/>
      <c r="AC434"/>
      <c r="AD434"/>
      <c r="AE434"/>
      <c r="AF434"/>
      <c r="AG434"/>
      <c r="AH434"/>
      <c r="AI434"/>
      <c r="AJ434"/>
      <c r="AK434"/>
      <c r="AL434"/>
      <c r="AM434"/>
      <c r="AN434"/>
      <c r="AO434"/>
      <c r="AP434"/>
      <c r="AQ434"/>
      <c r="AR434"/>
    </row>
    <row r="435" spans="1:44" s="10" customFormat="1" ht="15.75" customHeight="1" x14ac:dyDescent="0.25">
      <c r="A435" s="55">
        <f t="shared" si="103"/>
        <v>125</v>
      </c>
      <c r="B435" s="633">
        <v>44649</v>
      </c>
      <c r="C435" s="755"/>
      <c r="D435" s="824" t="s">
        <v>4573</v>
      </c>
      <c r="E435" s="884"/>
      <c r="F435" s="33" t="s">
        <v>4019</v>
      </c>
      <c r="G435" s="404" t="s">
        <v>988</v>
      </c>
      <c r="H435" s="45">
        <v>552000</v>
      </c>
      <c r="I435" s="377" t="s">
        <v>4572</v>
      </c>
      <c r="J435" s="774">
        <v>44651</v>
      </c>
      <c r="K435" s="928">
        <f t="shared" si="101"/>
        <v>552000</v>
      </c>
      <c r="L435" s="907"/>
      <c r="M435" s="907"/>
      <c r="N435" s="907"/>
      <c r="O435" s="907"/>
      <c r="P435" s="907"/>
      <c r="Q435" s="28">
        <f t="shared" si="102"/>
        <v>552000</v>
      </c>
      <c r="R435" s="55"/>
      <c r="S435" s="301"/>
      <c r="T435" s="55"/>
      <c r="U435" s="24"/>
      <c r="V435" s="5"/>
      <c r="W435"/>
      <c r="X435"/>
      <c r="Y435"/>
      <c r="Z435"/>
      <c r="AA435"/>
      <c r="AB435"/>
      <c r="AC435"/>
      <c r="AD435"/>
      <c r="AE435"/>
      <c r="AF435"/>
      <c r="AG435"/>
      <c r="AH435"/>
      <c r="AI435"/>
      <c r="AJ435"/>
      <c r="AK435"/>
      <c r="AL435"/>
      <c r="AM435"/>
      <c r="AN435"/>
      <c r="AO435"/>
      <c r="AP435"/>
      <c r="AQ435"/>
      <c r="AR435"/>
    </row>
    <row r="436" spans="1:44" s="10" customFormat="1" ht="15.75" customHeight="1" x14ac:dyDescent="0.25">
      <c r="A436" s="55">
        <f t="shared" si="103"/>
        <v>126</v>
      </c>
      <c r="B436" s="633">
        <v>44650</v>
      </c>
      <c r="C436" s="755"/>
      <c r="D436" s="824" t="s">
        <v>4576</v>
      </c>
      <c r="E436" s="884"/>
      <c r="F436" s="33" t="s">
        <v>4575</v>
      </c>
      <c r="G436" s="404" t="s">
        <v>3094</v>
      </c>
      <c r="H436" s="45">
        <v>1644000</v>
      </c>
      <c r="I436" s="377" t="s">
        <v>4574</v>
      </c>
      <c r="J436" s="774">
        <v>44651</v>
      </c>
      <c r="K436" s="928">
        <f t="shared" si="101"/>
        <v>1644000</v>
      </c>
      <c r="L436" s="907"/>
      <c r="M436" s="907"/>
      <c r="N436" s="907"/>
      <c r="O436" s="907"/>
      <c r="P436" s="907"/>
      <c r="Q436" s="28">
        <f t="shared" si="102"/>
        <v>1644000</v>
      </c>
      <c r="R436" s="55"/>
      <c r="S436" s="301"/>
      <c r="T436" s="55"/>
      <c r="U436" s="24"/>
      <c r="V436" s="5"/>
      <c r="W436"/>
      <c r="X436"/>
      <c r="Y436"/>
      <c r="Z436"/>
      <c r="AA436"/>
      <c r="AB436"/>
      <c r="AC436"/>
      <c r="AD436"/>
      <c r="AE436"/>
      <c r="AF436"/>
      <c r="AG436"/>
      <c r="AH436"/>
      <c r="AI436"/>
      <c r="AJ436"/>
      <c r="AK436"/>
      <c r="AL436"/>
      <c r="AM436"/>
      <c r="AN436"/>
      <c r="AO436"/>
      <c r="AP436"/>
      <c r="AQ436"/>
      <c r="AR436"/>
    </row>
    <row r="437" spans="1:44" s="10" customFormat="1" ht="15.75" customHeight="1" x14ac:dyDescent="0.25">
      <c r="A437" s="55">
        <f t="shared" si="103"/>
        <v>127</v>
      </c>
      <c r="B437" s="633">
        <v>44651</v>
      </c>
      <c r="C437" s="755"/>
      <c r="D437" s="824" t="s">
        <v>4578</v>
      </c>
      <c r="E437" s="884"/>
      <c r="F437" s="33" t="s">
        <v>3982</v>
      </c>
      <c r="G437" s="404" t="s">
        <v>988</v>
      </c>
      <c r="H437" s="45">
        <v>3240000</v>
      </c>
      <c r="I437" s="377" t="s">
        <v>4577</v>
      </c>
      <c r="J437" s="774">
        <v>44651</v>
      </c>
      <c r="K437" s="928">
        <f t="shared" si="101"/>
        <v>3240000</v>
      </c>
      <c r="L437" s="907"/>
      <c r="M437" s="907"/>
      <c r="N437" s="907"/>
      <c r="O437" s="907"/>
      <c r="P437" s="907"/>
      <c r="Q437" s="28">
        <f t="shared" si="102"/>
        <v>3240000</v>
      </c>
      <c r="R437" s="55"/>
      <c r="S437" s="301"/>
      <c r="T437" s="55"/>
      <c r="U437" s="24"/>
      <c r="V437" s="5"/>
      <c r="W437"/>
      <c r="X437"/>
      <c r="Y437"/>
      <c r="Z437"/>
      <c r="AA437"/>
      <c r="AB437"/>
      <c r="AC437"/>
      <c r="AD437"/>
      <c r="AE437"/>
      <c r="AF437"/>
      <c r="AG437"/>
      <c r="AH437"/>
      <c r="AI437"/>
      <c r="AJ437"/>
      <c r="AK437"/>
      <c r="AL437"/>
      <c r="AM437"/>
      <c r="AN437"/>
      <c r="AO437"/>
      <c r="AP437"/>
      <c r="AQ437"/>
      <c r="AR437"/>
    </row>
    <row r="438" spans="1:44" s="10" customFormat="1" ht="15.75" customHeight="1" x14ac:dyDescent="0.25">
      <c r="A438" s="55">
        <f t="shared" si="103"/>
        <v>128</v>
      </c>
      <c r="B438" s="633">
        <v>44651</v>
      </c>
      <c r="C438" s="755"/>
      <c r="D438" s="824" t="s">
        <v>4580</v>
      </c>
      <c r="E438" s="884"/>
      <c r="F438" s="33" t="s">
        <v>4017</v>
      </c>
      <c r="G438" s="404" t="s">
        <v>988</v>
      </c>
      <c r="H438" s="45">
        <v>225000</v>
      </c>
      <c r="I438" s="377" t="s">
        <v>4579</v>
      </c>
      <c r="J438" s="774">
        <v>44651</v>
      </c>
      <c r="K438" s="928">
        <f t="shared" si="101"/>
        <v>225000</v>
      </c>
      <c r="L438" s="907"/>
      <c r="M438" s="907"/>
      <c r="N438" s="907"/>
      <c r="O438" s="907"/>
      <c r="P438" s="907"/>
      <c r="Q438" s="28">
        <f t="shared" si="102"/>
        <v>225000</v>
      </c>
      <c r="R438" s="55"/>
      <c r="S438" s="301"/>
      <c r="T438" s="55"/>
      <c r="U438" s="24"/>
      <c r="V438" s="5"/>
      <c r="W438"/>
      <c r="X438"/>
      <c r="Y438"/>
      <c r="Z438"/>
      <c r="AA438"/>
      <c r="AB438"/>
      <c r="AC438"/>
      <c r="AD438"/>
      <c r="AE438"/>
      <c r="AF438"/>
      <c r="AG438"/>
      <c r="AH438"/>
      <c r="AI438"/>
      <c r="AJ438"/>
      <c r="AK438"/>
      <c r="AL438"/>
      <c r="AM438"/>
      <c r="AN438"/>
      <c r="AO438"/>
      <c r="AP438"/>
      <c r="AQ438"/>
      <c r="AR438"/>
    </row>
    <row r="439" spans="1:44" s="10" customFormat="1" ht="15.75" customHeight="1" x14ac:dyDescent="0.25">
      <c r="A439" s="55">
        <f t="shared" si="103"/>
        <v>129</v>
      </c>
      <c r="B439" s="633">
        <v>44645</v>
      </c>
      <c r="C439" s="755"/>
      <c r="D439" s="824" t="s">
        <v>4657</v>
      </c>
      <c r="E439" s="884"/>
      <c r="F439" s="33" t="s">
        <v>4916</v>
      </c>
      <c r="G439" s="404" t="s">
        <v>653</v>
      </c>
      <c r="H439" s="45">
        <v>6000000</v>
      </c>
      <c r="I439" s="377" t="s">
        <v>4656</v>
      </c>
      <c r="J439" s="774">
        <v>44652</v>
      </c>
      <c r="K439" s="928">
        <f t="shared" si="101"/>
        <v>6000000</v>
      </c>
      <c r="L439" s="907"/>
      <c r="M439" s="907"/>
      <c r="N439" s="907"/>
      <c r="O439" s="907"/>
      <c r="P439" s="907">
        <v>6000000</v>
      </c>
      <c r="Q439" s="28">
        <f t="shared" si="102"/>
        <v>0</v>
      </c>
      <c r="R439" s="55"/>
      <c r="S439" s="301">
        <v>44652</v>
      </c>
      <c r="T439" s="55"/>
      <c r="U439" s="24"/>
      <c r="V439" s="5"/>
      <c r="W439"/>
      <c r="X439"/>
      <c r="Y439"/>
      <c r="Z439"/>
      <c r="AA439"/>
      <c r="AB439"/>
      <c r="AC439"/>
      <c r="AD439"/>
      <c r="AE439"/>
      <c r="AF439"/>
      <c r="AG439"/>
      <c r="AH439"/>
      <c r="AI439"/>
      <c r="AJ439"/>
      <c r="AK439"/>
      <c r="AL439"/>
      <c r="AM439"/>
      <c r="AN439"/>
      <c r="AO439"/>
      <c r="AP439"/>
      <c r="AQ439"/>
      <c r="AR439"/>
    </row>
    <row r="440" spans="1:44" s="10" customFormat="1" ht="15.75" customHeight="1" x14ac:dyDescent="0.25">
      <c r="A440" s="55">
        <f t="shared" si="103"/>
        <v>130</v>
      </c>
      <c r="B440" s="633">
        <v>44638</v>
      </c>
      <c r="C440" s="755" t="s">
        <v>4660</v>
      </c>
      <c r="D440" s="824" t="s">
        <v>4659</v>
      </c>
      <c r="E440" s="884"/>
      <c r="F440" s="33" t="s">
        <v>4449</v>
      </c>
      <c r="G440" s="404" t="s">
        <v>503</v>
      </c>
      <c r="H440" s="45">
        <v>378000</v>
      </c>
      <c r="I440" s="377" t="s">
        <v>4658</v>
      </c>
      <c r="J440" s="774">
        <v>44652</v>
      </c>
      <c r="K440" s="928">
        <f t="shared" ref="K440:K480" si="115">H440</f>
        <v>378000</v>
      </c>
      <c r="L440" s="907"/>
      <c r="M440" s="907"/>
      <c r="N440" s="907"/>
      <c r="O440" s="907"/>
      <c r="P440" s="907"/>
      <c r="Q440" s="28">
        <f t="shared" ref="Q440:Q504" si="116">K440-L440-M440-O440-P440+N440</f>
        <v>378000</v>
      </c>
      <c r="R440" s="55"/>
      <c r="S440" s="301"/>
      <c r="T440" s="55"/>
      <c r="U440" s="24"/>
      <c r="V440" s="5"/>
      <c r="W440"/>
      <c r="X440"/>
      <c r="Y440"/>
      <c r="Z440"/>
      <c r="AA440"/>
      <c r="AB440"/>
      <c r="AC440"/>
      <c r="AD440"/>
      <c r="AE440"/>
      <c r="AF440"/>
      <c r="AG440"/>
      <c r="AH440"/>
      <c r="AI440"/>
      <c r="AJ440"/>
      <c r="AK440"/>
      <c r="AL440"/>
      <c r="AM440"/>
      <c r="AN440"/>
      <c r="AO440"/>
      <c r="AP440"/>
      <c r="AQ440"/>
      <c r="AR440"/>
    </row>
    <row r="441" spans="1:44" s="10" customFormat="1" ht="15.75" customHeight="1" x14ac:dyDescent="0.25">
      <c r="A441" s="55">
        <f t="shared" ref="A441:A505" si="117">A440+1</f>
        <v>131</v>
      </c>
      <c r="B441" s="915">
        <v>44642</v>
      </c>
      <c r="C441" s="755"/>
      <c r="D441" s="824" t="s">
        <v>4662</v>
      </c>
      <c r="E441" s="884"/>
      <c r="F441" s="33" t="s">
        <v>491</v>
      </c>
      <c r="G441" s="404" t="s">
        <v>4663</v>
      </c>
      <c r="H441" s="45">
        <v>2000000</v>
      </c>
      <c r="I441" s="377" t="s">
        <v>4661</v>
      </c>
      <c r="J441" s="774">
        <v>44652</v>
      </c>
      <c r="K441" s="928">
        <f t="shared" si="115"/>
        <v>2000000</v>
      </c>
      <c r="L441" s="907"/>
      <c r="M441" s="907"/>
      <c r="N441" s="907"/>
      <c r="O441" s="907"/>
      <c r="P441" s="907"/>
      <c r="Q441" s="28">
        <f t="shared" si="116"/>
        <v>2000000</v>
      </c>
      <c r="R441" s="55"/>
      <c r="S441" s="301"/>
      <c r="T441" s="55"/>
      <c r="U441" s="24"/>
      <c r="V441" s="5"/>
      <c r="W441"/>
      <c r="X441"/>
      <c r="Y441"/>
      <c r="Z441"/>
      <c r="AA441"/>
      <c r="AB441"/>
      <c r="AC441"/>
      <c r="AD441"/>
      <c r="AE441"/>
      <c r="AF441"/>
      <c r="AG441"/>
      <c r="AH441"/>
      <c r="AI441"/>
      <c r="AJ441"/>
      <c r="AK441"/>
      <c r="AL441"/>
      <c r="AM441"/>
      <c r="AN441"/>
      <c r="AO441"/>
      <c r="AP441"/>
      <c r="AQ441"/>
      <c r="AR441"/>
    </row>
    <row r="442" spans="1:44" s="10" customFormat="1" ht="15.75" customHeight="1" x14ac:dyDescent="0.25">
      <c r="A442" s="55">
        <f t="shared" si="117"/>
        <v>132</v>
      </c>
      <c r="B442" s="633">
        <v>44629</v>
      </c>
      <c r="C442" s="755" t="s">
        <v>4666</v>
      </c>
      <c r="D442" s="824" t="s">
        <v>4665</v>
      </c>
      <c r="E442" s="884"/>
      <c r="F442" s="33" t="s">
        <v>933</v>
      </c>
      <c r="G442" s="404" t="s">
        <v>4667</v>
      </c>
      <c r="H442" s="45">
        <v>2728000</v>
      </c>
      <c r="I442" s="925" t="s">
        <v>4664</v>
      </c>
      <c r="J442" s="774">
        <v>44652</v>
      </c>
      <c r="K442" s="928">
        <f t="shared" si="115"/>
        <v>2728000</v>
      </c>
      <c r="L442" s="907"/>
      <c r="M442" s="907"/>
      <c r="N442" s="907"/>
      <c r="O442" s="907"/>
      <c r="P442" s="907"/>
      <c r="Q442" s="28">
        <f t="shared" si="116"/>
        <v>2728000</v>
      </c>
      <c r="R442" s="55"/>
      <c r="S442" s="301"/>
      <c r="T442" s="55"/>
      <c r="U442" s="24"/>
      <c r="V442" s="5"/>
      <c r="W442"/>
      <c r="X442"/>
      <c r="Y442"/>
      <c r="Z442"/>
      <c r="AA442"/>
      <c r="AB442"/>
      <c r="AC442"/>
      <c r="AD442"/>
      <c r="AE442"/>
      <c r="AF442"/>
      <c r="AG442"/>
      <c r="AH442"/>
      <c r="AI442"/>
      <c r="AJ442"/>
      <c r="AK442"/>
      <c r="AL442"/>
      <c r="AM442"/>
      <c r="AN442"/>
      <c r="AO442"/>
      <c r="AP442"/>
      <c r="AQ442"/>
      <c r="AR442"/>
    </row>
    <row r="443" spans="1:44" s="10" customFormat="1" ht="15.75" customHeight="1" x14ac:dyDescent="0.25">
      <c r="A443" s="55">
        <f t="shared" si="117"/>
        <v>133</v>
      </c>
      <c r="B443" s="633">
        <v>44633</v>
      </c>
      <c r="C443" s="755" t="s">
        <v>4671</v>
      </c>
      <c r="D443" s="824" t="s">
        <v>4673</v>
      </c>
      <c r="E443" s="884"/>
      <c r="F443" s="33" t="s">
        <v>4669</v>
      </c>
      <c r="G443" s="404" t="s">
        <v>4670</v>
      </c>
      <c r="H443" s="45">
        <v>9900000</v>
      </c>
      <c r="I443" s="377" t="s">
        <v>4668</v>
      </c>
      <c r="J443" s="774">
        <v>44652</v>
      </c>
      <c r="K443" s="928">
        <f t="shared" si="115"/>
        <v>9900000</v>
      </c>
      <c r="L443" s="907">
        <v>6700000</v>
      </c>
      <c r="M443" s="907"/>
      <c r="N443" s="907"/>
      <c r="O443" s="907"/>
      <c r="P443" s="907"/>
      <c r="Q443" s="28">
        <f t="shared" si="116"/>
        <v>3200000</v>
      </c>
      <c r="R443" s="301">
        <v>44635</v>
      </c>
      <c r="S443" s="301"/>
      <c r="T443" s="55">
        <v>14</v>
      </c>
      <c r="U443" s="197">
        <f t="shared" ref="U443:U446" si="118">J443+T443</f>
        <v>44666</v>
      </c>
      <c r="V443" s="5"/>
      <c r="W443"/>
      <c r="X443"/>
      <c r="Y443"/>
      <c r="Z443"/>
      <c r="AA443"/>
      <c r="AB443"/>
      <c r="AC443"/>
      <c r="AD443"/>
      <c r="AE443"/>
      <c r="AF443"/>
      <c r="AG443"/>
      <c r="AH443"/>
      <c r="AI443"/>
      <c r="AJ443"/>
      <c r="AK443"/>
      <c r="AL443"/>
      <c r="AM443"/>
      <c r="AN443"/>
      <c r="AO443"/>
      <c r="AP443"/>
      <c r="AQ443"/>
      <c r="AR443"/>
    </row>
    <row r="444" spans="1:44" s="10" customFormat="1" ht="15.75" customHeight="1" x14ac:dyDescent="0.25">
      <c r="A444" s="55">
        <f t="shared" si="117"/>
        <v>134</v>
      </c>
      <c r="B444" s="633">
        <v>44643</v>
      </c>
      <c r="C444" s="755" t="s">
        <v>4674</v>
      </c>
      <c r="D444" s="824" t="s">
        <v>3116</v>
      </c>
      <c r="E444" s="884"/>
      <c r="F444" s="33" t="s">
        <v>3857</v>
      </c>
      <c r="G444" s="404" t="s">
        <v>4349</v>
      </c>
      <c r="H444" s="45">
        <v>8175000</v>
      </c>
      <c r="I444" s="377" t="s">
        <v>4672</v>
      </c>
      <c r="J444" s="774">
        <v>44652</v>
      </c>
      <c r="K444" s="928">
        <f t="shared" si="115"/>
        <v>8175000</v>
      </c>
      <c r="L444" s="907">
        <v>5597500</v>
      </c>
      <c r="M444" s="907"/>
      <c r="N444" s="907"/>
      <c r="O444" s="907"/>
      <c r="P444" s="907"/>
      <c r="Q444" s="28">
        <f t="shared" si="116"/>
        <v>2577500</v>
      </c>
      <c r="R444" s="301">
        <v>44646</v>
      </c>
      <c r="S444" s="301"/>
      <c r="T444" s="55">
        <v>14</v>
      </c>
      <c r="U444" s="197">
        <f t="shared" si="118"/>
        <v>44666</v>
      </c>
      <c r="V444" s="5"/>
      <c r="W444"/>
      <c r="X444"/>
      <c r="Y444"/>
      <c r="Z444"/>
      <c r="AA444"/>
      <c r="AB444"/>
      <c r="AC444"/>
      <c r="AD444"/>
      <c r="AE444"/>
      <c r="AF444"/>
      <c r="AG444"/>
      <c r="AH444"/>
      <c r="AI444"/>
      <c r="AJ444"/>
      <c r="AK444"/>
      <c r="AL444"/>
      <c r="AM444"/>
      <c r="AN444"/>
      <c r="AO444"/>
      <c r="AP444"/>
      <c r="AQ444"/>
      <c r="AR444"/>
    </row>
    <row r="445" spans="1:44" s="10" customFormat="1" ht="15.75" customHeight="1" x14ac:dyDescent="0.25">
      <c r="A445" s="55">
        <f t="shared" si="117"/>
        <v>135</v>
      </c>
      <c r="B445" s="633">
        <v>44638</v>
      </c>
      <c r="C445" s="755" t="s">
        <v>4676</v>
      </c>
      <c r="D445" s="824" t="s">
        <v>4677</v>
      </c>
      <c r="E445" s="884"/>
      <c r="F445" s="33" t="s">
        <v>3857</v>
      </c>
      <c r="G445" s="404" t="s">
        <v>201</v>
      </c>
      <c r="H445" s="45">
        <v>19761000</v>
      </c>
      <c r="I445" s="377" t="s">
        <v>4675</v>
      </c>
      <c r="J445" s="774">
        <v>44652</v>
      </c>
      <c r="K445" s="928">
        <f t="shared" si="115"/>
        <v>19761000</v>
      </c>
      <c r="L445" s="907">
        <v>13600000</v>
      </c>
      <c r="M445" s="907"/>
      <c r="N445" s="907"/>
      <c r="O445" s="907"/>
      <c r="P445" s="907"/>
      <c r="Q445" s="28">
        <f t="shared" si="116"/>
        <v>6161000</v>
      </c>
      <c r="R445" s="55"/>
      <c r="S445" s="301"/>
      <c r="T445" s="55">
        <v>14</v>
      </c>
      <c r="U445" s="197">
        <f t="shared" si="118"/>
        <v>44666</v>
      </c>
      <c r="V445" s="5"/>
      <c r="W445"/>
      <c r="X445"/>
      <c r="Y445"/>
      <c r="Z445"/>
      <c r="AA445"/>
      <c r="AB445"/>
      <c r="AC445"/>
      <c r="AD445"/>
      <c r="AE445"/>
      <c r="AF445"/>
      <c r="AG445"/>
      <c r="AH445"/>
      <c r="AI445"/>
      <c r="AJ445"/>
      <c r="AK445"/>
      <c r="AL445"/>
      <c r="AM445"/>
      <c r="AN445"/>
      <c r="AO445"/>
      <c r="AP445"/>
      <c r="AQ445"/>
      <c r="AR445"/>
    </row>
    <row r="446" spans="1:44" s="10" customFormat="1" ht="15.75" customHeight="1" x14ac:dyDescent="0.25">
      <c r="A446" s="55">
        <f t="shared" si="117"/>
        <v>136</v>
      </c>
      <c r="B446" s="633">
        <v>44648</v>
      </c>
      <c r="C446" s="755" t="s">
        <v>4681</v>
      </c>
      <c r="D446" s="824" t="s">
        <v>4680</v>
      </c>
      <c r="E446" s="884"/>
      <c r="F446" s="33" t="s">
        <v>3549</v>
      </c>
      <c r="G446" s="404" t="s">
        <v>4679</v>
      </c>
      <c r="H446" s="45">
        <v>11328000</v>
      </c>
      <c r="I446" s="377" t="s">
        <v>4678</v>
      </c>
      <c r="J446" s="774">
        <v>44652</v>
      </c>
      <c r="K446" s="928">
        <f t="shared" si="115"/>
        <v>11328000</v>
      </c>
      <c r="L446" s="907">
        <v>6595000</v>
      </c>
      <c r="M446" s="907"/>
      <c r="N446" s="907"/>
      <c r="O446" s="907"/>
      <c r="P446" s="907">
        <v>4728000</v>
      </c>
      <c r="Q446" s="28">
        <f t="shared" si="116"/>
        <v>5000</v>
      </c>
      <c r="R446" s="301">
        <v>44650</v>
      </c>
      <c r="S446" s="301"/>
      <c r="T446" s="55">
        <v>14</v>
      </c>
      <c r="U446" s="197">
        <f t="shared" si="118"/>
        <v>44666</v>
      </c>
      <c r="V446" s="5"/>
      <c r="W446"/>
      <c r="X446"/>
      <c r="Y446"/>
      <c r="Z446"/>
      <c r="AA446"/>
      <c r="AB446"/>
      <c r="AC446"/>
      <c r="AD446"/>
      <c r="AE446"/>
      <c r="AF446"/>
      <c r="AG446"/>
      <c r="AH446"/>
      <c r="AI446"/>
      <c r="AJ446"/>
      <c r="AK446"/>
      <c r="AL446"/>
      <c r="AM446"/>
      <c r="AN446"/>
      <c r="AO446"/>
      <c r="AP446"/>
      <c r="AQ446"/>
      <c r="AR446"/>
    </row>
    <row r="447" spans="1:44" s="10" customFormat="1" ht="15.75" customHeight="1" x14ac:dyDescent="0.25">
      <c r="A447" s="55">
        <f t="shared" si="117"/>
        <v>137</v>
      </c>
      <c r="B447" s="633">
        <v>44636</v>
      </c>
      <c r="C447" s="755" t="s">
        <v>4683</v>
      </c>
      <c r="D447" s="824" t="s">
        <v>3134</v>
      </c>
      <c r="E447" s="884"/>
      <c r="F447" s="33" t="s">
        <v>4220</v>
      </c>
      <c r="G447" s="404" t="s">
        <v>477</v>
      </c>
      <c r="H447" s="45">
        <v>2000000</v>
      </c>
      <c r="I447" s="377" t="s">
        <v>4682</v>
      </c>
      <c r="J447" s="774">
        <v>44652</v>
      </c>
      <c r="K447" s="928">
        <f t="shared" si="115"/>
        <v>2000000</v>
      </c>
      <c r="L447" s="907"/>
      <c r="M447" s="907"/>
      <c r="N447" s="907"/>
      <c r="O447" s="907"/>
      <c r="P447" s="907"/>
      <c r="Q447" s="28">
        <f t="shared" si="116"/>
        <v>2000000</v>
      </c>
      <c r="R447" s="55"/>
      <c r="S447" s="301"/>
      <c r="T447" s="55"/>
      <c r="U447" s="24"/>
      <c r="V447" s="5"/>
      <c r="W447"/>
      <c r="X447"/>
      <c r="Y447"/>
      <c r="Z447"/>
      <c r="AA447"/>
      <c r="AB447"/>
      <c r="AC447"/>
      <c r="AD447"/>
      <c r="AE447"/>
      <c r="AF447"/>
      <c r="AG447"/>
      <c r="AH447"/>
      <c r="AI447"/>
      <c r="AJ447"/>
      <c r="AK447"/>
      <c r="AL447"/>
      <c r="AM447"/>
      <c r="AN447"/>
      <c r="AO447"/>
      <c r="AP447"/>
      <c r="AQ447"/>
      <c r="AR447"/>
    </row>
    <row r="448" spans="1:44" s="10" customFormat="1" ht="15.75" customHeight="1" x14ac:dyDescent="0.25">
      <c r="A448" s="55">
        <f t="shared" si="117"/>
        <v>138</v>
      </c>
      <c r="B448" s="633">
        <v>44636</v>
      </c>
      <c r="C448" s="755" t="s">
        <v>4683</v>
      </c>
      <c r="D448" s="824" t="s">
        <v>3134</v>
      </c>
      <c r="E448" s="884"/>
      <c r="F448" s="33" t="s">
        <v>4685</v>
      </c>
      <c r="G448" s="404" t="s">
        <v>1833</v>
      </c>
      <c r="H448" s="45">
        <v>7000000</v>
      </c>
      <c r="I448" s="906" t="s">
        <v>4684</v>
      </c>
      <c r="J448" s="774">
        <v>44652</v>
      </c>
      <c r="K448" s="928">
        <f t="shared" si="115"/>
        <v>7000000</v>
      </c>
      <c r="L448" s="907"/>
      <c r="M448" s="907"/>
      <c r="N448" s="907"/>
      <c r="O448" s="907"/>
      <c r="P448" s="907"/>
      <c r="Q448" s="28">
        <f t="shared" si="116"/>
        <v>7000000</v>
      </c>
      <c r="R448" s="55"/>
      <c r="S448" s="301"/>
      <c r="T448" s="55"/>
      <c r="U448" s="24"/>
      <c r="V448" s="5"/>
      <c r="W448"/>
      <c r="X448"/>
      <c r="Y448"/>
      <c r="Z448"/>
      <c r="AA448"/>
      <c r="AB448"/>
      <c r="AC448"/>
      <c r="AD448"/>
      <c r="AE448"/>
      <c r="AF448"/>
      <c r="AG448"/>
      <c r="AH448"/>
      <c r="AI448"/>
      <c r="AJ448"/>
      <c r="AK448"/>
      <c r="AL448"/>
      <c r="AM448"/>
      <c r="AN448"/>
      <c r="AO448"/>
      <c r="AP448"/>
      <c r="AQ448"/>
      <c r="AR448"/>
    </row>
    <row r="449" spans="1:44" s="10" customFormat="1" ht="15.75" customHeight="1" x14ac:dyDescent="0.25">
      <c r="A449" s="55">
        <f t="shared" si="117"/>
        <v>139</v>
      </c>
      <c r="B449" s="633">
        <v>44643</v>
      </c>
      <c r="C449" s="755"/>
      <c r="D449" s="824" t="s">
        <v>4687</v>
      </c>
      <c r="E449" s="884"/>
      <c r="F449" s="33" t="s">
        <v>4685</v>
      </c>
      <c r="G449" s="404" t="s">
        <v>2302</v>
      </c>
      <c r="H449" s="45">
        <v>6000000</v>
      </c>
      <c r="I449" s="377" t="s">
        <v>4686</v>
      </c>
      <c r="J449" s="774">
        <v>44652</v>
      </c>
      <c r="K449" s="928">
        <f t="shared" si="115"/>
        <v>6000000</v>
      </c>
      <c r="L449" s="907"/>
      <c r="M449" s="907"/>
      <c r="N449" s="907"/>
      <c r="O449" s="907"/>
      <c r="P449" s="907"/>
      <c r="Q449" s="28">
        <f t="shared" si="116"/>
        <v>6000000</v>
      </c>
      <c r="R449" s="55"/>
      <c r="S449" s="301"/>
      <c r="T449" s="55"/>
      <c r="U449" s="24"/>
      <c r="V449" s="5"/>
      <c r="W449"/>
      <c r="X449"/>
      <c r="Y449"/>
      <c r="Z449"/>
      <c r="AA449"/>
      <c r="AB449"/>
      <c r="AC449"/>
      <c r="AD449"/>
      <c r="AE449"/>
      <c r="AF449"/>
      <c r="AG449"/>
      <c r="AH449"/>
      <c r="AI449"/>
      <c r="AJ449"/>
      <c r="AK449"/>
      <c r="AL449"/>
      <c r="AM449"/>
      <c r="AN449"/>
      <c r="AO449"/>
      <c r="AP449"/>
      <c r="AQ449"/>
      <c r="AR449"/>
    </row>
    <row r="450" spans="1:44" s="10" customFormat="1" ht="15.75" customHeight="1" x14ac:dyDescent="0.25">
      <c r="A450" s="55">
        <f t="shared" si="117"/>
        <v>140</v>
      </c>
      <c r="B450" s="633">
        <v>44649</v>
      </c>
      <c r="C450" s="755"/>
      <c r="D450" s="824" t="s">
        <v>3223</v>
      </c>
      <c r="E450" s="884"/>
      <c r="F450" s="33" t="s">
        <v>191</v>
      </c>
      <c r="G450" s="404" t="s">
        <v>653</v>
      </c>
      <c r="H450" s="45">
        <v>6500000</v>
      </c>
      <c r="I450" s="377" t="s">
        <v>4694</v>
      </c>
      <c r="J450" s="774">
        <v>44653</v>
      </c>
      <c r="K450" s="928">
        <f t="shared" si="115"/>
        <v>6500000</v>
      </c>
      <c r="L450" s="907"/>
      <c r="M450" s="907">
        <v>1500000</v>
      </c>
      <c r="N450" s="907"/>
      <c r="O450" s="907"/>
      <c r="P450" s="907">
        <v>5000000</v>
      </c>
      <c r="Q450" s="28">
        <f t="shared" si="116"/>
        <v>0</v>
      </c>
      <c r="R450" s="55"/>
      <c r="S450" s="301">
        <v>44655</v>
      </c>
      <c r="T450" s="55"/>
      <c r="U450" s="24"/>
      <c r="V450" s="5"/>
      <c r="W450"/>
      <c r="X450"/>
      <c r="Y450"/>
      <c r="Z450"/>
      <c r="AA450"/>
      <c r="AB450"/>
      <c r="AC450"/>
      <c r="AD450"/>
      <c r="AE450"/>
      <c r="AF450"/>
      <c r="AG450"/>
      <c r="AH450"/>
      <c r="AI450"/>
      <c r="AJ450"/>
      <c r="AK450"/>
      <c r="AL450"/>
      <c r="AM450"/>
      <c r="AN450"/>
      <c r="AO450"/>
      <c r="AP450"/>
      <c r="AQ450"/>
      <c r="AR450"/>
    </row>
    <row r="451" spans="1:44" s="10" customFormat="1" ht="15.75" customHeight="1" x14ac:dyDescent="0.25">
      <c r="A451" s="55">
        <v>288</v>
      </c>
      <c r="B451" s="633">
        <v>44649</v>
      </c>
      <c r="C451" s="755"/>
      <c r="D451" s="824" t="s">
        <v>4887</v>
      </c>
      <c r="E451" s="884"/>
      <c r="F451" s="33" t="s">
        <v>4886</v>
      </c>
      <c r="G451" s="404" t="s">
        <v>774</v>
      </c>
      <c r="H451" s="45">
        <v>9885000</v>
      </c>
      <c r="I451" s="377" t="s">
        <v>4885</v>
      </c>
      <c r="J451" s="774">
        <v>44657</v>
      </c>
      <c r="K451" s="928">
        <f t="shared" si="115"/>
        <v>9885000</v>
      </c>
      <c r="L451" s="910"/>
      <c r="M451" s="910">
        <v>2636000</v>
      </c>
      <c r="N451" s="910"/>
      <c r="O451" s="910"/>
      <c r="P451" s="910"/>
      <c r="Q451" s="28">
        <f t="shared" ref="Q451:Q472" si="119">K451-L451-M451-O451-P451+N451</f>
        <v>7249000</v>
      </c>
      <c r="R451" s="301"/>
      <c r="S451" s="301"/>
      <c r="T451" s="55"/>
      <c r="U451" s="24"/>
      <c r="V451" s="5"/>
      <c r="W451"/>
      <c r="X451"/>
      <c r="Y451"/>
      <c r="Z451"/>
      <c r="AA451"/>
      <c r="AB451"/>
      <c r="AC451"/>
      <c r="AD451"/>
      <c r="AE451"/>
      <c r="AF451"/>
      <c r="AG451"/>
      <c r="AH451"/>
      <c r="AI451"/>
      <c r="AJ451"/>
      <c r="AK451"/>
      <c r="AL451"/>
      <c r="AM451"/>
      <c r="AN451"/>
      <c r="AO451"/>
      <c r="AP451"/>
      <c r="AQ451"/>
      <c r="AR451"/>
    </row>
    <row r="452" spans="1:44" s="10" customFormat="1" ht="15.75" customHeight="1" x14ac:dyDescent="0.25">
      <c r="A452" s="55">
        <v>289</v>
      </c>
      <c r="B452" s="633">
        <v>44641</v>
      </c>
      <c r="C452" s="755" t="s">
        <v>4890</v>
      </c>
      <c r="D452" s="824" t="s">
        <v>4889</v>
      </c>
      <c r="E452" s="884"/>
      <c r="F452" s="33" t="s">
        <v>4199</v>
      </c>
      <c r="G452" s="404" t="s">
        <v>4709</v>
      </c>
      <c r="H452" s="45">
        <v>1575000</v>
      </c>
      <c r="I452" s="377" t="s">
        <v>4888</v>
      </c>
      <c r="J452" s="774">
        <v>44658</v>
      </c>
      <c r="K452" s="928">
        <f t="shared" si="115"/>
        <v>1575000</v>
      </c>
      <c r="L452" s="910"/>
      <c r="M452" s="910"/>
      <c r="N452" s="910"/>
      <c r="O452" s="910"/>
      <c r="P452" s="910">
        <v>1575000</v>
      </c>
      <c r="Q452" s="28">
        <f t="shared" si="119"/>
        <v>0</v>
      </c>
      <c r="R452" s="301"/>
      <c r="S452" s="301">
        <v>44672</v>
      </c>
      <c r="T452" s="55">
        <v>14</v>
      </c>
      <c r="U452" s="24">
        <f t="shared" ref="U452:U454" si="120">J452+T452</f>
        <v>44672</v>
      </c>
      <c r="V452" s="5"/>
      <c r="W452"/>
      <c r="X452"/>
      <c r="Y452"/>
      <c r="Z452"/>
      <c r="AA452"/>
      <c r="AB452"/>
      <c r="AC452"/>
      <c r="AD452"/>
      <c r="AE452"/>
      <c r="AF452"/>
      <c r="AG452"/>
      <c r="AH452"/>
      <c r="AI452"/>
      <c r="AJ452"/>
      <c r="AK452"/>
      <c r="AL452"/>
      <c r="AM452"/>
      <c r="AN452"/>
      <c r="AO452"/>
      <c r="AP452"/>
      <c r="AQ452"/>
      <c r="AR452"/>
    </row>
    <row r="453" spans="1:44" s="10" customFormat="1" ht="15.75" customHeight="1" x14ac:dyDescent="0.25">
      <c r="A453" s="55">
        <v>290</v>
      </c>
      <c r="B453" s="633">
        <v>44629</v>
      </c>
      <c r="C453" s="755" t="s">
        <v>4893</v>
      </c>
      <c r="D453" s="824" t="s">
        <v>4892</v>
      </c>
      <c r="E453" s="884"/>
      <c r="F453" s="33" t="s">
        <v>4199</v>
      </c>
      <c r="G453" s="404" t="s">
        <v>4894</v>
      </c>
      <c r="H453" s="45">
        <v>2844000</v>
      </c>
      <c r="I453" s="377" t="s">
        <v>4891</v>
      </c>
      <c r="J453" s="774">
        <v>44658</v>
      </c>
      <c r="K453" s="928">
        <f t="shared" si="115"/>
        <v>2844000</v>
      </c>
      <c r="L453" s="910"/>
      <c r="M453" s="910"/>
      <c r="N453" s="910"/>
      <c r="O453" s="910"/>
      <c r="P453" s="910">
        <v>2844000</v>
      </c>
      <c r="Q453" s="28">
        <f t="shared" si="119"/>
        <v>0</v>
      </c>
      <c r="R453" s="301"/>
      <c r="S453" s="301">
        <v>44672</v>
      </c>
      <c r="T453" s="55">
        <v>14</v>
      </c>
      <c r="U453" s="24">
        <f t="shared" si="120"/>
        <v>44672</v>
      </c>
      <c r="V453" s="5"/>
      <c r="W453"/>
      <c r="X453"/>
      <c r="Y453"/>
      <c r="Z453"/>
      <c r="AA453"/>
      <c r="AB453"/>
      <c r="AC453"/>
      <c r="AD453"/>
      <c r="AE453"/>
      <c r="AF453"/>
      <c r="AG453"/>
      <c r="AH453"/>
      <c r="AI453"/>
      <c r="AJ453"/>
      <c r="AK453"/>
      <c r="AL453"/>
      <c r="AM453"/>
      <c r="AN453"/>
      <c r="AO453"/>
      <c r="AP453"/>
      <c r="AQ453"/>
      <c r="AR453"/>
    </row>
    <row r="454" spans="1:44" s="10" customFormat="1" ht="15.75" customHeight="1" x14ac:dyDescent="0.25">
      <c r="A454" s="55">
        <v>291</v>
      </c>
      <c r="B454" s="633">
        <v>44627</v>
      </c>
      <c r="C454" s="755"/>
      <c r="D454" s="824" t="s">
        <v>4898</v>
      </c>
      <c r="E454" s="884"/>
      <c r="F454" s="33" t="s">
        <v>4199</v>
      </c>
      <c r="G454" s="404" t="s">
        <v>4880</v>
      </c>
      <c r="H454" s="45">
        <v>7000000</v>
      </c>
      <c r="I454" s="377" t="s">
        <v>4895</v>
      </c>
      <c r="J454" s="774">
        <v>44658</v>
      </c>
      <c r="K454" s="928">
        <f t="shared" si="115"/>
        <v>7000000</v>
      </c>
      <c r="L454" s="910"/>
      <c r="M454" s="910"/>
      <c r="N454" s="910"/>
      <c r="O454" s="910"/>
      <c r="P454" s="910">
        <v>7000000</v>
      </c>
      <c r="Q454" s="28">
        <f t="shared" si="119"/>
        <v>0</v>
      </c>
      <c r="R454" s="301"/>
      <c r="S454" s="301">
        <v>44672</v>
      </c>
      <c r="T454" s="55">
        <v>14</v>
      </c>
      <c r="U454" s="24">
        <f t="shared" si="120"/>
        <v>44672</v>
      </c>
      <c r="V454" s="5"/>
      <c r="W454"/>
      <c r="X454"/>
      <c r="Y454"/>
      <c r="Z454"/>
      <c r="AA454"/>
      <c r="AB454"/>
      <c r="AC454"/>
      <c r="AD454"/>
      <c r="AE454"/>
      <c r="AF454"/>
      <c r="AG454"/>
      <c r="AH454"/>
      <c r="AI454"/>
      <c r="AJ454"/>
      <c r="AK454"/>
      <c r="AL454"/>
      <c r="AM454"/>
      <c r="AN454"/>
      <c r="AO454"/>
      <c r="AP454"/>
      <c r="AQ454"/>
      <c r="AR454"/>
    </row>
    <row r="455" spans="1:44" s="10" customFormat="1" ht="15.75" customHeight="1" x14ac:dyDescent="0.25">
      <c r="A455" s="55">
        <v>254</v>
      </c>
      <c r="B455" s="633">
        <v>44636</v>
      </c>
      <c r="C455" s="921" t="s">
        <v>4683</v>
      </c>
      <c r="D455" s="824" t="s">
        <v>3134</v>
      </c>
      <c r="E455" s="884"/>
      <c r="F455" s="33" t="s">
        <v>4220</v>
      </c>
      <c r="G455" s="404" t="s">
        <v>4710</v>
      </c>
      <c r="H455" s="922">
        <v>2000000</v>
      </c>
      <c r="I455" s="913" t="s">
        <v>4682</v>
      </c>
      <c r="J455" s="774">
        <v>44652</v>
      </c>
      <c r="K455" s="928">
        <f t="shared" si="115"/>
        <v>2000000</v>
      </c>
      <c r="L455" s="910"/>
      <c r="M455" s="910"/>
      <c r="N455" s="910"/>
      <c r="O455" s="910"/>
      <c r="P455" s="910"/>
      <c r="Q455" s="28">
        <f t="shared" si="119"/>
        <v>2000000</v>
      </c>
      <c r="R455" s="55"/>
      <c r="S455" s="301"/>
      <c r="T455" s="55"/>
      <c r="U455" s="197"/>
      <c r="V455" s="5"/>
      <c r="W455"/>
      <c r="X455"/>
      <c r="Y455"/>
      <c r="Z455"/>
      <c r="AA455"/>
      <c r="AB455"/>
      <c r="AC455"/>
      <c r="AD455"/>
      <c r="AE455"/>
      <c r="AF455"/>
      <c r="AG455"/>
      <c r="AH455"/>
      <c r="AI455"/>
      <c r="AJ455"/>
      <c r="AK455"/>
      <c r="AL455"/>
      <c r="AM455"/>
      <c r="AN455"/>
      <c r="AO455"/>
      <c r="AP455"/>
      <c r="AQ455"/>
      <c r="AR455"/>
    </row>
    <row r="456" spans="1:44" s="10" customFormat="1" ht="15.75" customHeight="1" x14ac:dyDescent="0.25">
      <c r="A456" s="55">
        <v>255</v>
      </c>
      <c r="B456" s="633">
        <v>44636</v>
      </c>
      <c r="C456" s="755" t="s">
        <v>4683</v>
      </c>
      <c r="D456" s="824" t="s">
        <v>3134</v>
      </c>
      <c r="E456" s="884"/>
      <c r="F456" s="33" t="s">
        <v>4685</v>
      </c>
      <c r="G456" s="404" t="s">
        <v>4711</v>
      </c>
      <c r="H456" s="918">
        <v>7000000</v>
      </c>
      <c r="I456" s="377" t="s">
        <v>4684</v>
      </c>
      <c r="J456" s="774">
        <v>44652</v>
      </c>
      <c r="K456" s="928">
        <f t="shared" si="115"/>
        <v>7000000</v>
      </c>
      <c r="L456" s="910"/>
      <c r="M456" s="910"/>
      <c r="N456" s="910"/>
      <c r="O456" s="910"/>
      <c r="P456" s="910"/>
      <c r="Q456" s="28">
        <f t="shared" si="119"/>
        <v>7000000</v>
      </c>
      <c r="R456" s="55"/>
      <c r="S456" s="301"/>
      <c r="T456" s="55"/>
      <c r="U456" s="24"/>
      <c r="V456" s="5"/>
      <c r="W456"/>
      <c r="X456"/>
      <c r="Y456"/>
      <c r="Z456"/>
      <c r="AA456"/>
      <c r="AB456"/>
      <c r="AC456"/>
      <c r="AD456"/>
      <c r="AE456"/>
      <c r="AF456"/>
      <c r="AG456"/>
      <c r="AH456"/>
      <c r="AI456"/>
      <c r="AJ456"/>
      <c r="AK456"/>
      <c r="AL456"/>
      <c r="AM456"/>
      <c r="AN456"/>
      <c r="AO456"/>
      <c r="AP456"/>
      <c r="AQ456"/>
      <c r="AR456"/>
    </row>
    <row r="457" spans="1:44" s="10" customFormat="1" ht="15.75" customHeight="1" x14ac:dyDescent="0.25">
      <c r="A457" s="55">
        <v>260</v>
      </c>
      <c r="B457" s="633">
        <v>44648</v>
      </c>
      <c r="C457" s="755">
        <v>404916</v>
      </c>
      <c r="D457" s="824" t="s">
        <v>4715</v>
      </c>
      <c r="E457" s="884"/>
      <c r="F457" s="33" t="s">
        <v>1905</v>
      </c>
      <c r="G457" s="404" t="s">
        <v>4714</v>
      </c>
      <c r="H457" s="45">
        <v>5050140</v>
      </c>
      <c r="I457" s="377" t="s">
        <v>4713</v>
      </c>
      <c r="J457" s="774">
        <v>44656</v>
      </c>
      <c r="K457" s="928">
        <f t="shared" si="115"/>
        <v>5050140</v>
      </c>
      <c r="L457" s="910"/>
      <c r="M457" s="910"/>
      <c r="N457" s="910"/>
      <c r="O457" s="910"/>
      <c r="P457" s="910">
        <v>5050140</v>
      </c>
      <c r="Q457" s="28">
        <f t="shared" si="119"/>
        <v>0</v>
      </c>
      <c r="R457" s="301"/>
      <c r="S457" s="301">
        <v>44657</v>
      </c>
      <c r="T457" s="55"/>
      <c r="U457" s="24"/>
      <c r="V457" s="5"/>
      <c r="W457"/>
      <c r="X457"/>
      <c r="Y457"/>
      <c r="Z457"/>
      <c r="AA457"/>
      <c r="AB457"/>
      <c r="AC457"/>
      <c r="AD457"/>
      <c r="AE457"/>
      <c r="AF457"/>
      <c r="AG457"/>
      <c r="AH457"/>
      <c r="AI457"/>
      <c r="AJ457"/>
      <c r="AK457"/>
      <c r="AL457"/>
      <c r="AM457"/>
      <c r="AN457"/>
      <c r="AO457"/>
      <c r="AP457"/>
      <c r="AQ457"/>
      <c r="AR457"/>
    </row>
    <row r="458" spans="1:44" s="10" customFormat="1" ht="15.75" customHeight="1" x14ac:dyDescent="0.25">
      <c r="A458" s="55">
        <v>261</v>
      </c>
      <c r="B458" s="633">
        <v>44638</v>
      </c>
      <c r="C458" s="755" t="s">
        <v>4718</v>
      </c>
      <c r="D458" s="824" t="s">
        <v>4717</v>
      </c>
      <c r="E458" s="884"/>
      <c r="F458" s="33" t="s">
        <v>3857</v>
      </c>
      <c r="G458" s="404" t="s">
        <v>4719</v>
      </c>
      <c r="H458" s="45">
        <v>12200000</v>
      </c>
      <c r="I458" s="377" t="s">
        <v>4716</v>
      </c>
      <c r="J458" s="774">
        <v>44656</v>
      </c>
      <c r="K458" s="928">
        <f t="shared" si="115"/>
        <v>12200000</v>
      </c>
      <c r="L458" s="910">
        <v>7700000</v>
      </c>
      <c r="M458" s="910"/>
      <c r="N458" s="910"/>
      <c r="O458" s="910"/>
      <c r="P458" s="910">
        <v>4500000</v>
      </c>
      <c r="Q458" s="28">
        <f t="shared" si="119"/>
        <v>0</v>
      </c>
      <c r="R458" s="301" t="s">
        <v>4720</v>
      </c>
      <c r="S458" s="301"/>
      <c r="T458" s="55">
        <v>14</v>
      </c>
      <c r="U458" s="197">
        <f t="shared" ref="U458" si="121">J458+T458</f>
        <v>44670</v>
      </c>
      <c r="V458" s="5"/>
      <c r="W458"/>
      <c r="X458"/>
      <c r="Y458"/>
      <c r="Z458"/>
      <c r="AA458"/>
      <c r="AB458"/>
      <c r="AC458"/>
      <c r="AD458"/>
      <c r="AE458"/>
      <c r="AF458"/>
      <c r="AG458"/>
      <c r="AH458"/>
      <c r="AI458"/>
      <c r="AJ458"/>
      <c r="AK458"/>
      <c r="AL458"/>
      <c r="AM458"/>
      <c r="AN458"/>
      <c r="AO458"/>
      <c r="AP458"/>
      <c r="AQ458"/>
      <c r="AR458"/>
    </row>
    <row r="459" spans="1:44" s="10" customFormat="1" ht="15.75" customHeight="1" x14ac:dyDescent="0.25">
      <c r="A459" s="55">
        <v>262</v>
      </c>
      <c r="B459" s="633">
        <v>44636</v>
      </c>
      <c r="C459" s="889"/>
      <c r="D459" s="824" t="s">
        <v>4722</v>
      </c>
      <c r="E459" s="884"/>
      <c r="F459" s="33" t="s">
        <v>3933</v>
      </c>
      <c r="G459" s="404" t="s">
        <v>4123</v>
      </c>
      <c r="H459" s="45">
        <v>19737500</v>
      </c>
      <c r="I459" s="377" t="s">
        <v>4721</v>
      </c>
      <c r="J459" s="774">
        <v>44656</v>
      </c>
      <c r="K459" s="928">
        <f t="shared" si="115"/>
        <v>19737500</v>
      </c>
      <c r="L459" s="910"/>
      <c r="M459" s="910">
        <v>3947500</v>
      </c>
      <c r="N459" s="910"/>
      <c r="O459" s="910"/>
      <c r="P459" s="910"/>
      <c r="Q459" s="28">
        <f t="shared" si="119"/>
        <v>15790000</v>
      </c>
      <c r="R459" s="301"/>
      <c r="S459" s="301"/>
      <c r="T459" s="55"/>
      <c r="U459" s="24"/>
      <c r="V459" s="5"/>
      <c r="W459"/>
      <c r="X459"/>
      <c r="Y459"/>
      <c r="Z459"/>
      <c r="AA459"/>
      <c r="AB459"/>
      <c r="AC459"/>
      <c r="AD459"/>
      <c r="AE459"/>
      <c r="AF459"/>
      <c r="AG459"/>
      <c r="AH459"/>
      <c r="AI459"/>
      <c r="AJ459"/>
      <c r="AK459"/>
      <c r="AL459"/>
      <c r="AM459"/>
      <c r="AN459"/>
      <c r="AO459"/>
      <c r="AP459"/>
      <c r="AQ459"/>
      <c r="AR459"/>
    </row>
    <row r="460" spans="1:44" s="10" customFormat="1" ht="15.75" customHeight="1" x14ac:dyDescent="0.25">
      <c r="A460" s="55">
        <v>263</v>
      </c>
      <c r="B460" s="633">
        <v>44634</v>
      </c>
      <c r="C460" s="888" t="s">
        <v>4725</v>
      </c>
      <c r="D460" s="824" t="s">
        <v>4724</v>
      </c>
      <c r="E460" s="884"/>
      <c r="F460" s="33" t="s">
        <v>4278</v>
      </c>
      <c r="G460" s="404" t="s">
        <v>4726</v>
      </c>
      <c r="H460" s="45">
        <v>1770000</v>
      </c>
      <c r="I460" s="377" t="s">
        <v>4723</v>
      </c>
      <c r="J460" s="774">
        <v>44656</v>
      </c>
      <c r="K460" s="928">
        <f t="shared" si="115"/>
        <v>1770000</v>
      </c>
      <c r="L460" s="910"/>
      <c r="M460" s="910"/>
      <c r="N460" s="910"/>
      <c r="O460" s="910"/>
      <c r="P460" s="910"/>
      <c r="Q460" s="28">
        <f t="shared" si="119"/>
        <v>1770000</v>
      </c>
      <c r="R460" s="301"/>
      <c r="S460" s="301"/>
      <c r="T460" s="55"/>
      <c r="U460" s="24"/>
      <c r="V460" s="5"/>
      <c r="W460"/>
      <c r="X460"/>
      <c r="Y460"/>
      <c r="Z460"/>
      <c r="AA460"/>
      <c r="AB460"/>
      <c r="AC460"/>
      <c r="AD460"/>
      <c r="AE460"/>
      <c r="AF460"/>
      <c r="AG460"/>
      <c r="AH460"/>
      <c r="AI460"/>
      <c r="AJ460"/>
      <c r="AK460"/>
      <c r="AL460"/>
      <c r="AM460"/>
      <c r="AN460"/>
      <c r="AO460"/>
      <c r="AP460"/>
      <c r="AQ460"/>
      <c r="AR460"/>
    </row>
    <row r="461" spans="1:44" s="10" customFormat="1" ht="15.75" customHeight="1" x14ac:dyDescent="0.25">
      <c r="A461" s="55">
        <v>264</v>
      </c>
      <c r="B461" s="633">
        <v>44651</v>
      </c>
      <c r="C461" s="755" t="s">
        <v>4728</v>
      </c>
      <c r="D461" s="824" t="s">
        <v>4729</v>
      </c>
      <c r="E461" s="884"/>
      <c r="F461" s="33" t="s">
        <v>933</v>
      </c>
      <c r="G461" s="404" t="s">
        <v>4730</v>
      </c>
      <c r="H461" s="45">
        <v>250000</v>
      </c>
      <c r="I461" s="377" t="s">
        <v>4727</v>
      </c>
      <c r="J461" s="774">
        <v>44656</v>
      </c>
      <c r="K461" s="928">
        <f t="shared" si="115"/>
        <v>250000</v>
      </c>
      <c r="L461" s="910"/>
      <c r="M461" s="910"/>
      <c r="N461" s="910"/>
      <c r="O461" s="910"/>
      <c r="P461" s="910"/>
      <c r="Q461" s="28">
        <f t="shared" si="119"/>
        <v>250000</v>
      </c>
      <c r="R461" s="301"/>
      <c r="S461" s="301"/>
      <c r="T461" s="55"/>
      <c r="U461" s="24"/>
      <c r="V461" s="5"/>
      <c r="W461"/>
      <c r="X461"/>
      <c r="Y461"/>
      <c r="Z461"/>
      <c r="AA461"/>
      <c r="AB461"/>
      <c r="AC461"/>
      <c r="AD461"/>
      <c r="AE461"/>
      <c r="AF461"/>
      <c r="AG461"/>
      <c r="AH461"/>
      <c r="AI461"/>
      <c r="AJ461"/>
      <c r="AK461"/>
      <c r="AL461"/>
      <c r="AM461"/>
      <c r="AN461"/>
      <c r="AO461"/>
      <c r="AP461"/>
      <c r="AQ461"/>
      <c r="AR461"/>
    </row>
    <row r="462" spans="1:44" s="10" customFormat="1" ht="15.75" customHeight="1" x14ac:dyDescent="0.25">
      <c r="A462" s="55">
        <v>267</v>
      </c>
      <c r="B462" s="633">
        <v>44645</v>
      </c>
      <c r="C462" s="755"/>
      <c r="D462" s="824" t="s">
        <v>4823</v>
      </c>
      <c r="E462" s="884"/>
      <c r="F462" s="33" t="s">
        <v>491</v>
      </c>
      <c r="G462" s="404" t="s">
        <v>4824</v>
      </c>
      <c r="H462" s="45">
        <v>2750000</v>
      </c>
      <c r="I462" s="377" t="s">
        <v>4822</v>
      </c>
      <c r="J462" s="774">
        <v>44656</v>
      </c>
      <c r="K462" s="928">
        <f t="shared" si="115"/>
        <v>2750000</v>
      </c>
      <c r="L462" s="910"/>
      <c r="M462" s="910"/>
      <c r="N462" s="910"/>
      <c r="O462" s="910"/>
      <c r="P462" s="910"/>
      <c r="Q462" s="28">
        <f t="shared" si="119"/>
        <v>2750000</v>
      </c>
      <c r="R462" s="301"/>
      <c r="S462" s="301"/>
      <c r="T462" s="55"/>
      <c r="U462" s="24"/>
      <c r="V462" s="5" t="s">
        <v>4821</v>
      </c>
      <c r="W462"/>
      <c r="X462"/>
      <c r="Y462"/>
      <c r="Z462"/>
      <c r="AA462"/>
      <c r="AB462"/>
      <c r="AC462"/>
      <c r="AD462"/>
      <c r="AE462"/>
      <c r="AF462"/>
      <c r="AG462"/>
      <c r="AH462"/>
      <c r="AI462"/>
      <c r="AJ462"/>
      <c r="AK462"/>
      <c r="AL462"/>
      <c r="AM462"/>
      <c r="AN462"/>
      <c r="AO462"/>
      <c r="AP462"/>
      <c r="AQ462"/>
      <c r="AR462"/>
    </row>
    <row r="463" spans="1:44" s="10" customFormat="1" ht="15.75" customHeight="1" x14ac:dyDescent="0.25">
      <c r="A463" s="55">
        <v>268</v>
      </c>
      <c r="B463" s="633">
        <v>44645</v>
      </c>
      <c r="C463" s="755"/>
      <c r="D463" s="824" t="s">
        <v>3145</v>
      </c>
      <c r="E463" s="884"/>
      <c r="F463" s="33" t="s">
        <v>4220</v>
      </c>
      <c r="G463" s="404" t="s">
        <v>477</v>
      </c>
      <c r="H463" s="45">
        <v>4846744</v>
      </c>
      <c r="I463" s="377" t="s">
        <v>4826</v>
      </c>
      <c r="J463" s="774">
        <v>44656</v>
      </c>
      <c r="K463" s="928">
        <f t="shared" si="115"/>
        <v>4846744</v>
      </c>
      <c r="L463" s="910"/>
      <c r="M463" s="910"/>
      <c r="N463" s="910"/>
      <c r="O463" s="910"/>
      <c r="P463" s="910"/>
      <c r="Q463" s="28">
        <f t="shared" si="119"/>
        <v>4846744</v>
      </c>
      <c r="R463" s="301"/>
      <c r="S463" s="301"/>
      <c r="T463" s="55"/>
      <c r="U463" s="24"/>
      <c r="V463" s="5"/>
      <c r="W463"/>
      <c r="X463"/>
      <c r="Y463"/>
      <c r="Z463"/>
      <c r="AA463"/>
      <c r="AB463"/>
      <c r="AC463"/>
      <c r="AD463"/>
      <c r="AE463"/>
      <c r="AF463"/>
      <c r="AG463"/>
      <c r="AH463"/>
      <c r="AI463"/>
      <c r="AJ463"/>
      <c r="AK463"/>
      <c r="AL463"/>
      <c r="AM463"/>
      <c r="AN463"/>
      <c r="AO463"/>
      <c r="AP463"/>
      <c r="AQ463"/>
      <c r="AR463"/>
    </row>
    <row r="464" spans="1:44" s="10" customFormat="1" ht="15.75" customHeight="1" x14ac:dyDescent="0.25">
      <c r="A464" s="55">
        <v>269</v>
      </c>
      <c r="B464" s="633">
        <v>44645</v>
      </c>
      <c r="C464" s="755"/>
      <c r="D464" s="824" t="s">
        <v>4827</v>
      </c>
      <c r="E464" s="884"/>
      <c r="F464" s="33" t="s">
        <v>4685</v>
      </c>
      <c r="G464" s="404" t="s">
        <v>1833</v>
      </c>
      <c r="H464" s="45">
        <v>6153256</v>
      </c>
      <c r="I464" s="377" t="s">
        <v>4825</v>
      </c>
      <c r="J464" s="774">
        <v>44657</v>
      </c>
      <c r="K464" s="928">
        <f t="shared" si="115"/>
        <v>6153256</v>
      </c>
      <c r="L464" s="910"/>
      <c r="M464" s="910"/>
      <c r="N464" s="910"/>
      <c r="O464" s="910"/>
      <c r="P464" s="910"/>
      <c r="Q464" s="28">
        <f t="shared" si="119"/>
        <v>6153256</v>
      </c>
      <c r="R464" s="301"/>
      <c r="S464" s="301"/>
      <c r="T464" s="55"/>
      <c r="U464" s="24"/>
      <c r="V464" s="5"/>
      <c r="W464"/>
      <c r="X464"/>
      <c r="Y464"/>
      <c r="Z464"/>
      <c r="AA464"/>
      <c r="AB464"/>
      <c r="AC464"/>
      <c r="AD464"/>
      <c r="AE464"/>
      <c r="AF464"/>
      <c r="AG464"/>
      <c r="AH464"/>
      <c r="AI464"/>
      <c r="AJ464"/>
      <c r="AK464"/>
      <c r="AL464"/>
      <c r="AM464"/>
      <c r="AN464"/>
      <c r="AO464"/>
      <c r="AP464"/>
      <c r="AQ464"/>
      <c r="AR464"/>
    </row>
    <row r="465" spans="1:44" s="10" customFormat="1" ht="15.75" customHeight="1" x14ac:dyDescent="0.25">
      <c r="A465" s="55">
        <v>270</v>
      </c>
      <c r="B465" s="633">
        <v>44643</v>
      </c>
      <c r="C465" s="755" t="s">
        <v>4830</v>
      </c>
      <c r="D465" s="824" t="s">
        <v>4828</v>
      </c>
      <c r="E465" s="884"/>
      <c r="F465" s="33" t="s">
        <v>4458</v>
      </c>
      <c r="G465" s="404" t="s">
        <v>988</v>
      </c>
      <c r="H465" s="45">
        <v>504000</v>
      </c>
      <c r="I465" s="377" t="s">
        <v>4829</v>
      </c>
      <c r="J465" s="774">
        <v>44657</v>
      </c>
      <c r="K465" s="928">
        <f t="shared" si="115"/>
        <v>504000</v>
      </c>
      <c r="L465" s="910"/>
      <c r="M465" s="910"/>
      <c r="N465" s="910"/>
      <c r="O465" s="910"/>
      <c r="P465" s="910">
        <v>504000</v>
      </c>
      <c r="Q465" s="28">
        <f t="shared" si="119"/>
        <v>0</v>
      </c>
      <c r="R465" s="301"/>
      <c r="S465" s="301">
        <v>44667</v>
      </c>
      <c r="T465" s="55"/>
      <c r="U465" s="24"/>
      <c r="V465" s="5" t="s">
        <v>4831</v>
      </c>
      <c r="W465"/>
      <c r="X465"/>
      <c r="Y465"/>
      <c r="Z465"/>
      <c r="AA465"/>
      <c r="AB465"/>
      <c r="AC465"/>
      <c r="AD465"/>
      <c r="AE465"/>
      <c r="AF465"/>
      <c r="AG465"/>
      <c r="AH465"/>
      <c r="AI465"/>
      <c r="AJ465"/>
      <c r="AK465"/>
      <c r="AL465"/>
      <c r="AM465"/>
      <c r="AN465"/>
      <c r="AO465"/>
      <c r="AP465"/>
      <c r="AQ465"/>
      <c r="AR465"/>
    </row>
    <row r="466" spans="1:44" s="10" customFormat="1" ht="15.75" customHeight="1" x14ac:dyDescent="0.25">
      <c r="A466" s="55">
        <v>271</v>
      </c>
      <c r="B466" s="633">
        <v>44643</v>
      </c>
      <c r="C466" s="755"/>
      <c r="D466" s="824" t="s">
        <v>4833</v>
      </c>
      <c r="E466" s="884"/>
      <c r="F466" s="33" t="s">
        <v>4050</v>
      </c>
      <c r="G466" s="404" t="s">
        <v>4719</v>
      </c>
      <c r="H466" s="45">
        <v>6000000</v>
      </c>
      <c r="I466" s="377" t="s">
        <v>4832</v>
      </c>
      <c r="J466" s="774">
        <v>44657</v>
      </c>
      <c r="K466" s="928">
        <f t="shared" si="115"/>
        <v>6000000</v>
      </c>
      <c r="L466" s="910"/>
      <c r="M466" s="910"/>
      <c r="N466" s="910"/>
      <c r="O466" s="910"/>
      <c r="P466" s="910"/>
      <c r="Q466" s="28">
        <f t="shared" si="119"/>
        <v>6000000</v>
      </c>
      <c r="R466" s="301"/>
      <c r="S466" s="301"/>
      <c r="T466" s="55"/>
      <c r="U466" s="24"/>
      <c r="V466" s="5" t="s">
        <v>4834</v>
      </c>
      <c r="W466"/>
      <c r="X466"/>
      <c r="Y466"/>
      <c r="Z466"/>
      <c r="AA466"/>
      <c r="AB466"/>
      <c r="AC466"/>
      <c r="AD466"/>
      <c r="AE466"/>
      <c r="AF466"/>
      <c r="AG466"/>
      <c r="AH466"/>
      <c r="AI466"/>
      <c r="AJ466"/>
      <c r="AK466"/>
      <c r="AL466"/>
      <c r="AM466"/>
      <c r="AN466"/>
      <c r="AO466"/>
      <c r="AP466"/>
      <c r="AQ466"/>
      <c r="AR466"/>
    </row>
    <row r="467" spans="1:44" s="10" customFormat="1" ht="15.75" customHeight="1" x14ac:dyDescent="0.25">
      <c r="A467" s="55">
        <v>272</v>
      </c>
      <c r="B467" s="633">
        <v>44645</v>
      </c>
      <c r="C467" s="755">
        <v>405232</v>
      </c>
      <c r="D467" s="824" t="s">
        <v>4837</v>
      </c>
      <c r="E467" s="884"/>
      <c r="F467" s="33" t="s">
        <v>4835</v>
      </c>
      <c r="G467" s="404" t="s">
        <v>1172</v>
      </c>
      <c r="H467" s="45">
        <v>400000</v>
      </c>
      <c r="I467" s="377" t="s">
        <v>4836</v>
      </c>
      <c r="J467" s="774">
        <v>44657</v>
      </c>
      <c r="K467" s="928">
        <f t="shared" si="115"/>
        <v>400000</v>
      </c>
      <c r="L467" s="910"/>
      <c r="M467" s="910"/>
      <c r="N467" s="910"/>
      <c r="O467" s="910"/>
      <c r="P467" s="910"/>
      <c r="Q467" s="28">
        <f t="shared" si="119"/>
        <v>400000</v>
      </c>
      <c r="R467" s="301"/>
      <c r="S467" s="301"/>
      <c r="T467" s="55"/>
      <c r="U467" s="24"/>
      <c r="V467" s="5" t="s">
        <v>4838</v>
      </c>
      <c r="W467"/>
      <c r="X467"/>
      <c r="Y467"/>
      <c r="Z467"/>
      <c r="AA467"/>
      <c r="AB467"/>
      <c r="AC467"/>
      <c r="AD467"/>
      <c r="AE467"/>
      <c r="AF467"/>
      <c r="AG467"/>
      <c r="AH467"/>
      <c r="AI467"/>
      <c r="AJ467"/>
      <c r="AK467"/>
      <c r="AL467"/>
      <c r="AM467"/>
      <c r="AN467"/>
      <c r="AO467"/>
      <c r="AP467"/>
      <c r="AQ467"/>
      <c r="AR467"/>
    </row>
    <row r="468" spans="1:44" s="10" customFormat="1" ht="15.75" customHeight="1" x14ac:dyDescent="0.25">
      <c r="A468" s="55">
        <v>273</v>
      </c>
      <c r="B468" s="633">
        <v>44643</v>
      </c>
      <c r="C468" s="755" t="s">
        <v>4839</v>
      </c>
      <c r="D468" s="824" t="s">
        <v>4840</v>
      </c>
      <c r="E468" s="884"/>
      <c r="F468" s="33" t="s">
        <v>4458</v>
      </c>
      <c r="G468" s="404" t="s">
        <v>4709</v>
      </c>
      <c r="H468" s="45">
        <v>312000</v>
      </c>
      <c r="I468" s="377" t="s">
        <v>4841</v>
      </c>
      <c r="J468" s="774">
        <v>44657</v>
      </c>
      <c r="K468" s="928">
        <f t="shared" si="115"/>
        <v>312000</v>
      </c>
      <c r="L468" s="910"/>
      <c r="M468" s="910"/>
      <c r="N468" s="910"/>
      <c r="O468" s="910"/>
      <c r="P468" s="910">
        <v>312000</v>
      </c>
      <c r="Q468" s="28">
        <f t="shared" si="119"/>
        <v>0</v>
      </c>
      <c r="R468" s="301"/>
      <c r="S468" s="301">
        <v>44667</v>
      </c>
      <c r="T468" s="55"/>
      <c r="U468" s="24"/>
      <c r="V468" s="5"/>
      <c r="W468"/>
      <c r="X468"/>
      <c r="Y468"/>
      <c r="Z468"/>
      <c r="AA468"/>
      <c r="AB468"/>
      <c r="AC468"/>
      <c r="AD468"/>
      <c r="AE468"/>
      <c r="AF468"/>
      <c r="AG468"/>
      <c r="AH468"/>
      <c r="AI468"/>
      <c r="AJ468"/>
      <c r="AK468"/>
      <c r="AL468"/>
      <c r="AM468"/>
      <c r="AN468"/>
      <c r="AO468"/>
      <c r="AP468"/>
      <c r="AQ468"/>
      <c r="AR468"/>
    </row>
    <row r="469" spans="1:44" s="10" customFormat="1" ht="15.75" customHeight="1" x14ac:dyDescent="0.25">
      <c r="A469" s="55">
        <v>276</v>
      </c>
      <c r="B469" s="633">
        <v>44642</v>
      </c>
      <c r="C469" s="755">
        <v>404915</v>
      </c>
      <c r="D469" s="824" t="s">
        <v>4847</v>
      </c>
      <c r="E469" s="884"/>
      <c r="F469" s="33" t="s">
        <v>4848</v>
      </c>
      <c r="G469" s="404" t="s">
        <v>4849</v>
      </c>
      <c r="H469" s="45">
        <v>5500000</v>
      </c>
      <c r="I469" s="377" t="s">
        <v>4846</v>
      </c>
      <c r="J469" s="774">
        <v>44657</v>
      </c>
      <c r="K469" s="928">
        <f t="shared" si="115"/>
        <v>5500000</v>
      </c>
      <c r="L469" s="910"/>
      <c r="M469" s="910"/>
      <c r="N469" s="910"/>
      <c r="O469" s="910"/>
      <c r="P469" s="910">
        <v>5500000</v>
      </c>
      <c r="Q469" s="28">
        <f t="shared" si="119"/>
        <v>0</v>
      </c>
      <c r="R469" s="301"/>
      <c r="S469" s="301">
        <v>44657</v>
      </c>
      <c r="T469" s="55"/>
      <c r="U469" s="24"/>
      <c r="V469" s="5" t="s">
        <v>4850</v>
      </c>
      <c r="W469"/>
      <c r="X469"/>
      <c r="Y469"/>
      <c r="Z469"/>
      <c r="AA469"/>
      <c r="AB469"/>
      <c r="AC469"/>
      <c r="AD469"/>
      <c r="AE469"/>
      <c r="AF469"/>
      <c r="AG469"/>
      <c r="AH469"/>
      <c r="AI469"/>
      <c r="AJ469"/>
      <c r="AK469"/>
      <c r="AL469"/>
      <c r="AM469"/>
      <c r="AN469"/>
      <c r="AO469"/>
      <c r="AP469"/>
      <c r="AQ469"/>
      <c r="AR469"/>
    </row>
    <row r="470" spans="1:44" s="10" customFormat="1" ht="15.75" customHeight="1" x14ac:dyDescent="0.25">
      <c r="A470" s="55">
        <v>277</v>
      </c>
      <c r="B470" s="633">
        <v>44633</v>
      </c>
      <c r="C470" s="755" t="s">
        <v>4853</v>
      </c>
      <c r="D470" s="824" t="s">
        <v>4852</v>
      </c>
      <c r="E470" s="884"/>
      <c r="F470" s="33" t="s">
        <v>4854</v>
      </c>
      <c r="G470" s="404" t="s">
        <v>4424</v>
      </c>
      <c r="H470" s="45">
        <v>225000</v>
      </c>
      <c r="I470" s="377" t="s">
        <v>4851</v>
      </c>
      <c r="J470" s="774">
        <v>44657</v>
      </c>
      <c r="K470" s="928">
        <f t="shared" si="115"/>
        <v>225000</v>
      </c>
      <c r="L470" s="910"/>
      <c r="M470" s="910"/>
      <c r="N470" s="910"/>
      <c r="O470" s="910"/>
      <c r="P470" s="910"/>
      <c r="Q470" s="28">
        <f t="shared" si="119"/>
        <v>225000</v>
      </c>
      <c r="R470" s="301"/>
      <c r="S470" s="301"/>
      <c r="T470" s="55"/>
      <c r="U470" s="24"/>
      <c r="V470" s="5"/>
      <c r="W470"/>
      <c r="X470"/>
      <c r="Y470"/>
      <c r="Z470"/>
      <c r="AA470"/>
      <c r="AB470"/>
      <c r="AC470"/>
      <c r="AD470"/>
      <c r="AE470"/>
      <c r="AF470"/>
      <c r="AG470"/>
      <c r="AH470"/>
      <c r="AI470"/>
      <c r="AJ470"/>
      <c r="AK470"/>
      <c r="AL470"/>
      <c r="AM470"/>
      <c r="AN470"/>
      <c r="AO470"/>
      <c r="AP470"/>
      <c r="AQ470"/>
      <c r="AR470"/>
    </row>
    <row r="471" spans="1:44" s="10" customFormat="1" ht="15.75" customHeight="1" x14ac:dyDescent="0.25">
      <c r="A471" s="55">
        <v>278</v>
      </c>
      <c r="B471" s="633">
        <v>44633</v>
      </c>
      <c r="C471" s="755" t="s">
        <v>4857</v>
      </c>
      <c r="D471" s="824" t="s">
        <v>4856</v>
      </c>
      <c r="E471" s="884"/>
      <c r="F471" s="33" t="s">
        <v>4019</v>
      </c>
      <c r="G471" s="404" t="s">
        <v>4424</v>
      </c>
      <c r="H471" s="45">
        <v>900000</v>
      </c>
      <c r="I471" s="377" t="s">
        <v>4855</v>
      </c>
      <c r="J471" s="774">
        <v>44657</v>
      </c>
      <c r="K471" s="928">
        <f t="shared" si="115"/>
        <v>900000</v>
      </c>
      <c r="L471" s="910"/>
      <c r="M471" s="910"/>
      <c r="N471" s="910"/>
      <c r="O471" s="910"/>
      <c r="P471" s="910"/>
      <c r="Q471" s="28">
        <f t="shared" si="119"/>
        <v>900000</v>
      </c>
      <c r="R471" s="301"/>
      <c r="S471" s="301"/>
      <c r="T471" s="55"/>
      <c r="U471" s="24"/>
      <c r="V471" s="5" t="s">
        <v>4858</v>
      </c>
      <c r="W471"/>
      <c r="X471"/>
      <c r="Y471"/>
      <c r="Z471"/>
      <c r="AA471"/>
      <c r="AB471"/>
      <c r="AC471"/>
      <c r="AD471"/>
      <c r="AE471"/>
      <c r="AF471"/>
      <c r="AG471"/>
      <c r="AH471"/>
      <c r="AI471"/>
      <c r="AJ471"/>
      <c r="AK471"/>
      <c r="AL471"/>
      <c r="AM471"/>
      <c r="AN471"/>
      <c r="AO471"/>
      <c r="AP471"/>
      <c r="AQ471"/>
      <c r="AR471"/>
    </row>
    <row r="472" spans="1:44" s="10" customFormat="1" ht="15.75" customHeight="1" x14ac:dyDescent="0.25">
      <c r="A472" s="55">
        <v>285</v>
      </c>
      <c r="B472" s="633">
        <v>44649</v>
      </c>
      <c r="C472" s="755"/>
      <c r="D472" s="824" t="s">
        <v>4879</v>
      </c>
      <c r="E472" s="884"/>
      <c r="F472" s="33" t="s">
        <v>4878</v>
      </c>
      <c r="G472" s="404" t="s">
        <v>4880</v>
      </c>
      <c r="H472" s="45">
        <v>596000</v>
      </c>
      <c r="I472" s="377" t="s">
        <v>4877</v>
      </c>
      <c r="J472" s="774">
        <v>44657</v>
      </c>
      <c r="K472" s="928">
        <f t="shared" si="115"/>
        <v>596000</v>
      </c>
      <c r="L472" s="910"/>
      <c r="M472" s="910"/>
      <c r="N472" s="910"/>
      <c r="O472" s="910"/>
      <c r="P472" s="910">
        <v>596000</v>
      </c>
      <c r="Q472" s="28">
        <f t="shared" si="119"/>
        <v>0</v>
      </c>
      <c r="R472" s="301"/>
      <c r="S472" s="301" t="s">
        <v>5040</v>
      </c>
      <c r="T472" s="55"/>
      <c r="U472" s="24"/>
      <c r="V472" s="5"/>
      <c r="W472"/>
      <c r="X472"/>
      <c r="Y472"/>
      <c r="Z472"/>
      <c r="AA472"/>
      <c r="AB472"/>
      <c r="AC472"/>
      <c r="AD472"/>
      <c r="AE472"/>
      <c r="AF472"/>
      <c r="AG472"/>
      <c r="AH472"/>
      <c r="AI472"/>
      <c r="AJ472"/>
      <c r="AK472"/>
      <c r="AL472"/>
      <c r="AM472"/>
      <c r="AN472"/>
      <c r="AO472"/>
      <c r="AP472"/>
      <c r="AQ472"/>
      <c r="AR472"/>
    </row>
    <row r="473" spans="1:44" s="10" customFormat="1" ht="15.75" customHeight="1" x14ac:dyDescent="0.25">
      <c r="A473" s="55">
        <f>A450+1</f>
        <v>141</v>
      </c>
      <c r="B473" s="633">
        <v>44622</v>
      </c>
      <c r="C473" s="755" t="s">
        <v>5143</v>
      </c>
      <c r="D473" s="824" t="s">
        <v>3246</v>
      </c>
      <c r="E473" s="884"/>
      <c r="F473" s="33" t="s">
        <v>3857</v>
      </c>
      <c r="G473" s="404" t="s">
        <v>14</v>
      </c>
      <c r="H473" s="45">
        <v>18850000</v>
      </c>
      <c r="I473" s="377"/>
      <c r="J473" s="774"/>
      <c r="K473" s="928">
        <f t="shared" si="115"/>
        <v>18850000</v>
      </c>
      <c r="L473" s="907"/>
      <c r="M473" s="907"/>
      <c r="N473" s="907"/>
      <c r="O473" s="907"/>
      <c r="P473" s="907"/>
      <c r="Q473" s="28">
        <f t="shared" si="116"/>
        <v>18850000</v>
      </c>
      <c r="R473" s="55"/>
      <c r="S473" s="301"/>
      <c r="T473" s="55"/>
      <c r="U473" s="24"/>
      <c r="V473" s="5"/>
      <c r="W473"/>
      <c r="X473"/>
      <c r="Y473"/>
      <c r="Z473"/>
      <c r="AA473"/>
      <c r="AB473"/>
      <c r="AC473"/>
      <c r="AD473"/>
      <c r="AE473"/>
      <c r="AF473"/>
      <c r="AG473"/>
      <c r="AH473"/>
      <c r="AI473"/>
      <c r="AJ473"/>
      <c r="AK473"/>
      <c r="AL473"/>
      <c r="AM473"/>
      <c r="AN473"/>
      <c r="AO473"/>
      <c r="AP473"/>
      <c r="AQ473"/>
      <c r="AR473"/>
    </row>
    <row r="474" spans="1:44" s="10" customFormat="1" ht="15.75" customHeight="1" x14ac:dyDescent="0.25">
      <c r="A474" s="55" t="e">
        <f>#REF!+1</f>
        <v>#REF!</v>
      </c>
      <c r="B474" s="633">
        <v>44630</v>
      </c>
      <c r="C474" s="755"/>
      <c r="D474" s="824" t="s">
        <v>4733</v>
      </c>
      <c r="E474" s="884"/>
      <c r="F474" s="33" t="s">
        <v>4750</v>
      </c>
      <c r="G474" s="404" t="s">
        <v>21</v>
      </c>
      <c r="H474" s="45">
        <v>772000</v>
      </c>
      <c r="I474" s="377"/>
      <c r="J474" s="774"/>
      <c r="K474" s="928">
        <f t="shared" si="115"/>
        <v>772000</v>
      </c>
      <c r="L474" s="923"/>
      <c r="M474" s="923"/>
      <c r="N474" s="923"/>
      <c r="O474" s="923"/>
      <c r="P474" s="923"/>
      <c r="Q474" s="28">
        <f t="shared" si="116"/>
        <v>772000</v>
      </c>
      <c r="R474" s="55"/>
      <c r="S474" s="301"/>
      <c r="T474" s="55"/>
      <c r="U474" s="24"/>
      <c r="V474" s="5"/>
      <c r="W474"/>
      <c r="X474"/>
      <c r="Y474"/>
      <c r="Z474"/>
      <c r="AA474"/>
      <c r="AB474"/>
      <c r="AC474"/>
      <c r="AD474"/>
      <c r="AE474"/>
      <c r="AF474"/>
      <c r="AG474"/>
      <c r="AH474"/>
      <c r="AI474"/>
      <c r="AJ474"/>
      <c r="AK474"/>
      <c r="AL474"/>
      <c r="AM474"/>
      <c r="AN474"/>
      <c r="AO474"/>
      <c r="AP474"/>
      <c r="AQ474"/>
      <c r="AR474"/>
    </row>
    <row r="475" spans="1:44" s="10" customFormat="1" ht="15.75" customHeight="1" x14ac:dyDescent="0.25">
      <c r="A475" s="55" t="e">
        <f>#REF!+1</f>
        <v>#REF!</v>
      </c>
      <c r="B475" s="633">
        <v>44637</v>
      </c>
      <c r="C475" s="755"/>
      <c r="D475" s="824" t="s">
        <v>4736</v>
      </c>
      <c r="E475" s="884"/>
      <c r="F475" s="33" t="s">
        <v>4751</v>
      </c>
      <c r="G475" s="404" t="s">
        <v>4757</v>
      </c>
      <c r="H475" s="45">
        <v>2000000</v>
      </c>
      <c r="I475" s="377"/>
      <c r="J475" s="774"/>
      <c r="K475" s="928">
        <f t="shared" si="115"/>
        <v>2000000</v>
      </c>
      <c r="L475" s="923"/>
      <c r="M475" s="923"/>
      <c r="N475" s="923"/>
      <c r="O475" s="923"/>
      <c r="P475" s="923"/>
      <c r="Q475" s="28">
        <f t="shared" si="116"/>
        <v>2000000</v>
      </c>
      <c r="R475" s="55"/>
      <c r="S475" s="301"/>
      <c r="T475" s="55"/>
      <c r="U475" s="24"/>
      <c r="V475" s="5"/>
      <c r="W475"/>
      <c r="X475"/>
      <c r="Y475"/>
      <c r="Z475"/>
      <c r="AA475"/>
      <c r="AB475"/>
      <c r="AC475"/>
      <c r="AD475"/>
      <c r="AE475"/>
      <c r="AF475"/>
      <c r="AG475"/>
      <c r="AH475"/>
      <c r="AI475"/>
      <c r="AJ475"/>
      <c r="AK475"/>
      <c r="AL475"/>
      <c r="AM475"/>
      <c r="AN475"/>
      <c r="AO475"/>
      <c r="AP475"/>
      <c r="AQ475"/>
      <c r="AR475"/>
    </row>
    <row r="476" spans="1:44" s="10" customFormat="1" ht="15.75" customHeight="1" x14ac:dyDescent="0.25">
      <c r="A476" s="263" t="e">
        <f>#REF!+1</f>
        <v>#REF!</v>
      </c>
      <c r="B476" s="570">
        <v>44638</v>
      </c>
      <c r="C476" s="631"/>
      <c r="D476" s="864" t="s">
        <v>4737</v>
      </c>
      <c r="E476" s="887"/>
      <c r="F476" s="571" t="s">
        <v>5048</v>
      </c>
      <c r="G476" s="572" t="s">
        <v>4758</v>
      </c>
      <c r="H476" s="942" t="s">
        <v>3415</v>
      </c>
      <c r="I476" s="384"/>
      <c r="J476" s="517"/>
      <c r="K476" s="270" t="str">
        <f t="shared" si="115"/>
        <v>BATAL</v>
      </c>
      <c r="L476" s="270"/>
      <c r="M476" s="270"/>
      <c r="N476" s="270"/>
      <c r="O476" s="270"/>
      <c r="P476" s="270"/>
      <c r="Q476" s="417"/>
      <c r="R476" s="263"/>
      <c r="S476" s="268"/>
      <c r="T476" s="263"/>
      <c r="U476" s="510"/>
      <c r="V476" s="272"/>
      <c r="W476"/>
      <c r="X476"/>
      <c r="Y476"/>
      <c r="Z476"/>
      <c r="AA476"/>
      <c r="AB476"/>
      <c r="AC476"/>
      <c r="AD476"/>
      <c r="AE476"/>
      <c r="AF476"/>
      <c r="AG476"/>
      <c r="AH476"/>
      <c r="AI476"/>
      <c r="AJ476"/>
      <c r="AK476"/>
      <c r="AL476"/>
      <c r="AM476"/>
      <c r="AN476"/>
      <c r="AO476"/>
      <c r="AP476"/>
      <c r="AQ476"/>
      <c r="AR476"/>
    </row>
    <row r="477" spans="1:44" s="10" customFormat="1" ht="15.75" customHeight="1" x14ac:dyDescent="0.25">
      <c r="A477" s="263" t="e">
        <f t="shared" si="117"/>
        <v>#REF!</v>
      </c>
      <c r="B477" s="570">
        <v>44638</v>
      </c>
      <c r="C477" s="631"/>
      <c r="D477" s="864" t="s">
        <v>4738</v>
      </c>
      <c r="E477" s="887"/>
      <c r="F477" s="571" t="s">
        <v>4752</v>
      </c>
      <c r="G477" s="572" t="s">
        <v>4758</v>
      </c>
      <c r="H477" s="942" t="s">
        <v>3415</v>
      </c>
      <c r="I477" s="384"/>
      <c r="J477" s="517"/>
      <c r="K477" s="270" t="str">
        <f t="shared" si="115"/>
        <v>BATAL</v>
      </c>
      <c r="L477" s="270"/>
      <c r="M477" s="270"/>
      <c r="N477" s="270"/>
      <c r="O477" s="270"/>
      <c r="P477" s="270"/>
      <c r="Q477" s="417"/>
      <c r="R477" s="263"/>
      <c r="S477" s="268"/>
      <c r="T477" s="263"/>
      <c r="U477" s="510"/>
      <c r="V477" s="272"/>
      <c r="W477"/>
      <c r="X477"/>
      <c r="Y477"/>
      <c r="Z477"/>
      <c r="AA477"/>
      <c r="AB477"/>
      <c r="AC477"/>
      <c r="AD477"/>
      <c r="AE477"/>
      <c r="AF477"/>
      <c r="AG477"/>
      <c r="AH477"/>
      <c r="AI477"/>
      <c r="AJ477"/>
      <c r="AK477"/>
      <c r="AL477"/>
      <c r="AM477"/>
      <c r="AN477"/>
      <c r="AO477"/>
      <c r="AP477"/>
      <c r="AQ477"/>
      <c r="AR477"/>
    </row>
    <row r="478" spans="1:44" s="10" customFormat="1" ht="15.75" customHeight="1" x14ac:dyDescent="0.25">
      <c r="A478" s="55" t="e">
        <f t="shared" si="117"/>
        <v>#REF!</v>
      </c>
      <c r="B478" s="633">
        <v>44642</v>
      </c>
      <c r="C478" s="755"/>
      <c r="D478" s="824" t="s">
        <v>4739</v>
      </c>
      <c r="E478" s="884"/>
      <c r="F478" s="33" t="s">
        <v>3982</v>
      </c>
      <c r="G478" s="404" t="s">
        <v>4758</v>
      </c>
      <c r="H478" s="45">
        <v>2464000</v>
      </c>
      <c r="I478" s="377"/>
      <c r="J478" s="774"/>
      <c r="K478" s="928">
        <f t="shared" si="115"/>
        <v>2464000</v>
      </c>
      <c r="L478" s="923"/>
      <c r="M478" s="923"/>
      <c r="N478" s="923"/>
      <c r="O478" s="923"/>
      <c r="P478" s="923"/>
      <c r="Q478" s="28">
        <f t="shared" si="116"/>
        <v>2464000</v>
      </c>
      <c r="R478" s="55"/>
      <c r="S478" s="301"/>
      <c r="T478" s="55"/>
      <c r="U478" s="24"/>
      <c r="V478" s="5"/>
      <c r="W478"/>
      <c r="X478"/>
      <c r="Y478"/>
      <c r="Z478"/>
      <c r="AA478"/>
      <c r="AB478"/>
      <c r="AC478"/>
      <c r="AD478"/>
      <c r="AE478"/>
      <c r="AF478"/>
      <c r="AG478"/>
      <c r="AH478"/>
      <c r="AI478"/>
      <c r="AJ478"/>
      <c r="AK478"/>
      <c r="AL478"/>
      <c r="AM478"/>
      <c r="AN478"/>
      <c r="AO478"/>
      <c r="AP478"/>
      <c r="AQ478"/>
      <c r="AR478"/>
    </row>
    <row r="479" spans="1:44" s="10" customFormat="1" ht="15.75" customHeight="1" x14ac:dyDescent="0.25">
      <c r="A479" s="55" t="e">
        <f>#REF!+1</f>
        <v>#REF!</v>
      </c>
      <c r="B479" s="633">
        <v>44643</v>
      </c>
      <c r="C479" s="755"/>
      <c r="D479" s="824" t="s">
        <v>4742</v>
      </c>
      <c r="E479" s="884"/>
      <c r="F479" s="33" t="s">
        <v>4753</v>
      </c>
      <c r="G479" s="404" t="s">
        <v>21</v>
      </c>
      <c r="H479" s="45">
        <v>372000</v>
      </c>
      <c r="I479" s="377"/>
      <c r="J479" s="774"/>
      <c r="K479" s="928">
        <f t="shared" si="115"/>
        <v>372000</v>
      </c>
      <c r="L479" s="923"/>
      <c r="M479" s="923"/>
      <c r="N479" s="923"/>
      <c r="O479" s="923"/>
      <c r="P479" s="923"/>
      <c r="Q479" s="28">
        <f t="shared" si="116"/>
        <v>372000</v>
      </c>
      <c r="R479" s="55"/>
      <c r="S479" s="301"/>
      <c r="T479" s="55"/>
      <c r="U479" s="24"/>
      <c r="V479" s="5"/>
      <c r="W479"/>
      <c r="X479"/>
      <c r="Y479"/>
      <c r="Z479"/>
      <c r="AA479"/>
      <c r="AB479"/>
      <c r="AC479"/>
      <c r="AD479"/>
      <c r="AE479"/>
      <c r="AF479"/>
      <c r="AG479"/>
      <c r="AH479"/>
      <c r="AI479"/>
      <c r="AJ479"/>
      <c r="AK479"/>
      <c r="AL479"/>
      <c r="AM479"/>
      <c r="AN479"/>
      <c r="AO479"/>
      <c r="AP479"/>
      <c r="AQ479"/>
      <c r="AR479"/>
    </row>
    <row r="480" spans="1:44" s="10" customFormat="1" ht="15.75" customHeight="1" x14ac:dyDescent="0.25">
      <c r="A480" s="55" t="e">
        <f t="shared" si="117"/>
        <v>#REF!</v>
      </c>
      <c r="B480" s="633">
        <v>44644</v>
      </c>
      <c r="C480" s="755"/>
      <c r="D480" s="824" t="s">
        <v>4743</v>
      </c>
      <c r="E480" s="884"/>
      <c r="F480" s="33" t="s">
        <v>2755</v>
      </c>
      <c r="G480" s="404" t="s">
        <v>4759</v>
      </c>
      <c r="H480" s="45">
        <v>1500000</v>
      </c>
      <c r="I480" s="377"/>
      <c r="J480" s="774"/>
      <c r="K480" s="928">
        <f t="shared" si="115"/>
        <v>1500000</v>
      </c>
      <c r="L480" s="923"/>
      <c r="M480" s="923"/>
      <c r="N480" s="923"/>
      <c r="O480" s="923"/>
      <c r="P480" s="923"/>
      <c r="Q480" s="28">
        <f t="shared" si="116"/>
        <v>1500000</v>
      </c>
      <c r="R480" s="55"/>
      <c r="S480" s="301"/>
      <c r="T480" s="55"/>
      <c r="U480" s="24"/>
      <c r="V480" s="5"/>
      <c r="W480"/>
      <c r="X480"/>
      <c r="Y480"/>
      <c r="Z480"/>
      <c r="AA480"/>
      <c r="AB480"/>
      <c r="AC480"/>
      <c r="AD480"/>
      <c r="AE480"/>
      <c r="AF480"/>
      <c r="AG480"/>
      <c r="AH480"/>
      <c r="AI480"/>
      <c r="AJ480"/>
      <c r="AK480"/>
      <c r="AL480"/>
      <c r="AM480"/>
      <c r="AN480"/>
      <c r="AO480"/>
      <c r="AP480"/>
      <c r="AQ480"/>
      <c r="AR480"/>
    </row>
    <row r="481" spans="1:44" s="10" customFormat="1" ht="15.75" customHeight="1" x14ac:dyDescent="0.25">
      <c r="A481" s="55" t="e">
        <f>#REF!+1</f>
        <v>#REF!</v>
      </c>
      <c r="B481" s="633">
        <v>44649</v>
      </c>
      <c r="C481" s="755"/>
      <c r="D481" s="939"/>
      <c r="E481" s="884"/>
      <c r="F481" s="33" t="s">
        <v>4754</v>
      </c>
      <c r="G481" s="404" t="s">
        <v>4760</v>
      </c>
      <c r="H481" s="937"/>
      <c r="I481" s="377"/>
      <c r="J481" s="774"/>
      <c r="K481" s="936"/>
      <c r="L481" s="923"/>
      <c r="M481" s="923"/>
      <c r="N481" s="923"/>
      <c r="O481" s="923"/>
      <c r="P481" s="923"/>
      <c r="Q481" s="28">
        <f t="shared" si="116"/>
        <v>0</v>
      </c>
      <c r="R481" s="55"/>
      <c r="S481" s="301"/>
      <c r="T481" s="55"/>
      <c r="U481" s="24"/>
      <c r="V481" s="5"/>
      <c r="W481"/>
      <c r="X481"/>
      <c r="Y481"/>
      <c r="Z481"/>
      <c r="AA481"/>
      <c r="AB481"/>
      <c r="AC481"/>
      <c r="AD481"/>
      <c r="AE481"/>
      <c r="AF481"/>
      <c r="AG481"/>
      <c r="AH481"/>
      <c r="AI481"/>
      <c r="AJ481"/>
      <c r="AK481"/>
      <c r="AL481"/>
      <c r="AM481"/>
      <c r="AN481"/>
      <c r="AO481"/>
      <c r="AP481"/>
      <c r="AQ481"/>
      <c r="AR481"/>
    </row>
    <row r="482" spans="1:44" s="10" customFormat="1" ht="15.75" customHeight="1" x14ac:dyDescent="0.25">
      <c r="A482" s="55" t="e">
        <f t="shared" si="117"/>
        <v>#REF!</v>
      </c>
      <c r="B482" s="633">
        <v>44650</v>
      </c>
      <c r="C482" s="755"/>
      <c r="D482" s="824" t="s">
        <v>3312</v>
      </c>
      <c r="E482" s="884"/>
      <c r="F482" s="33" t="s">
        <v>4755</v>
      </c>
      <c r="G482" s="404" t="s">
        <v>2876</v>
      </c>
      <c r="H482" s="45">
        <v>12950000</v>
      </c>
      <c r="I482" s="377"/>
      <c r="J482" s="774"/>
      <c r="K482" s="928">
        <f t="shared" ref="K482:K506" si="122">H482</f>
        <v>12950000</v>
      </c>
      <c r="L482" s="923"/>
      <c r="M482" s="923"/>
      <c r="N482" s="923"/>
      <c r="O482" s="923"/>
      <c r="P482" s="923"/>
      <c r="Q482" s="28">
        <f t="shared" si="116"/>
        <v>12950000</v>
      </c>
      <c r="R482" s="55"/>
      <c r="S482" s="301"/>
      <c r="T482" s="55"/>
      <c r="U482" s="24"/>
      <c r="V482" s="5"/>
      <c r="W482"/>
      <c r="X482"/>
      <c r="Y482"/>
      <c r="Z482"/>
      <c r="AA482"/>
      <c r="AB482"/>
      <c r="AC482"/>
      <c r="AD482"/>
      <c r="AE482"/>
      <c r="AF482"/>
      <c r="AG482"/>
      <c r="AH482"/>
      <c r="AI482"/>
      <c r="AJ482"/>
      <c r="AK482"/>
      <c r="AL482"/>
      <c r="AM482"/>
      <c r="AN482"/>
      <c r="AO482"/>
      <c r="AP482"/>
      <c r="AQ482"/>
      <c r="AR482"/>
    </row>
    <row r="483" spans="1:44" s="10" customFormat="1" ht="15.75" customHeight="1" x14ac:dyDescent="0.25">
      <c r="A483" s="55" t="e">
        <f t="shared" si="117"/>
        <v>#REF!</v>
      </c>
      <c r="B483" s="633">
        <v>44650</v>
      </c>
      <c r="C483" s="755"/>
      <c r="D483" s="824" t="s">
        <v>4746</v>
      </c>
      <c r="E483" s="884"/>
      <c r="F483" s="33" t="s">
        <v>4756</v>
      </c>
      <c r="G483" s="404" t="s">
        <v>25</v>
      </c>
      <c r="H483" s="45">
        <v>1133900</v>
      </c>
      <c r="I483" s="377" t="s">
        <v>5038</v>
      </c>
      <c r="J483" s="774">
        <v>44669</v>
      </c>
      <c r="K483" s="928">
        <f t="shared" si="122"/>
        <v>1133900</v>
      </c>
      <c r="L483" s="923"/>
      <c r="M483" s="923"/>
      <c r="N483" s="923"/>
      <c r="O483" s="923"/>
      <c r="P483" s="923">
        <v>1133900</v>
      </c>
      <c r="Q483" s="28">
        <f t="shared" si="116"/>
        <v>0</v>
      </c>
      <c r="R483" s="55"/>
      <c r="S483" s="301"/>
      <c r="T483" s="55"/>
      <c r="U483" s="24"/>
      <c r="V483" s="5" t="s">
        <v>5039</v>
      </c>
      <c r="W483"/>
      <c r="X483"/>
      <c r="Y483"/>
      <c r="Z483"/>
      <c r="AA483"/>
      <c r="AB483"/>
      <c r="AC483"/>
      <c r="AD483"/>
      <c r="AE483"/>
      <c r="AF483"/>
      <c r="AG483"/>
      <c r="AH483"/>
      <c r="AI483"/>
      <c r="AJ483"/>
      <c r="AK483"/>
      <c r="AL483"/>
      <c r="AM483"/>
      <c r="AN483"/>
      <c r="AO483"/>
      <c r="AP483"/>
      <c r="AQ483"/>
      <c r="AR483"/>
    </row>
    <row r="484" spans="1:44" s="10" customFormat="1" ht="15.75" customHeight="1" x14ac:dyDescent="0.25">
      <c r="A484" s="55" t="e">
        <f t="shared" si="117"/>
        <v>#REF!</v>
      </c>
      <c r="B484" s="633">
        <v>44650</v>
      </c>
      <c r="C484" s="755"/>
      <c r="D484" s="824" t="s">
        <v>4747</v>
      </c>
      <c r="E484" s="884"/>
      <c r="F484" s="33" t="s">
        <v>4756</v>
      </c>
      <c r="G484" s="404" t="s">
        <v>25</v>
      </c>
      <c r="H484" s="45">
        <v>117300</v>
      </c>
      <c r="I484" s="377"/>
      <c r="J484" s="774"/>
      <c r="K484" s="928">
        <f t="shared" si="122"/>
        <v>117300</v>
      </c>
      <c r="L484" s="923"/>
      <c r="M484" s="923"/>
      <c r="N484" s="923"/>
      <c r="O484" s="923"/>
      <c r="P484" s="923"/>
      <c r="Q484" s="28">
        <f t="shared" si="116"/>
        <v>117300</v>
      </c>
      <c r="R484" s="55"/>
      <c r="S484" s="301"/>
      <c r="T484" s="55"/>
      <c r="U484" s="24"/>
      <c r="V484" s="5"/>
      <c r="W484"/>
      <c r="X484"/>
      <c r="Y484"/>
      <c r="Z484"/>
      <c r="AA484"/>
      <c r="AB484"/>
      <c r="AC484"/>
      <c r="AD484"/>
      <c r="AE484"/>
      <c r="AF484"/>
      <c r="AG484"/>
      <c r="AH484"/>
      <c r="AI484"/>
      <c r="AJ484"/>
      <c r="AK484"/>
      <c r="AL484"/>
      <c r="AM484"/>
      <c r="AN484"/>
      <c r="AO484"/>
      <c r="AP484"/>
      <c r="AQ484"/>
      <c r="AR484"/>
    </row>
    <row r="485" spans="1:44" s="10" customFormat="1" ht="15.75" customHeight="1" x14ac:dyDescent="0.25">
      <c r="A485" s="55" t="e">
        <f t="shared" si="117"/>
        <v>#REF!</v>
      </c>
      <c r="B485" s="633">
        <v>44651</v>
      </c>
      <c r="C485" s="755"/>
      <c r="D485" s="824" t="s">
        <v>4748</v>
      </c>
      <c r="E485" s="884"/>
      <c r="F485" s="33" t="s">
        <v>3654</v>
      </c>
      <c r="G485" s="404" t="s">
        <v>4761</v>
      </c>
      <c r="H485" s="45">
        <v>5586000</v>
      </c>
      <c r="I485" s="377"/>
      <c r="J485" s="774"/>
      <c r="K485" s="928">
        <f t="shared" si="122"/>
        <v>5586000</v>
      </c>
      <c r="L485" s="923"/>
      <c r="M485" s="923"/>
      <c r="N485" s="923"/>
      <c r="O485" s="923"/>
      <c r="P485" s="923"/>
      <c r="Q485" s="28">
        <f t="shared" si="116"/>
        <v>5586000</v>
      </c>
      <c r="R485" s="55"/>
      <c r="S485" s="301"/>
      <c r="T485" s="55"/>
      <c r="U485" s="24"/>
      <c r="V485" s="5"/>
      <c r="W485"/>
      <c r="X485"/>
      <c r="Y485"/>
      <c r="Z485"/>
      <c r="AA485"/>
      <c r="AB485"/>
      <c r="AC485"/>
      <c r="AD485"/>
      <c r="AE485"/>
      <c r="AF485"/>
      <c r="AG485"/>
      <c r="AH485"/>
      <c r="AI485"/>
      <c r="AJ485"/>
      <c r="AK485"/>
      <c r="AL485"/>
      <c r="AM485"/>
      <c r="AN485"/>
      <c r="AO485"/>
      <c r="AP485"/>
      <c r="AQ485"/>
      <c r="AR485"/>
    </row>
    <row r="486" spans="1:44" s="10" customFormat="1" ht="15.75" customHeight="1" x14ac:dyDescent="0.25">
      <c r="A486" s="55" t="e">
        <f>#REF!+1</f>
        <v>#REF!</v>
      </c>
      <c r="B486" s="633">
        <v>44650</v>
      </c>
      <c r="C486" s="755"/>
      <c r="D486" s="824" t="s">
        <v>4762</v>
      </c>
      <c r="E486" s="884"/>
      <c r="F486" s="33" t="s">
        <v>18</v>
      </c>
      <c r="G486" s="404" t="s">
        <v>136</v>
      </c>
      <c r="H486" s="45"/>
      <c r="I486" s="377"/>
      <c r="J486" s="774"/>
      <c r="K486" s="928">
        <f t="shared" si="122"/>
        <v>0</v>
      </c>
      <c r="L486" s="923"/>
      <c r="M486" s="923"/>
      <c r="N486" s="923"/>
      <c r="O486" s="923"/>
      <c r="P486" s="923"/>
      <c r="Q486" s="28">
        <f t="shared" si="116"/>
        <v>0</v>
      </c>
      <c r="R486" s="55"/>
      <c r="S486" s="301"/>
      <c r="T486" s="55"/>
      <c r="U486" s="24"/>
      <c r="V486" s="5"/>
      <c r="W486"/>
      <c r="X486"/>
      <c r="Y486"/>
      <c r="Z486"/>
      <c r="AA486"/>
      <c r="AB486"/>
      <c r="AC486"/>
      <c r="AD486"/>
      <c r="AE486"/>
      <c r="AF486"/>
      <c r="AG486"/>
      <c r="AH486"/>
      <c r="AI486"/>
      <c r="AJ486"/>
      <c r="AK486"/>
      <c r="AL486"/>
      <c r="AM486"/>
      <c r="AN486"/>
      <c r="AO486"/>
      <c r="AP486"/>
      <c r="AQ486"/>
      <c r="AR486"/>
    </row>
    <row r="487" spans="1:44" s="10" customFormat="1" ht="15.75" customHeight="1" x14ac:dyDescent="0.25">
      <c r="A487" s="55" t="e">
        <f>#REF!+1</f>
        <v>#REF!</v>
      </c>
      <c r="B487" s="633">
        <v>44627</v>
      </c>
      <c r="C487" s="755"/>
      <c r="D487" s="824" t="s">
        <v>4786</v>
      </c>
      <c r="E487" s="884" t="s">
        <v>4763</v>
      </c>
      <c r="F487" s="33" t="s">
        <v>4806</v>
      </c>
      <c r="G487" s="404" t="s">
        <v>32</v>
      </c>
      <c r="H487" s="45">
        <v>1100000</v>
      </c>
      <c r="I487" s="377"/>
      <c r="J487" s="774"/>
      <c r="K487" s="928">
        <f t="shared" si="122"/>
        <v>1100000</v>
      </c>
      <c r="L487" s="923"/>
      <c r="M487" s="923"/>
      <c r="N487" s="923"/>
      <c r="O487" s="923"/>
      <c r="P487" s="923"/>
      <c r="Q487" s="28">
        <f t="shared" si="116"/>
        <v>1100000</v>
      </c>
      <c r="R487" s="55"/>
      <c r="S487" s="301"/>
      <c r="T487" s="55">
        <v>14</v>
      </c>
      <c r="U487" s="24">
        <f t="shared" ref="U487:U506" si="123">J487+T487</f>
        <v>14</v>
      </c>
      <c r="V487" s="5"/>
      <c r="W487"/>
      <c r="X487"/>
      <c r="Y487"/>
      <c r="Z487"/>
      <c r="AA487"/>
      <c r="AB487"/>
      <c r="AC487"/>
      <c r="AD487"/>
      <c r="AE487"/>
      <c r="AF487"/>
      <c r="AG487"/>
      <c r="AH487"/>
      <c r="AI487"/>
      <c r="AJ487"/>
      <c r="AK487"/>
      <c r="AL487"/>
      <c r="AM487"/>
      <c r="AN487"/>
      <c r="AO487"/>
      <c r="AP487"/>
      <c r="AQ487"/>
      <c r="AR487"/>
    </row>
    <row r="488" spans="1:44" s="10" customFormat="1" ht="15.75" customHeight="1" x14ac:dyDescent="0.25">
      <c r="A488" s="55" t="e">
        <f t="shared" si="117"/>
        <v>#REF!</v>
      </c>
      <c r="B488" s="633">
        <v>44627</v>
      </c>
      <c r="C488" s="755"/>
      <c r="D488" s="824" t="s">
        <v>4787</v>
      </c>
      <c r="E488" s="884" t="s">
        <v>4764</v>
      </c>
      <c r="F488" s="33" t="s">
        <v>4806</v>
      </c>
      <c r="G488" s="404" t="s">
        <v>2278</v>
      </c>
      <c r="H488" s="45">
        <v>2266000</v>
      </c>
      <c r="I488" s="377"/>
      <c r="J488" s="774"/>
      <c r="K488" s="928">
        <f t="shared" si="122"/>
        <v>2266000</v>
      </c>
      <c r="L488" s="923"/>
      <c r="M488" s="923"/>
      <c r="N488" s="923"/>
      <c r="O488" s="923"/>
      <c r="P488" s="923"/>
      <c r="Q488" s="28">
        <f t="shared" si="116"/>
        <v>2266000</v>
      </c>
      <c r="R488" s="55"/>
      <c r="S488" s="301"/>
      <c r="T488" s="55">
        <v>14</v>
      </c>
      <c r="U488" s="24">
        <f t="shared" si="123"/>
        <v>14</v>
      </c>
      <c r="V488" s="5"/>
      <c r="W488"/>
      <c r="X488"/>
      <c r="Y488"/>
      <c r="Z488"/>
      <c r="AA488"/>
      <c r="AB488"/>
      <c r="AC488"/>
      <c r="AD488"/>
      <c r="AE488"/>
      <c r="AF488"/>
      <c r="AG488"/>
      <c r="AH488"/>
      <c r="AI488"/>
      <c r="AJ488"/>
      <c r="AK488"/>
      <c r="AL488"/>
      <c r="AM488"/>
      <c r="AN488"/>
      <c r="AO488"/>
      <c r="AP488"/>
      <c r="AQ488"/>
      <c r="AR488"/>
    </row>
    <row r="489" spans="1:44" s="10" customFormat="1" ht="15.75" customHeight="1" x14ac:dyDescent="0.25">
      <c r="A489" s="55" t="e">
        <f t="shared" si="117"/>
        <v>#REF!</v>
      </c>
      <c r="B489" s="633">
        <v>44627</v>
      </c>
      <c r="C489" s="755"/>
      <c r="D489" s="824" t="s">
        <v>4788</v>
      </c>
      <c r="E489" s="884" t="s">
        <v>4765</v>
      </c>
      <c r="F489" s="33" t="s">
        <v>4806</v>
      </c>
      <c r="G489" s="404" t="s">
        <v>3760</v>
      </c>
      <c r="H489" s="45">
        <v>1200000</v>
      </c>
      <c r="I489" s="377"/>
      <c r="J489" s="774"/>
      <c r="K489" s="928">
        <f t="shared" si="122"/>
        <v>1200000</v>
      </c>
      <c r="L489" s="923"/>
      <c r="M489" s="923"/>
      <c r="N489" s="923"/>
      <c r="O489" s="923"/>
      <c r="P489" s="923"/>
      <c r="Q489" s="28">
        <f t="shared" si="116"/>
        <v>1200000</v>
      </c>
      <c r="R489" s="55"/>
      <c r="S489" s="301"/>
      <c r="T489" s="55">
        <v>14</v>
      </c>
      <c r="U489" s="24">
        <f t="shared" si="123"/>
        <v>14</v>
      </c>
      <c r="V489" s="5"/>
      <c r="W489"/>
      <c r="X489"/>
      <c r="Y489"/>
      <c r="Z489"/>
      <c r="AA489"/>
      <c r="AB489"/>
      <c r="AC489"/>
      <c r="AD489"/>
      <c r="AE489"/>
      <c r="AF489"/>
      <c r="AG489"/>
      <c r="AH489"/>
      <c r="AI489"/>
      <c r="AJ489"/>
      <c r="AK489"/>
      <c r="AL489"/>
      <c r="AM489"/>
      <c r="AN489"/>
      <c r="AO489"/>
      <c r="AP489"/>
      <c r="AQ489"/>
      <c r="AR489"/>
    </row>
    <row r="490" spans="1:44" s="10" customFormat="1" ht="15.75" customHeight="1" x14ac:dyDescent="0.25">
      <c r="A490" s="55" t="e">
        <f t="shared" si="117"/>
        <v>#REF!</v>
      </c>
      <c r="B490" s="633">
        <v>44627</v>
      </c>
      <c r="C490" s="755"/>
      <c r="D490" s="824" t="s">
        <v>4789</v>
      </c>
      <c r="E490" s="884" t="s">
        <v>4766</v>
      </c>
      <c r="F490" s="33" t="s">
        <v>4806</v>
      </c>
      <c r="G490" s="404" t="s">
        <v>4807</v>
      </c>
      <c r="H490" s="45">
        <v>1150000</v>
      </c>
      <c r="I490" s="377"/>
      <c r="J490" s="774"/>
      <c r="K490" s="928">
        <f t="shared" si="122"/>
        <v>1150000</v>
      </c>
      <c r="L490" s="923"/>
      <c r="M490" s="923"/>
      <c r="N490" s="923"/>
      <c r="O490" s="923"/>
      <c r="P490" s="923"/>
      <c r="Q490" s="28">
        <f t="shared" si="116"/>
        <v>1150000</v>
      </c>
      <c r="R490" s="55"/>
      <c r="S490" s="301"/>
      <c r="T490" s="55">
        <v>14</v>
      </c>
      <c r="U490" s="24">
        <f t="shared" si="123"/>
        <v>14</v>
      </c>
      <c r="V490" s="5"/>
      <c r="W490"/>
      <c r="X490"/>
      <c r="Y490"/>
      <c r="Z490"/>
      <c r="AA490"/>
      <c r="AB490"/>
      <c r="AC490"/>
      <c r="AD490"/>
      <c r="AE490"/>
      <c r="AF490"/>
      <c r="AG490"/>
      <c r="AH490"/>
      <c r="AI490"/>
      <c r="AJ490"/>
      <c r="AK490"/>
      <c r="AL490"/>
      <c r="AM490"/>
      <c r="AN490"/>
      <c r="AO490"/>
      <c r="AP490"/>
      <c r="AQ490"/>
      <c r="AR490"/>
    </row>
    <row r="491" spans="1:44" s="10" customFormat="1" ht="15.75" customHeight="1" x14ac:dyDescent="0.25">
      <c r="A491" s="55" t="e">
        <f>#REF!+1</f>
        <v>#REF!</v>
      </c>
      <c r="B491" s="633">
        <v>44628</v>
      </c>
      <c r="C491" s="755"/>
      <c r="D491" s="824" t="s">
        <v>4790</v>
      </c>
      <c r="E491" s="884" t="s">
        <v>4770</v>
      </c>
      <c r="F491" s="33" t="s">
        <v>4806</v>
      </c>
      <c r="G491" s="404" t="s">
        <v>32</v>
      </c>
      <c r="H491" s="45">
        <v>900000</v>
      </c>
      <c r="I491" s="377"/>
      <c r="J491" s="774"/>
      <c r="K491" s="928">
        <f t="shared" si="122"/>
        <v>900000</v>
      </c>
      <c r="L491" s="923"/>
      <c r="M491" s="923"/>
      <c r="N491" s="923"/>
      <c r="O491" s="923"/>
      <c r="P491" s="923"/>
      <c r="Q491" s="28">
        <f t="shared" si="116"/>
        <v>900000</v>
      </c>
      <c r="R491" s="55"/>
      <c r="S491" s="301"/>
      <c r="T491" s="55">
        <v>14</v>
      </c>
      <c r="U491" s="24">
        <f t="shared" si="123"/>
        <v>14</v>
      </c>
      <c r="V491" s="5"/>
      <c r="W491"/>
      <c r="X491"/>
      <c r="Y491"/>
      <c r="Z491"/>
      <c r="AA491"/>
      <c r="AB491"/>
      <c r="AC491"/>
      <c r="AD491"/>
      <c r="AE491"/>
      <c r="AF491"/>
      <c r="AG491"/>
      <c r="AH491"/>
      <c r="AI491"/>
      <c r="AJ491"/>
      <c r="AK491"/>
      <c r="AL491"/>
      <c r="AM491"/>
      <c r="AN491"/>
      <c r="AO491"/>
      <c r="AP491"/>
      <c r="AQ491"/>
      <c r="AR491"/>
    </row>
    <row r="492" spans="1:44" s="10" customFormat="1" ht="15.75" customHeight="1" x14ac:dyDescent="0.25">
      <c r="A492" s="55" t="e">
        <f t="shared" si="117"/>
        <v>#REF!</v>
      </c>
      <c r="B492" s="633">
        <v>44628</v>
      </c>
      <c r="C492" s="755"/>
      <c r="D492" s="824" t="s">
        <v>4791</v>
      </c>
      <c r="E492" s="884" t="s">
        <v>4771</v>
      </c>
      <c r="F492" s="33" t="s">
        <v>4806</v>
      </c>
      <c r="G492" s="404" t="s">
        <v>2120</v>
      </c>
      <c r="H492" s="45">
        <v>850000</v>
      </c>
      <c r="I492" s="377"/>
      <c r="J492" s="774"/>
      <c r="K492" s="928">
        <f t="shared" si="122"/>
        <v>850000</v>
      </c>
      <c r="L492" s="923"/>
      <c r="M492" s="923"/>
      <c r="N492" s="923"/>
      <c r="O492" s="923"/>
      <c r="P492" s="923"/>
      <c r="Q492" s="28">
        <f t="shared" si="116"/>
        <v>850000</v>
      </c>
      <c r="R492" s="55"/>
      <c r="S492" s="301"/>
      <c r="T492" s="55">
        <v>14</v>
      </c>
      <c r="U492" s="24">
        <f t="shared" si="123"/>
        <v>14</v>
      </c>
      <c r="V492" s="5"/>
      <c r="W492"/>
      <c r="X492"/>
      <c r="Y492"/>
      <c r="Z492"/>
      <c r="AA492"/>
      <c r="AB492"/>
      <c r="AC492"/>
      <c r="AD492"/>
      <c r="AE492"/>
      <c r="AF492"/>
      <c r="AG492"/>
      <c r="AH492"/>
      <c r="AI492"/>
      <c r="AJ492"/>
      <c r="AK492"/>
      <c r="AL492"/>
      <c r="AM492"/>
      <c r="AN492"/>
      <c r="AO492"/>
      <c r="AP492"/>
      <c r="AQ492"/>
      <c r="AR492"/>
    </row>
    <row r="493" spans="1:44" s="10" customFormat="1" ht="15.75" customHeight="1" x14ac:dyDescent="0.25">
      <c r="A493" s="55" t="e">
        <f t="shared" si="117"/>
        <v>#REF!</v>
      </c>
      <c r="B493" s="633">
        <v>44628</v>
      </c>
      <c r="C493" s="755"/>
      <c r="D493" s="824" t="s">
        <v>4792</v>
      </c>
      <c r="E493" s="884" t="s">
        <v>4772</v>
      </c>
      <c r="F493" s="33" t="s">
        <v>4806</v>
      </c>
      <c r="G493" s="404" t="s">
        <v>2209</v>
      </c>
      <c r="H493" s="45">
        <v>1800000</v>
      </c>
      <c r="I493" s="377"/>
      <c r="J493" s="774"/>
      <c r="K493" s="928">
        <f t="shared" si="122"/>
        <v>1800000</v>
      </c>
      <c r="L493" s="923"/>
      <c r="M493" s="923"/>
      <c r="N493" s="923"/>
      <c r="O493" s="923"/>
      <c r="P493" s="923"/>
      <c r="Q493" s="28">
        <f t="shared" si="116"/>
        <v>1800000</v>
      </c>
      <c r="R493" s="55"/>
      <c r="S493" s="301"/>
      <c r="T493" s="55">
        <v>14</v>
      </c>
      <c r="U493" s="24">
        <f t="shared" si="123"/>
        <v>14</v>
      </c>
      <c r="V493" s="5"/>
      <c r="W493"/>
      <c r="X493"/>
      <c r="Y493"/>
      <c r="Z493"/>
      <c r="AA493"/>
      <c r="AB493"/>
      <c r="AC493"/>
      <c r="AD493"/>
      <c r="AE493"/>
      <c r="AF493"/>
      <c r="AG493"/>
      <c r="AH493"/>
      <c r="AI493"/>
      <c r="AJ493"/>
      <c r="AK493"/>
      <c r="AL493"/>
      <c r="AM493"/>
      <c r="AN493"/>
      <c r="AO493"/>
      <c r="AP493"/>
      <c r="AQ493"/>
      <c r="AR493"/>
    </row>
    <row r="494" spans="1:44" s="10" customFormat="1" ht="15.75" customHeight="1" x14ac:dyDescent="0.25">
      <c r="A494" s="55" t="e">
        <f t="shared" si="117"/>
        <v>#REF!</v>
      </c>
      <c r="B494" s="633">
        <v>44628</v>
      </c>
      <c r="C494" s="755"/>
      <c r="D494" s="824" t="s">
        <v>4793</v>
      </c>
      <c r="E494" s="884" t="s">
        <v>4773</v>
      </c>
      <c r="F494" s="33" t="s">
        <v>4806</v>
      </c>
      <c r="G494" s="404" t="s">
        <v>2209</v>
      </c>
      <c r="H494" s="45">
        <v>1800000</v>
      </c>
      <c r="I494" s="377"/>
      <c r="J494" s="774"/>
      <c r="K494" s="928">
        <f t="shared" si="122"/>
        <v>1800000</v>
      </c>
      <c r="L494" s="923"/>
      <c r="M494" s="923"/>
      <c r="N494" s="923"/>
      <c r="O494" s="923"/>
      <c r="P494" s="923"/>
      <c r="Q494" s="28">
        <f t="shared" si="116"/>
        <v>1800000</v>
      </c>
      <c r="R494" s="55"/>
      <c r="S494" s="301"/>
      <c r="T494" s="55">
        <v>14</v>
      </c>
      <c r="U494" s="24">
        <f t="shared" si="123"/>
        <v>14</v>
      </c>
      <c r="V494" s="5"/>
      <c r="W494"/>
      <c r="X494"/>
      <c r="Y494"/>
      <c r="Z494"/>
      <c r="AA494"/>
      <c r="AB494"/>
      <c r="AC494"/>
      <c r="AD494"/>
      <c r="AE494"/>
      <c r="AF494"/>
      <c r="AG494"/>
      <c r="AH494"/>
      <c r="AI494"/>
      <c r="AJ494"/>
      <c r="AK494"/>
      <c r="AL494"/>
      <c r="AM494"/>
      <c r="AN494"/>
      <c r="AO494"/>
      <c r="AP494"/>
      <c r="AQ494"/>
      <c r="AR494"/>
    </row>
    <row r="495" spans="1:44" s="10" customFormat="1" ht="15.75" customHeight="1" x14ac:dyDescent="0.25">
      <c r="A495" s="55" t="e">
        <f t="shared" si="117"/>
        <v>#REF!</v>
      </c>
      <c r="B495" s="633">
        <v>44629</v>
      </c>
      <c r="C495" s="755"/>
      <c r="D495" s="824" t="s">
        <v>4794</v>
      </c>
      <c r="E495" s="884" t="s">
        <v>4774</v>
      </c>
      <c r="F495" s="33" t="s">
        <v>4806</v>
      </c>
      <c r="G495" s="404" t="s">
        <v>4808</v>
      </c>
      <c r="H495" s="45">
        <v>800000</v>
      </c>
      <c r="I495" s="377"/>
      <c r="J495" s="774"/>
      <c r="K495" s="928">
        <f t="shared" si="122"/>
        <v>800000</v>
      </c>
      <c r="L495" s="923"/>
      <c r="M495" s="923"/>
      <c r="N495" s="923"/>
      <c r="O495" s="923"/>
      <c r="P495" s="923"/>
      <c r="Q495" s="28">
        <f t="shared" si="116"/>
        <v>800000</v>
      </c>
      <c r="R495" s="55"/>
      <c r="S495" s="301"/>
      <c r="T495" s="55">
        <v>14</v>
      </c>
      <c r="U495" s="24">
        <f t="shared" si="123"/>
        <v>14</v>
      </c>
      <c r="V495" s="5"/>
      <c r="W495"/>
      <c r="X495"/>
      <c r="Y495"/>
      <c r="Z495"/>
      <c r="AA495"/>
      <c r="AB495"/>
      <c r="AC495"/>
      <c r="AD495"/>
      <c r="AE495"/>
      <c r="AF495"/>
      <c r="AG495"/>
      <c r="AH495"/>
      <c r="AI495"/>
      <c r="AJ495"/>
      <c r="AK495"/>
      <c r="AL495"/>
      <c r="AM495"/>
      <c r="AN495"/>
      <c r="AO495"/>
      <c r="AP495"/>
      <c r="AQ495"/>
      <c r="AR495"/>
    </row>
    <row r="496" spans="1:44" s="10" customFormat="1" ht="15.75" customHeight="1" x14ac:dyDescent="0.25">
      <c r="A496" s="55" t="e">
        <f t="shared" si="117"/>
        <v>#REF!</v>
      </c>
      <c r="B496" s="633">
        <v>44629</v>
      </c>
      <c r="C496" s="755"/>
      <c r="D496" s="824" t="s">
        <v>4795</v>
      </c>
      <c r="E496" s="884" t="s">
        <v>4775</v>
      </c>
      <c r="F496" s="33" t="s">
        <v>4806</v>
      </c>
      <c r="G496" s="404" t="s">
        <v>4809</v>
      </c>
      <c r="H496" s="45">
        <v>1400000</v>
      </c>
      <c r="I496" s="377"/>
      <c r="J496" s="774"/>
      <c r="K496" s="928">
        <f t="shared" si="122"/>
        <v>1400000</v>
      </c>
      <c r="L496" s="923"/>
      <c r="M496" s="923"/>
      <c r="N496" s="923"/>
      <c r="O496" s="923"/>
      <c r="P496" s="923"/>
      <c r="Q496" s="28">
        <f t="shared" si="116"/>
        <v>1400000</v>
      </c>
      <c r="R496" s="55"/>
      <c r="S496" s="301"/>
      <c r="T496" s="55">
        <v>14</v>
      </c>
      <c r="U496" s="24">
        <f t="shared" si="123"/>
        <v>14</v>
      </c>
      <c r="V496" s="5"/>
      <c r="W496"/>
      <c r="X496"/>
      <c r="Y496"/>
      <c r="Z496"/>
      <c r="AA496"/>
      <c r="AB496"/>
      <c r="AC496"/>
      <c r="AD496"/>
      <c r="AE496"/>
      <c r="AF496"/>
      <c r="AG496"/>
      <c r="AH496"/>
      <c r="AI496"/>
      <c r="AJ496"/>
      <c r="AK496"/>
      <c r="AL496"/>
      <c r="AM496"/>
      <c r="AN496"/>
      <c r="AO496"/>
      <c r="AP496"/>
      <c r="AQ496"/>
      <c r="AR496"/>
    </row>
    <row r="497" spans="1:44" s="10" customFormat="1" ht="15.75" customHeight="1" x14ac:dyDescent="0.25">
      <c r="A497" s="55" t="e">
        <f t="shared" si="117"/>
        <v>#REF!</v>
      </c>
      <c r="B497" s="633">
        <v>44635</v>
      </c>
      <c r="C497" s="755"/>
      <c r="D497" s="824" t="s">
        <v>4796</v>
      </c>
      <c r="E497" s="884" t="s">
        <v>4776</v>
      </c>
      <c r="F497" s="33" t="s">
        <v>4806</v>
      </c>
      <c r="G497" s="404" t="s">
        <v>4810</v>
      </c>
      <c r="H497" s="45">
        <v>1500000</v>
      </c>
      <c r="I497" s="377"/>
      <c r="J497" s="774"/>
      <c r="K497" s="928">
        <f t="shared" si="122"/>
        <v>1500000</v>
      </c>
      <c r="L497" s="923"/>
      <c r="M497" s="923"/>
      <c r="N497" s="923"/>
      <c r="O497" s="923"/>
      <c r="P497" s="923"/>
      <c r="Q497" s="28">
        <f t="shared" si="116"/>
        <v>1500000</v>
      </c>
      <c r="R497" s="55"/>
      <c r="S497" s="301"/>
      <c r="T497" s="55">
        <v>14</v>
      </c>
      <c r="U497" s="24">
        <f t="shared" si="123"/>
        <v>14</v>
      </c>
      <c r="V497" s="5"/>
      <c r="W497"/>
      <c r="X497"/>
      <c r="Y497"/>
      <c r="Z497"/>
      <c r="AA497"/>
      <c r="AB497"/>
      <c r="AC497"/>
      <c r="AD497"/>
      <c r="AE497"/>
      <c r="AF497"/>
      <c r="AG497"/>
      <c r="AH497"/>
      <c r="AI497"/>
      <c r="AJ497"/>
      <c r="AK497"/>
      <c r="AL497"/>
      <c r="AM497"/>
      <c r="AN497"/>
      <c r="AO497"/>
      <c r="AP497"/>
      <c r="AQ497"/>
      <c r="AR497"/>
    </row>
    <row r="498" spans="1:44" s="10" customFormat="1" ht="15.75" customHeight="1" x14ac:dyDescent="0.25">
      <c r="A498" s="55" t="e">
        <f t="shared" si="117"/>
        <v>#REF!</v>
      </c>
      <c r="B498" s="633">
        <v>44633</v>
      </c>
      <c r="C498" s="755"/>
      <c r="D498" s="824" t="s">
        <v>4797</v>
      </c>
      <c r="E498" s="884" t="s">
        <v>4777</v>
      </c>
      <c r="F498" s="33" t="s">
        <v>4806</v>
      </c>
      <c r="G498" s="404" t="s">
        <v>4811</v>
      </c>
      <c r="H498" s="45">
        <v>1000000</v>
      </c>
      <c r="I498" s="377"/>
      <c r="J498" s="774"/>
      <c r="K498" s="928">
        <f t="shared" si="122"/>
        <v>1000000</v>
      </c>
      <c r="L498" s="923"/>
      <c r="M498" s="923"/>
      <c r="N498" s="923"/>
      <c r="O498" s="923"/>
      <c r="P498" s="923"/>
      <c r="Q498" s="28">
        <f t="shared" si="116"/>
        <v>1000000</v>
      </c>
      <c r="R498" s="55"/>
      <c r="S498" s="301"/>
      <c r="T498" s="55">
        <v>14</v>
      </c>
      <c r="U498" s="24">
        <f t="shared" si="123"/>
        <v>14</v>
      </c>
      <c r="V498" s="5"/>
      <c r="W498"/>
      <c r="X498"/>
      <c r="Y498"/>
      <c r="Z498"/>
      <c r="AA498"/>
      <c r="AB498"/>
      <c r="AC498"/>
      <c r="AD498"/>
      <c r="AE498"/>
      <c r="AF498"/>
      <c r="AG498"/>
      <c r="AH498"/>
      <c r="AI498"/>
      <c r="AJ498"/>
      <c r="AK498"/>
      <c r="AL498"/>
      <c r="AM498"/>
      <c r="AN498"/>
      <c r="AO498"/>
      <c r="AP498"/>
      <c r="AQ498"/>
      <c r="AR498"/>
    </row>
    <row r="499" spans="1:44" s="10" customFormat="1" ht="15.75" customHeight="1" x14ac:dyDescent="0.25">
      <c r="A499" s="55" t="e">
        <f t="shared" si="117"/>
        <v>#REF!</v>
      </c>
      <c r="B499" s="633">
        <v>44633</v>
      </c>
      <c r="C499" s="755"/>
      <c r="D499" s="824" t="s">
        <v>4798</v>
      </c>
      <c r="E499" s="884" t="s">
        <v>4778</v>
      </c>
      <c r="F499" s="33" t="s">
        <v>4806</v>
      </c>
      <c r="G499" s="404" t="s">
        <v>4811</v>
      </c>
      <c r="H499" s="45">
        <v>1000000</v>
      </c>
      <c r="I499" s="377"/>
      <c r="J499" s="774"/>
      <c r="K499" s="928">
        <f t="shared" si="122"/>
        <v>1000000</v>
      </c>
      <c r="L499" s="923"/>
      <c r="M499" s="923"/>
      <c r="N499" s="923"/>
      <c r="O499" s="923"/>
      <c r="P499" s="923"/>
      <c r="Q499" s="28">
        <f t="shared" si="116"/>
        <v>1000000</v>
      </c>
      <c r="R499" s="55"/>
      <c r="S499" s="301"/>
      <c r="T499" s="55">
        <v>14</v>
      </c>
      <c r="U499" s="24">
        <f t="shared" si="123"/>
        <v>14</v>
      </c>
      <c r="V499" s="5"/>
      <c r="W499"/>
      <c r="X499"/>
      <c r="Y499"/>
      <c r="Z499"/>
      <c r="AA499"/>
      <c r="AB499"/>
      <c r="AC499"/>
      <c r="AD499"/>
      <c r="AE499"/>
      <c r="AF499"/>
      <c r="AG499"/>
      <c r="AH499"/>
      <c r="AI499"/>
      <c r="AJ499"/>
      <c r="AK499"/>
      <c r="AL499"/>
      <c r="AM499"/>
      <c r="AN499"/>
      <c r="AO499"/>
      <c r="AP499"/>
      <c r="AQ499"/>
      <c r="AR499"/>
    </row>
    <row r="500" spans="1:44" s="10" customFormat="1" ht="15.75" customHeight="1" x14ac:dyDescent="0.25">
      <c r="A500" s="55" t="e">
        <f t="shared" si="117"/>
        <v>#REF!</v>
      </c>
      <c r="B500" s="633">
        <v>44635</v>
      </c>
      <c r="C500" s="755"/>
      <c r="D500" s="824" t="s">
        <v>4799</v>
      </c>
      <c r="E500" s="884" t="s">
        <v>4779</v>
      </c>
      <c r="F500" s="33" t="s">
        <v>4806</v>
      </c>
      <c r="G500" s="404" t="s">
        <v>2120</v>
      </c>
      <c r="H500" s="45">
        <v>900000</v>
      </c>
      <c r="I500" s="377"/>
      <c r="J500" s="774"/>
      <c r="K500" s="928">
        <f t="shared" si="122"/>
        <v>900000</v>
      </c>
      <c r="L500" s="923"/>
      <c r="M500" s="923"/>
      <c r="N500" s="923"/>
      <c r="O500" s="923"/>
      <c r="P500" s="923"/>
      <c r="Q500" s="28">
        <f t="shared" si="116"/>
        <v>900000</v>
      </c>
      <c r="R500" s="55"/>
      <c r="S500" s="301"/>
      <c r="T500" s="55">
        <v>14</v>
      </c>
      <c r="U500" s="24">
        <f t="shared" si="123"/>
        <v>14</v>
      </c>
      <c r="V500" s="5"/>
      <c r="W500"/>
      <c r="X500"/>
      <c r="Y500"/>
      <c r="Z500"/>
      <c r="AA500"/>
      <c r="AB500"/>
      <c r="AC500"/>
      <c r="AD500"/>
      <c r="AE500"/>
      <c r="AF500"/>
      <c r="AG500"/>
      <c r="AH500"/>
      <c r="AI500"/>
      <c r="AJ500"/>
      <c r="AK500"/>
      <c r="AL500"/>
      <c r="AM500"/>
      <c r="AN500"/>
      <c r="AO500"/>
      <c r="AP500"/>
      <c r="AQ500"/>
      <c r="AR500"/>
    </row>
    <row r="501" spans="1:44" s="10" customFormat="1" ht="15.75" customHeight="1" x14ac:dyDescent="0.25">
      <c r="A501" s="55" t="e">
        <f t="shared" si="117"/>
        <v>#REF!</v>
      </c>
      <c r="B501" s="633">
        <v>44636</v>
      </c>
      <c r="C501" s="755"/>
      <c r="D501" s="824" t="s">
        <v>4800</v>
      </c>
      <c r="E501" s="884" t="s">
        <v>4780</v>
      </c>
      <c r="F501" s="33" t="s">
        <v>4806</v>
      </c>
      <c r="G501" s="404" t="s">
        <v>4812</v>
      </c>
      <c r="H501" s="45">
        <v>1000000</v>
      </c>
      <c r="I501" s="377"/>
      <c r="J501" s="774"/>
      <c r="K501" s="928">
        <f t="shared" si="122"/>
        <v>1000000</v>
      </c>
      <c r="L501" s="923"/>
      <c r="M501" s="923"/>
      <c r="N501" s="923"/>
      <c r="O501" s="923"/>
      <c r="P501" s="923"/>
      <c r="Q501" s="28">
        <f t="shared" si="116"/>
        <v>1000000</v>
      </c>
      <c r="R501" s="55"/>
      <c r="S501" s="301"/>
      <c r="T501" s="55">
        <v>14</v>
      </c>
      <c r="U501" s="24">
        <f t="shared" si="123"/>
        <v>14</v>
      </c>
      <c r="V501" s="5"/>
      <c r="W501"/>
      <c r="X501"/>
      <c r="Y501"/>
      <c r="Z501"/>
      <c r="AA501"/>
      <c r="AB501"/>
      <c r="AC501"/>
      <c r="AD501"/>
      <c r="AE501"/>
      <c r="AF501"/>
      <c r="AG501"/>
      <c r="AH501"/>
      <c r="AI501"/>
      <c r="AJ501"/>
      <c r="AK501"/>
      <c r="AL501"/>
      <c r="AM501"/>
      <c r="AN501"/>
      <c r="AO501"/>
      <c r="AP501"/>
      <c r="AQ501"/>
      <c r="AR501"/>
    </row>
    <row r="502" spans="1:44" s="10" customFormat="1" ht="15.75" customHeight="1" x14ac:dyDescent="0.25">
      <c r="A502" s="55" t="e">
        <f t="shared" si="117"/>
        <v>#REF!</v>
      </c>
      <c r="B502" s="633">
        <v>44637</v>
      </c>
      <c r="C502" s="755"/>
      <c r="D502" s="824" t="s">
        <v>4801</v>
      </c>
      <c r="E502" s="884" t="s">
        <v>4781</v>
      </c>
      <c r="F502" s="33" t="s">
        <v>4806</v>
      </c>
      <c r="G502" s="404" t="s">
        <v>4813</v>
      </c>
      <c r="H502" s="45">
        <v>1100000</v>
      </c>
      <c r="I502" s="377"/>
      <c r="J502" s="774"/>
      <c r="K502" s="928">
        <f t="shared" si="122"/>
        <v>1100000</v>
      </c>
      <c r="L502" s="923"/>
      <c r="M502" s="923"/>
      <c r="N502" s="923"/>
      <c r="O502" s="923"/>
      <c r="P502" s="923"/>
      <c r="Q502" s="28">
        <f t="shared" si="116"/>
        <v>1100000</v>
      </c>
      <c r="R502" s="55"/>
      <c r="S502" s="301"/>
      <c r="T502" s="55">
        <v>14</v>
      </c>
      <c r="U502" s="24">
        <f t="shared" si="123"/>
        <v>14</v>
      </c>
      <c r="V502" s="5"/>
      <c r="W502"/>
      <c r="X502"/>
      <c r="Y502"/>
      <c r="Z502"/>
      <c r="AA502"/>
      <c r="AB502"/>
      <c r="AC502"/>
      <c r="AD502"/>
      <c r="AE502"/>
      <c r="AF502"/>
      <c r="AG502"/>
      <c r="AH502"/>
      <c r="AI502"/>
      <c r="AJ502"/>
      <c r="AK502"/>
      <c r="AL502"/>
      <c r="AM502"/>
      <c r="AN502"/>
      <c r="AO502"/>
      <c r="AP502"/>
      <c r="AQ502"/>
      <c r="AR502"/>
    </row>
    <row r="503" spans="1:44" s="10" customFormat="1" ht="15.75" customHeight="1" x14ac:dyDescent="0.25">
      <c r="A503" s="55" t="e">
        <f t="shared" si="117"/>
        <v>#REF!</v>
      </c>
      <c r="B503" s="633">
        <v>44637</v>
      </c>
      <c r="C503" s="755"/>
      <c r="D503" s="824" t="s">
        <v>4802</v>
      </c>
      <c r="E503" s="884" t="s">
        <v>4782</v>
      </c>
      <c r="F503" s="33" t="s">
        <v>4806</v>
      </c>
      <c r="G503" s="404" t="s">
        <v>4814</v>
      </c>
      <c r="H503" s="45">
        <v>1300000</v>
      </c>
      <c r="I503" s="377"/>
      <c r="J503" s="774"/>
      <c r="K503" s="928">
        <f t="shared" si="122"/>
        <v>1300000</v>
      </c>
      <c r="L503" s="923"/>
      <c r="M503" s="923"/>
      <c r="N503" s="923"/>
      <c r="O503" s="923"/>
      <c r="P503" s="923"/>
      <c r="Q503" s="28">
        <f t="shared" si="116"/>
        <v>1300000</v>
      </c>
      <c r="R503" s="55"/>
      <c r="S503" s="301"/>
      <c r="T503" s="55">
        <v>14</v>
      </c>
      <c r="U503" s="24">
        <f t="shared" si="123"/>
        <v>14</v>
      </c>
      <c r="V503" s="5"/>
      <c r="W503"/>
      <c r="X503"/>
      <c r="Y503"/>
      <c r="Z503"/>
      <c r="AA503"/>
      <c r="AB503"/>
      <c r="AC503"/>
      <c r="AD503"/>
      <c r="AE503"/>
      <c r="AF503"/>
      <c r="AG503"/>
      <c r="AH503"/>
      <c r="AI503"/>
      <c r="AJ503"/>
      <c r="AK503"/>
      <c r="AL503"/>
      <c r="AM503"/>
      <c r="AN503"/>
      <c r="AO503"/>
      <c r="AP503"/>
      <c r="AQ503"/>
      <c r="AR503"/>
    </row>
    <row r="504" spans="1:44" s="10" customFormat="1" ht="15.75" customHeight="1" x14ac:dyDescent="0.25">
      <c r="A504" s="55" t="e">
        <f t="shared" si="117"/>
        <v>#REF!</v>
      </c>
      <c r="B504" s="633">
        <v>44641</v>
      </c>
      <c r="C504" s="755"/>
      <c r="D504" s="824" t="s">
        <v>4803</v>
      </c>
      <c r="E504" s="884" t="s">
        <v>4783</v>
      </c>
      <c r="F504" s="33" t="s">
        <v>4806</v>
      </c>
      <c r="G504" s="404" t="s">
        <v>2120</v>
      </c>
      <c r="H504" s="45">
        <v>900000</v>
      </c>
      <c r="I504" s="377"/>
      <c r="J504" s="774"/>
      <c r="K504" s="928">
        <f t="shared" si="122"/>
        <v>900000</v>
      </c>
      <c r="L504" s="923"/>
      <c r="M504" s="923"/>
      <c r="N504" s="923"/>
      <c r="O504" s="923"/>
      <c r="P504" s="923"/>
      <c r="Q504" s="28">
        <f t="shared" si="116"/>
        <v>900000</v>
      </c>
      <c r="R504" s="55"/>
      <c r="S504" s="301"/>
      <c r="T504" s="55">
        <v>14</v>
      </c>
      <c r="U504" s="24">
        <f t="shared" si="123"/>
        <v>14</v>
      </c>
      <c r="V504" s="5"/>
      <c r="W504"/>
      <c r="X504"/>
      <c r="Y504"/>
      <c r="Z504"/>
      <c r="AA504"/>
      <c r="AB504"/>
      <c r="AC504"/>
      <c r="AD504"/>
      <c r="AE504"/>
      <c r="AF504"/>
      <c r="AG504"/>
      <c r="AH504"/>
      <c r="AI504"/>
      <c r="AJ504"/>
      <c r="AK504"/>
      <c r="AL504"/>
      <c r="AM504"/>
      <c r="AN504"/>
      <c r="AO504"/>
      <c r="AP504"/>
      <c r="AQ504"/>
      <c r="AR504"/>
    </row>
    <row r="505" spans="1:44" s="10" customFormat="1" ht="15.75" customHeight="1" x14ac:dyDescent="0.25">
      <c r="A505" s="55" t="e">
        <f t="shared" si="117"/>
        <v>#REF!</v>
      </c>
      <c r="B505" s="633">
        <v>44641</v>
      </c>
      <c r="C505" s="755"/>
      <c r="D505" s="824" t="s">
        <v>4804</v>
      </c>
      <c r="E505" s="884" t="s">
        <v>4784</v>
      </c>
      <c r="F505" s="33" t="s">
        <v>4806</v>
      </c>
      <c r="G505" s="404" t="s">
        <v>2120</v>
      </c>
      <c r="H505" s="45">
        <v>900000</v>
      </c>
      <c r="I505" s="377"/>
      <c r="J505" s="774"/>
      <c r="K505" s="928">
        <f t="shared" si="122"/>
        <v>900000</v>
      </c>
      <c r="L505" s="923"/>
      <c r="M505" s="923"/>
      <c r="N505" s="923"/>
      <c r="O505" s="923"/>
      <c r="P505" s="923"/>
      <c r="Q505" s="28">
        <f t="shared" ref="Q505:Q506" si="124">K505-L505-M505-O505-P505+N505</f>
        <v>900000</v>
      </c>
      <c r="R505" s="55"/>
      <c r="S505" s="301"/>
      <c r="T505" s="55">
        <v>14</v>
      </c>
      <c r="U505" s="24">
        <f t="shared" si="123"/>
        <v>14</v>
      </c>
      <c r="V505" s="5"/>
      <c r="W505"/>
      <c r="X505"/>
      <c r="Y505"/>
      <c r="Z505"/>
      <c r="AA505"/>
      <c r="AB505"/>
      <c r="AC505"/>
      <c r="AD505"/>
      <c r="AE505"/>
      <c r="AF505"/>
      <c r="AG505"/>
      <c r="AH505"/>
      <c r="AI505"/>
      <c r="AJ505"/>
      <c r="AK505"/>
      <c r="AL505"/>
      <c r="AM505"/>
      <c r="AN505"/>
      <c r="AO505"/>
      <c r="AP505"/>
      <c r="AQ505"/>
      <c r="AR505"/>
    </row>
    <row r="506" spans="1:44" s="10" customFormat="1" ht="15.75" customHeight="1" x14ac:dyDescent="0.25">
      <c r="A506" s="55" t="e">
        <f t="shared" ref="A506" si="125">A505+1</f>
        <v>#REF!</v>
      </c>
      <c r="B506" s="633">
        <v>44643</v>
      </c>
      <c r="C506" s="755"/>
      <c r="D506" s="824" t="s">
        <v>4805</v>
      </c>
      <c r="E506" s="884" t="s">
        <v>4785</v>
      </c>
      <c r="F506" s="33" t="s">
        <v>4806</v>
      </c>
      <c r="G506" s="404" t="s">
        <v>2120</v>
      </c>
      <c r="H506" s="45">
        <v>900000</v>
      </c>
      <c r="I506" s="377"/>
      <c r="J506" s="774"/>
      <c r="K506" s="928">
        <f t="shared" si="122"/>
        <v>900000</v>
      </c>
      <c r="L506" s="923"/>
      <c r="M506" s="923"/>
      <c r="N506" s="923"/>
      <c r="O506" s="923"/>
      <c r="P506" s="923"/>
      <c r="Q506" s="28">
        <f t="shared" si="124"/>
        <v>900000</v>
      </c>
      <c r="R506" s="55"/>
      <c r="S506" s="301"/>
      <c r="T506" s="55">
        <v>14</v>
      </c>
      <c r="U506" s="24">
        <f t="shared" si="123"/>
        <v>14</v>
      </c>
      <c r="V506" s="5"/>
      <c r="W506"/>
      <c r="X506"/>
      <c r="Y506"/>
      <c r="Z506"/>
      <c r="AA506"/>
      <c r="AB506"/>
      <c r="AC506"/>
      <c r="AD506"/>
      <c r="AE506"/>
      <c r="AF506"/>
      <c r="AG506"/>
      <c r="AH506"/>
      <c r="AI506"/>
      <c r="AJ506"/>
      <c r="AK506"/>
      <c r="AL506"/>
      <c r="AM506"/>
      <c r="AN506"/>
      <c r="AO506"/>
      <c r="AP506"/>
      <c r="AQ506"/>
      <c r="AR506"/>
    </row>
    <row r="507" spans="1:44" s="10" customFormat="1" ht="15.75" customHeight="1" x14ac:dyDescent="0.25">
      <c r="A507" s="55">
        <v>298</v>
      </c>
      <c r="B507" s="633">
        <v>44630</v>
      </c>
      <c r="C507" s="755">
        <v>404176</v>
      </c>
      <c r="D507" s="824" t="s">
        <v>4732</v>
      </c>
      <c r="E507" s="884"/>
      <c r="F507" s="33" t="s">
        <v>4749</v>
      </c>
      <c r="G507" s="404" t="s">
        <v>1318</v>
      </c>
      <c r="H507" s="45">
        <v>2070000</v>
      </c>
      <c r="I507" s="377" t="s">
        <v>4924</v>
      </c>
      <c r="J507" s="774">
        <v>44663</v>
      </c>
      <c r="K507" s="924">
        <f>H507</f>
        <v>2070000</v>
      </c>
      <c r="L507" s="910"/>
      <c r="M507" s="910"/>
      <c r="N507" s="910"/>
      <c r="O507" s="910"/>
      <c r="P507" s="910"/>
      <c r="Q507" s="28">
        <f>K507-L507-M507-O507-P507+N507</f>
        <v>2070000</v>
      </c>
      <c r="R507" s="301"/>
      <c r="S507" s="301"/>
      <c r="T507" s="55"/>
      <c r="U507" s="24"/>
      <c r="V507" s="5" t="s">
        <v>4925</v>
      </c>
      <c r="W507"/>
      <c r="X507"/>
      <c r="Y507"/>
      <c r="Z507"/>
      <c r="AA507"/>
      <c r="AB507"/>
      <c r="AC507"/>
      <c r="AD507"/>
      <c r="AE507"/>
      <c r="AF507"/>
      <c r="AG507"/>
      <c r="AH507"/>
      <c r="AI507"/>
      <c r="AJ507"/>
      <c r="AK507"/>
      <c r="AL507"/>
      <c r="AM507"/>
      <c r="AN507"/>
      <c r="AO507"/>
      <c r="AP507"/>
      <c r="AQ507"/>
      <c r="AR507"/>
    </row>
    <row r="508" spans="1:44" s="10" customFormat="1" ht="32.25" customHeight="1" x14ac:dyDescent="0.25">
      <c r="A508" s="672" t="s">
        <v>4011</v>
      </c>
      <c r="B508" s="673"/>
      <c r="C508" s="665"/>
      <c r="D508" s="665"/>
      <c r="E508" s="673"/>
      <c r="F508" s="665"/>
      <c r="G508" s="665"/>
      <c r="H508" s="665"/>
      <c r="I508" s="665"/>
      <c r="J508" s="665"/>
      <c r="K508" s="919"/>
      <c r="L508" s="665"/>
      <c r="M508" s="665"/>
      <c r="N508" s="665"/>
      <c r="O508" s="665"/>
      <c r="P508" s="450"/>
      <c r="Q508" s="451">
        <f>SUM(Q478:Q507)</f>
        <v>48825300</v>
      </c>
      <c r="R508" s="827"/>
      <c r="S508" s="828"/>
      <c r="T508" s="828"/>
      <c r="U508" s="829"/>
      <c r="V508"/>
      <c r="W508"/>
      <c r="X508"/>
      <c r="Y508"/>
      <c r="Z508"/>
      <c r="AA508"/>
      <c r="AB508"/>
      <c r="AC508"/>
      <c r="AD508"/>
      <c r="AE508"/>
      <c r="AF508"/>
      <c r="AG508"/>
      <c r="AH508"/>
      <c r="AI508"/>
      <c r="AJ508"/>
      <c r="AK508"/>
      <c r="AL508"/>
      <c r="AM508"/>
      <c r="AN508"/>
      <c r="AO508"/>
      <c r="AP508"/>
      <c r="AQ508"/>
      <c r="AR508"/>
    </row>
    <row r="509" spans="1:44" ht="42" customHeight="1" x14ac:dyDescent="0.25">
      <c r="A509" s="777" t="s">
        <v>6</v>
      </c>
      <c r="B509" s="778" t="s">
        <v>0</v>
      </c>
      <c r="C509" s="779" t="s">
        <v>7</v>
      </c>
      <c r="D509" s="780" t="s">
        <v>2495</v>
      </c>
      <c r="E509" s="780" t="s">
        <v>1384</v>
      </c>
      <c r="F509" s="777" t="s">
        <v>8</v>
      </c>
      <c r="G509" s="777" t="s">
        <v>9</v>
      </c>
      <c r="H509" s="781" t="s">
        <v>10</v>
      </c>
      <c r="I509" s="777" t="s">
        <v>11</v>
      </c>
      <c r="J509" s="782" t="s">
        <v>138</v>
      </c>
      <c r="K509" s="255" t="s">
        <v>49</v>
      </c>
      <c r="L509" s="783" t="s">
        <v>1</v>
      </c>
      <c r="M509" s="783" t="s">
        <v>47</v>
      </c>
      <c r="N509" s="783" t="s">
        <v>185</v>
      </c>
      <c r="O509" s="784" t="s">
        <v>48</v>
      </c>
      <c r="P509" s="783" t="s">
        <v>40</v>
      </c>
      <c r="Q509" s="257" t="s">
        <v>2</v>
      </c>
      <c r="R509" s="1005" t="s">
        <v>3</v>
      </c>
      <c r="S509" s="1006"/>
      <c r="T509" s="1007" t="s">
        <v>2228</v>
      </c>
      <c r="U509" s="785" t="s">
        <v>554</v>
      </c>
      <c r="V509" s="793" t="s">
        <v>1666</v>
      </c>
    </row>
    <row r="510" spans="1:44" ht="21" customHeight="1" x14ac:dyDescent="0.25">
      <c r="A510" s="777"/>
      <c r="B510" s="778"/>
      <c r="C510" s="779"/>
      <c r="D510" s="786"/>
      <c r="E510" s="885"/>
      <c r="F510" s="787"/>
      <c r="G510" s="787"/>
      <c r="H510" s="781"/>
      <c r="I510" s="777"/>
      <c r="J510" s="782"/>
      <c r="K510" s="255"/>
      <c r="L510" s="783"/>
      <c r="M510" s="783"/>
      <c r="N510" s="783"/>
      <c r="O510" s="784"/>
      <c r="P510" s="783"/>
      <c r="Q510" s="257"/>
      <c r="R510" s="783" t="s">
        <v>1</v>
      </c>
      <c r="S510" s="783" t="s">
        <v>40</v>
      </c>
      <c r="T510" s="1007"/>
      <c r="U510" s="785"/>
      <c r="V510" s="794"/>
    </row>
    <row r="511" spans="1:44" s="10" customFormat="1" ht="15.75" customHeight="1" x14ac:dyDescent="0.25">
      <c r="A511" s="55">
        <v>154</v>
      </c>
      <c r="B511" s="633">
        <v>44659</v>
      </c>
      <c r="C511" s="755" t="s">
        <v>4922</v>
      </c>
      <c r="D511" s="824" t="s">
        <v>4921</v>
      </c>
      <c r="E511" s="884"/>
      <c r="F511" s="33" t="s">
        <v>4920</v>
      </c>
      <c r="G511" s="404" t="s">
        <v>3432</v>
      </c>
      <c r="H511" s="45">
        <v>60000000</v>
      </c>
      <c r="I511" s="377" t="s">
        <v>5004</v>
      </c>
      <c r="J511" s="774" t="s">
        <v>5003</v>
      </c>
      <c r="K511" s="917">
        <f t="shared" ref="K511:K549" si="126">H511</f>
        <v>60000000</v>
      </c>
      <c r="L511" s="910"/>
      <c r="M511" s="910"/>
      <c r="N511" s="940">
        <f>K511*10%</f>
        <v>6000000</v>
      </c>
      <c r="O511" s="940">
        <f>K511*2%</f>
        <v>1200000</v>
      </c>
      <c r="P511" s="940">
        <v>37800000</v>
      </c>
      <c r="Q511" s="28">
        <f t="shared" ref="Q511:Q564" si="127">K511-L511-M511-O511-P511+N511</f>
        <v>27000000</v>
      </c>
      <c r="R511" s="55"/>
      <c r="S511" s="301"/>
      <c r="T511" s="55"/>
      <c r="U511" s="24"/>
      <c r="V511" s="5"/>
      <c r="W511"/>
      <c r="X511"/>
      <c r="Y511"/>
      <c r="Z511"/>
      <c r="AA511"/>
      <c r="AB511"/>
      <c r="AC511"/>
      <c r="AD511"/>
      <c r="AE511"/>
      <c r="AF511"/>
      <c r="AG511"/>
      <c r="AH511"/>
      <c r="AI511"/>
      <c r="AJ511"/>
      <c r="AK511"/>
      <c r="AL511"/>
      <c r="AM511"/>
      <c r="AN511"/>
      <c r="AO511"/>
      <c r="AP511"/>
      <c r="AQ511"/>
      <c r="AR511"/>
    </row>
    <row r="512" spans="1:44" s="10" customFormat="1" ht="15.75" customHeight="1" x14ac:dyDescent="0.25">
      <c r="A512" s="55">
        <v>159</v>
      </c>
      <c r="B512" s="633">
        <v>44659</v>
      </c>
      <c r="C512" s="755">
        <v>402284</v>
      </c>
      <c r="D512" s="824" t="s">
        <v>5013</v>
      </c>
      <c r="E512" s="884"/>
      <c r="F512" s="33" t="s">
        <v>412</v>
      </c>
      <c r="G512" s="404" t="s">
        <v>3464</v>
      </c>
      <c r="H512" s="45">
        <v>1829871.4140000001</v>
      </c>
      <c r="I512" s="377" t="s">
        <v>5014</v>
      </c>
      <c r="J512" s="774">
        <v>44663</v>
      </c>
      <c r="K512" s="917">
        <f t="shared" si="126"/>
        <v>1829871.4140000001</v>
      </c>
      <c r="L512" s="910"/>
      <c r="M512" s="910"/>
      <c r="N512" s="28">
        <f t="shared" ref="N512:N526" si="128">K512*1%</f>
        <v>18298.71414</v>
      </c>
      <c r="O512" s="28">
        <f t="shared" ref="O512:O526" si="129">K512*2%</f>
        <v>36597.42828</v>
      </c>
      <c r="P512" s="910"/>
      <c r="Q512" s="28">
        <f t="shared" si="127"/>
        <v>1811572.6998600001</v>
      </c>
      <c r="R512" s="55"/>
      <c r="S512" s="301"/>
      <c r="T512" s="55">
        <v>30</v>
      </c>
      <c r="U512" s="24">
        <f t="shared" ref="U512:U526" si="130">J512+T512</f>
        <v>44693</v>
      </c>
      <c r="V512" s="5"/>
      <c r="W512"/>
      <c r="X512"/>
      <c r="Y512"/>
      <c r="Z512"/>
      <c r="AA512"/>
      <c r="AB512"/>
      <c r="AC512"/>
      <c r="AD512"/>
      <c r="AE512"/>
      <c r="AF512"/>
      <c r="AG512"/>
      <c r="AH512"/>
      <c r="AI512"/>
      <c r="AJ512"/>
      <c r="AK512"/>
      <c r="AL512"/>
      <c r="AM512"/>
      <c r="AN512"/>
      <c r="AO512"/>
      <c r="AP512"/>
      <c r="AQ512"/>
      <c r="AR512"/>
    </row>
    <row r="513" spans="1:44" s="10" customFormat="1" ht="15.75" customHeight="1" x14ac:dyDescent="0.25">
      <c r="A513" s="55">
        <v>160</v>
      </c>
      <c r="B513" s="633">
        <v>44657</v>
      </c>
      <c r="C513" s="755">
        <v>402282</v>
      </c>
      <c r="D513" s="824" t="s">
        <v>5015</v>
      </c>
      <c r="E513" s="884"/>
      <c r="F513" s="33" t="s">
        <v>412</v>
      </c>
      <c r="G513" s="404" t="s">
        <v>5016</v>
      </c>
      <c r="H513" s="45">
        <v>3115727</v>
      </c>
      <c r="I513" s="377" t="s">
        <v>5017</v>
      </c>
      <c r="J513" s="774">
        <v>44665</v>
      </c>
      <c r="K513" s="917">
        <f t="shared" si="126"/>
        <v>3115727</v>
      </c>
      <c r="L513" s="910"/>
      <c r="M513" s="910"/>
      <c r="N513" s="28">
        <f t="shared" si="128"/>
        <v>31157.27</v>
      </c>
      <c r="O513" s="28">
        <f t="shared" si="129"/>
        <v>62314.54</v>
      </c>
      <c r="P513" s="910"/>
      <c r="Q513" s="28">
        <f t="shared" si="127"/>
        <v>3084569.73</v>
      </c>
      <c r="R513" s="55"/>
      <c r="S513" s="301"/>
      <c r="T513" s="55">
        <v>30</v>
      </c>
      <c r="U513" s="24">
        <f t="shared" si="130"/>
        <v>44695</v>
      </c>
      <c r="V513" s="5"/>
      <c r="W513"/>
      <c r="X513"/>
      <c r="Y513"/>
      <c r="Z513"/>
      <c r="AA513"/>
      <c r="AB513"/>
      <c r="AC513"/>
      <c r="AD513"/>
      <c r="AE513"/>
      <c r="AF513"/>
      <c r="AG513"/>
      <c r="AH513"/>
      <c r="AI513"/>
      <c r="AJ513"/>
      <c r="AK513"/>
      <c r="AL513"/>
      <c r="AM513"/>
      <c r="AN513"/>
      <c r="AO513"/>
      <c r="AP513"/>
      <c r="AQ513"/>
      <c r="AR513"/>
    </row>
    <row r="514" spans="1:44" s="10" customFormat="1" ht="15.75" customHeight="1" x14ac:dyDescent="0.25">
      <c r="A514" s="55">
        <v>161</v>
      </c>
      <c r="B514" s="633">
        <v>44615</v>
      </c>
      <c r="C514" s="755">
        <v>44615</v>
      </c>
      <c r="D514" s="824" t="s">
        <v>4183</v>
      </c>
      <c r="E514" s="884" t="s">
        <v>4147</v>
      </c>
      <c r="F514" s="33" t="s">
        <v>2694</v>
      </c>
      <c r="G514" s="404" t="s">
        <v>3000</v>
      </c>
      <c r="H514" s="45">
        <v>900000</v>
      </c>
      <c r="I514" s="377" t="s">
        <v>5018</v>
      </c>
      <c r="J514" s="774">
        <v>44667</v>
      </c>
      <c r="K514" s="917">
        <f t="shared" si="126"/>
        <v>900000</v>
      </c>
      <c r="L514" s="910"/>
      <c r="M514" s="910"/>
      <c r="N514" s="28">
        <f t="shared" si="128"/>
        <v>9000</v>
      </c>
      <c r="O514" s="28">
        <f t="shared" si="129"/>
        <v>18000</v>
      </c>
      <c r="P514" s="910"/>
      <c r="Q514" s="28">
        <f t="shared" si="127"/>
        <v>891000</v>
      </c>
      <c r="R514" s="55"/>
      <c r="S514" s="301"/>
      <c r="T514" s="55">
        <v>14</v>
      </c>
      <c r="U514" s="24">
        <f t="shared" si="130"/>
        <v>44681</v>
      </c>
      <c r="V514" s="5"/>
      <c r="W514"/>
      <c r="X514"/>
      <c r="Y514"/>
      <c r="Z514"/>
      <c r="AA514"/>
      <c r="AB514"/>
      <c r="AC514"/>
      <c r="AD514"/>
      <c r="AE514"/>
      <c r="AF514"/>
      <c r="AG514"/>
      <c r="AH514"/>
      <c r="AI514"/>
      <c r="AJ514"/>
      <c r="AK514"/>
      <c r="AL514"/>
      <c r="AM514"/>
      <c r="AN514"/>
      <c r="AO514"/>
      <c r="AP514"/>
      <c r="AQ514"/>
      <c r="AR514"/>
    </row>
    <row r="515" spans="1:44" s="10" customFormat="1" ht="15.75" customHeight="1" x14ac:dyDescent="0.25">
      <c r="A515" s="55">
        <v>162</v>
      </c>
      <c r="B515" s="633">
        <v>44611</v>
      </c>
      <c r="C515" s="755" t="s">
        <v>4173</v>
      </c>
      <c r="D515" s="824" t="s">
        <v>2759</v>
      </c>
      <c r="E515" s="884" t="s">
        <v>4145</v>
      </c>
      <c r="F515" s="33" t="s">
        <v>2694</v>
      </c>
      <c r="G515" s="404" t="s">
        <v>3000</v>
      </c>
      <c r="H515" s="45">
        <v>1100000</v>
      </c>
      <c r="I515" s="377" t="s">
        <v>5019</v>
      </c>
      <c r="J515" s="774">
        <v>44667</v>
      </c>
      <c r="K515" s="917">
        <f t="shared" si="126"/>
        <v>1100000</v>
      </c>
      <c r="L515" s="910"/>
      <c r="M515" s="910"/>
      <c r="N515" s="28">
        <f t="shared" si="128"/>
        <v>11000</v>
      </c>
      <c r="O515" s="28">
        <f t="shared" si="129"/>
        <v>22000</v>
      </c>
      <c r="P515" s="910"/>
      <c r="Q515" s="28">
        <f t="shared" si="127"/>
        <v>1089000</v>
      </c>
      <c r="R515" s="55"/>
      <c r="S515" s="301"/>
      <c r="T515" s="55">
        <v>14</v>
      </c>
      <c r="U515" s="24">
        <f t="shared" si="130"/>
        <v>44681</v>
      </c>
      <c r="V515" s="5"/>
      <c r="W515"/>
      <c r="X515"/>
      <c r="Y515"/>
      <c r="Z515"/>
      <c r="AA515"/>
      <c r="AB515"/>
      <c r="AC515"/>
      <c r="AD515"/>
      <c r="AE515"/>
      <c r="AF515"/>
      <c r="AG515"/>
      <c r="AH515"/>
      <c r="AI515"/>
      <c r="AJ515"/>
      <c r="AK515"/>
      <c r="AL515"/>
      <c r="AM515"/>
      <c r="AN515"/>
      <c r="AO515"/>
      <c r="AP515"/>
      <c r="AQ515"/>
      <c r="AR515"/>
    </row>
    <row r="516" spans="1:44" s="10" customFormat="1" ht="15.75" customHeight="1" x14ac:dyDescent="0.25">
      <c r="A516" s="55">
        <v>163</v>
      </c>
      <c r="B516" s="633">
        <v>44615</v>
      </c>
      <c r="C516" s="755" t="s">
        <v>4174</v>
      </c>
      <c r="D516" s="824" t="s">
        <v>4181</v>
      </c>
      <c r="E516" s="884" t="s">
        <v>4146</v>
      </c>
      <c r="F516" s="33" t="s">
        <v>2694</v>
      </c>
      <c r="G516" s="404" t="s">
        <v>3000</v>
      </c>
      <c r="H516" s="45">
        <v>900000</v>
      </c>
      <c r="I516" s="377" t="s">
        <v>5020</v>
      </c>
      <c r="J516" s="774">
        <v>44667</v>
      </c>
      <c r="K516" s="917">
        <f t="shared" si="126"/>
        <v>900000</v>
      </c>
      <c r="L516" s="910"/>
      <c r="M516" s="910"/>
      <c r="N516" s="28">
        <f t="shared" si="128"/>
        <v>9000</v>
      </c>
      <c r="O516" s="28">
        <f t="shared" si="129"/>
        <v>18000</v>
      </c>
      <c r="P516" s="910"/>
      <c r="Q516" s="28">
        <f t="shared" si="127"/>
        <v>891000</v>
      </c>
      <c r="R516" s="55"/>
      <c r="S516" s="301"/>
      <c r="T516" s="55">
        <v>14</v>
      </c>
      <c r="U516" s="24">
        <f t="shared" si="130"/>
        <v>44681</v>
      </c>
      <c r="V516" s="5"/>
      <c r="W516"/>
      <c r="X516"/>
      <c r="Y516"/>
      <c r="Z516"/>
      <c r="AA516"/>
      <c r="AB516"/>
      <c r="AC516"/>
      <c r="AD516"/>
      <c r="AE516"/>
      <c r="AF516"/>
      <c r="AG516"/>
      <c r="AH516"/>
      <c r="AI516"/>
      <c r="AJ516"/>
      <c r="AK516"/>
      <c r="AL516"/>
      <c r="AM516"/>
      <c r="AN516"/>
      <c r="AO516"/>
      <c r="AP516"/>
      <c r="AQ516"/>
      <c r="AR516"/>
    </row>
    <row r="517" spans="1:44" s="10" customFormat="1" ht="15.75" customHeight="1" x14ac:dyDescent="0.25">
      <c r="A517" s="55">
        <v>164</v>
      </c>
      <c r="B517" s="633">
        <v>44611</v>
      </c>
      <c r="C517" s="755" t="s">
        <v>4172</v>
      </c>
      <c r="D517" s="824" t="s">
        <v>5022</v>
      </c>
      <c r="E517" s="884" t="s">
        <v>4144</v>
      </c>
      <c r="F517" s="33" t="s">
        <v>2694</v>
      </c>
      <c r="G517" s="404" t="s">
        <v>3000</v>
      </c>
      <c r="H517" s="45">
        <v>900000</v>
      </c>
      <c r="I517" s="377" t="s">
        <v>5021</v>
      </c>
      <c r="J517" s="774">
        <v>44667</v>
      </c>
      <c r="K517" s="917">
        <f t="shared" si="126"/>
        <v>900000</v>
      </c>
      <c r="L517" s="910"/>
      <c r="M517" s="910"/>
      <c r="N517" s="28">
        <f t="shared" si="128"/>
        <v>9000</v>
      </c>
      <c r="O517" s="28">
        <f t="shared" si="129"/>
        <v>18000</v>
      </c>
      <c r="P517" s="910"/>
      <c r="Q517" s="28">
        <f t="shared" si="127"/>
        <v>891000</v>
      </c>
      <c r="R517" s="55"/>
      <c r="S517" s="301"/>
      <c r="T517" s="55">
        <v>14</v>
      </c>
      <c r="U517" s="24">
        <f t="shared" si="130"/>
        <v>44681</v>
      </c>
      <c r="V517" s="5"/>
      <c r="W517"/>
      <c r="X517"/>
      <c r="Y517"/>
      <c r="Z517"/>
      <c r="AA517"/>
      <c r="AB517"/>
      <c r="AC517"/>
      <c r="AD517"/>
      <c r="AE517"/>
      <c r="AF517"/>
      <c r="AG517"/>
      <c r="AH517"/>
      <c r="AI517"/>
      <c r="AJ517"/>
      <c r="AK517"/>
      <c r="AL517"/>
      <c r="AM517"/>
      <c r="AN517"/>
      <c r="AO517"/>
      <c r="AP517"/>
      <c r="AQ517"/>
      <c r="AR517"/>
    </row>
    <row r="518" spans="1:44" s="10" customFormat="1" ht="15.75" customHeight="1" x14ac:dyDescent="0.25">
      <c r="A518" s="55">
        <v>165</v>
      </c>
      <c r="B518" s="633">
        <v>44620</v>
      </c>
      <c r="C518" s="755" t="s">
        <v>4180</v>
      </c>
      <c r="D518" s="824" t="s">
        <v>4188</v>
      </c>
      <c r="E518" s="884" t="s">
        <v>4153</v>
      </c>
      <c r="F518" s="33" t="s">
        <v>2694</v>
      </c>
      <c r="G518" s="404" t="s">
        <v>3000</v>
      </c>
      <c r="H518" s="45">
        <v>900000</v>
      </c>
      <c r="I518" s="377" t="s">
        <v>5023</v>
      </c>
      <c r="J518" s="774">
        <v>44667</v>
      </c>
      <c r="K518" s="917">
        <f t="shared" si="126"/>
        <v>900000</v>
      </c>
      <c r="L518" s="910"/>
      <c r="M518" s="910"/>
      <c r="N518" s="28">
        <f t="shared" si="128"/>
        <v>9000</v>
      </c>
      <c r="O518" s="28">
        <f t="shared" si="129"/>
        <v>18000</v>
      </c>
      <c r="P518" s="910"/>
      <c r="Q518" s="28">
        <f t="shared" si="127"/>
        <v>891000</v>
      </c>
      <c r="R518" s="55"/>
      <c r="S518" s="301"/>
      <c r="T518" s="55">
        <v>14</v>
      </c>
      <c r="U518" s="24">
        <f t="shared" si="130"/>
        <v>44681</v>
      </c>
      <c r="V518" s="5"/>
      <c r="W518"/>
      <c r="X518"/>
      <c r="Y518"/>
      <c r="Z518"/>
      <c r="AA518"/>
      <c r="AB518"/>
      <c r="AC518"/>
      <c r="AD518"/>
      <c r="AE518"/>
      <c r="AF518"/>
      <c r="AG518"/>
      <c r="AH518"/>
      <c r="AI518"/>
      <c r="AJ518"/>
      <c r="AK518"/>
      <c r="AL518"/>
      <c r="AM518"/>
      <c r="AN518"/>
      <c r="AO518"/>
      <c r="AP518"/>
      <c r="AQ518"/>
      <c r="AR518"/>
    </row>
    <row r="519" spans="1:44" s="10" customFormat="1" ht="15.75" customHeight="1" x14ac:dyDescent="0.25">
      <c r="A519" s="55">
        <v>166</v>
      </c>
      <c r="B519" s="633">
        <v>44615</v>
      </c>
      <c r="C519" s="755" t="s">
        <v>4175</v>
      </c>
      <c r="D519" s="824" t="s">
        <v>4182</v>
      </c>
      <c r="E519" s="884" t="s">
        <v>4148</v>
      </c>
      <c r="F519" s="33" t="s">
        <v>2694</v>
      </c>
      <c r="G519" s="404" t="s">
        <v>3000</v>
      </c>
      <c r="H519" s="45">
        <v>800000</v>
      </c>
      <c r="I519" s="377" t="s">
        <v>5024</v>
      </c>
      <c r="J519" s="774">
        <v>44667</v>
      </c>
      <c r="K519" s="917">
        <f t="shared" si="126"/>
        <v>800000</v>
      </c>
      <c r="L519" s="910"/>
      <c r="M519" s="910"/>
      <c r="N519" s="28">
        <f t="shared" si="128"/>
        <v>8000</v>
      </c>
      <c r="O519" s="28">
        <f t="shared" si="129"/>
        <v>16000</v>
      </c>
      <c r="P519" s="910"/>
      <c r="Q519" s="28">
        <f t="shared" si="127"/>
        <v>792000</v>
      </c>
      <c r="R519" s="55"/>
      <c r="S519" s="301"/>
      <c r="T519" s="55">
        <v>14</v>
      </c>
      <c r="U519" s="24">
        <f t="shared" si="130"/>
        <v>44681</v>
      </c>
      <c r="V519" s="5"/>
      <c r="W519"/>
      <c r="X519"/>
      <c r="Y519"/>
      <c r="Z519"/>
      <c r="AA519"/>
      <c r="AB519"/>
      <c r="AC519"/>
      <c r="AD519"/>
      <c r="AE519"/>
      <c r="AF519"/>
      <c r="AG519"/>
      <c r="AH519"/>
      <c r="AI519"/>
      <c r="AJ519"/>
      <c r="AK519"/>
      <c r="AL519"/>
      <c r="AM519"/>
      <c r="AN519"/>
      <c r="AO519"/>
      <c r="AP519"/>
      <c r="AQ519"/>
      <c r="AR519"/>
    </row>
    <row r="520" spans="1:44" s="10" customFormat="1" ht="15.75" customHeight="1" x14ac:dyDescent="0.25">
      <c r="A520" s="55">
        <v>167</v>
      </c>
      <c r="B520" s="633">
        <v>44615</v>
      </c>
      <c r="C520" s="755" t="s">
        <v>4176</v>
      </c>
      <c r="D520" s="824" t="s">
        <v>4184</v>
      </c>
      <c r="E520" s="884" t="s">
        <v>4149</v>
      </c>
      <c r="F520" s="33" t="s">
        <v>2694</v>
      </c>
      <c r="G520" s="404" t="s">
        <v>3000</v>
      </c>
      <c r="H520" s="45">
        <v>800000</v>
      </c>
      <c r="I520" s="377" t="s">
        <v>5025</v>
      </c>
      <c r="J520" s="774">
        <v>44667</v>
      </c>
      <c r="K520" s="917">
        <f t="shared" si="126"/>
        <v>800000</v>
      </c>
      <c r="L520" s="910"/>
      <c r="M520" s="910"/>
      <c r="N520" s="28">
        <f t="shared" si="128"/>
        <v>8000</v>
      </c>
      <c r="O520" s="28">
        <f t="shared" si="129"/>
        <v>16000</v>
      </c>
      <c r="P520" s="910"/>
      <c r="Q520" s="28">
        <f t="shared" si="127"/>
        <v>792000</v>
      </c>
      <c r="R520" s="55"/>
      <c r="S520" s="301"/>
      <c r="T520" s="55">
        <v>14</v>
      </c>
      <c r="U520" s="24">
        <f t="shared" si="130"/>
        <v>44681</v>
      </c>
      <c r="V520" s="5"/>
      <c r="W520"/>
      <c r="X520"/>
      <c r="Y520"/>
      <c r="Z520"/>
      <c r="AA520"/>
      <c r="AB520"/>
      <c r="AC520"/>
      <c r="AD520"/>
      <c r="AE520"/>
      <c r="AF520"/>
      <c r="AG520"/>
      <c r="AH520"/>
      <c r="AI520"/>
      <c r="AJ520"/>
      <c r="AK520"/>
      <c r="AL520"/>
      <c r="AM520"/>
      <c r="AN520"/>
      <c r="AO520"/>
      <c r="AP520"/>
      <c r="AQ520"/>
      <c r="AR520"/>
    </row>
    <row r="521" spans="1:44" s="10" customFormat="1" ht="15.75" customHeight="1" x14ac:dyDescent="0.25">
      <c r="A521" s="55">
        <v>168</v>
      </c>
      <c r="B521" s="633">
        <v>44615</v>
      </c>
      <c r="C521" s="755" t="s">
        <v>4177</v>
      </c>
      <c r="D521" s="824" t="s">
        <v>4185</v>
      </c>
      <c r="E521" s="884" t="s">
        <v>4150</v>
      </c>
      <c r="F521" s="33" t="s">
        <v>2694</v>
      </c>
      <c r="G521" s="404" t="s">
        <v>5027</v>
      </c>
      <c r="H521" s="45">
        <v>1000000</v>
      </c>
      <c r="I521" s="377" t="s">
        <v>5026</v>
      </c>
      <c r="J521" s="774">
        <v>44667</v>
      </c>
      <c r="K521" s="917">
        <f t="shared" si="126"/>
        <v>1000000</v>
      </c>
      <c r="L521" s="910"/>
      <c r="M521" s="910"/>
      <c r="N521" s="28">
        <f t="shared" si="128"/>
        <v>10000</v>
      </c>
      <c r="O521" s="28">
        <f t="shared" si="129"/>
        <v>20000</v>
      </c>
      <c r="P521" s="910"/>
      <c r="Q521" s="28">
        <f t="shared" si="127"/>
        <v>990000</v>
      </c>
      <c r="R521" s="55"/>
      <c r="S521" s="301"/>
      <c r="T521" s="55">
        <v>14</v>
      </c>
      <c r="U521" s="24">
        <f t="shared" si="130"/>
        <v>44681</v>
      </c>
      <c r="V521" s="5"/>
      <c r="W521"/>
      <c r="X521"/>
      <c r="Y521"/>
      <c r="Z521"/>
      <c r="AA521"/>
      <c r="AB521"/>
      <c r="AC521"/>
      <c r="AD521"/>
      <c r="AE521"/>
      <c r="AF521"/>
      <c r="AG521"/>
      <c r="AH521"/>
      <c r="AI521"/>
      <c r="AJ521"/>
      <c r="AK521"/>
      <c r="AL521"/>
      <c r="AM521"/>
      <c r="AN521"/>
      <c r="AO521"/>
      <c r="AP521"/>
      <c r="AQ521"/>
      <c r="AR521"/>
    </row>
    <row r="522" spans="1:44" s="10" customFormat="1" ht="15.75" customHeight="1" x14ac:dyDescent="0.25">
      <c r="A522" s="55">
        <v>169</v>
      </c>
      <c r="B522" s="633">
        <v>44618</v>
      </c>
      <c r="C522" s="755" t="s">
        <v>4178</v>
      </c>
      <c r="D522" s="824" t="s">
        <v>4186</v>
      </c>
      <c r="E522" s="884" t="s">
        <v>4151</v>
      </c>
      <c r="F522" s="33" t="s">
        <v>2694</v>
      </c>
      <c r="G522" s="404" t="s">
        <v>3000</v>
      </c>
      <c r="H522" s="45">
        <v>900000</v>
      </c>
      <c r="I522" s="377" t="s">
        <v>5028</v>
      </c>
      <c r="J522" s="774">
        <v>44667</v>
      </c>
      <c r="K522" s="917">
        <f t="shared" si="126"/>
        <v>900000</v>
      </c>
      <c r="L522" s="910"/>
      <c r="M522" s="910"/>
      <c r="N522" s="28">
        <f t="shared" si="128"/>
        <v>9000</v>
      </c>
      <c r="O522" s="28">
        <f t="shared" si="129"/>
        <v>18000</v>
      </c>
      <c r="P522" s="910"/>
      <c r="Q522" s="28">
        <f t="shared" si="127"/>
        <v>891000</v>
      </c>
      <c r="R522" s="55"/>
      <c r="S522" s="301"/>
      <c r="T522" s="55">
        <v>14</v>
      </c>
      <c r="U522" s="24">
        <f t="shared" si="130"/>
        <v>44681</v>
      </c>
      <c r="V522" s="5"/>
      <c r="W522"/>
      <c r="X522"/>
      <c r="Y522"/>
      <c r="Z522"/>
      <c r="AA522"/>
      <c r="AB522"/>
      <c r="AC522"/>
      <c r="AD522"/>
      <c r="AE522"/>
      <c r="AF522"/>
      <c r="AG522"/>
      <c r="AH522"/>
      <c r="AI522"/>
      <c r="AJ522"/>
      <c r="AK522"/>
      <c r="AL522"/>
      <c r="AM522"/>
      <c r="AN522"/>
      <c r="AO522"/>
      <c r="AP522"/>
      <c r="AQ522"/>
      <c r="AR522"/>
    </row>
    <row r="523" spans="1:44" s="10" customFormat="1" ht="15.75" customHeight="1" x14ac:dyDescent="0.25">
      <c r="A523" s="55">
        <v>170</v>
      </c>
      <c r="B523" s="633">
        <v>44627</v>
      </c>
      <c r="C523" s="755"/>
      <c r="D523" s="824" t="s">
        <v>5030</v>
      </c>
      <c r="E523" s="884" t="s">
        <v>4769</v>
      </c>
      <c r="F523" s="33" t="s">
        <v>2694</v>
      </c>
      <c r="G523" s="33" t="s">
        <v>3000</v>
      </c>
      <c r="H523" s="45">
        <v>1200000</v>
      </c>
      <c r="I523" s="377" t="s">
        <v>5029</v>
      </c>
      <c r="J523" s="774">
        <v>44667</v>
      </c>
      <c r="K523" s="917">
        <f t="shared" si="126"/>
        <v>1200000</v>
      </c>
      <c r="L523" s="910"/>
      <c r="M523" s="910"/>
      <c r="N523" s="28">
        <f t="shared" si="128"/>
        <v>12000</v>
      </c>
      <c r="O523" s="28">
        <f t="shared" si="129"/>
        <v>24000</v>
      </c>
      <c r="P523" s="910"/>
      <c r="Q523" s="28">
        <f t="shared" si="127"/>
        <v>1188000</v>
      </c>
      <c r="R523" s="55"/>
      <c r="S523" s="301"/>
      <c r="T523" s="55">
        <v>14</v>
      </c>
      <c r="U523" s="24">
        <f t="shared" si="130"/>
        <v>44681</v>
      </c>
      <c r="V523" s="5"/>
      <c r="W523"/>
      <c r="X523"/>
      <c r="Y523"/>
      <c r="Z523"/>
      <c r="AA523"/>
      <c r="AB523"/>
      <c r="AC523"/>
      <c r="AD523"/>
      <c r="AE523"/>
      <c r="AF523"/>
      <c r="AG523"/>
      <c r="AH523"/>
      <c r="AI523"/>
      <c r="AJ523"/>
      <c r="AK523"/>
      <c r="AL523"/>
      <c r="AM523"/>
      <c r="AN523"/>
      <c r="AO523"/>
      <c r="AP523"/>
      <c r="AQ523"/>
      <c r="AR523"/>
    </row>
    <row r="524" spans="1:44" s="10" customFormat="1" ht="15.75" customHeight="1" x14ac:dyDescent="0.25">
      <c r="A524" s="55">
        <v>171</v>
      </c>
      <c r="B524" s="633">
        <v>44627</v>
      </c>
      <c r="C524" s="755"/>
      <c r="D524" s="824" t="s">
        <v>5032</v>
      </c>
      <c r="E524" s="884" t="s">
        <v>4768</v>
      </c>
      <c r="F524" s="33" t="s">
        <v>2694</v>
      </c>
      <c r="G524" s="33" t="s">
        <v>3481</v>
      </c>
      <c r="H524" s="45">
        <v>900000</v>
      </c>
      <c r="I524" s="377" t="s">
        <v>5031</v>
      </c>
      <c r="J524" s="774">
        <v>44667</v>
      </c>
      <c r="K524" s="917">
        <f t="shared" si="126"/>
        <v>900000</v>
      </c>
      <c r="L524" s="910"/>
      <c r="M524" s="910"/>
      <c r="N524" s="28">
        <f t="shared" si="128"/>
        <v>9000</v>
      </c>
      <c r="O524" s="28">
        <f t="shared" si="129"/>
        <v>18000</v>
      </c>
      <c r="P524" s="910"/>
      <c r="Q524" s="28">
        <f t="shared" si="127"/>
        <v>891000</v>
      </c>
      <c r="R524" s="55"/>
      <c r="S524" s="301"/>
      <c r="T524" s="55">
        <v>14</v>
      </c>
      <c r="U524" s="24">
        <f t="shared" si="130"/>
        <v>44681</v>
      </c>
      <c r="V524" s="5"/>
      <c r="W524"/>
      <c r="X524"/>
      <c r="Y524"/>
      <c r="Z524"/>
      <c r="AA524"/>
      <c r="AB524"/>
      <c r="AC524"/>
      <c r="AD524"/>
      <c r="AE524"/>
      <c r="AF524"/>
      <c r="AG524"/>
      <c r="AH524"/>
      <c r="AI524"/>
      <c r="AJ524"/>
      <c r="AK524"/>
      <c r="AL524"/>
      <c r="AM524"/>
      <c r="AN524"/>
      <c r="AO524"/>
      <c r="AP524"/>
      <c r="AQ524"/>
      <c r="AR524"/>
    </row>
    <row r="525" spans="1:44" s="10" customFormat="1" ht="15.75" customHeight="1" x14ac:dyDescent="0.25">
      <c r="A525" s="55">
        <v>172</v>
      </c>
      <c r="B525" s="633">
        <v>44624</v>
      </c>
      <c r="C525" s="755"/>
      <c r="D525" s="824" t="s">
        <v>5034</v>
      </c>
      <c r="E525" s="884" t="s">
        <v>4767</v>
      </c>
      <c r="F525" s="33" t="s">
        <v>2694</v>
      </c>
      <c r="G525" s="33" t="s">
        <v>5035</v>
      </c>
      <c r="H525" s="45">
        <v>1800000</v>
      </c>
      <c r="I525" s="377" t="s">
        <v>5033</v>
      </c>
      <c r="J525" s="774">
        <v>44667</v>
      </c>
      <c r="K525" s="917">
        <f t="shared" si="126"/>
        <v>1800000</v>
      </c>
      <c r="L525" s="910"/>
      <c r="M525" s="910"/>
      <c r="N525" s="28">
        <f t="shared" si="128"/>
        <v>18000</v>
      </c>
      <c r="O525" s="28">
        <f t="shared" si="129"/>
        <v>36000</v>
      </c>
      <c r="P525" s="910"/>
      <c r="Q525" s="28">
        <f t="shared" si="127"/>
        <v>1782000</v>
      </c>
      <c r="R525" s="55"/>
      <c r="S525" s="301"/>
      <c r="T525" s="55">
        <v>14</v>
      </c>
      <c r="U525" s="24">
        <f t="shared" si="130"/>
        <v>44681</v>
      </c>
      <c r="V525" s="5"/>
      <c r="W525"/>
      <c r="X525"/>
      <c r="Y525"/>
      <c r="Z525"/>
      <c r="AA525"/>
      <c r="AB525"/>
      <c r="AC525"/>
      <c r="AD525"/>
      <c r="AE525"/>
      <c r="AF525"/>
      <c r="AG525"/>
      <c r="AH525"/>
      <c r="AI525"/>
      <c r="AJ525"/>
      <c r="AK525"/>
      <c r="AL525"/>
      <c r="AM525"/>
      <c r="AN525"/>
      <c r="AO525"/>
      <c r="AP525"/>
      <c r="AQ525"/>
      <c r="AR525"/>
    </row>
    <row r="526" spans="1:44" s="10" customFormat="1" ht="15.75" customHeight="1" x14ac:dyDescent="0.25">
      <c r="A526" s="55">
        <v>173</v>
      </c>
      <c r="B526" s="633">
        <v>44618</v>
      </c>
      <c r="C526" s="755" t="s">
        <v>4179</v>
      </c>
      <c r="D526" s="824" t="s">
        <v>4187</v>
      </c>
      <c r="E526" s="884" t="s">
        <v>4152</v>
      </c>
      <c r="F526" s="33" t="s">
        <v>2694</v>
      </c>
      <c r="G526" s="33" t="s">
        <v>5037</v>
      </c>
      <c r="H526" s="45">
        <v>750000</v>
      </c>
      <c r="I526" s="377" t="s">
        <v>5036</v>
      </c>
      <c r="J526" s="774">
        <v>44667</v>
      </c>
      <c r="K526" s="917">
        <f t="shared" si="126"/>
        <v>750000</v>
      </c>
      <c r="L526" s="910"/>
      <c r="M526" s="910"/>
      <c r="N526" s="28">
        <f t="shared" si="128"/>
        <v>7500</v>
      </c>
      <c r="O526" s="28">
        <f t="shared" si="129"/>
        <v>15000</v>
      </c>
      <c r="P526" s="910"/>
      <c r="Q526" s="28">
        <f t="shared" si="127"/>
        <v>742500</v>
      </c>
      <c r="R526" s="55"/>
      <c r="S526" s="301"/>
      <c r="T526" s="55">
        <v>14</v>
      </c>
      <c r="U526" s="24">
        <f t="shared" si="130"/>
        <v>44681</v>
      </c>
      <c r="V526" s="5"/>
      <c r="W526"/>
      <c r="X526"/>
      <c r="Y526"/>
      <c r="Z526"/>
      <c r="AA526"/>
      <c r="AB526"/>
      <c r="AC526"/>
      <c r="AD526"/>
      <c r="AE526"/>
      <c r="AF526"/>
      <c r="AG526"/>
      <c r="AH526"/>
      <c r="AI526"/>
      <c r="AJ526"/>
      <c r="AK526"/>
      <c r="AL526"/>
      <c r="AM526"/>
      <c r="AN526"/>
      <c r="AO526"/>
      <c r="AP526"/>
      <c r="AQ526"/>
      <c r="AR526"/>
    </row>
    <row r="527" spans="1:44" s="10" customFormat="1" ht="15.75" customHeight="1" x14ac:dyDescent="0.25">
      <c r="A527" s="55">
        <v>174</v>
      </c>
      <c r="B527" s="633">
        <v>44651</v>
      </c>
      <c r="C527" s="755"/>
      <c r="D527" s="824" t="s">
        <v>4748</v>
      </c>
      <c r="E527" s="884"/>
      <c r="F527" s="33" t="s">
        <v>3654</v>
      </c>
      <c r="G527" s="33" t="s">
        <v>688</v>
      </c>
      <c r="H527" s="45">
        <v>5586000</v>
      </c>
      <c r="I527" s="377" t="s">
        <v>5142</v>
      </c>
      <c r="J527" s="774">
        <v>44671</v>
      </c>
      <c r="K527" s="917">
        <f t="shared" si="126"/>
        <v>5586000</v>
      </c>
      <c r="L527" s="910"/>
      <c r="M527" s="910"/>
      <c r="N527" s="910">
        <v>61446.000000000007</v>
      </c>
      <c r="O527" s="910">
        <v>111720</v>
      </c>
      <c r="P527" s="910"/>
      <c r="Q527" s="28">
        <f t="shared" si="127"/>
        <v>5535726</v>
      </c>
      <c r="R527" s="55"/>
      <c r="S527" s="301"/>
      <c r="T527" s="55"/>
      <c r="U527" s="24"/>
      <c r="V527" s="5"/>
      <c r="W527"/>
      <c r="X527"/>
      <c r="Y527"/>
      <c r="Z527"/>
      <c r="AA527"/>
      <c r="AB527"/>
      <c r="AC527"/>
      <c r="AD527"/>
      <c r="AE527"/>
      <c r="AF527"/>
      <c r="AG527"/>
      <c r="AH527"/>
      <c r="AI527"/>
      <c r="AJ527"/>
      <c r="AK527"/>
      <c r="AL527"/>
      <c r="AM527"/>
      <c r="AN527"/>
      <c r="AO527"/>
      <c r="AP527"/>
      <c r="AQ527"/>
      <c r="AR527"/>
    </row>
    <row r="528" spans="1:44" s="10" customFormat="1" ht="15.75" customHeight="1" x14ac:dyDescent="0.25">
      <c r="A528" s="55">
        <v>175</v>
      </c>
      <c r="B528" s="633"/>
      <c r="C528" s="755"/>
      <c r="D528" s="824"/>
      <c r="E528" s="884"/>
      <c r="F528" s="33"/>
      <c r="G528" s="33"/>
      <c r="H528" s="45"/>
      <c r="I528" s="377"/>
      <c r="J528" s="774"/>
      <c r="K528" s="917">
        <f t="shared" si="126"/>
        <v>0</v>
      </c>
      <c r="L528" s="910"/>
      <c r="M528" s="910"/>
      <c r="N528" s="910"/>
      <c r="O528" s="910"/>
      <c r="P528" s="910"/>
      <c r="Q528" s="28">
        <f t="shared" si="127"/>
        <v>0</v>
      </c>
      <c r="R528" s="55"/>
      <c r="S528" s="301"/>
      <c r="T528" s="55"/>
      <c r="U528" s="24"/>
      <c r="V528" s="5"/>
      <c r="W528"/>
      <c r="X528"/>
      <c r="Y528"/>
      <c r="Z528"/>
      <c r="AA528"/>
      <c r="AB528"/>
      <c r="AC528"/>
      <c r="AD528"/>
      <c r="AE528"/>
      <c r="AF528"/>
      <c r="AG528"/>
      <c r="AH528"/>
      <c r="AI528"/>
      <c r="AJ528"/>
      <c r="AK528"/>
      <c r="AL528"/>
      <c r="AM528"/>
      <c r="AN528"/>
      <c r="AO528"/>
      <c r="AP528"/>
      <c r="AQ528"/>
      <c r="AR528"/>
    </row>
    <row r="529" spans="1:44" s="10" customFormat="1" ht="15.75" customHeight="1" x14ac:dyDescent="0.25">
      <c r="A529" s="55">
        <v>176</v>
      </c>
      <c r="B529" s="633"/>
      <c r="C529" s="755"/>
      <c r="D529" s="824"/>
      <c r="E529" s="884"/>
      <c r="F529" s="33"/>
      <c r="G529" s="33"/>
      <c r="H529" s="45"/>
      <c r="I529" s="377"/>
      <c r="J529" s="774"/>
      <c r="K529" s="917">
        <f t="shared" si="126"/>
        <v>0</v>
      </c>
      <c r="L529" s="910"/>
      <c r="M529" s="910"/>
      <c r="N529" s="910"/>
      <c r="O529" s="910"/>
      <c r="P529" s="910"/>
      <c r="Q529" s="28">
        <f t="shared" si="127"/>
        <v>0</v>
      </c>
      <c r="R529" s="55"/>
      <c r="S529" s="301"/>
      <c r="T529" s="55"/>
      <c r="U529" s="24"/>
      <c r="V529" s="5"/>
      <c r="W529"/>
      <c r="X529"/>
      <c r="Y529"/>
      <c r="Z529"/>
      <c r="AA529"/>
      <c r="AB529"/>
      <c r="AC529"/>
      <c r="AD529"/>
      <c r="AE529"/>
      <c r="AF529"/>
      <c r="AG529"/>
      <c r="AH529"/>
      <c r="AI529"/>
      <c r="AJ529"/>
      <c r="AK529"/>
      <c r="AL529"/>
      <c r="AM529"/>
      <c r="AN529"/>
      <c r="AO529"/>
      <c r="AP529"/>
      <c r="AQ529"/>
      <c r="AR529"/>
    </row>
    <row r="530" spans="1:44" s="10" customFormat="1" ht="15.75" customHeight="1" x14ac:dyDescent="0.25">
      <c r="A530" s="55">
        <v>177</v>
      </c>
      <c r="B530" s="633"/>
      <c r="C530" s="755"/>
      <c r="D530" s="824"/>
      <c r="E530" s="884"/>
      <c r="F530" s="33"/>
      <c r="G530" s="33"/>
      <c r="H530" s="45"/>
      <c r="I530" s="377"/>
      <c r="J530" s="774"/>
      <c r="K530" s="917">
        <f t="shared" si="126"/>
        <v>0</v>
      </c>
      <c r="L530" s="910"/>
      <c r="M530" s="910"/>
      <c r="N530" s="910"/>
      <c r="O530" s="910"/>
      <c r="P530" s="910"/>
      <c r="Q530" s="28">
        <f t="shared" si="127"/>
        <v>0</v>
      </c>
      <c r="R530" s="55"/>
      <c r="S530" s="301"/>
      <c r="T530" s="55"/>
      <c r="U530" s="24"/>
      <c r="V530" s="5"/>
      <c r="W530"/>
      <c r="X530"/>
      <c r="Y530"/>
      <c r="Z530"/>
      <c r="AA530"/>
      <c r="AB530"/>
      <c r="AC530"/>
      <c r="AD530"/>
      <c r="AE530"/>
      <c r="AF530"/>
      <c r="AG530"/>
      <c r="AH530"/>
      <c r="AI530"/>
      <c r="AJ530"/>
      <c r="AK530"/>
      <c r="AL530"/>
      <c r="AM530"/>
      <c r="AN530"/>
      <c r="AO530"/>
      <c r="AP530"/>
      <c r="AQ530"/>
      <c r="AR530"/>
    </row>
    <row r="531" spans="1:44" s="10" customFormat="1" ht="15.75" customHeight="1" x14ac:dyDescent="0.25">
      <c r="A531" s="55">
        <v>178</v>
      </c>
      <c r="B531" s="633"/>
      <c r="C531" s="755"/>
      <c r="D531" s="824"/>
      <c r="E531" s="884"/>
      <c r="F531" s="33"/>
      <c r="G531" s="33"/>
      <c r="H531" s="45"/>
      <c r="I531" s="377"/>
      <c r="J531" s="774"/>
      <c r="K531" s="917">
        <f t="shared" si="126"/>
        <v>0</v>
      </c>
      <c r="L531" s="910"/>
      <c r="M531" s="910"/>
      <c r="N531" s="910"/>
      <c r="O531" s="910"/>
      <c r="P531" s="910"/>
      <c r="Q531" s="28">
        <f t="shared" si="127"/>
        <v>0</v>
      </c>
      <c r="R531" s="55"/>
      <c r="S531" s="301"/>
      <c r="T531" s="55"/>
      <c r="U531" s="24"/>
      <c r="V531" s="5"/>
      <c r="W531"/>
      <c r="X531"/>
      <c r="Y531"/>
      <c r="Z531"/>
      <c r="AA531"/>
      <c r="AB531"/>
      <c r="AC531"/>
      <c r="AD531"/>
      <c r="AE531"/>
      <c r="AF531"/>
      <c r="AG531"/>
      <c r="AH531"/>
      <c r="AI531"/>
      <c r="AJ531"/>
      <c r="AK531"/>
      <c r="AL531"/>
      <c r="AM531"/>
      <c r="AN531"/>
      <c r="AO531"/>
      <c r="AP531"/>
      <c r="AQ531"/>
      <c r="AR531"/>
    </row>
    <row r="532" spans="1:44" s="10" customFormat="1" ht="15.75" customHeight="1" x14ac:dyDescent="0.25">
      <c r="A532" s="55">
        <v>179</v>
      </c>
      <c r="B532" s="633"/>
      <c r="C532" s="755"/>
      <c r="D532" s="824"/>
      <c r="E532" s="884"/>
      <c r="F532" s="33"/>
      <c r="G532" s="33"/>
      <c r="H532" s="45"/>
      <c r="I532" s="377"/>
      <c r="J532" s="774"/>
      <c r="K532" s="917">
        <f t="shared" si="126"/>
        <v>0</v>
      </c>
      <c r="L532" s="910"/>
      <c r="M532" s="910"/>
      <c r="N532" s="910"/>
      <c r="O532" s="910"/>
      <c r="P532" s="910"/>
      <c r="Q532" s="28">
        <f t="shared" si="127"/>
        <v>0</v>
      </c>
      <c r="R532" s="55"/>
      <c r="S532" s="301"/>
      <c r="T532" s="55"/>
      <c r="U532" s="24"/>
      <c r="V532" s="5"/>
      <c r="W532"/>
      <c r="X532"/>
      <c r="Y532"/>
      <c r="Z532"/>
      <c r="AA532"/>
      <c r="AB532"/>
      <c r="AC532"/>
      <c r="AD532"/>
      <c r="AE532"/>
      <c r="AF532"/>
      <c r="AG532"/>
      <c r="AH532"/>
      <c r="AI532"/>
      <c r="AJ532"/>
      <c r="AK532"/>
      <c r="AL532"/>
      <c r="AM532"/>
      <c r="AN532"/>
      <c r="AO532"/>
      <c r="AP532"/>
      <c r="AQ532"/>
      <c r="AR532"/>
    </row>
    <row r="533" spans="1:44" s="10" customFormat="1" ht="15.75" customHeight="1" x14ac:dyDescent="0.25">
      <c r="A533" s="55">
        <v>180</v>
      </c>
      <c r="B533" s="633"/>
      <c r="C533" s="755"/>
      <c r="D533" s="824"/>
      <c r="E533" s="884"/>
      <c r="F533" s="33"/>
      <c r="G533" s="33"/>
      <c r="H533" s="45"/>
      <c r="I533" s="377"/>
      <c r="J533" s="774"/>
      <c r="K533" s="917">
        <f t="shared" si="126"/>
        <v>0</v>
      </c>
      <c r="L533" s="910"/>
      <c r="M533" s="910"/>
      <c r="N533" s="910"/>
      <c r="O533" s="910"/>
      <c r="P533" s="910"/>
      <c r="Q533" s="28">
        <f t="shared" si="127"/>
        <v>0</v>
      </c>
      <c r="R533" s="55"/>
      <c r="S533" s="301"/>
      <c r="T533" s="55"/>
      <c r="U533" s="24"/>
      <c r="V533" s="5"/>
      <c r="W533"/>
      <c r="X533"/>
      <c r="Y533"/>
      <c r="Z533"/>
      <c r="AA533"/>
      <c r="AB533"/>
      <c r="AC533"/>
      <c r="AD533"/>
      <c r="AE533"/>
      <c r="AF533"/>
      <c r="AG533"/>
      <c r="AH533"/>
      <c r="AI533"/>
      <c r="AJ533"/>
      <c r="AK533"/>
      <c r="AL533"/>
      <c r="AM533"/>
      <c r="AN533"/>
      <c r="AO533"/>
      <c r="AP533"/>
      <c r="AQ533"/>
      <c r="AR533"/>
    </row>
    <row r="534" spans="1:44" s="10" customFormat="1" ht="15.75" customHeight="1" x14ac:dyDescent="0.25">
      <c r="A534" s="55">
        <v>181</v>
      </c>
      <c r="B534" s="633"/>
      <c r="C534" s="755"/>
      <c r="D534" s="824"/>
      <c r="E534" s="884"/>
      <c r="F534" s="33"/>
      <c r="G534" s="33"/>
      <c r="H534" s="45"/>
      <c r="I534" s="377"/>
      <c r="J534" s="774"/>
      <c r="K534" s="917">
        <f t="shared" si="126"/>
        <v>0</v>
      </c>
      <c r="L534" s="910"/>
      <c r="M534" s="910"/>
      <c r="N534" s="910"/>
      <c r="O534" s="910"/>
      <c r="P534" s="910"/>
      <c r="Q534" s="28">
        <f t="shared" si="127"/>
        <v>0</v>
      </c>
      <c r="R534" s="55"/>
      <c r="S534" s="301"/>
      <c r="T534" s="55"/>
      <c r="U534" s="24"/>
      <c r="V534" s="5"/>
      <c r="W534"/>
      <c r="X534"/>
      <c r="Y534"/>
      <c r="Z534"/>
      <c r="AA534"/>
      <c r="AB534"/>
      <c r="AC534"/>
      <c r="AD534"/>
      <c r="AE534"/>
      <c r="AF534"/>
      <c r="AG534"/>
      <c r="AH534"/>
      <c r="AI534"/>
      <c r="AJ534"/>
      <c r="AK534"/>
      <c r="AL534"/>
      <c r="AM534"/>
      <c r="AN534"/>
      <c r="AO534"/>
      <c r="AP534"/>
      <c r="AQ534"/>
      <c r="AR534"/>
    </row>
    <row r="535" spans="1:44" s="10" customFormat="1" ht="15.75" customHeight="1" x14ac:dyDescent="0.25">
      <c r="A535" s="55">
        <v>182</v>
      </c>
      <c r="B535" s="633"/>
      <c r="C535" s="755"/>
      <c r="D535" s="824"/>
      <c r="E535" s="884"/>
      <c r="F535" s="33"/>
      <c r="G535" s="33"/>
      <c r="H535" s="45"/>
      <c r="I535" s="377"/>
      <c r="J535" s="774"/>
      <c r="K535" s="917">
        <f t="shared" si="126"/>
        <v>0</v>
      </c>
      <c r="L535" s="910"/>
      <c r="M535" s="910"/>
      <c r="N535" s="910"/>
      <c r="O535" s="910"/>
      <c r="P535" s="910"/>
      <c r="Q535" s="28">
        <f t="shared" si="127"/>
        <v>0</v>
      </c>
      <c r="R535" s="55"/>
      <c r="S535" s="301"/>
      <c r="T535" s="55"/>
      <c r="U535" s="24"/>
      <c r="V535" s="5"/>
      <c r="W535"/>
      <c r="X535"/>
      <c r="Y535"/>
      <c r="Z535"/>
      <c r="AA535"/>
      <c r="AB535"/>
      <c r="AC535"/>
      <c r="AD535"/>
      <c r="AE535"/>
      <c r="AF535"/>
      <c r="AG535"/>
      <c r="AH535"/>
      <c r="AI535"/>
      <c r="AJ535"/>
      <c r="AK535"/>
      <c r="AL535"/>
      <c r="AM535"/>
      <c r="AN535"/>
      <c r="AO535"/>
      <c r="AP535"/>
      <c r="AQ535"/>
      <c r="AR535"/>
    </row>
    <row r="536" spans="1:44" s="10" customFormat="1" ht="15.75" customHeight="1" x14ac:dyDescent="0.25">
      <c r="A536" s="55">
        <v>183</v>
      </c>
      <c r="B536" s="633"/>
      <c r="C536" s="755"/>
      <c r="D536" s="824"/>
      <c r="E536" s="884"/>
      <c r="F536" s="33"/>
      <c r="G536" s="33"/>
      <c r="H536" s="45"/>
      <c r="I536" s="377"/>
      <c r="J536" s="774"/>
      <c r="K536" s="917">
        <f t="shared" si="126"/>
        <v>0</v>
      </c>
      <c r="L536" s="910"/>
      <c r="M536" s="910"/>
      <c r="N536" s="910"/>
      <c r="O536" s="910"/>
      <c r="P536" s="910"/>
      <c r="Q536" s="28">
        <f t="shared" si="127"/>
        <v>0</v>
      </c>
      <c r="R536" s="55"/>
      <c r="S536" s="301"/>
      <c r="T536" s="55"/>
      <c r="U536" s="24"/>
      <c r="V536" s="5"/>
      <c r="W536"/>
      <c r="X536"/>
      <c r="Y536"/>
      <c r="Z536"/>
      <c r="AA536"/>
      <c r="AB536"/>
      <c r="AC536"/>
      <c r="AD536"/>
      <c r="AE536"/>
      <c r="AF536"/>
      <c r="AG536"/>
      <c r="AH536"/>
      <c r="AI536"/>
      <c r="AJ536"/>
      <c r="AK536"/>
      <c r="AL536"/>
      <c r="AM536"/>
      <c r="AN536"/>
      <c r="AO536"/>
      <c r="AP536"/>
      <c r="AQ536"/>
      <c r="AR536"/>
    </row>
    <row r="537" spans="1:44" s="10" customFormat="1" ht="15.75" customHeight="1" x14ac:dyDescent="0.25">
      <c r="A537" s="55">
        <v>184</v>
      </c>
      <c r="B537" s="633"/>
      <c r="C537" s="755"/>
      <c r="D537" s="824"/>
      <c r="E537" s="884"/>
      <c r="F537" s="33"/>
      <c r="G537" s="33"/>
      <c r="H537" s="45"/>
      <c r="I537" s="377"/>
      <c r="J537" s="774"/>
      <c r="K537" s="917">
        <f t="shared" si="126"/>
        <v>0</v>
      </c>
      <c r="L537" s="910"/>
      <c r="M537" s="910"/>
      <c r="N537" s="910"/>
      <c r="O537" s="910"/>
      <c r="P537" s="910"/>
      <c r="Q537" s="28">
        <f t="shared" si="127"/>
        <v>0</v>
      </c>
      <c r="R537" s="55"/>
      <c r="S537" s="301"/>
      <c r="T537" s="55"/>
      <c r="U537" s="24"/>
      <c r="V537" s="5"/>
      <c r="W537"/>
      <c r="X537"/>
      <c r="Y537"/>
      <c r="Z537"/>
      <c r="AA537"/>
      <c r="AB537"/>
      <c r="AC537"/>
      <c r="AD537"/>
      <c r="AE537"/>
      <c r="AF537"/>
      <c r="AG537"/>
      <c r="AH537"/>
      <c r="AI537"/>
      <c r="AJ537"/>
      <c r="AK537"/>
      <c r="AL537"/>
      <c r="AM537"/>
      <c r="AN537"/>
      <c r="AO537"/>
      <c r="AP537"/>
      <c r="AQ537"/>
      <c r="AR537"/>
    </row>
    <row r="538" spans="1:44" s="10" customFormat="1" ht="15.75" customHeight="1" x14ac:dyDescent="0.25">
      <c r="A538" s="55">
        <v>185</v>
      </c>
      <c r="B538" s="633"/>
      <c r="C538" s="755"/>
      <c r="D538" s="824"/>
      <c r="E538" s="884"/>
      <c r="F538" s="33"/>
      <c r="G538" s="33"/>
      <c r="H538" s="45"/>
      <c r="I538" s="377"/>
      <c r="J538" s="774"/>
      <c r="K538" s="917">
        <f t="shared" si="126"/>
        <v>0</v>
      </c>
      <c r="L538" s="910"/>
      <c r="M538" s="910"/>
      <c r="N538" s="910"/>
      <c r="O538" s="910"/>
      <c r="P538" s="910"/>
      <c r="Q538" s="28">
        <f t="shared" si="127"/>
        <v>0</v>
      </c>
      <c r="R538" s="55"/>
      <c r="S538" s="301"/>
      <c r="T538" s="55"/>
      <c r="U538" s="24"/>
      <c r="V538" s="5"/>
      <c r="W538"/>
      <c r="X538"/>
      <c r="Y538"/>
      <c r="Z538"/>
      <c r="AA538"/>
      <c r="AB538"/>
      <c r="AC538"/>
      <c r="AD538"/>
      <c r="AE538"/>
      <c r="AF538"/>
      <c r="AG538"/>
      <c r="AH538"/>
      <c r="AI538"/>
      <c r="AJ538"/>
      <c r="AK538"/>
      <c r="AL538"/>
      <c r="AM538"/>
      <c r="AN538"/>
      <c r="AO538"/>
      <c r="AP538"/>
      <c r="AQ538"/>
      <c r="AR538"/>
    </row>
    <row r="539" spans="1:44" s="10" customFormat="1" ht="15.75" customHeight="1" x14ac:dyDescent="0.25">
      <c r="A539" s="55">
        <v>186</v>
      </c>
      <c r="B539" s="633"/>
      <c r="C539" s="755"/>
      <c r="D539" s="824"/>
      <c r="E539" s="884"/>
      <c r="F539" s="33"/>
      <c r="G539" s="33"/>
      <c r="H539" s="45"/>
      <c r="I539" s="377"/>
      <c r="J539" s="774"/>
      <c r="K539" s="917">
        <f t="shared" si="126"/>
        <v>0</v>
      </c>
      <c r="L539" s="910"/>
      <c r="M539" s="910"/>
      <c r="N539" s="910"/>
      <c r="O539" s="910"/>
      <c r="P539" s="910"/>
      <c r="Q539" s="28">
        <f t="shared" si="127"/>
        <v>0</v>
      </c>
      <c r="R539" s="55"/>
      <c r="S539" s="301"/>
      <c r="T539" s="55"/>
      <c r="U539" s="24"/>
      <c r="V539" s="5"/>
      <c r="W539"/>
      <c r="X539"/>
      <c r="Y539"/>
      <c r="Z539"/>
      <c r="AA539"/>
      <c r="AB539"/>
      <c r="AC539"/>
      <c r="AD539"/>
      <c r="AE539"/>
      <c r="AF539"/>
      <c r="AG539"/>
      <c r="AH539"/>
      <c r="AI539"/>
      <c r="AJ539"/>
      <c r="AK539"/>
      <c r="AL539"/>
      <c r="AM539"/>
      <c r="AN539"/>
      <c r="AO539"/>
      <c r="AP539"/>
      <c r="AQ539"/>
      <c r="AR539"/>
    </row>
    <row r="540" spans="1:44" s="10" customFormat="1" ht="15.75" customHeight="1" x14ac:dyDescent="0.25">
      <c r="A540" s="55">
        <v>187</v>
      </c>
      <c r="B540" s="633"/>
      <c r="C540" s="755"/>
      <c r="D540" s="824"/>
      <c r="E540" s="884"/>
      <c r="F540" s="33"/>
      <c r="G540" s="33"/>
      <c r="H540" s="45"/>
      <c r="I540" s="377"/>
      <c r="J540" s="774"/>
      <c r="K540" s="917">
        <f t="shared" si="126"/>
        <v>0</v>
      </c>
      <c r="L540" s="910"/>
      <c r="M540" s="910"/>
      <c r="N540" s="910"/>
      <c r="O540" s="910"/>
      <c r="P540" s="910"/>
      <c r="Q540" s="28">
        <f t="shared" si="127"/>
        <v>0</v>
      </c>
      <c r="R540" s="55"/>
      <c r="S540" s="301"/>
      <c r="T540" s="55"/>
      <c r="U540" s="24"/>
      <c r="V540" s="5"/>
      <c r="W540"/>
      <c r="X540"/>
      <c r="Y540"/>
      <c r="Z540"/>
      <c r="AA540"/>
      <c r="AB540"/>
      <c r="AC540"/>
      <c r="AD540"/>
      <c r="AE540"/>
      <c r="AF540"/>
      <c r="AG540"/>
      <c r="AH540"/>
      <c r="AI540"/>
      <c r="AJ540"/>
      <c r="AK540"/>
      <c r="AL540"/>
      <c r="AM540"/>
      <c r="AN540"/>
      <c r="AO540"/>
      <c r="AP540"/>
      <c r="AQ540"/>
      <c r="AR540"/>
    </row>
    <row r="541" spans="1:44" s="10" customFormat="1" ht="15.75" customHeight="1" x14ac:dyDescent="0.25">
      <c r="A541" s="55">
        <v>188</v>
      </c>
      <c r="B541" s="633"/>
      <c r="C541" s="755"/>
      <c r="D541" s="824"/>
      <c r="E541" s="884"/>
      <c r="F541" s="33"/>
      <c r="G541" s="33"/>
      <c r="H541" s="45"/>
      <c r="I541" s="377"/>
      <c r="J541" s="774"/>
      <c r="K541" s="917">
        <f t="shared" si="126"/>
        <v>0</v>
      </c>
      <c r="L541" s="910"/>
      <c r="M541" s="910"/>
      <c r="N541" s="910"/>
      <c r="O541" s="910"/>
      <c r="P541" s="910"/>
      <c r="Q541" s="28">
        <f t="shared" si="127"/>
        <v>0</v>
      </c>
      <c r="R541" s="55"/>
      <c r="S541" s="301"/>
      <c r="T541" s="55"/>
      <c r="U541" s="24"/>
      <c r="V541" s="5"/>
      <c r="W541"/>
      <c r="X541"/>
      <c r="Y541"/>
      <c r="Z541"/>
      <c r="AA541"/>
      <c r="AB541"/>
      <c r="AC541"/>
      <c r="AD541"/>
      <c r="AE541"/>
      <c r="AF541"/>
      <c r="AG541"/>
      <c r="AH541"/>
      <c r="AI541"/>
      <c r="AJ541"/>
      <c r="AK541"/>
      <c r="AL541"/>
      <c r="AM541"/>
      <c r="AN541"/>
      <c r="AO541"/>
      <c r="AP541"/>
      <c r="AQ541"/>
      <c r="AR541"/>
    </row>
    <row r="542" spans="1:44" s="10" customFormat="1" ht="15.75" customHeight="1" x14ac:dyDescent="0.25">
      <c r="A542" s="55">
        <v>189</v>
      </c>
      <c r="B542" s="633"/>
      <c r="C542" s="755"/>
      <c r="D542" s="824"/>
      <c r="E542" s="884"/>
      <c r="F542" s="33"/>
      <c r="G542" s="33"/>
      <c r="H542" s="45"/>
      <c r="I542" s="377"/>
      <c r="J542" s="774"/>
      <c r="K542" s="917">
        <f t="shared" si="126"/>
        <v>0</v>
      </c>
      <c r="L542" s="910"/>
      <c r="M542" s="910"/>
      <c r="N542" s="910"/>
      <c r="O542" s="910"/>
      <c r="P542" s="910"/>
      <c r="Q542" s="28">
        <f t="shared" si="127"/>
        <v>0</v>
      </c>
      <c r="R542" s="55"/>
      <c r="S542" s="301"/>
      <c r="T542" s="55"/>
      <c r="U542" s="24"/>
      <c r="V542" s="5"/>
      <c r="W542"/>
      <c r="X542"/>
      <c r="Y542"/>
      <c r="Z542"/>
      <c r="AA542"/>
      <c r="AB542"/>
      <c r="AC542"/>
      <c r="AD542"/>
      <c r="AE542"/>
      <c r="AF542"/>
      <c r="AG542"/>
      <c r="AH542"/>
      <c r="AI542"/>
      <c r="AJ542"/>
      <c r="AK542"/>
      <c r="AL542"/>
      <c r="AM542"/>
      <c r="AN542"/>
      <c r="AO542"/>
      <c r="AP542"/>
      <c r="AQ542"/>
      <c r="AR542"/>
    </row>
    <row r="543" spans="1:44" s="10" customFormat="1" ht="15.75" customHeight="1" x14ac:dyDescent="0.25">
      <c r="A543" s="55">
        <v>190</v>
      </c>
      <c r="B543" s="633"/>
      <c r="C543" s="755"/>
      <c r="D543" s="824"/>
      <c r="E543" s="884"/>
      <c r="F543" s="33"/>
      <c r="G543" s="33"/>
      <c r="H543" s="45"/>
      <c r="I543" s="377"/>
      <c r="J543" s="774"/>
      <c r="K543" s="917">
        <f t="shared" si="126"/>
        <v>0</v>
      </c>
      <c r="L543" s="910"/>
      <c r="M543" s="910"/>
      <c r="N543" s="910"/>
      <c r="O543" s="910"/>
      <c r="P543" s="910"/>
      <c r="Q543" s="28">
        <f t="shared" si="127"/>
        <v>0</v>
      </c>
      <c r="R543" s="55"/>
      <c r="S543" s="301"/>
      <c r="T543" s="55"/>
      <c r="U543" s="24"/>
      <c r="V543" s="5"/>
      <c r="W543"/>
      <c r="X543"/>
      <c r="Y543"/>
      <c r="Z543"/>
      <c r="AA543"/>
      <c r="AB543"/>
      <c r="AC543"/>
      <c r="AD543"/>
      <c r="AE543"/>
      <c r="AF543"/>
      <c r="AG543"/>
      <c r="AH543"/>
      <c r="AI543"/>
      <c r="AJ543"/>
      <c r="AK543"/>
      <c r="AL543"/>
      <c r="AM543"/>
      <c r="AN543"/>
      <c r="AO543"/>
      <c r="AP543"/>
      <c r="AQ543"/>
      <c r="AR543"/>
    </row>
    <row r="544" spans="1:44" s="10" customFormat="1" ht="15.75" customHeight="1" x14ac:dyDescent="0.25">
      <c r="A544" s="55">
        <v>191</v>
      </c>
      <c r="B544" s="633"/>
      <c r="C544" s="755"/>
      <c r="D544" s="824"/>
      <c r="E544" s="884"/>
      <c r="F544" s="33"/>
      <c r="G544" s="33"/>
      <c r="H544" s="45"/>
      <c r="I544" s="377"/>
      <c r="J544" s="774"/>
      <c r="K544" s="917">
        <f t="shared" si="126"/>
        <v>0</v>
      </c>
      <c r="L544" s="910"/>
      <c r="M544" s="910"/>
      <c r="N544" s="910"/>
      <c r="O544" s="910"/>
      <c r="P544" s="910"/>
      <c r="Q544" s="28">
        <f t="shared" si="127"/>
        <v>0</v>
      </c>
      <c r="R544" s="55"/>
      <c r="S544" s="301"/>
      <c r="T544" s="55"/>
      <c r="U544" s="24"/>
      <c r="V544" s="5"/>
      <c r="W544"/>
      <c r="X544"/>
      <c r="Y544"/>
      <c r="Z544"/>
      <c r="AA544"/>
      <c r="AB544"/>
      <c r="AC544"/>
      <c r="AD544"/>
      <c r="AE544"/>
      <c r="AF544"/>
      <c r="AG544"/>
      <c r="AH544"/>
      <c r="AI544"/>
      <c r="AJ544"/>
      <c r="AK544"/>
      <c r="AL544"/>
      <c r="AM544"/>
      <c r="AN544"/>
      <c r="AO544"/>
      <c r="AP544"/>
      <c r="AQ544"/>
      <c r="AR544"/>
    </row>
    <row r="545" spans="1:44" s="10" customFormat="1" ht="15.75" customHeight="1" x14ac:dyDescent="0.25">
      <c r="A545" s="55">
        <v>192</v>
      </c>
      <c r="B545" s="633"/>
      <c r="C545" s="755"/>
      <c r="D545" s="824"/>
      <c r="E545" s="884"/>
      <c r="F545" s="33"/>
      <c r="G545" s="33"/>
      <c r="H545" s="45"/>
      <c r="I545" s="377"/>
      <c r="J545" s="774"/>
      <c r="K545" s="917">
        <f t="shared" si="126"/>
        <v>0</v>
      </c>
      <c r="L545" s="910"/>
      <c r="M545" s="910"/>
      <c r="N545" s="910"/>
      <c r="O545" s="910"/>
      <c r="P545" s="910"/>
      <c r="Q545" s="28">
        <f t="shared" si="127"/>
        <v>0</v>
      </c>
      <c r="R545" s="55"/>
      <c r="S545" s="301"/>
      <c r="T545" s="55"/>
      <c r="U545" s="24"/>
      <c r="V545" s="5"/>
      <c r="W545"/>
      <c r="X545"/>
      <c r="Y545"/>
      <c r="Z545"/>
      <c r="AA545"/>
      <c r="AB545"/>
      <c r="AC545"/>
      <c r="AD545"/>
      <c r="AE545"/>
      <c r="AF545"/>
      <c r="AG545"/>
      <c r="AH545"/>
      <c r="AI545"/>
      <c r="AJ545"/>
      <c r="AK545"/>
      <c r="AL545"/>
      <c r="AM545"/>
      <c r="AN545"/>
      <c r="AO545"/>
      <c r="AP545"/>
      <c r="AQ545"/>
      <c r="AR545"/>
    </row>
    <row r="546" spans="1:44" s="10" customFormat="1" ht="15.75" customHeight="1" x14ac:dyDescent="0.25">
      <c r="A546" s="55">
        <v>193</v>
      </c>
      <c r="B546" s="633"/>
      <c r="C546" s="755"/>
      <c r="D546" s="824"/>
      <c r="E546" s="884"/>
      <c r="F546" s="33"/>
      <c r="G546" s="33"/>
      <c r="H546" s="45"/>
      <c r="I546" s="377"/>
      <c r="J546" s="774"/>
      <c r="K546" s="917">
        <f t="shared" si="126"/>
        <v>0</v>
      </c>
      <c r="L546" s="910"/>
      <c r="M546" s="910"/>
      <c r="N546" s="910"/>
      <c r="O546" s="910"/>
      <c r="P546" s="910"/>
      <c r="Q546" s="28">
        <f t="shared" si="127"/>
        <v>0</v>
      </c>
      <c r="R546" s="55"/>
      <c r="S546" s="301"/>
      <c r="T546" s="55"/>
      <c r="U546" s="24"/>
      <c r="V546" s="5"/>
      <c r="W546"/>
      <c r="X546"/>
      <c r="Y546"/>
      <c r="Z546"/>
      <c r="AA546"/>
      <c r="AB546"/>
      <c r="AC546"/>
      <c r="AD546"/>
      <c r="AE546"/>
      <c r="AF546"/>
      <c r="AG546"/>
      <c r="AH546"/>
      <c r="AI546"/>
      <c r="AJ546"/>
      <c r="AK546"/>
      <c r="AL546"/>
      <c r="AM546"/>
      <c r="AN546"/>
      <c r="AO546"/>
      <c r="AP546"/>
      <c r="AQ546"/>
      <c r="AR546"/>
    </row>
    <row r="547" spans="1:44" s="10" customFormat="1" ht="15.75" customHeight="1" x14ac:dyDescent="0.25">
      <c r="A547" s="55">
        <v>194</v>
      </c>
      <c r="B547" s="633"/>
      <c r="C547" s="755"/>
      <c r="D547" s="824"/>
      <c r="E547" s="884"/>
      <c r="F547" s="33"/>
      <c r="G547" s="33"/>
      <c r="H547" s="45"/>
      <c r="I547" s="377"/>
      <c r="J547" s="774"/>
      <c r="K547" s="917">
        <f t="shared" si="126"/>
        <v>0</v>
      </c>
      <c r="L547" s="910"/>
      <c r="M547" s="910"/>
      <c r="N547" s="910"/>
      <c r="O547" s="910"/>
      <c r="P547" s="910"/>
      <c r="Q547" s="28">
        <f t="shared" si="127"/>
        <v>0</v>
      </c>
      <c r="R547" s="55"/>
      <c r="S547" s="301"/>
      <c r="T547" s="55"/>
      <c r="U547" s="24"/>
      <c r="V547" s="5"/>
      <c r="W547"/>
      <c r="X547"/>
      <c r="Y547"/>
      <c r="Z547"/>
      <c r="AA547"/>
      <c r="AB547"/>
      <c r="AC547"/>
      <c r="AD547"/>
      <c r="AE547"/>
      <c r="AF547"/>
      <c r="AG547"/>
      <c r="AH547"/>
      <c r="AI547"/>
      <c r="AJ547"/>
      <c r="AK547"/>
      <c r="AL547"/>
      <c r="AM547"/>
      <c r="AN547"/>
      <c r="AO547"/>
      <c r="AP547"/>
      <c r="AQ547"/>
      <c r="AR547"/>
    </row>
    <row r="548" spans="1:44" s="10" customFormat="1" ht="15.75" customHeight="1" x14ac:dyDescent="0.25">
      <c r="A548" s="55">
        <v>195</v>
      </c>
      <c r="B548" s="633"/>
      <c r="C548" s="755"/>
      <c r="D548" s="824"/>
      <c r="E548" s="884"/>
      <c r="F548" s="33"/>
      <c r="G548" s="33"/>
      <c r="H548" s="45"/>
      <c r="I548" s="377"/>
      <c r="J548" s="774"/>
      <c r="K548" s="917">
        <f t="shared" si="126"/>
        <v>0</v>
      </c>
      <c r="L548" s="910"/>
      <c r="M548" s="910"/>
      <c r="N548" s="910"/>
      <c r="O548" s="910"/>
      <c r="P548" s="910"/>
      <c r="Q548" s="28">
        <f t="shared" si="127"/>
        <v>0</v>
      </c>
      <c r="R548" s="55"/>
      <c r="S548" s="301"/>
      <c r="T548" s="55"/>
      <c r="U548" s="24"/>
      <c r="V548" s="5"/>
      <c r="W548"/>
      <c r="X548"/>
      <c r="Y548"/>
      <c r="Z548"/>
      <c r="AA548"/>
      <c r="AB548"/>
      <c r="AC548"/>
      <c r="AD548"/>
      <c r="AE548"/>
      <c r="AF548"/>
      <c r="AG548"/>
      <c r="AH548"/>
      <c r="AI548"/>
      <c r="AJ548"/>
      <c r="AK548"/>
      <c r="AL548"/>
      <c r="AM548"/>
      <c r="AN548"/>
      <c r="AO548"/>
      <c r="AP548"/>
      <c r="AQ548"/>
      <c r="AR548"/>
    </row>
    <row r="549" spans="1:44" s="10" customFormat="1" ht="15.75" customHeight="1" x14ac:dyDescent="0.25">
      <c r="A549" s="55">
        <v>196</v>
      </c>
      <c r="B549" s="633"/>
      <c r="C549" s="755"/>
      <c r="D549" s="824"/>
      <c r="E549" s="884"/>
      <c r="F549" s="33"/>
      <c r="G549" s="33"/>
      <c r="H549" s="45"/>
      <c r="I549" s="377"/>
      <c r="J549" s="774"/>
      <c r="K549" s="917">
        <f t="shared" si="126"/>
        <v>0</v>
      </c>
      <c r="L549" s="910"/>
      <c r="M549" s="910"/>
      <c r="N549" s="910"/>
      <c r="O549" s="910"/>
      <c r="P549" s="910"/>
      <c r="Q549" s="28">
        <f t="shared" si="127"/>
        <v>0</v>
      </c>
      <c r="R549" s="55"/>
      <c r="S549" s="301"/>
      <c r="T549" s="55"/>
      <c r="U549" s="24"/>
      <c r="V549" s="5"/>
      <c r="W549"/>
      <c r="X549"/>
      <c r="Y549"/>
      <c r="Z549"/>
      <c r="AA549"/>
      <c r="AB549"/>
      <c r="AC549"/>
      <c r="AD549"/>
      <c r="AE549"/>
      <c r="AF549"/>
      <c r="AG549"/>
      <c r="AH549"/>
      <c r="AI549"/>
      <c r="AJ549"/>
      <c r="AK549"/>
      <c r="AL549"/>
      <c r="AM549"/>
      <c r="AN549"/>
      <c r="AO549"/>
      <c r="AP549"/>
      <c r="AQ549"/>
      <c r="AR549"/>
    </row>
    <row r="550" spans="1:44" s="10" customFormat="1" ht="15.75" customHeight="1" x14ac:dyDescent="0.25">
      <c r="A550" s="55">
        <v>197</v>
      </c>
      <c r="B550" s="633"/>
      <c r="C550" s="755"/>
      <c r="D550" s="824"/>
      <c r="E550" s="884"/>
      <c r="F550" s="33"/>
      <c r="G550" s="33"/>
      <c r="H550" s="45"/>
      <c r="I550" s="377"/>
      <c r="J550" s="774"/>
      <c r="K550" s="917">
        <f t="shared" ref="K550:K601" si="131">H550</f>
        <v>0</v>
      </c>
      <c r="L550" s="910"/>
      <c r="M550" s="910"/>
      <c r="N550" s="910"/>
      <c r="O550" s="910"/>
      <c r="P550" s="910"/>
      <c r="Q550" s="28">
        <f t="shared" si="127"/>
        <v>0</v>
      </c>
      <c r="R550" s="55"/>
      <c r="S550" s="301"/>
      <c r="T550" s="55"/>
      <c r="U550" s="24"/>
      <c r="V550" s="5"/>
      <c r="W550"/>
      <c r="X550"/>
      <c r="Y550"/>
      <c r="Z550"/>
      <c r="AA550"/>
      <c r="AB550"/>
      <c r="AC550"/>
      <c r="AD550"/>
      <c r="AE550"/>
      <c r="AF550"/>
      <c r="AG550"/>
      <c r="AH550"/>
      <c r="AI550"/>
      <c r="AJ550"/>
      <c r="AK550"/>
      <c r="AL550"/>
      <c r="AM550"/>
      <c r="AN550"/>
      <c r="AO550"/>
      <c r="AP550"/>
      <c r="AQ550"/>
      <c r="AR550"/>
    </row>
    <row r="551" spans="1:44" s="10" customFormat="1" ht="15.75" customHeight="1" x14ac:dyDescent="0.25">
      <c r="A551" s="55">
        <v>198</v>
      </c>
      <c r="B551" s="633"/>
      <c r="C551" s="755"/>
      <c r="D551" s="824"/>
      <c r="E551" s="884"/>
      <c r="F551" s="33"/>
      <c r="G551" s="33"/>
      <c r="H551" s="45"/>
      <c r="I551" s="377"/>
      <c r="J551" s="774"/>
      <c r="K551" s="917">
        <f t="shared" si="131"/>
        <v>0</v>
      </c>
      <c r="L551" s="910"/>
      <c r="M551" s="910"/>
      <c r="N551" s="910"/>
      <c r="O551" s="910"/>
      <c r="P551" s="910"/>
      <c r="Q551" s="28">
        <f t="shared" si="127"/>
        <v>0</v>
      </c>
      <c r="R551" s="55"/>
      <c r="S551" s="301"/>
      <c r="T551" s="55"/>
      <c r="U551" s="24"/>
      <c r="V551" s="5"/>
      <c r="W551"/>
      <c r="X551"/>
      <c r="Y551"/>
      <c r="Z551"/>
      <c r="AA551"/>
      <c r="AB551"/>
      <c r="AC551"/>
      <c r="AD551"/>
      <c r="AE551"/>
      <c r="AF551"/>
      <c r="AG551"/>
      <c r="AH551"/>
      <c r="AI551"/>
      <c r="AJ551"/>
      <c r="AK551"/>
      <c r="AL551"/>
      <c r="AM551"/>
      <c r="AN551"/>
      <c r="AO551"/>
      <c r="AP551"/>
      <c r="AQ551"/>
      <c r="AR551"/>
    </row>
    <row r="552" spans="1:44" s="10" customFormat="1" ht="15.75" customHeight="1" x14ac:dyDescent="0.25">
      <c r="A552" s="55">
        <v>199</v>
      </c>
      <c r="B552" s="633"/>
      <c r="C552" s="755"/>
      <c r="D552" s="824"/>
      <c r="E552" s="884"/>
      <c r="F552" s="33"/>
      <c r="G552" s="33"/>
      <c r="H552" s="45"/>
      <c r="I552" s="377"/>
      <c r="J552" s="774"/>
      <c r="K552" s="917">
        <f t="shared" si="131"/>
        <v>0</v>
      </c>
      <c r="L552" s="910"/>
      <c r="M552" s="910"/>
      <c r="N552" s="910"/>
      <c r="O552" s="910"/>
      <c r="P552" s="910"/>
      <c r="Q552" s="28">
        <f t="shared" si="127"/>
        <v>0</v>
      </c>
      <c r="R552" s="55"/>
      <c r="S552" s="301"/>
      <c r="T552" s="55"/>
      <c r="U552" s="24"/>
      <c r="V552" s="5"/>
      <c r="W552"/>
      <c r="X552"/>
      <c r="Y552"/>
      <c r="Z552"/>
      <c r="AA552"/>
      <c r="AB552"/>
      <c r="AC552"/>
      <c r="AD552"/>
      <c r="AE552"/>
      <c r="AF552"/>
      <c r="AG552"/>
      <c r="AH552"/>
      <c r="AI552"/>
      <c r="AJ552"/>
      <c r="AK552"/>
      <c r="AL552"/>
      <c r="AM552"/>
      <c r="AN552"/>
      <c r="AO552"/>
      <c r="AP552"/>
      <c r="AQ552"/>
      <c r="AR552"/>
    </row>
    <row r="553" spans="1:44" s="10" customFormat="1" ht="15.75" customHeight="1" x14ac:dyDescent="0.25">
      <c r="A553" s="55">
        <v>200</v>
      </c>
      <c r="B553" s="633"/>
      <c r="C553" s="755"/>
      <c r="D553" s="824"/>
      <c r="E553" s="884"/>
      <c r="F553" s="33"/>
      <c r="G553" s="33"/>
      <c r="H553" s="45"/>
      <c r="I553" s="377"/>
      <c r="J553" s="774"/>
      <c r="K553" s="917">
        <f t="shared" si="131"/>
        <v>0</v>
      </c>
      <c r="L553" s="910"/>
      <c r="M553" s="910"/>
      <c r="N553" s="910"/>
      <c r="O553" s="910"/>
      <c r="P553" s="910"/>
      <c r="Q553" s="28">
        <f t="shared" si="127"/>
        <v>0</v>
      </c>
      <c r="R553" s="55"/>
      <c r="S553" s="301"/>
      <c r="T553" s="55"/>
      <c r="U553" s="24"/>
      <c r="V553" s="5"/>
      <c r="W553"/>
      <c r="X553"/>
      <c r="Y553"/>
      <c r="Z553"/>
      <c r="AA553"/>
      <c r="AB553"/>
      <c r="AC553"/>
      <c r="AD553"/>
      <c r="AE553"/>
      <c r="AF553"/>
      <c r="AG553"/>
      <c r="AH553"/>
      <c r="AI553"/>
      <c r="AJ553"/>
      <c r="AK553"/>
      <c r="AL553"/>
      <c r="AM553"/>
      <c r="AN553"/>
      <c r="AO553"/>
      <c r="AP553"/>
      <c r="AQ553"/>
      <c r="AR553"/>
    </row>
    <row r="554" spans="1:44" s="10" customFormat="1" ht="15.75" customHeight="1" x14ac:dyDescent="0.25">
      <c r="A554" s="55">
        <v>201</v>
      </c>
      <c r="B554" s="633"/>
      <c r="C554" s="755"/>
      <c r="D554" s="824"/>
      <c r="E554" s="884"/>
      <c r="F554" s="33"/>
      <c r="G554" s="33"/>
      <c r="H554" s="45"/>
      <c r="I554" s="377"/>
      <c r="J554" s="774"/>
      <c r="K554" s="917">
        <f t="shared" si="131"/>
        <v>0</v>
      </c>
      <c r="L554" s="910"/>
      <c r="M554" s="910"/>
      <c r="N554" s="910"/>
      <c r="O554" s="910"/>
      <c r="P554" s="910"/>
      <c r="Q554" s="28">
        <f t="shared" si="127"/>
        <v>0</v>
      </c>
      <c r="R554" s="55"/>
      <c r="S554" s="301"/>
      <c r="T554" s="55"/>
      <c r="U554" s="24"/>
      <c r="V554" s="5"/>
      <c r="W554"/>
      <c r="X554"/>
      <c r="Y554"/>
      <c r="Z554"/>
      <c r="AA554"/>
      <c r="AB554"/>
      <c r="AC554"/>
      <c r="AD554"/>
      <c r="AE554"/>
      <c r="AF554"/>
      <c r="AG554"/>
      <c r="AH554"/>
      <c r="AI554"/>
      <c r="AJ554"/>
      <c r="AK554"/>
      <c r="AL554"/>
      <c r="AM554"/>
      <c r="AN554"/>
      <c r="AO554"/>
      <c r="AP554"/>
      <c r="AQ554"/>
      <c r="AR554"/>
    </row>
    <row r="555" spans="1:44" s="10" customFormat="1" ht="15.75" customHeight="1" x14ac:dyDescent="0.25">
      <c r="A555" s="55">
        <v>202</v>
      </c>
      <c r="B555" s="633"/>
      <c r="C555" s="755"/>
      <c r="D555" s="824"/>
      <c r="E555" s="884"/>
      <c r="F555" s="33"/>
      <c r="G555" s="33"/>
      <c r="H555" s="45"/>
      <c r="I555" s="377"/>
      <c r="J555" s="774"/>
      <c r="K555" s="917">
        <f t="shared" si="131"/>
        <v>0</v>
      </c>
      <c r="L555" s="910"/>
      <c r="M555" s="910"/>
      <c r="N555" s="910"/>
      <c r="O555" s="910"/>
      <c r="P555" s="910"/>
      <c r="Q555" s="28">
        <f t="shared" si="127"/>
        <v>0</v>
      </c>
      <c r="R555" s="55"/>
      <c r="S555" s="301"/>
      <c r="T555" s="55"/>
      <c r="U555" s="24"/>
      <c r="V555" s="5"/>
      <c r="W555"/>
      <c r="X555"/>
      <c r="Y555"/>
      <c r="Z555"/>
      <c r="AA555"/>
      <c r="AB555"/>
      <c r="AC555"/>
      <c r="AD555"/>
      <c r="AE555"/>
      <c r="AF555"/>
      <c r="AG555"/>
      <c r="AH555"/>
      <c r="AI555"/>
      <c r="AJ555"/>
      <c r="AK555"/>
      <c r="AL555"/>
      <c r="AM555"/>
      <c r="AN555"/>
      <c r="AO555"/>
      <c r="AP555"/>
      <c r="AQ555"/>
      <c r="AR555"/>
    </row>
    <row r="556" spans="1:44" s="10" customFormat="1" ht="15.75" customHeight="1" x14ac:dyDescent="0.25">
      <c r="A556" s="55">
        <v>203</v>
      </c>
      <c r="B556" s="633"/>
      <c r="C556" s="755"/>
      <c r="D556" s="824"/>
      <c r="E556" s="884"/>
      <c r="F556" s="33"/>
      <c r="G556" s="33"/>
      <c r="H556" s="45"/>
      <c r="I556" s="377"/>
      <c r="J556" s="774"/>
      <c r="K556" s="917">
        <f t="shared" si="131"/>
        <v>0</v>
      </c>
      <c r="L556" s="910"/>
      <c r="M556" s="910"/>
      <c r="N556" s="910"/>
      <c r="O556" s="910"/>
      <c r="P556" s="910"/>
      <c r="Q556" s="28">
        <f t="shared" si="127"/>
        <v>0</v>
      </c>
      <c r="R556" s="55"/>
      <c r="S556" s="301"/>
      <c r="T556" s="55"/>
      <c r="U556" s="24"/>
      <c r="V556" s="5"/>
      <c r="W556"/>
      <c r="X556"/>
      <c r="Y556"/>
      <c r="Z556"/>
      <c r="AA556"/>
      <c r="AB556"/>
      <c r="AC556"/>
      <c r="AD556"/>
      <c r="AE556"/>
      <c r="AF556"/>
      <c r="AG556"/>
      <c r="AH556"/>
      <c r="AI556"/>
      <c r="AJ556"/>
      <c r="AK556"/>
      <c r="AL556"/>
      <c r="AM556"/>
      <c r="AN556"/>
      <c r="AO556"/>
      <c r="AP556"/>
      <c r="AQ556"/>
      <c r="AR556"/>
    </row>
    <row r="557" spans="1:44" s="10" customFormat="1" ht="15.75" customHeight="1" x14ac:dyDescent="0.25">
      <c r="A557" s="55">
        <v>204</v>
      </c>
      <c r="B557" s="633"/>
      <c r="C557" s="755"/>
      <c r="D557" s="824"/>
      <c r="E557" s="884"/>
      <c r="F557" s="33"/>
      <c r="G557" s="33"/>
      <c r="H557" s="45"/>
      <c r="I557" s="377"/>
      <c r="J557" s="774"/>
      <c r="K557" s="917">
        <f t="shared" si="131"/>
        <v>0</v>
      </c>
      <c r="L557" s="910"/>
      <c r="M557" s="910"/>
      <c r="N557" s="910"/>
      <c r="O557" s="910"/>
      <c r="P557" s="910"/>
      <c r="Q557" s="28">
        <f t="shared" si="127"/>
        <v>0</v>
      </c>
      <c r="R557" s="55"/>
      <c r="S557" s="301"/>
      <c r="T557" s="55"/>
      <c r="U557" s="24"/>
      <c r="V557" s="5"/>
      <c r="W557"/>
      <c r="X557"/>
      <c r="Y557"/>
      <c r="Z557"/>
      <c r="AA557"/>
      <c r="AB557"/>
      <c r="AC557"/>
      <c r="AD557"/>
      <c r="AE557"/>
      <c r="AF557"/>
      <c r="AG557"/>
      <c r="AH557"/>
      <c r="AI557"/>
      <c r="AJ557"/>
      <c r="AK557"/>
      <c r="AL557"/>
      <c r="AM557"/>
      <c r="AN557"/>
      <c r="AO557"/>
      <c r="AP557"/>
      <c r="AQ557"/>
      <c r="AR557"/>
    </row>
    <row r="558" spans="1:44" s="10" customFormat="1" ht="15.75" customHeight="1" x14ac:dyDescent="0.25">
      <c r="A558" s="55">
        <v>205</v>
      </c>
      <c r="B558" s="633"/>
      <c r="C558" s="755"/>
      <c r="D558" s="824"/>
      <c r="E558" s="884"/>
      <c r="F558" s="33"/>
      <c r="G558" s="33"/>
      <c r="H558" s="45"/>
      <c r="I558" s="377"/>
      <c r="J558" s="774"/>
      <c r="K558" s="917">
        <f t="shared" si="131"/>
        <v>0</v>
      </c>
      <c r="L558" s="910"/>
      <c r="M558" s="910"/>
      <c r="N558" s="910"/>
      <c r="O558" s="910"/>
      <c r="P558" s="910"/>
      <c r="Q558" s="28">
        <f t="shared" si="127"/>
        <v>0</v>
      </c>
      <c r="R558" s="55"/>
      <c r="S558" s="301"/>
      <c r="T558" s="55"/>
      <c r="U558" s="24"/>
      <c r="V558" s="5"/>
      <c r="W558"/>
      <c r="X558"/>
      <c r="Y558"/>
      <c r="Z558"/>
      <c r="AA558"/>
      <c r="AB558"/>
      <c r="AC558"/>
      <c r="AD558"/>
      <c r="AE558"/>
      <c r="AF558"/>
      <c r="AG558"/>
      <c r="AH558"/>
      <c r="AI558"/>
      <c r="AJ558"/>
      <c r="AK558"/>
      <c r="AL558"/>
      <c r="AM558"/>
      <c r="AN558"/>
      <c r="AO558"/>
      <c r="AP558"/>
      <c r="AQ558"/>
      <c r="AR558"/>
    </row>
    <row r="559" spans="1:44" s="10" customFormat="1" ht="15.75" customHeight="1" x14ac:dyDescent="0.25">
      <c r="A559" s="55">
        <v>206</v>
      </c>
      <c r="B559" s="633"/>
      <c r="C559" s="755"/>
      <c r="D559" s="824"/>
      <c r="E559" s="884"/>
      <c r="F559" s="33"/>
      <c r="G559" s="33"/>
      <c r="H559" s="45"/>
      <c r="I559" s="377"/>
      <c r="J559" s="774"/>
      <c r="K559" s="917">
        <f t="shared" si="131"/>
        <v>0</v>
      </c>
      <c r="L559" s="910"/>
      <c r="M559" s="910"/>
      <c r="N559" s="910"/>
      <c r="O559" s="910"/>
      <c r="P559" s="910"/>
      <c r="Q559" s="28">
        <f t="shared" si="127"/>
        <v>0</v>
      </c>
      <c r="R559" s="55"/>
      <c r="S559" s="301"/>
      <c r="T559" s="55"/>
      <c r="U559" s="24"/>
      <c r="V559" s="5"/>
      <c r="W559"/>
      <c r="X559"/>
      <c r="Y559"/>
      <c r="Z559"/>
      <c r="AA559"/>
      <c r="AB559"/>
      <c r="AC559"/>
      <c r="AD559"/>
      <c r="AE559"/>
      <c r="AF559"/>
      <c r="AG559"/>
      <c r="AH559"/>
      <c r="AI559"/>
      <c r="AJ559"/>
      <c r="AK559"/>
      <c r="AL559"/>
      <c r="AM559"/>
      <c r="AN559"/>
      <c r="AO559"/>
      <c r="AP559"/>
      <c r="AQ559"/>
      <c r="AR559"/>
    </row>
    <row r="560" spans="1:44" s="10" customFormat="1" ht="15.75" customHeight="1" x14ac:dyDescent="0.25">
      <c r="A560" s="55">
        <v>207</v>
      </c>
      <c r="B560" s="633"/>
      <c r="C560" s="755"/>
      <c r="D560" s="824"/>
      <c r="E560" s="884"/>
      <c r="F560" s="33"/>
      <c r="G560" s="33"/>
      <c r="H560" s="45"/>
      <c r="I560" s="377"/>
      <c r="J560" s="774"/>
      <c r="K560" s="917">
        <f t="shared" si="131"/>
        <v>0</v>
      </c>
      <c r="L560" s="910"/>
      <c r="M560" s="910"/>
      <c r="N560" s="910"/>
      <c r="O560" s="910"/>
      <c r="P560" s="910"/>
      <c r="Q560" s="28">
        <f t="shared" si="127"/>
        <v>0</v>
      </c>
      <c r="R560" s="55"/>
      <c r="S560" s="301"/>
      <c r="T560" s="55"/>
      <c r="U560" s="24"/>
      <c r="V560" s="5"/>
      <c r="W560"/>
      <c r="X560"/>
      <c r="Y560"/>
      <c r="Z560"/>
      <c r="AA560"/>
      <c r="AB560"/>
      <c r="AC560"/>
      <c r="AD560"/>
      <c r="AE560"/>
      <c r="AF560"/>
      <c r="AG560"/>
      <c r="AH560"/>
      <c r="AI560"/>
      <c r="AJ560"/>
      <c r="AK560"/>
      <c r="AL560"/>
      <c r="AM560"/>
      <c r="AN560"/>
      <c r="AO560"/>
      <c r="AP560"/>
      <c r="AQ560"/>
      <c r="AR560"/>
    </row>
    <row r="561" spans="1:44" s="10" customFormat="1" ht="15.75" customHeight="1" x14ac:dyDescent="0.25">
      <c r="A561" s="55">
        <v>208</v>
      </c>
      <c r="B561" s="633"/>
      <c r="C561" s="755"/>
      <c r="D561" s="824"/>
      <c r="E561" s="884"/>
      <c r="F561" s="33"/>
      <c r="G561" s="33"/>
      <c r="H561" s="45"/>
      <c r="I561" s="377"/>
      <c r="J561" s="774"/>
      <c r="K561" s="917">
        <f t="shared" si="131"/>
        <v>0</v>
      </c>
      <c r="L561" s="910"/>
      <c r="M561" s="910"/>
      <c r="N561" s="910"/>
      <c r="O561" s="910"/>
      <c r="P561" s="910"/>
      <c r="Q561" s="28">
        <f t="shared" si="127"/>
        <v>0</v>
      </c>
      <c r="R561" s="55"/>
      <c r="S561" s="301"/>
      <c r="T561" s="55"/>
      <c r="U561" s="24"/>
      <c r="V561" s="5"/>
      <c r="W561"/>
      <c r="X561"/>
      <c r="Y561"/>
      <c r="Z561"/>
      <c r="AA561"/>
      <c r="AB561"/>
      <c r="AC561"/>
      <c r="AD561"/>
      <c r="AE561"/>
      <c r="AF561"/>
      <c r="AG561"/>
      <c r="AH561"/>
      <c r="AI561"/>
      <c r="AJ561"/>
      <c r="AK561"/>
      <c r="AL561"/>
      <c r="AM561"/>
      <c r="AN561"/>
      <c r="AO561"/>
      <c r="AP561"/>
      <c r="AQ561"/>
      <c r="AR561"/>
    </row>
    <row r="562" spans="1:44" s="10" customFormat="1" ht="15.75" customHeight="1" x14ac:dyDescent="0.25">
      <c r="A562" s="55">
        <v>209</v>
      </c>
      <c r="B562" s="633"/>
      <c r="C562" s="755"/>
      <c r="D562" s="824"/>
      <c r="E562" s="884"/>
      <c r="F562" s="33"/>
      <c r="G562" s="33"/>
      <c r="H562" s="45"/>
      <c r="I562" s="377"/>
      <c r="J562" s="774"/>
      <c r="K562" s="917">
        <f t="shared" si="131"/>
        <v>0</v>
      </c>
      <c r="L562" s="910"/>
      <c r="M562" s="910"/>
      <c r="N562" s="910"/>
      <c r="O562" s="910"/>
      <c r="P562" s="910"/>
      <c r="Q562" s="28">
        <f t="shared" si="127"/>
        <v>0</v>
      </c>
      <c r="R562" s="55"/>
      <c r="S562" s="301"/>
      <c r="T562" s="55"/>
      <c r="U562" s="24"/>
      <c r="V562" s="5"/>
      <c r="W562"/>
      <c r="X562"/>
      <c r="Y562"/>
      <c r="Z562"/>
      <c r="AA562"/>
      <c r="AB562"/>
      <c r="AC562"/>
      <c r="AD562"/>
      <c r="AE562"/>
      <c r="AF562"/>
      <c r="AG562"/>
      <c r="AH562"/>
      <c r="AI562"/>
      <c r="AJ562"/>
      <c r="AK562"/>
      <c r="AL562"/>
      <c r="AM562"/>
      <c r="AN562"/>
      <c r="AO562"/>
      <c r="AP562"/>
      <c r="AQ562"/>
      <c r="AR562"/>
    </row>
    <row r="563" spans="1:44" s="10" customFormat="1" ht="15.75" customHeight="1" x14ac:dyDescent="0.25">
      <c r="A563" s="55">
        <v>210</v>
      </c>
      <c r="B563" s="633"/>
      <c r="C563" s="755"/>
      <c r="D563" s="824"/>
      <c r="E563" s="884"/>
      <c r="F563" s="33"/>
      <c r="G563" s="33"/>
      <c r="H563" s="45"/>
      <c r="I563" s="377"/>
      <c r="J563" s="774"/>
      <c r="K563" s="917">
        <f t="shared" si="131"/>
        <v>0</v>
      </c>
      <c r="L563" s="910"/>
      <c r="M563" s="910"/>
      <c r="N563" s="910"/>
      <c r="O563" s="910"/>
      <c r="P563" s="910"/>
      <c r="Q563" s="28">
        <f t="shared" si="127"/>
        <v>0</v>
      </c>
      <c r="R563" s="55"/>
      <c r="S563" s="301"/>
      <c r="T563" s="55"/>
      <c r="U563" s="24"/>
      <c r="V563" s="5"/>
      <c r="W563"/>
      <c r="X563"/>
      <c r="Y563"/>
      <c r="Z563"/>
      <c r="AA563"/>
      <c r="AB563"/>
      <c r="AC563"/>
      <c r="AD563"/>
      <c r="AE563"/>
      <c r="AF563"/>
      <c r="AG563"/>
      <c r="AH563"/>
      <c r="AI563"/>
      <c r="AJ563"/>
      <c r="AK563"/>
      <c r="AL563"/>
      <c r="AM563"/>
      <c r="AN563"/>
      <c r="AO563"/>
      <c r="AP563"/>
      <c r="AQ563"/>
      <c r="AR563"/>
    </row>
    <row r="564" spans="1:44" s="10" customFormat="1" ht="15.75" customHeight="1" x14ac:dyDescent="0.25">
      <c r="A564" s="55">
        <v>211</v>
      </c>
      <c r="B564" s="633"/>
      <c r="C564" s="755"/>
      <c r="D564" s="824"/>
      <c r="E564" s="884"/>
      <c r="F564" s="33"/>
      <c r="G564" s="33"/>
      <c r="H564" s="45"/>
      <c r="I564" s="377"/>
      <c r="J564" s="774"/>
      <c r="K564" s="917">
        <f t="shared" si="131"/>
        <v>0</v>
      </c>
      <c r="L564" s="910"/>
      <c r="M564" s="910"/>
      <c r="N564" s="910"/>
      <c r="O564" s="910"/>
      <c r="P564" s="910"/>
      <c r="Q564" s="28">
        <f t="shared" si="127"/>
        <v>0</v>
      </c>
      <c r="R564" s="55"/>
      <c r="S564" s="301"/>
      <c r="T564" s="55"/>
      <c r="U564" s="24"/>
      <c r="V564" s="5"/>
      <c r="W564"/>
      <c r="X564"/>
      <c r="Y564"/>
      <c r="Z564"/>
      <c r="AA564"/>
      <c r="AB564"/>
      <c r="AC564"/>
      <c r="AD564"/>
      <c r="AE564"/>
      <c r="AF564"/>
      <c r="AG564"/>
      <c r="AH564"/>
      <c r="AI564"/>
      <c r="AJ564"/>
      <c r="AK564"/>
      <c r="AL564"/>
      <c r="AM564"/>
      <c r="AN564"/>
      <c r="AO564"/>
      <c r="AP564"/>
      <c r="AQ564"/>
      <c r="AR564"/>
    </row>
    <row r="565" spans="1:44" s="10" customFormat="1" ht="15.75" customHeight="1" x14ac:dyDescent="0.25">
      <c r="A565" s="55">
        <v>212</v>
      </c>
      <c r="B565" s="633"/>
      <c r="C565" s="755"/>
      <c r="D565" s="824"/>
      <c r="E565" s="884"/>
      <c r="F565" s="33"/>
      <c r="G565" s="33"/>
      <c r="H565" s="45"/>
      <c r="I565" s="377"/>
      <c r="J565" s="774"/>
      <c r="K565" s="917">
        <f t="shared" si="131"/>
        <v>0</v>
      </c>
      <c r="L565" s="910"/>
      <c r="M565" s="910"/>
      <c r="N565" s="910"/>
      <c r="O565" s="910"/>
      <c r="P565" s="910"/>
      <c r="Q565" s="28">
        <f t="shared" ref="Q565:Q604" si="132">K565-L565-M565-O565-P565+N565</f>
        <v>0</v>
      </c>
      <c r="R565" s="55"/>
      <c r="S565" s="301"/>
      <c r="T565" s="55"/>
      <c r="U565" s="24"/>
      <c r="V565" s="5"/>
      <c r="W565"/>
      <c r="X565"/>
      <c r="Y565"/>
      <c r="Z565"/>
      <c r="AA565"/>
      <c r="AB565"/>
      <c r="AC565"/>
      <c r="AD565"/>
      <c r="AE565"/>
      <c r="AF565"/>
      <c r="AG565"/>
      <c r="AH565"/>
      <c r="AI565"/>
      <c r="AJ565"/>
      <c r="AK565"/>
      <c r="AL565"/>
      <c r="AM565"/>
      <c r="AN565"/>
      <c r="AO565"/>
      <c r="AP565"/>
      <c r="AQ565"/>
      <c r="AR565"/>
    </row>
    <row r="566" spans="1:44" s="10" customFormat="1" ht="15.75" customHeight="1" x14ac:dyDescent="0.25">
      <c r="A566" s="55">
        <v>213</v>
      </c>
      <c r="B566" s="633"/>
      <c r="C566" s="755"/>
      <c r="D566" s="824"/>
      <c r="E566" s="884"/>
      <c r="F566" s="33"/>
      <c r="G566" s="33"/>
      <c r="H566" s="45"/>
      <c r="I566" s="377"/>
      <c r="J566" s="774"/>
      <c r="K566" s="917">
        <f t="shared" si="131"/>
        <v>0</v>
      </c>
      <c r="L566" s="910"/>
      <c r="M566" s="910"/>
      <c r="N566" s="910"/>
      <c r="O566" s="910"/>
      <c r="P566" s="910"/>
      <c r="Q566" s="28">
        <f t="shared" si="132"/>
        <v>0</v>
      </c>
      <c r="R566" s="55"/>
      <c r="S566" s="301"/>
      <c r="T566" s="55"/>
      <c r="U566" s="24"/>
      <c r="V566" s="5"/>
      <c r="W566"/>
      <c r="X566"/>
      <c r="Y566"/>
      <c r="Z566"/>
      <c r="AA566"/>
      <c r="AB566"/>
      <c r="AC566"/>
      <c r="AD566"/>
      <c r="AE566"/>
      <c r="AF566"/>
      <c r="AG566"/>
      <c r="AH566"/>
      <c r="AI566"/>
      <c r="AJ566"/>
      <c r="AK566"/>
      <c r="AL566"/>
      <c r="AM566"/>
      <c r="AN566"/>
      <c r="AO566"/>
      <c r="AP566"/>
      <c r="AQ566"/>
      <c r="AR566"/>
    </row>
    <row r="567" spans="1:44" s="10" customFormat="1" ht="15.75" customHeight="1" x14ac:dyDescent="0.25">
      <c r="A567" s="55">
        <v>214</v>
      </c>
      <c r="B567" s="633"/>
      <c r="C567" s="755"/>
      <c r="D567" s="824"/>
      <c r="E567" s="884"/>
      <c r="F567" s="33"/>
      <c r="G567" s="33"/>
      <c r="H567" s="45"/>
      <c r="I567" s="377"/>
      <c r="J567" s="774"/>
      <c r="K567" s="917">
        <f t="shared" si="131"/>
        <v>0</v>
      </c>
      <c r="L567" s="910"/>
      <c r="M567" s="910"/>
      <c r="N567" s="910"/>
      <c r="O567" s="910"/>
      <c r="P567" s="910"/>
      <c r="Q567" s="28">
        <f t="shared" si="132"/>
        <v>0</v>
      </c>
      <c r="R567" s="55"/>
      <c r="S567" s="301"/>
      <c r="T567" s="55"/>
      <c r="U567" s="24"/>
      <c r="V567" s="5"/>
      <c r="W567"/>
      <c r="X567"/>
      <c r="Y567"/>
      <c r="Z567"/>
      <c r="AA567"/>
      <c r="AB567"/>
      <c r="AC567"/>
      <c r="AD567"/>
      <c r="AE567"/>
      <c r="AF567"/>
      <c r="AG567"/>
      <c r="AH567"/>
      <c r="AI567"/>
      <c r="AJ567"/>
      <c r="AK567"/>
      <c r="AL567"/>
      <c r="AM567"/>
      <c r="AN567"/>
      <c r="AO567"/>
      <c r="AP567"/>
      <c r="AQ567"/>
      <c r="AR567"/>
    </row>
    <row r="568" spans="1:44" s="10" customFormat="1" ht="15.75" customHeight="1" x14ac:dyDescent="0.25">
      <c r="A568" s="55">
        <v>215</v>
      </c>
      <c r="B568" s="633"/>
      <c r="C568" s="755"/>
      <c r="D568" s="824"/>
      <c r="E568" s="884"/>
      <c r="F568" s="33"/>
      <c r="G568" s="33"/>
      <c r="H568" s="45"/>
      <c r="I568" s="377"/>
      <c r="J568" s="774"/>
      <c r="K568" s="917">
        <f t="shared" si="131"/>
        <v>0</v>
      </c>
      <c r="L568" s="910"/>
      <c r="M568" s="910"/>
      <c r="N568" s="910"/>
      <c r="O568" s="910"/>
      <c r="P568" s="910"/>
      <c r="Q568" s="28">
        <f t="shared" si="132"/>
        <v>0</v>
      </c>
      <c r="R568" s="55"/>
      <c r="S568" s="301"/>
      <c r="T568" s="55"/>
      <c r="U568" s="24"/>
      <c r="V568" s="5"/>
      <c r="W568"/>
      <c r="X568"/>
      <c r="Y568"/>
      <c r="Z568"/>
      <c r="AA568"/>
      <c r="AB568"/>
      <c r="AC568"/>
      <c r="AD568"/>
      <c r="AE568"/>
      <c r="AF568"/>
      <c r="AG568"/>
      <c r="AH568"/>
      <c r="AI568"/>
      <c r="AJ568"/>
      <c r="AK568"/>
      <c r="AL568"/>
      <c r="AM568"/>
      <c r="AN568"/>
      <c r="AO568"/>
      <c r="AP568"/>
      <c r="AQ568"/>
      <c r="AR568"/>
    </row>
    <row r="569" spans="1:44" s="10" customFormat="1" ht="15.75" customHeight="1" x14ac:dyDescent="0.25">
      <c r="A569" s="55">
        <v>216</v>
      </c>
      <c r="B569" s="633"/>
      <c r="C569" s="755"/>
      <c r="D569" s="824"/>
      <c r="E569" s="884"/>
      <c r="F569" s="33"/>
      <c r="G569" s="33"/>
      <c r="H569" s="45"/>
      <c r="I569" s="377"/>
      <c r="J569" s="774"/>
      <c r="K569" s="917">
        <f t="shared" si="131"/>
        <v>0</v>
      </c>
      <c r="L569" s="910"/>
      <c r="M569" s="910"/>
      <c r="N569" s="910"/>
      <c r="O569" s="910"/>
      <c r="P569" s="910"/>
      <c r="Q569" s="28">
        <f t="shared" si="132"/>
        <v>0</v>
      </c>
      <c r="R569" s="55"/>
      <c r="S569" s="301"/>
      <c r="T569" s="55"/>
      <c r="U569" s="24"/>
      <c r="V569" s="5"/>
      <c r="W569"/>
      <c r="X569"/>
      <c r="Y569"/>
      <c r="Z569"/>
      <c r="AA569"/>
      <c r="AB569"/>
      <c r="AC569"/>
      <c r="AD569"/>
      <c r="AE569"/>
      <c r="AF569"/>
      <c r="AG569"/>
      <c r="AH569"/>
      <c r="AI569"/>
      <c r="AJ569"/>
      <c r="AK569"/>
      <c r="AL569"/>
      <c r="AM569"/>
      <c r="AN569"/>
      <c r="AO569"/>
      <c r="AP569"/>
      <c r="AQ569"/>
      <c r="AR569"/>
    </row>
    <row r="570" spans="1:44" s="10" customFormat="1" ht="15.75" customHeight="1" x14ac:dyDescent="0.25">
      <c r="A570" s="55">
        <v>217</v>
      </c>
      <c r="B570" s="633"/>
      <c r="C570" s="755"/>
      <c r="D570" s="824"/>
      <c r="E570" s="884"/>
      <c r="F570" s="33"/>
      <c r="G570" s="33"/>
      <c r="H570" s="45"/>
      <c r="I570" s="377"/>
      <c r="J570" s="774"/>
      <c r="K570" s="917">
        <f t="shared" si="131"/>
        <v>0</v>
      </c>
      <c r="L570" s="910"/>
      <c r="M570" s="910"/>
      <c r="N570" s="910"/>
      <c r="O570" s="910"/>
      <c r="P570" s="910"/>
      <c r="Q570" s="28">
        <f t="shared" si="132"/>
        <v>0</v>
      </c>
      <c r="R570" s="55"/>
      <c r="S570" s="301"/>
      <c r="T570" s="55"/>
      <c r="U570" s="24"/>
      <c r="V570" s="5"/>
      <c r="W570"/>
      <c r="X570"/>
      <c r="Y570"/>
      <c r="Z570"/>
      <c r="AA570"/>
      <c r="AB570"/>
      <c r="AC570"/>
      <c r="AD570"/>
      <c r="AE570"/>
      <c r="AF570"/>
      <c r="AG570"/>
      <c r="AH570"/>
      <c r="AI570"/>
      <c r="AJ570"/>
      <c r="AK570"/>
      <c r="AL570"/>
      <c r="AM570"/>
      <c r="AN570"/>
      <c r="AO570"/>
      <c r="AP570"/>
      <c r="AQ570"/>
      <c r="AR570"/>
    </row>
    <row r="571" spans="1:44" s="10" customFormat="1" ht="15.75" customHeight="1" x14ac:dyDescent="0.25">
      <c r="A571" s="55">
        <v>218</v>
      </c>
      <c r="B571" s="633"/>
      <c r="C571" s="755"/>
      <c r="D571" s="824"/>
      <c r="E571" s="884"/>
      <c r="F571" s="33"/>
      <c r="G571" s="33"/>
      <c r="H571" s="45"/>
      <c r="I571" s="377"/>
      <c r="J571" s="774"/>
      <c r="K571" s="917">
        <f t="shared" si="131"/>
        <v>0</v>
      </c>
      <c r="L571" s="910"/>
      <c r="M571" s="910"/>
      <c r="N571" s="910"/>
      <c r="O571" s="910"/>
      <c r="P571" s="910"/>
      <c r="Q571" s="28">
        <f t="shared" si="132"/>
        <v>0</v>
      </c>
      <c r="R571" s="55"/>
      <c r="S571" s="301"/>
      <c r="T571" s="55"/>
      <c r="U571" s="24"/>
      <c r="V571" s="5"/>
      <c r="W571"/>
      <c r="X571"/>
      <c r="Y571"/>
      <c r="Z571"/>
      <c r="AA571"/>
      <c r="AB571"/>
      <c r="AC571"/>
      <c r="AD571"/>
      <c r="AE571"/>
      <c r="AF571"/>
      <c r="AG571"/>
      <c r="AH571"/>
      <c r="AI571"/>
      <c r="AJ571"/>
      <c r="AK571"/>
      <c r="AL571"/>
      <c r="AM571"/>
      <c r="AN571"/>
      <c r="AO571"/>
      <c r="AP571"/>
      <c r="AQ571"/>
      <c r="AR571"/>
    </row>
    <row r="572" spans="1:44" s="10" customFormat="1" ht="15.75" customHeight="1" x14ac:dyDescent="0.25">
      <c r="A572" s="55">
        <v>219</v>
      </c>
      <c r="B572" s="633"/>
      <c r="C572" s="755"/>
      <c r="D572" s="824"/>
      <c r="E572" s="884"/>
      <c r="F572" s="33"/>
      <c r="G572" s="33"/>
      <c r="H572" s="45"/>
      <c r="I572" s="377"/>
      <c r="J572" s="774"/>
      <c r="K572" s="917">
        <f t="shared" si="131"/>
        <v>0</v>
      </c>
      <c r="L572" s="910"/>
      <c r="M572" s="910"/>
      <c r="N572" s="910"/>
      <c r="O572" s="910"/>
      <c r="P572" s="910"/>
      <c r="Q572" s="28">
        <f t="shared" si="132"/>
        <v>0</v>
      </c>
      <c r="R572" s="55"/>
      <c r="S572" s="301"/>
      <c r="T572" s="55"/>
      <c r="U572" s="24"/>
      <c r="V572" s="5"/>
      <c r="W572"/>
      <c r="X572"/>
      <c r="Y572"/>
      <c r="Z572"/>
      <c r="AA572"/>
      <c r="AB572"/>
      <c r="AC572"/>
      <c r="AD572"/>
      <c r="AE572"/>
      <c r="AF572"/>
      <c r="AG572"/>
      <c r="AH572"/>
      <c r="AI572"/>
      <c r="AJ572"/>
      <c r="AK572"/>
      <c r="AL572"/>
      <c r="AM572"/>
      <c r="AN572"/>
      <c r="AO572"/>
      <c r="AP572"/>
      <c r="AQ572"/>
      <c r="AR572"/>
    </row>
    <row r="573" spans="1:44" s="10" customFormat="1" ht="15.75" customHeight="1" x14ac:dyDescent="0.25">
      <c r="A573" s="55">
        <v>220</v>
      </c>
      <c r="B573" s="633"/>
      <c r="C573" s="755"/>
      <c r="D573" s="824"/>
      <c r="E573" s="884"/>
      <c r="F573" s="33"/>
      <c r="G573" s="33"/>
      <c r="H573" s="45"/>
      <c r="I573" s="377"/>
      <c r="J573" s="774"/>
      <c r="K573" s="917">
        <f t="shared" si="131"/>
        <v>0</v>
      </c>
      <c r="L573" s="910"/>
      <c r="M573" s="910"/>
      <c r="N573" s="910"/>
      <c r="O573" s="910"/>
      <c r="P573" s="910"/>
      <c r="Q573" s="28">
        <f t="shared" si="132"/>
        <v>0</v>
      </c>
      <c r="R573" s="55"/>
      <c r="S573" s="301"/>
      <c r="T573" s="55"/>
      <c r="U573" s="24"/>
      <c r="V573" s="5"/>
      <c r="W573"/>
      <c r="X573"/>
      <c r="Y573"/>
      <c r="Z573"/>
      <c r="AA573"/>
      <c r="AB573"/>
      <c r="AC573"/>
      <c r="AD573"/>
      <c r="AE573"/>
      <c r="AF573"/>
      <c r="AG573"/>
      <c r="AH573"/>
      <c r="AI573"/>
      <c r="AJ573"/>
      <c r="AK573"/>
      <c r="AL573"/>
      <c r="AM573"/>
      <c r="AN573"/>
      <c r="AO573"/>
      <c r="AP573"/>
      <c r="AQ573"/>
      <c r="AR573"/>
    </row>
    <row r="574" spans="1:44" s="10" customFormat="1" ht="15.75" customHeight="1" x14ac:dyDescent="0.25">
      <c r="A574" s="55">
        <v>221</v>
      </c>
      <c r="B574" s="633"/>
      <c r="C574" s="755"/>
      <c r="D574" s="824"/>
      <c r="E574" s="884"/>
      <c r="F574" s="33"/>
      <c r="G574" s="33"/>
      <c r="H574" s="45"/>
      <c r="I574" s="377"/>
      <c r="J574" s="774"/>
      <c r="K574" s="917">
        <f t="shared" si="131"/>
        <v>0</v>
      </c>
      <c r="L574" s="910"/>
      <c r="M574" s="910"/>
      <c r="N574" s="910"/>
      <c r="O574" s="910"/>
      <c r="P574" s="910"/>
      <c r="Q574" s="28">
        <f t="shared" si="132"/>
        <v>0</v>
      </c>
      <c r="R574" s="55"/>
      <c r="S574" s="301"/>
      <c r="T574" s="55"/>
      <c r="U574" s="24"/>
      <c r="V574" s="5"/>
      <c r="W574"/>
      <c r="X574"/>
      <c r="Y574"/>
      <c r="Z574"/>
      <c r="AA574"/>
      <c r="AB574"/>
      <c r="AC574"/>
      <c r="AD574"/>
      <c r="AE574"/>
      <c r="AF574"/>
      <c r="AG574"/>
      <c r="AH574"/>
      <c r="AI574"/>
      <c r="AJ574"/>
      <c r="AK574"/>
      <c r="AL574"/>
      <c r="AM574"/>
      <c r="AN574"/>
      <c r="AO574"/>
      <c r="AP574"/>
      <c r="AQ574"/>
      <c r="AR574"/>
    </row>
    <row r="575" spans="1:44" s="10" customFormat="1" ht="15.75" customHeight="1" x14ac:dyDescent="0.25">
      <c r="A575" s="55">
        <v>222</v>
      </c>
      <c r="B575" s="633"/>
      <c r="C575" s="755"/>
      <c r="D575" s="824"/>
      <c r="E575" s="884"/>
      <c r="F575" s="33"/>
      <c r="G575" s="33"/>
      <c r="H575" s="45"/>
      <c r="I575" s="377"/>
      <c r="J575" s="774"/>
      <c r="K575" s="917">
        <f t="shared" si="131"/>
        <v>0</v>
      </c>
      <c r="L575" s="910"/>
      <c r="M575" s="910"/>
      <c r="N575" s="910"/>
      <c r="O575" s="910"/>
      <c r="P575" s="910"/>
      <c r="Q575" s="28">
        <f t="shared" si="132"/>
        <v>0</v>
      </c>
      <c r="R575" s="55"/>
      <c r="S575" s="301"/>
      <c r="T575" s="55"/>
      <c r="U575" s="24"/>
      <c r="V575" s="5"/>
      <c r="W575"/>
      <c r="X575"/>
      <c r="Y575"/>
      <c r="Z575"/>
      <c r="AA575"/>
      <c r="AB575"/>
      <c r="AC575"/>
      <c r="AD575"/>
      <c r="AE575"/>
      <c r="AF575"/>
      <c r="AG575"/>
      <c r="AH575"/>
      <c r="AI575"/>
      <c r="AJ575"/>
      <c r="AK575"/>
      <c r="AL575"/>
      <c r="AM575"/>
      <c r="AN575"/>
      <c r="AO575"/>
      <c r="AP575"/>
      <c r="AQ575"/>
      <c r="AR575"/>
    </row>
    <row r="576" spans="1:44" s="10" customFormat="1" ht="15.75" customHeight="1" x14ac:dyDescent="0.25">
      <c r="A576" s="55">
        <v>223</v>
      </c>
      <c r="B576" s="633"/>
      <c r="C576" s="755"/>
      <c r="D576" s="824"/>
      <c r="E576" s="884"/>
      <c r="F576" s="33"/>
      <c r="G576" s="33"/>
      <c r="H576" s="45"/>
      <c r="I576" s="377"/>
      <c r="J576" s="774"/>
      <c r="K576" s="917">
        <f t="shared" si="131"/>
        <v>0</v>
      </c>
      <c r="L576" s="910"/>
      <c r="M576" s="910"/>
      <c r="N576" s="910"/>
      <c r="O576" s="910"/>
      <c r="P576" s="910"/>
      <c r="Q576" s="28">
        <f t="shared" si="132"/>
        <v>0</v>
      </c>
      <c r="R576" s="55"/>
      <c r="S576" s="301"/>
      <c r="T576" s="55"/>
      <c r="U576" s="24"/>
      <c r="V576" s="5"/>
      <c r="W576"/>
      <c r="X576"/>
      <c r="Y576"/>
      <c r="Z576"/>
      <c r="AA576"/>
      <c r="AB576"/>
      <c r="AC576"/>
      <c r="AD576"/>
      <c r="AE576"/>
      <c r="AF576"/>
      <c r="AG576"/>
      <c r="AH576"/>
      <c r="AI576"/>
      <c r="AJ576"/>
      <c r="AK576"/>
      <c r="AL576"/>
      <c r="AM576"/>
      <c r="AN576"/>
      <c r="AO576"/>
      <c r="AP576"/>
      <c r="AQ576"/>
      <c r="AR576"/>
    </row>
    <row r="577" spans="1:44" s="10" customFormat="1" ht="15.75" customHeight="1" x14ac:dyDescent="0.25">
      <c r="A577" s="55">
        <v>224</v>
      </c>
      <c r="B577" s="633"/>
      <c r="C577" s="755"/>
      <c r="D577" s="824"/>
      <c r="E577" s="884"/>
      <c r="F577" s="33"/>
      <c r="G577" s="33"/>
      <c r="H577" s="45"/>
      <c r="I577" s="377"/>
      <c r="J577" s="774"/>
      <c r="K577" s="917">
        <f t="shared" si="131"/>
        <v>0</v>
      </c>
      <c r="L577" s="910"/>
      <c r="M577" s="910"/>
      <c r="N577" s="910"/>
      <c r="O577" s="910"/>
      <c r="P577" s="910"/>
      <c r="Q577" s="28">
        <f t="shared" si="132"/>
        <v>0</v>
      </c>
      <c r="R577" s="55"/>
      <c r="S577" s="301"/>
      <c r="T577" s="55"/>
      <c r="U577" s="24"/>
      <c r="V577" s="5"/>
      <c r="W577"/>
      <c r="X577"/>
      <c r="Y577"/>
      <c r="Z577"/>
      <c r="AA577"/>
      <c r="AB577"/>
      <c r="AC577"/>
      <c r="AD577"/>
      <c r="AE577"/>
      <c r="AF577"/>
      <c r="AG577"/>
      <c r="AH577"/>
      <c r="AI577"/>
      <c r="AJ577"/>
      <c r="AK577"/>
      <c r="AL577"/>
      <c r="AM577"/>
      <c r="AN577"/>
      <c r="AO577"/>
      <c r="AP577"/>
      <c r="AQ577"/>
      <c r="AR577"/>
    </row>
    <row r="578" spans="1:44" s="10" customFormat="1" ht="15.75" customHeight="1" x14ac:dyDescent="0.25">
      <c r="A578" s="55">
        <v>225</v>
      </c>
      <c r="B578" s="633"/>
      <c r="C578" s="755"/>
      <c r="D578" s="824"/>
      <c r="E578" s="884"/>
      <c r="F578" s="33"/>
      <c r="G578" s="33"/>
      <c r="H578" s="45"/>
      <c r="I578" s="377"/>
      <c r="J578" s="774"/>
      <c r="K578" s="917">
        <f t="shared" si="131"/>
        <v>0</v>
      </c>
      <c r="L578" s="910"/>
      <c r="M578" s="910"/>
      <c r="N578" s="910"/>
      <c r="O578" s="910"/>
      <c r="P578" s="910"/>
      <c r="Q578" s="28">
        <f t="shared" si="132"/>
        <v>0</v>
      </c>
      <c r="R578" s="55"/>
      <c r="S578" s="301"/>
      <c r="T578" s="55"/>
      <c r="U578" s="24"/>
      <c r="V578" s="5"/>
      <c r="W578"/>
      <c r="X578"/>
      <c r="Y578"/>
      <c r="Z578"/>
      <c r="AA578"/>
      <c r="AB578"/>
      <c r="AC578"/>
      <c r="AD578"/>
      <c r="AE578"/>
      <c r="AF578"/>
      <c r="AG578"/>
      <c r="AH578"/>
      <c r="AI578"/>
      <c r="AJ578"/>
      <c r="AK578"/>
      <c r="AL578"/>
      <c r="AM578"/>
      <c r="AN578"/>
      <c r="AO578"/>
      <c r="AP578"/>
      <c r="AQ578"/>
      <c r="AR578"/>
    </row>
    <row r="579" spans="1:44" s="10" customFormat="1" ht="15.75" customHeight="1" x14ac:dyDescent="0.25">
      <c r="A579" s="55">
        <v>226</v>
      </c>
      <c r="B579" s="633"/>
      <c r="C579" s="755"/>
      <c r="D579" s="824"/>
      <c r="E579" s="884"/>
      <c r="F579" s="33"/>
      <c r="G579" s="33"/>
      <c r="H579" s="45"/>
      <c r="I579" s="377"/>
      <c r="J579" s="774"/>
      <c r="K579" s="917">
        <f t="shared" si="131"/>
        <v>0</v>
      </c>
      <c r="L579" s="910"/>
      <c r="M579" s="910"/>
      <c r="N579" s="910"/>
      <c r="O579" s="910"/>
      <c r="P579" s="910"/>
      <c r="Q579" s="28">
        <f t="shared" si="132"/>
        <v>0</v>
      </c>
      <c r="R579" s="55"/>
      <c r="S579" s="301"/>
      <c r="T579" s="55"/>
      <c r="U579" s="24"/>
      <c r="V579" s="5"/>
      <c r="W579"/>
      <c r="X579"/>
      <c r="Y579"/>
      <c r="Z579"/>
      <c r="AA579"/>
      <c r="AB579"/>
      <c r="AC579"/>
      <c r="AD579"/>
      <c r="AE579"/>
      <c r="AF579"/>
      <c r="AG579"/>
      <c r="AH579"/>
      <c r="AI579"/>
      <c r="AJ579"/>
      <c r="AK579"/>
      <c r="AL579"/>
      <c r="AM579"/>
      <c r="AN579"/>
      <c r="AO579"/>
      <c r="AP579"/>
      <c r="AQ579"/>
      <c r="AR579"/>
    </row>
    <row r="580" spans="1:44" s="10" customFormat="1" ht="15.75" customHeight="1" x14ac:dyDescent="0.25">
      <c r="A580" s="55">
        <v>227</v>
      </c>
      <c r="B580" s="633"/>
      <c r="C580" s="755"/>
      <c r="D580" s="824"/>
      <c r="E580" s="884"/>
      <c r="F580" s="33"/>
      <c r="G580" s="33"/>
      <c r="H580" s="45"/>
      <c r="I580" s="377"/>
      <c r="J580" s="774"/>
      <c r="K580" s="917">
        <f t="shared" si="131"/>
        <v>0</v>
      </c>
      <c r="L580" s="910"/>
      <c r="M580" s="910"/>
      <c r="N580" s="910"/>
      <c r="O580" s="910"/>
      <c r="P580" s="910"/>
      <c r="Q580" s="28">
        <f t="shared" si="132"/>
        <v>0</v>
      </c>
      <c r="R580" s="55"/>
      <c r="S580" s="301"/>
      <c r="T580" s="55"/>
      <c r="U580" s="24"/>
      <c r="V580" s="5"/>
      <c r="W580"/>
      <c r="X580"/>
      <c r="Y580"/>
      <c r="Z580"/>
      <c r="AA580"/>
      <c r="AB580"/>
      <c r="AC580"/>
      <c r="AD580"/>
      <c r="AE580"/>
      <c r="AF580"/>
      <c r="AG580"/>
      <c r="AH580"/>
      <c r="AI580"/>
      <c r="AJ580"/>
      <c r="AK580"/>
      <c r="AL580"/>
      <c r="AM580"/>
      <c r="AN580"/>
      <c r="AO580"/>
      <c r="AP580"/>
      <c r="AQ580"/>
      <c r="AR580"/>
    </row>
    <row r="581" spans="1:44" s="10" customFormat="1" ht="15.75" customHeight="1" x14ac:dyDescent="0.25">
      <c r="A581" s="55">
        <v>228</v>
      </c>
      <c r="B581" s="633"/>
      <c r="C581" s="755"/>
      <c r="D581" s="824"/>
      <c r="E581" s="884"/>
      <c r="F581" s="33"/>
      <c r="G581" s="33"/>
      <c r="H581" s="45"/>
      <c r="I581" s="377"/>
      <c r="J581" s="774"/>
      <c r="K581" s="917">
        <f t="shared" si="131"/>
        <v>0</v>
      </c>
      <c r="L581" s="910"/>
      <c r="M581" s="910"/>
      <c r="N581" s="910"/>
      <c r="O581" s="910"/>
      <c r="P581" s="910"/>
      <c r="Q581" s="28">
        <f t="shared" si="132"/>
        <v>0</v>
      </c>
      <c r="R581" s="55"/>
      <c r="S581" s="301"/>
      <c r="T581" s="55"/>
      <c r="U581" s="24"/>
      <c r="V581" s="5"/>
      <c r="W581"/>
      <c r="X581"/>
      <c r="Y581"/>
      <c r="Z581"/>
      <c r="AA581"/>
      <c r="AB581"/>
      <c r="AC581"/>
      <c r="AD581"/>
      <c r="AE581"/>
      <c r="AF581"/>
      <c r="AG581"/>
      <c r="AH581"/>
      <c r="AI581"/>
      <c r="AJ581"/>
      <c r="AK581"/>
      <c r="AL581"/>
      <c r="AM581"/>
      <c r="AN581"/>
      <c r="AO581"/>
      <c r="AP581"/>
      <c r="AQ581"/>
      <c r="AR581"/>
    </row>
    <row r="582" spans="1:44" s="10" customFormat="1" ht="15.75" customHeight="1" x14ac:dyDescent="0.25">
      <c r="A582" s="55">
        <v>229</v>
      </c>
      <c r="B582" s="633"/>
      <c r="C582" s="755"/>
      <c r="D582" s="824"/>
      <c r="E582" s="884"/>
      <c r="F582" s="33"/>
      <c r="G582" s="33"/>
      <c r="H582" s="45"/>
      <c r="I582" s="377"/>
      <c r="J582" s="774"/>
      <c r="K582" s="917">
        <f t="shared" si="131"/>
        <v>0</v>
      </c>
      <c r="L582" s="910"/>
      <c r="M582" s="910"/>
      <c r="N582" s="910"/>
      <c r="O582" s="910"/>
      <c r="P582" s="910"/>
      <c r="Q582" s="28">
        <f t="shared" si="132"/>
        <v>0</v>
      </c>
      <c r="R582" s="55"/>
      <c r="S582" s="301"/>
      <c r="T582" s="55"/>
      <c r="U582" s="24"/>
      <c r="V582" s="5"/>
      <c r="W582"/>
      <c r="X582"/>
      <c r="Y582"/>
      <c r="Z582"/>
      <c r="AA582"/>
      <c r="AB582"/>
      <c r="AC582"/>
      <c r="AD582"/>
      <c r="AE582"/>
      <c r="AF582"/>
      <c r="AG582"/>
      <c r="AH582"/>
      <c r="AI582"/>
      <c r="AJ582"/>
      <c r="AK582"/>
      <c r="AL582"/>
      <c r="AM582"/>
      <c r="AN582"/>
      <c r="AO582"/>
      <c r="AP582"/>
      <c r="AQ582"/>
      <c r="AR582"/>
    </row>
    <row r="583" spans="1:44" s="10" customFormat="1" ht="15.75" customHeight="1" x14ac:dyDescent="0.25">
      <c r="A583" s="55">
        <v>230</v>
      </c>
      <c r="B583" s="633"/>
      <c r="C583" s="755"/>
      <c r="D583" s="824"/>
      <c r="E583" s="884"/>
      <c r="F583" s="33"/>
      <c r="G583" s="33"/>
      <c r="H583" s="45"/>
      <c r="I583" s="377"/>
      <c r="J583" s="774"/>
      <c r="K583" s="917">
        <f t="shared" si="131"/>
        <v>0</v>
      </c>
      <c r="L583" s="910"/>
      <c r="M583" s="910"/>
      <c r="N583" s="910"/>
      <c r="O583" s="910"/>
      <c r="P583" s="910"/>
      <c r="Q583" s="28">
        <f t="shared" si="132"/>
        <v>0</v>
      </c>
      <c r="R583" s="55"/>
      <c r="S583" s="301"/>
      <c r="T583" s="55"/>
      <c r="U583" s="24"/>
      <c r="V583" s="5"/>
      <c r="W583"/>
      <c r="X583"/>
      <c r="Y583"/>
      <c r="Z583"/>
      <c r="AA583"/>
      <c r="AB583"/>
      <c r="AC583"/>
      <c r="AD583"/>
      <c r="AE583"/>
      <c r="AF583"/>
      <c r="AG583"/>
      <c r="AH583"/>
      <c r="AI583"/>
      <c r="AJ583"/>
      <c r="AK583"/>
      <c r="AL583"/>
      <c r="AM583"/>
      <c r="AN583"/>
      <c r="AO583"/>
      <c r="AP583"/>
      <c r="AQ583"/>
      <c r="AR583"/>
    </row>
    <row r="584" spans="1:44" s="10" customFormat="1" ht="15.75" customHeight="1" x14ac:dyDescent="0.25">
      <c r="A584" s="55">
        <v>231</v>
      </c>
      <c r="B584" s="633"/>
      <c r="C584" s="755"/>
      <c r="D584" s="824"/>
      <c r="E584" s="884"/>
      <c r="F584" s="33"/>
      <c r="G584" s="33"/>
      <c r="H584" s="45"/>
      <c r="I584" s="377"/>
      <c r="J584" s="774"/>
      <c r="K584" s="917">
        <f t="shared" si="131"/>
        <v>0</v>
      </c>
      <c r="L584" s="910"/>
      <c r="M584" s="910"/>
      <c r="N584" s="910"/>
      <c r="O584" s="910"/>
      <c r="P584" s="910"/>
      <c r="Q584" s="28">
        <f t="shared" si="132"/>
        <v>0</v>
      </c>
      <c r="R584" s="55"/>
      <c r="S584" s="301"/>
      <c r="T584" s="55"/>
      <c r="U584" s="24"/>
      <c r="V584" s="5"/>
      <c r="W584"/>
      <c r="X584"/>
      <c r="Y584"/>
      <c r="Z584"/>
      <c r="AA584"/>
      <c r="AB584"/>
      <c r="AC584"/>
      <c r="AD584"/>
      <c r="AE584"/>
      <c r="AF584"/>
      <c r="AG584"/>
      <c r="AH584"/>
      <c r="AI584"/>
      <c r="AJ584"/>
      <c r="AK584"/>
      <c r="AL584"/>
      <c r="AM584"/>
      <c r="AN584"/>
      <c r="AO584"/>
      <c r="AP584"/>
      <c r="AQ584"/>
      <c r="AR584"/>
    </row>
    <row r="585" spans="1:44" s="10" customFormat="1" ht="15.75" customHeight="1" x14ac:dyDescent="0.25">
      <c r="A585" s="55">
        <v>232</v>
      </c>
      <c r="B585" s="633"/>
      <c r="C585" s="755"/>
      <c r="D585" s="824"/>
      <c r="E585" s="884"/>
      <c r="F585" s="33"/>
      <c r="G585" s="33"/>
      <c r="H585" s="45"/>
      <c r="I585" s="377"/>
      <c r="J585" s="774"/>
      <c r="K585" s="917">
        <f t="shared" si="131"/>
        <v>0</v>
      </c>
      <c r="L585" s="910"/>
      <c r="M585" s="910"/>
      <c r="N585" s="910"/>
      <c r="O585" s="910"/>
      <c r="P585" s="910"/>
      <c r="Q585" s="28">
        <f t="shared" si="132"/>
        <v>0</v>
      </c>
      <c r="R585" s="55"/>
      <c r="S585" s="301"/>
      <c r="T585" s="55"/>
      <c r="U585" s="24"/>
      <c r="V585" s="5"/>
      <c r="W585"/>
      <c r="X585"/>
      <c r="Y585"/>
      <c r="Z585"/>
      <c r="AA585"/>
      <c r="AB585"/>
      <c r="AC585"/>
      <c r="AD585"/>
      <c r="AE585"/>
      <c r="AF585"/>
      <c r="AG585"/>
      <c r="AH585"/>
      <c r="AI585"/>
      <c r="AJ585"/>
      <c r="AK585"/>
      <c r="AL585"/>
      <c r="AM585"/>
      <c r="AN585"/>
      <c r="AO585"/>
      <c r="AP585"/>
      <c r="AQ585"/>
      <c r="AR585"/>
    </row>
    <row r="586" spans="1:44" s="10" customFormat="1" ht="15.75" customHeight="1" x14ac:dyDescent="0.25">
      <c r="A586" s="55">
        <v>233</v>
      </c>
      <c r="B586" s="633"/>
      <c r="C586" s="755"/>
      <c r="D586" s="824"/>
      <c r="E586" s="884"/>
      <c r="F586" s="33"/>
      <c r="G586" s="33"/>
      <c r="H586" s="45"/>
      <c r="I586" s="377"/>
      <c r="J586" s="774"/>
      <c r="K586" s="917">
        <f t="shared" si="131"/>
        <v>0</v>
      </c>
      <c r="L586" s="910"/>
      <c r="M586" s="910"/>
      <c r="N586" s="910"/>
      <c r="O586" s="910"/>
      <c r="P586" s="910"/>
      <c r="Q586" s="28">
        <f t="shared" si="132"/>
        <v>0</v>
      </c>
      <c r="R586" s="55"/>
      <c r="S586" s="301"/>
      <c r="T586" s="55"/>
      <c r="U586" s="24"/>
      <c r="V586" s="5"/>
      <c r="W586"/>
      <c r="X586"/>
      <c r="Y586"/>
      <c r="Z586"/>
      <c r="AA586"/>
      <c r="AB586"/>
      <c r="AC586"/>
      <c r="AD586"/>
      <c r="AE586"/>
      <c r="AF586"/>
      <c r="AG586"/>
      <c r="AH586"/>
      <c r="AI586"/>
      <c r="AJ586"/>
      <c r="AK586"/>
      <c r="AL586"/>
      <c r="AM586"/>
      <c r="AN586"/>
      <c r="AO586"/>
      <c r="AP586"/>
      <c r="AQ586"/>
      <c r="AR586"/>
    </row>
    <row r="587" spans="1:44" s="10" customFormat="1" ht="15.75" customHeight="1" x14ac:dyDescent="0.25">
      <c r="A587" s="55">
        <v>234</v>
      </c>
      <c r="B587" s="633"/>
      <c r="C587" s="755"/>
      <c r="D587" s="824"/>
      <c r="E587" s="884"/>
      <c r="F587" s="33"/>
      <c r="G587" s="33"/>
      <c r="H587" s="45"/>
      <c r="I587" s="377"/>
      <c r="J587" s="774"/>
      <c r="K587" s="917">
        <f t="shared" si="131"/>
        <v>0</v>
      </c>
      <c r="L587" s="910"/>
      <c r="M587" s="910"/>
      <c r="N587" s="910"/>
      <c r="O587" s="910"/>
      <c r="P587" s="910"/>
      <c r="Q587" s="28">
        <f t="shared" si="132"/>
        <v>0</v>
      </c>
      <c r="R587" s="55"/>
      <c r="S587" s="301"/>
      <c r="T587" s="55"/>
      <c r="U587" s="24"/>
      <c r="V587" s="5"/>
      <c r="W587"/>
      <c r="X587"/>
      <c r="Y587"/>
      <c r="Z587"/>
      <c r="AA587"/>
      <c r="AB587"/>
      <c r="AC587"/>
      <c r="AD587"/>
      <c r="AE587"/>
      <c r="AF587"/>
      <c r="AG587"/>
      <c r="AH587"/>
      <c r="AI587"/>
      <c r="AJ587"/>
      <c r="AK587"/>
      <c r="AL587"/>
      <c r="AM587"/>
      <c r="AN587"/>
      <c r="AO587"/>
      <c r="AP587"/>
      <c r="AQ587"/>
      <c r="AR587"/>
    </row>
    <row r="588" spans="1:44" s="10" customFormat="1" ht="15.75" customHeight="1" x14ac:dyDescent="0.25">
      <c r="A588" s="55">
        <v>235</v>
      </c>
      <c r="B588" s="633"/>
      <c r="C588" s="755"/>
      <c r="D588" s="824"/>
      <c r="E588" s="884"/>
      <c r="F588" s="33"/>
      <c r="G588" s="33"/>
      <c r="H588" s="45"/>
      <c r="I588" s="377"/>
      <c r="J588" s="774"/>
      <c r="K588" s="917">
        <f t="shared" si="131"/>
        <v>0</v>
      </c>
      <c r="L588" s="910"/>
      <c r="M588" s="910"/>
      <c r="N588" s="910"/>
      <c r="O588" s="910"/>
      <c r="P588" s="910"/>
      <c r="Q588" s="28">
        <f t="shared" si="132"/>
        <v>0</v>
      </c>
      <c r="R588" s="55"/>
      <c r="S588" s="301"/>
      <c r="T588" s="55"/>
      <c r="U588" s="24"/>
      <c r="V588" s="5"/>
      <c r="W588"/>
      <c r="X588"/>
      <c r="Y588"/>
      <c r="Z588"/>
      <c r="AA588"/>
      <c r="AB588"/>
      <c r="AC588"/>
      <c r="AD588"/>
      <c r="AE588"/>
      <c r="AF588"/>
      <c r="AG588"/>
      <c r="AH588"/>
      <c r="AI588"/>
      <c r="AJ588"/>
      <c r="AK588"/>
      <c r="AL588"/>
      <c r="AM588"/>
      <c r="AN588"/>
      <c r="AO588"/>
      <c r="AP588"/>
      <c r="AQ588"/>
      <c r="AR588"/>
    </row>
    <row r="589" spans="1:44" s="10" customFormat="1" ht="15.75" customHeight="1" x14ac:dyDescent="0.25">
      <c r="A589" s="55">
        <v>236</v>
      </c>
      <c r="B589" s="633"/>
      <c r="C589" s="755"/>
      <c r="D589" s="824"/>
      <c r="E589" s="884"/>
      <c r="F589" s="33"/>
      <c r="G589" s="404"/>
      <c r="H589" s="45"/>
      <c r="I589" s="377"/>
      <c r="J589" s="774"/>
      <c r="K589" s="917">
        <f t="shared" si="131"/>
        <v>0</v>
      </c>
      <c r="L589" s="910"/>
      <c r="M589" s="910"/>
      <c r="N589" s="910"/>
      <c r="O589" s="910"/>
      <c r="P589" s="910"/>
      <c r="Q589" s="28">
        <f t="shared" si="132"/>
        <v>0</v>
      </c>
      <c r="R589" s="55"/>
      <c r="S589" s="301"/>
      <c r="T589" s="55"/>
      <c r="U589" s="197"/>
      <c r="V589" s="5"/>
      <c r="W589"/>
      <c r="X589"/>
      <c r="Y589"/>
      <c r="Z589"/>
      <c r="AA589"/>
      <c r="AB589"/>
      <c r="AC589"/>
      <c r="AD589"/>
      <c r="AE589"/>
      <c r="AF589"/>
      <c r="AG589"/>
      <c r="AH589"/>
      <c r="AI589"/>
      <c r="AJ589"/>
      <c r="AK589"/>
      <c r="AL589"/>
      <c r="AM589"/>
      <c r="AN589"/>
      <c r="AO589"/>
      <c r="AP589"/>
      <c r="AQ589"/>
      <c r="AR589"/>
    </row>
    <row r="590" spans="1:44" s="10" customFormat="1" ht="15.75" customHeight="1" x14ac:dyDescent="0.25">
      <c r="A590" s="55">
        <v>237</v>
      </c>
      <c r="B590" s="633"/>
      <c r="C590" s="755"/>
      <c r="D590" s="824"/>
      <c r="E590" s="884"/>
      <c r="F590" s="33"/>
      <c r="G590" s="404"/>
      <c r="H590" s="45"/>
      <c r="I590" s="377"/>
      <c r="J590" s="774"/>
      <c r="K590" s="917">
        <f t="shared" si="131"/>
        <v>0</v>
      </c>
      <c r="L590" s="910"/>
      <c r="M590" s="910"/>
      <c r="N590" s="910"/>
      <c r="O590" s="910"/>
      <c r="P590" s="910"/>
      <c r="Q590" s="28">
        <f t="shared" si="132"/>
        <v>0</v>
      </c>
      <c r="R590" s="55"/>
      <c r="S590" s="301"/>
      <c r="T590" s="55"/>
      <c r="U590" s="24"/>
      <c r="V590" s="5"/>
      <c r="W590"/>
      <c r="X590"/>
      <c r="Y590"/>
      <c r="Z590"/>
      <c r="AA590"/>
      <c r="AB590"/>
      <c r="AC590"/>
      <c r="AD590"/>
      <c r="AE590"/>
      <c r="AF590"/>
      <c r="AG590"/>
      <c r="AH590"/>
      <c r="AI590"/>
      <c r="AJ590"/>
      <c r="AK590"/>
      <c r="AL590"/>
      <c r="AM590"/>
      <c r="AN590"/>
      <c r="AO590"/>
      <c r="AP590"/>
      <c r="AQ590"/>
      <c r="AR590"/>
    </row>
    <row r="591" spans="1:44" s="10" customFormat="1" ht="15.75" customHeight="1" x14ac:dyDescent="0.25">
      <c r="A591" s="55">
        <v>238</v>
      </c>
      <c r="B591" s="633"/>
      <c r="C591" s="755"/>
      <c r="D591" s="824"/>
      <c r="E591" s="884"/>
      <c r="F591" s="33"/>
      <c r="G591" s="404"/>
      <c r="H591" s="45"/>
      <c r="I591" s="377"/>
      <c r="J591" s="774"/>
      <c r="K591" s="917">
        <f t="shared" si="131"/>
        <v>0</v>
      </c>
      <c r="L591" s="910"/>
      <c r="M591" s="910"/>
      <c r="N591" s="910"/>
      <c r="O591" s="910"/>
      <c r="P591" s="910"/>
      <c r="Q591" s="28">
        <f t="shared" si="132"/>
        <v>0</v>
      </c>
      <c r="R591" s="55"/>
      <c r="S591" s="301"/>
      <c r="T591" s="55"/>
      <c r="U591" s="24"/>
      <c r="V591" s="5"/>
      <c r="W591"/>
      <c r="X591"/>
      <c r="Y591"/>
      <c r="Z591"/>
      <c r="AA591"/>
      <c r="AB591"/>
      <c r="AC591"/>
      <c r="AD591"/>
      <c r="AE591"/>
      <c r="AF591"/>
      <c r="AG591"/>
      <c r="AH591"/>
      <c r="AI591"/>
      <c r="AJ591"/>
      <c r="AK591"/>
      <c r="AL591"/>
      <c r="AM591"/>
      <c r="AN591"/>
      <c r="AO591"/>
      <c r="AP591"/>
      <c r="AQ591"/>
      <c r="AR591"/>
    </row>
    <row r="592" spans="1:44" s="10" customFormat="1" ht="15.75" customHeight="1" x14ac:dyDescent="0.25">
      <c r="A592" s="55">
        <v>239</v>
      </c>
      <c r="B592" s="633"/>
      <c r="C592" s="755"/>
      <c r="D592" s="824"/>
      <c r="E592" s="884"/>
      <c r="F592" s="33"/>
      <c r="G592" s="404"/>
      <c r="H592" s="45"/>
      <c r="I592" s="377"/>
      <c r="J592" s="774"/>
      <c r="K592" s="917">
        <f t="shared" si="131"/>
        <v>0</v>
      </c>
      <c r="L592" s="910"/>
      <c r="M592" s="910"/>
      <c r="N592" s="910"/>
      <c r="O592" s="910"/>
      <c r="P592" s="910"/>
      <c r="Q592" s="28">
        <f t="shared" si="132"/>
        <v>0</v>
      </c>
      <c r="R592" s="55"/>
      <c r="S592" s="301"/>
      <c r="T592" s="55"/>
      <c r="U592" s="24"/>
      <c r="V592" s="5"/>
      <c r="W592"/>
      <c r="X592"/>
      <c r="Y592"/>
      <c r="Z592"/>
      <c r="AA592"/>
      <c r="AB592"/>
      <c r="AC592"/>
      <c r="AD592"/>
      <c r="AE592"/>
      <c r="AF592"/>
      <c r="AG592"/>
      <c r="AH592"/>
      <c r="AI592"/>
      <c r="AJ592"/>
      <c r="AK592"/>
      <c r="AL592"/>
      <c r="AM592"/>
      <c r="AN592"/>
      <c r="AO592"/>
      <c r="AP592"/>
      <c r="AQ592"/>
      <c r="AR592"/>
    </row>
    <row r="593" spans="1:44" s="10" customFormat="1" ht="15.75" customHeight="1" x14ac:dyDescent="0.25">
      <c r="A593" s="55">
        <v>240</v>
      </c>
      <c r="B593" s="633"/>
      <c r="C593" s="755"/>
      <c r="D593" s="824"/>
      <c r="E593" s="884"/>
      <c r="F593" s="33"/>
      <c r="G593" s="404"/>
      <c r="H593" s="45"/>
      <c r="I593" s="377"/>
      <c r="J593" s="774"/>
      <c r="K593" s="917">
        <f t="shared" si="131"/>
        <v>0</v>
      </c>
      <c r="L593" s="910"/>
      <c r="M593" s="910"/>
      <c r="N593" s="910"/>
      <c r="O593" s="910"/>
      <c r="P593" s="910"/>
      <c r="Q593" s="28">
        <f t="shared" si="132"/>
        <v>0</v>
      </c>
      <c r="R593" s="55"/>
      <c r="S593" s="301"/>
      <c r="T593" s="55"/>
      <c r="U593" s="24"/>
      <c r="V593" s="5"/>
      <c r="W593"/>
      <c r="X593"/>
      <c r="Y593"/>
      <c r="Z593"/>
      <c r="AA593"/>
      <c r="AB593"/>
      <c r="AC593"/>
      <c r="AD593"/>
      <c r="AE593"/>
      <c r="AF593"/>
      <c r="AG593"/>
      <c r="AH593"/>
      <c r="AI593"/>
      <c r="AJ593"/>
      <c r="AK593"/>
      <c r="AL593"/>
      <c r="AM593"/>
      <c r="AN593"/>
      <c r="AO593"/>
      <c r="AP593"/>
      <c r="AQ593"/>
      <c r="AR593"/>
    </row>
    <row r="594" spans="1:44" s="10" customFormat="1" ht="15.75" customHeight="1" x14ac:dyDescent="0.25">
      <c r="A594" s="55">
        <v>241</v>
      </c>
      <c r="B594" s="633"/>
      <c r="C594" s="755"/>
      <c r="D594" s="824"/>
      <c r="E594" s="884"/>
      <c r="F594" s="33"/>
      <c r="G594" s="404"/>
      <c r="H594" s="45"/>
      <c r="I594" s="377"/>
      <c r="J594" s="774"/>
      <c r="K594" s="917">
        <f t="shared" si="131"/>
        <v>0</v>
      </c>
      <c r="L594" s="910"/>
      <c r="M594" s="910"/>
      <c r="N594" s="910"/>
      <c r="O594" s="910"/>
      <c r="P594" s="910"/>
      <c r="Q594" s="28">
        <f t="shared" si="132"/>
        <v>0</v>
      </c>
      <c r="R594" s="55"/>
      <c r="S594" s="301"/>
      <c r="T594" s="55"/>
      <c r="U594" s="24"/>
      <c r="V594" s="5"/>
      <c r="W594"/>
      <c r="X594"/>
      <c r="Y594"/>
      <c r="Z594"/>
      <c r="AA594"/>
      <c r="AB594"/>
      <c r="AC594"/>
      <c r="AD594"/>
      <c r="AE594"/>
      <c r="AF594"/>
      <c r="AG594"/>
      <c r="AH594"/>
      <c r="AI594"/>
      <c r="AJ594"/>
      <c r="AK594"/>
      <c r="AL594"/>
      <c r="AM594"/>
      <c r="AN594"/>
      <c r="AO594"/>
      <c r="AP594"/>
      <c r="AQ594"/>
      <c r="AR594"/>
    </row>
    <row r="595" spans="1:44" s="10" customFormat="1" ht="15.75" customHeight="1" x14ac:dyDescent="0.25">
      <c r="A595" s="55">
        <v>242</v>
      </c>
      <c r="B595" s="633"/>
      <c r="C595" s="755"/>
      <c r="D595" s="824"/>
      <c r="E595" s="884"/>
      <c r="F595" s="33"/>
      <c r="G595" s="404"/>
      <c r="H595" s="45"/>
      <c r="I595" s="377"/>
      <c r="J595" s="774"/>
      <c r="K595" s="917">
        <f t="shared" si="131"/>
        <v>0</v>
      </c>
      <c r="L595" s="910"/>
      <c r="M595" s="910"/>
      <c r="N595" s="910"/>
      <c r="O595" s="910"/>
      <c r="P595" s="910"/>
      <c r="Q595" s="28">
        <f t="shared" si="132"/>
        <v>0</v>
      </c>
      <c r="R595" s="55"/>
      <c r="S595" s="301"/>
      <c r="T595" s="55"/>
      <c r="U595" s="24"/>
      <c r="V595" s="5"/>
      <c r="W595"/>
      <c r="X595"/>
      <c r="Y595"/>
      <c r="Z595"/>
      <c r="AA595"/>
      <c r="AB595"/>
      <c r="AC595"/>
      <c r="AD595"/>
      <c r="AE595"/>
      <c r="AF595"/>
      <c r="AG595"/>
      <c r="AH595"/>
      <c r="AI595"/>
      <c r="AJ595"/>
      <c r="AK595"/>
      <c r="AL595"/>
      <c r="AM595"/>
      <c r="AN595"/>
      <c r="AO595"/>
      <c r="AP595"/>
      <c r="AQ595"/>
      <c r="AR595"/>
    </row>
    <row r="596" spans="1:44" s="10" customFormat="1" ht="15.75" customHeight="1" x14ac:dyDescent="0.25">
      <c r="A596" s="55">
        <v>243</v>
      </c>
      <c r="B596" s="633"/>
      <c r="C596" s="755"/>
      <c r="D596" s="824"/>
      <c r="E596" s="884"/>
      <c r="F596" s="33"/>
      <c r="G596" s="404"/>
      <c r="H596" s="45"/>
      <c r="I596" s="377"/>
      <c r="J596" s="774"/>
      <c r="K596" s="917">
        <f t="shared" si="131"/>
        <v>0</v>
      </c>
      <c r="L596" s="910"/>
      <c r="M596" s="910"/>
      <c r="N596" s="910"/>
      <c r="O596" s="910"/>
      <c r="P596" s="910"/>
      <c r="Q596" s="28">
        <f t="shared" si="132"/>
        <v>0</v>
      </c>
      <c r="R596" s="55"/>
      <c r="S596" s="301"/>
      <c r="T596" s="55"/>
      <c r="U596" s="24"/>
      <c r="V596" s="5"/>
      <c r="W596"/>
      <c r="X596"/>
      <c r="Y596"/>
      <c r="Z596"/>
      <c r="AA596"/>
      <c r="AB596"/>
      <c r="AC596"/>
      <c r="AD596"/>
      <c r="AE596"/>
      <c r="AF596"/>
      <c r="AG596"/>
      <c r="AH596"/>
      <c r="AI596"/>
      <c r="AJ596"/>
      <c r="AK596"/>
      <c r="AL596"/>
      <c r="AM596"/>
      <c r="AN596"/>
      <c r="AO596"/>
      <c r="AP596"/>
      <c r="AQ596"/>
      <c r="AR596"/>
    </row>
    <row r="597" spans="1:44" s="10" customFormat="1" ht="15.75" customHeight="1" x14ac:dyDescent="0.25">
      <c r="A597" s="55">
        <v>244</v>
      </c>
      <c r="B597" s="633"/>
      <c r="C597" s="755"/>
      <c r="D597" s="824"/>
      <c r="E597" s="884"/>
      <c r="F597" s="33"/>
      <c r="G597" s="404"/>
      <c r="H597" s="45"/>
      <c r="I597" s="377"/>
      <c r="J597" s="774"/>
      <c r="K597" s="917">
        <f t="shared" si="131"/>
        <v>0</v>
      </c>
      <c r="L597" s="910"/>
      <c r="M597" s="910"/>
      <c r="N597" s="910"/>
      <c r="O597" s="910"/>
      <c r="P597" s="910"/>
      <c r="Q597" s="28">
        <f t="shared" si="132"/>
        <v>0</v>
      </c>
      <c r="R597" s="55"/>
      <c r="S597" s="301"/>
      <c r="T597" s="55"/>
      <c r="U597" s="24"/>
      <c r="V597" s="5"/>
      <c r="W597"/>
      <c r="X597"/>
      <c r="Y597"/>
      <c r="Z597"/>
      <c r="AA597"/>
      <c r="AB597"/>
      <c r="AC597"/>
      <c r="AD597"/>
      <c r="AE597"/>
      <c r="AF597"/>
      <c r="AG597"/>
      <c r="AH597"/>
      <c r="AI597"/>
      <c r="AJ597"/>
      <c r="AK597"/>
      <c r="AL597"/>
      <c r="AM597"/>
      <c r="AN597"/>
      <c r="AO597"/>
      <c r="AP597"/>
      <c r="AQ597"/>
      <c r="AR597"/>
    </row>
    <row r="598" spans="1:44" s="10" customFormat="1" ht="15.75" customHeight="1" x14ac:dyDescent="0.25">
      <c r="A598" s="55">
        <v>245</v>
      </c>
      <c r="B598" s="633"/>
      <c r="C598" s="755"/>
      <c r="D598" s="824"/>
      <c r="E598" s="884"/>
      <c r="F598" s="33"/>
      <c r="G598" s="404"/>
      <c r="H598" s="45"/>
      <c r="I598" s="377"/>
      <c r="J598" s="774"/>
      <c r="K598" s="917">
        <f t="shared" si="131"/>
        <v>0</v>
      </c>
      <c r="L598" s="910"/>
      <c r="M598" s="910"/>
      <c r="N598" s="910"/>
      <c r="O598" s="910"/>
      <c r="P598" s="910"/>
      <c r="Q598" s="28">
        <f t="shared" si="132"/>
        <v>0</v>
      </c>
      <c r="R598" s="55"/>
      <c r="S598" s="301"/>
      <c r="T598" s="55"/>
      <c r="U598" s="24"/>
      <c r="V598" s="5"/>
      <c r="W598"/>
      <c r="X598"/>
      <c r="Y598"/>
      <c r="Z598"/>
      <c r="AA598"/>
      <c r="AB598"/>
      <c r="AC598"/>
      <c r="AD598"/>
      <c r="AE598"/>
      <c r="AF598"/>
      <c r="AG598"/>
      <c r="AH598"/>
      <c r="AI598"/>
      <c r="AJ598"/>
      <c r="AK598"/>
      <c r="AL598"/>
      <c r="AM598"/>
      <c r="AN598"/>
      <c r="AO598"/>
      <c r="AP598"/>
      <c r="AQ598"/>
      <c r="AR598"/>
    </row>
    <row r="599" spans="1:44" s="10" customFormat="1" ht="15.75" customHeight="1" x14ac:dyDescent="0.25">
      <c r="A599" s="55">
        <v>246</v>
      </c>
      <c r="B599" s="633"/>
      <c r="C599" s="755"/>
      <c r="D599" s="824"/>
      <c r="E599" s="884"/>
      <c r="F599" s="33"/>
      <c r="G599" s="404"/>
      <c r="H599" s="45"/>
      <c r="I599" s="377"/>
      <c r="J599" s="774"/>
      <c r="K599" s="917">
        <f t="shared" si="131"/>
        <v>0</v>
      </c>
      <c r="L599" s="910"/>
      <c r="M599" s="910"/>
      <c r="N599" s="910"/>
      <c r="O599" s="910"/>
      <c r="P599" s="910"/>
      <c r="Q599" s="28">
        <f t="shared" si="132"/>
        <v>0</v>
      </c>
      <c r="R599" s="55"/>
      <c r="S599" s="301"/>
      <c r="T599" s="55"/>
      <c r="U599" s="24"/>
      <c r="V599" s="5"/>
      <c r="W599"/>
      <c r="X599"/>
      <c r="Y599"/>
      <c r="Z599"/>
      <c r="AA599"/>
      <c r="AB599"/>
      <c r="AC599"/>
      <c r="AD599"/>
      <c r="AE599"/>
      <c r="AF599"/>
      <c r="AG599"/>
      <c r="AH599"/>
      <c r="AI599"/>
      <c r="AJ599"/>
      <c r="AK599"/>
      <c r="AL599"/>
      <c r="AM599"/>
      <c r="AN599"/>
      <c r="AO599"/>
      <c r="AP599"/>
      <c r="AQ599"/>
      <c r="AR599"/>
    </row>
    <row r="600" spans="1:44" s="10" customFormat="1" ht="15.75" customHeight="1" x14ac:dyDescent="0.25">
      <c r="A600" s="55">
        <v>257</v>
      </c>
      <c r="B600" s="633">
        <v>44652</v>
      </c>
      <c r="C600" s="755" t="s">
        <v>4690</v>
      </c>
      <c r="D600" s="824" t="s">
        <v>4689</v>
      </c>
      <c r="E600" s="884"/>
      <c r="F600" s="33" t="s">
        <v>4693</v>
      </c>
      <c r="G600" s="404" t="s">
        <v>4712</v>
      </c>
      <c r="H600" s="45">
        <v>3314000</v>
      </c>
      <c r="I600" s="377" t="s">
        <v>4688</v>
      </c>
      <c r="J600" s="774">
        <v>44652</v>
      </c>
      <c r="K600" s="917">
        <f t="shared" si="131"/>
        <v>3314000</v>
      </c>
      <c r="L600" s="910"/>
      <c r="M600" s="910"/>
      <c r="N600" s="910"/>
      <c r="O600" s="910"/>
      <c r="P600" s="910">
        <v>3314000</v>
      </c>
      <c r="Q600" s="28">
        <f t="shared" si="132"/>
        <v>0</v>
      </c>
      <c r="R600" s="55"/>
      <c r="S600" s="301">
        <v>44655</v>
      </c>
      <c r="T600" s="55"/>
      <c r="U600" s="24"/>
      <c r="V600" s="5"/>
      <c r="W600"/>
      <c r="X600"/>
      <c r="Y600"/>
      <c r="Z600"/>
      <c r="AA600"/>
      <c r="AB600"/>
      <c r="AC600"/>
      <c r="AD600"/>
      <c r="AE600"/>
      <c r="AF600"/>
      <c r="AG600"/>
      <c r="AH600"/>
      <c r="AI600"/>
      <c r="AJ600"/>
      <c r="AK600"/>
      <c r="AL600"/>
      <c r="AM600"/>
      <c r="AN600"/>
      <c r="AO600"/>
      <c r="AP600"/>
      <c r="AQ600"/>
      <c r="AR600"/>
    </row>
    <row r="601" spans="1:44" s="10" customFormat="1" ht="15.75" customHeight="1" x14ac:dyDescent="0.25">
      <c r="A601" s="55">
        <v>258</v>
      </c>
      <c r="B601" s="633">
        <v>44652</v>
      </c>
      <c r="C601" s="755"/>
      <c r="D601" s="824" t="s">
        <v>4692</v>
      </c>
      <c r="E601" s="884"/>
      <c r="F601" s="33" t="s">
        <v>4432</v>
      </c>
      <c r="G601" s="404" t="s">
        <v>155</v>
      </c>
      <c r="H601" s="45">
        <v>478500</v>
      </c>
      <c r="I601" s="377" t="s">
        <v>4691</v>
      </c>
      <c r="J601" s="774">
        <v>44653</v>
      </c>
      <c r="K601" s="917">
        <f t="shared" si="131"/>
        <v>478500</v>
      </c>
      <c r="L601" s="910"/>
      <c r="M601" s="910"/>
      <c r="N601" s="910"/>
      <c r="O601" s="910"/>
      <c r="P601" s="910">
        <v>478500</v>
      </c>
      <c r="Q601" s="28">
        <f t="shared" si="132"/>
        <v>0</v>
      </c>
      <c r="R601" s="55"/>
      <c r="S601" s="301">
        <v>44655</v>
      </c>
      <c r="T601" s="55"/>
      <c r="U601" s="24"/>
      <c r="V601" s="5"/>
      <c r="W601"/>
      <c r="X601"/>
      <c r="Y601"/>
      <c r="Z601"/>
      <c r="AA601"/>
      <c r="AB601"/>
      <c r="AC601"/>
      <c r="AD601"/>
      <c r="AE601"/>
      <c r="AF601"/>
      <c r="AG601"/>
      <c r="AH601"/>
      <c r="AI601"/>
      <c r="AJ601"/>
      <c r="AK601"/>
      <c r="AL601"/>
      <c r="AM601"/>
      <c r="AN601"/>
      <c r="AO601"/>
      <c r="AP601"/>
      <c r="AQ601"/>
      <c r="AR601"/>
    </row>
    <row r="602" spans="1:44" s="10" customFormat="1" ht="15.75" customHeight="1" x14ac:dyDescent="0.25">
      <c r="A602" s="55">
        <v>266</v>
      </c>
      <c r="B602" s="633">
        <v>44652</v>
      </c>
      <c r="C602" s="755"/>
      <c r="D602" s="824" t="s">
        <v>4819</v>
      </c>
      <c r="E602" s="884"/>
      <c r="F602" s="33" t="s">
        <v>491</v>
      </c>
      <c r="G602" s="404" t="s">
        <v>4820</v>
      </c>
      <c r="H602" s="45">
        <v>1300000</v>
      </c>
      <c r="I602" s="377" t="s">
        <v>4818</v>
      </c>
      <c r="J602" s="774">
        <v>44656</v>
      </c>
      <c r="K602" s="917">
        <f t="shared" ref="K602:K665" si="133">H602</f>
        <v>1300000</v>
      </c>
      <c r="L602" s="910"/>
      <c r="M602" s="910"/>
      <c r="N602" s="910"/>
      <c r="O602" s="910"/>
      <c r="P602" s="910"/>
      <c r="Q602" s="28">
        <f t="shared" si="132"/>
        <v>1300000</v>
      </c>
      <c r="R602" s="301"/>
      <c r="S602" s="301"/>
      <c r="T602" s="55"/>
      <c r="U602" s="24"/>
      <c r="V602" s="5" t="s">
        <v>4821</v>
      </c>
      <c r="W602"/>
      <c r="X602"/>
      <c r="Y602"/>
      <c r="Z602"/>
      <c r="AA602"/>
      <c r="AB602"/>
      <c r="AC602"/>
      <c r="AD602"/>
      <c r="AE602"/>
      <c r="AF602"/>
      <c r="AG602"/>
      <c r="AH602"/>
      <c r="AI602"/>
      <c r="AJ602"/>
      <c r="AK602"/>
      <c r="AL602"/>
      <c r="AM602"/>
      <c r="AN602"/>
      <c r="AO602"/>
      <c r="AP602"/>
      <c r="AQ602"/>
      <c r="AR602"/>
    </row>
    <row r="603" spans="1:44" s="10" customFormat="1" ht="15.75" customHeight="1" x14ac:dyDescent="0.25">
      <c r="A603" s="55">
        <v>275</v>
      </c>
      <c r="B603" s="633">
        <v>44652</v>
      </c>
      <c r="C603" s="920"/>
      <c r="D603" s="824" t="s">
        <v>4844</v>
      </c>
      <c r="E603" s="884"/>
      <c r="F603" s="33" t="s">
        <v>4843</v>
      </c>
      <c r="G603" s="404" t="s">
        <v>161</v>
      </c>
      <c r="H603" s="45">
        <v>800000</v>
      </c>
      <c r="I603" s="377" t="s">
        <v>4842</v>
      </c>
      <c r="J603" s="774">
        <v>44657</v>
      </c>
      <c r="K603" s="924">
        <f t="shared" si="133"/>
        <v>800000</v>
      </c>
      <c r="L603" s="910"/>
      <c r="M603" s="910"/>
      <c r="N603" s="910"/>
      <c r="O603" s="910"/>
      <c r="P603" s="910"/>
      <c r="Q603" s="28">
        <f t="shared" si="132"/>
        <v>800000</v>
      </c>
      <c r="R603" s="301"/>
      <c r="S603" s="301"/>
      <c r="T603" s="55"/>
      <c r="U603" s="24"/>
      <c r="V603" s="5" t="s">
        <v>4845</v>
      </c>
      <c r="W603"/>
      <c r="X603"/>
      <c r="Y603"/>
      <c r="Z603"/>
      <c r="AA603"/>
      <c r="AB603"/>
      <c r="AC603"/>
      <c r="AD603"/>
      <c r="AE603"/>
      <c r="AF603"/>
      <c r="AG603"/>
      <c r="AH603"/>
      <c r="AI603"/>
      <c r="AJ603"/>
      <c r="AK603"/>
      <c r="AL603"/>
      <c r="AM603"/>
      <c r="AN603"/>
      <c r="AO603"/>
      <c r="AP603"/>
      <c r="AQ603"/>
      <c r="AR603"/>
    </row>
    <row r="604" spans="1:44" s="10" customFormat="1" ht="15.75" customHeight="1" x14ac:dyDescent="0.25">
      <c r="A604" s="55">
        <v>279</v>
      </c>
      <c r="B604" s="633">
        <v>44653</v>
      </c>
      <c r="C604" s="755" t="s">
        <v>4861</v>
      </c>
      <c r="D604" s="824" t="s">
        <v>4860</v>
      </c>
      <c r="E604" s="884"/>
      <c r="F604" s="33" t="s">
        <v>4019</v>
      </c>
      <c r="G604" s="404" t="s">
        <v>4424</v>
      </c>
      <c r="H604" s="45">
        <v>656000</v>
      </c>
      <c r="I604" s="377" t="s">
        <v>4859</v>
      </c>
      <c r="J604" s="774">
        <v>44657</v>
      </c>
      <c r="K604" s="924">
        <f t="shared" si="133"/>
        <v>656000</v>
      </c>
      <c r="L604" s="910"/>
      <c r="M604" s="910"/>
      <c r="N604" s="910"/>
      <c r="O604" s="910"/>
      <c r="P604" s="910"/>
      <c r="Q604" s="28">
        <f t="shared" si="132"/>
        <v>656000</v>
      </c>
      <c r="R604" s="301"/>
      <c r="S604" s="301"/>
      <c r="T604" s="55"/>
      <c r="U604" s="24"/>
      <c r="V604" s="5" t="s">
        <v>4858</v>
      </c>
      <c r="W604"/>
      <c r="X604"/>
      <c r="Y604"/>
      <c r="Z604"/>
      <c r="AA604"/>
      <c r="AB604"/>
      <c r="AC604"/>
      <c r="AD604"/>
      <c r="AE604"/>
      <c r="AF604"/>
      <c r="AG604"/>
      <c r="AH604"/>
      <c r="AI604"/>
      <c r="AJ604"/>
      <c r="AK604"/>
      <c r="AL604"/>
      <c r="AM604"/>
      <c r="AN604"/>
      <c r="AO604"/>
      <c r="AP604"/>
      <c r="AQ604"/>
      <c r="AR604"/>
    </row>
    <row r="605" spans="1:44" s="10" customFormat="1" ht="15.75" customHeight="1" x14ac:dyDescent="0.25">
      <c r="A605" s="55">
        <v>280</v>
      </c>
      <c r="B605" s="633">
        <v>44653</v>
      </c>
      <c r="C605" s="755" t="s">
        <v>4863</v>
      </c>
      <c r="D605" s="824" t="s">
        <v>4865</v>
      </c>
      <c r="E605" s="884"/>
      <c r="F605" s="33" t="s">
        <v>4019</v>
      </c>
      <c r="G605" s="404" t="s">
        <v>4424</v>
      </c>
      <c r="H605" s="45">
        <v>804000</v>
      </c>
      <c r="I605" s="377" t="s">
        <v>4862</v>
      </c>
      <c r="J605" s="774">
        <v>44657</v>
      </c>
      <c r="K605" s="924">
        <f t="shared" si="133"/>
        <v>804000</v>
      </c>
      <c r="L605" s="910"/>
      <c r="M605" s="910"/>
      <c r="N605" s="910"/>
      <c r="O605" s="910"/>
      <c r="P605" s="910"/>
      <c r="Q605" s="28">
        <f t="shared" ref="Q605:Q661" si="134">K605-L605-M605-O605-P605+N605</f>
        <v>804000</v>
      </c>
      <c r="R605" s="301"/>
      <c r="S605" s="301"/>
      <c r="T605" s="55"/>
      <c r="U605" s="24"/>
      <c r="V605" s="5" t="s">
        <v>4864</v>
      </c>
      <c r="W605"/>
      <c r="X605"/>
      <c r="Y605"/>
      <c r="Z605"/>
      <c r="AA605"/>
      <c r="AB605"/>
      <c r="AC605"/>
      <c r="AD605"/>
      <c r="AE605"/>
      <c r="AF605"/>
      <c r="AG605"/>
      <c r="AH605"/>
      <c r="AI605"/>
      <c r="AJ605"/>
      <c r="AK605"/>
      <c r="AL605"/>
      <c r="AM605"/>
      <c r="AN605"/>
      <c r="AO605"/>
      <c r="AP605"/>
      <c r="AQ605"/>
      <c r="AR605"/>
    </row>
    <row r="606" spans="1:44" s="10" customFormat="1" ht="15.75" customHeight="1" x14ac:dyDescent="0.25">
      <c r="A606" s="55">
        <v>281</v>
      </c>
      <c r="B606" s="633">
        <v>44655</v>
      </c>
      <c r="C606" s="755" t="s">
        <v>4868</v>
      </c>
      <c r="D606" s="824" t="s">
        <v>4867</v>
      </c>
      <c r="E606" s="884"/>
      <c r="F606" s="33" t="s">
        <v>4019</v>
      </c>
      <c r="G606" s="404" t="s">
        <v>4424</v>
      </c>
      <c r="H606" s="45">
        <v>292000</v>
      </c>
      <c r="I606" s="377" t="s">
        <v>4866</v>
      </c>
      <c r="J606" s="774">
        <v>44657</v>
      </c>
      <c r="K606" s="924">
        <f t="shared" si="133"/>
        <v>292000</v>
      </c>
      <c r="L606" s="910"/>
      <c r="M606" s="910"/>
      <c r="N606" s="910"/>
      <c r="O606" s="910"/>
      <c r="P606" s="910"/>
      <c r="Q606" s="28">
        <f t="shared" si="134"/>
        <v>292000</v>
      </c>
      <c r="R606" s="301"/>
      <c r="S606" s="301"/>
      <c r="T606" s="55"/>
      <c r="U606" s="24"/>
      <c r="V606" s="5" t="s">
        <v>4864</v>
      </c>
      <c r="W606"/>
      <c r="X606"/>
      <c r="Y606"/>
      <c r="Z606"/>
      <c r="AA606"/>
      <c r="AB606"/>
      <c r="AC606"/>
      <c r="AD606"/>
      <c r="AE606"/>
      <c r="AF606"/>
      <c r="AG606"/>
      <c r="AH606"/>
      <c r="AI606"/>
      <c r="AJ606"/>
      <c r="AK606"/>
      <c r="AL606"/>
      <c r="AM606"/>
      <c r="AN606"/>
      <c r="AO606"/>
      <c r="AP606"/>
      <c r="AQ606"/>
      <c r="AR606"/>
    </row>
    <row r="607" spans="1:44" s="10" customFormat="1" ht="15.75" customHeight="1" x14ac:dyDescent="0.25">
      <c r="A607" s="55">
        <v>282</v>
      </c>
      <c r="B607" s="633">
        <v>44655</v>
      </c>
      <c r="C607" s="755" t="s">
        <v>4871</v>
      </c>
      <c r="D607" s="824" t="s">
        <v>4870</v>
      </c>
      <c r="E607" s="884"/>
      <c r="F607" s="33" t="s">
        <v>3982</v>
      </c>
      <c r="G607" s="404" t="s">
        <v>4424</v>
      </c>
      <c r="H607" s="45">
        <v>1616000</v>
      </c>
      <c r="I607" s="377" t="s">
        <v>4869</v>
      </c>
      <c r="J607" s="774">
        <v>44657</v>
      </c>
      <c r="K607" s="924">
        <f t="shared" si="133"/>
        <v>1616000</v>
      </c>
      <c r="L607" s="910"/>
      <c r="M607" s="910"/>
      <c r="N607" s="910"/>
      <c r="O607" s="910"/>
      <c r="P607" s="910"/>
      <c r="Q607" s="28">
        <f t="shared" si="134"/>
        <v>1616000</v>
      </c>
      <c r="R607" s="301"/>
      <c r="S607" s="301"/>
      <c r="T607" s="55"/>
      <c r="U607" s="24"/>
      <c r="V607" s="927"/>
      <c r="W607"/>
      <c r="X607"/>
      <c r="Y607"/>
      <c r="Z607"/>
      <c r="AA607"/>
      <c r="AB607"/>
      <c r="AC607"/>
      <c r="AD607"/>
      <c r="AE607"/>
      <c r="AF607"/>
      <c r="AG607"/>
      <c r="AH607"/>
      <c r="AI607"/>
      <c r="AJ607"/>
      <c r="AK607"/>
      <c r="AL607"/>
      <c r="AM607"/>
      <c r="AN607"/>
      <c r="AO607"/>
      <c r="AP607"/>
      <c r="AQ607"/>
      <c r="AR607"/>
    </row>
    <row r="608" spans="1:44" s="10" customFormat="1" ht="15.75" customHeight="1" x14ac:dyDescent="0.25">
      <c r="A608" s="55">
        <v>283</v>
      </c>
      <c r="B608" s="633">
        <v>44655</v>
      </c>
      <c r="C608" s="755"/>
      <c r="D608" s="824" t="s">
        <v>4873</v>
      </c>
      <c r="E608" s="884"/>
      <c r="F608" s="33" t="s">
        <v>4094</v>
      </c>
      <c r="G608" s="404" t="s">
        <v>4424</v>
      </c>
      <c r="H608" s="45">
        <v>168000</v>
      </c>
      <c r="I608" s="377" t="s">
        <v>4872</v>
      </c>
      <c r="J608" s="774">
        <v>44657</v>
      </c>
      <c r="K608" s="924">
        <f t="shared" si="133"/>
        <v>168000</v>
      </c>
      <c r="L608" s="910"/>
      <c r="M608" s="910"/>
      <c r="N608" s="910"/>
      <c r="O608" s="910"/>
      <c r="P608" s="910">
        <v>168000</v>
      </c>
      <c r="Q608" s="28">
        <f t="shared" si="134"/>
        <v>0</v>
      </c>
      <c r="R608" s="301"/>
      <c r="S608" s="301">
        <v>44657</v>
      </c>
      <c r="T608" s="55"/>
      <c r="U608" s="24"/>
      <c r="V608" s="5"/>
      <c r="W608"/>
      <c r="X608"/>
      <c r="Y608"/>
      <c r="Z608"/>
      <c r="AA608"/>
      <c r="AB608"/>
      <c r="AC608"/>
      <c r="AD608"/>
      <c r="AE608"/>
      <c r="AF608"/>
      <c r="AG608"/>
      <c r="AH608"/>
      <c r="AI608"/>
      <c r="AJ608"/>
      <c r="AK608"/>
      <c r="AL608"/>
      <c r="AM608"/>
      <c r="AN608"/>
      <c r="AO608"/>
      <c r="AP608"/>
      <c r="AQ608"/>
      <c r="AR608"/>
    </row>
    <row r="609" spans="1:44" s="10" customFormat="1" ht="15.75" customHeight="1" x14ac:dyDescent="0.25">
      <c r="A609" s="55">
        <v>284</v>
      </c>
      <c r="B609" s="633" t="s">
        <v>4876</v>
      </c>
      <c r="C609" s="755"/>
      <c r="D609" s="824" t="s">
        <v>4875</v>
      </c>
      <c r="E609" s="884"/>
      <c r="F609" s="33" t="s">
        <v>4854</v>
      </c>
      <c r="G609" s="404" t="s">
        <v>4424</v>
      </c>
      <c r="H609" s="45">
        <v>225000</v>
      </c>
      <c r="I609" s="377" t="s">
        <v>4874</v>
      </c>
      <c r="J609" s="774">
        <v>44657</v>
      </c>
      <c r="K609" s="924">
        <f t="shared" si="133"/>
        <v>225000</v>
      </c>
      <c r="L609" s="910"/>
      <c r="M609" s="910"/>
      <c r="N609" s="910"/>
      <c r="O609" s="910"/>
      <c r="P609" s="910"/>
      <c r="Q609" s="28">
        <f t="shared" si="134"/>
        <v>225000</v>
      </c>
      <c r="R609" s="301"/>
      <c r="S609" s="301"/>
      <c r="T609" s="55"/>
      <c r="U609" s="24"/>
      <c r="V609" s="5"/>
      <c r="W609"/>
      <c r="X609"/>
      <c r="Y609"/>
      <c r="Z609"/>
      <c r="AA609"/>
      <c r="AB609"/>
      <c r="AC609"/>
      <c r="AD609"/>
      <c r="AE609"/>
      <c r="AF609"/>
      <c r="AG609"/>
      <c r="AH609"/>
      <c r="AI609"/>
      <c r="AJ609"/>
      <c r="AK609"/>
      <c r="AL609"/>
      <c r="AM609"/>
      <c r="AN609"/>
      <c r="AO609"/>
      <c r="AP609"/>
      <c r="AQ609"/>
      <c r="AR609"/>
    </row>
    <row r="610" spans="1:44" s="10" customFormat="1" ht="15.75" customHeight="1" x14ac:dyDescent="0.25">
      <c r="A610" s="55">
        <v>286</v>
      </c>
      <c r="B610" s="633">
        <v>44656</v>
      </c>
      <c r="C610" s="755"/>
      <c r="D610" s="824" t="s">
        <v>4881</v>
      </c>
      <c r="E610" s="884"/>
      <c r="F610" s="33" t="s">
        <v>4019</v>
      </c>
      <c r="G610" s="404" t="s">
        <v>4424</v>
      </c>
      <c r="H610" s="45">
        <v>200000</v>
      </c>
      <c r="I610" s="377" t="s">
        <v>4882</v>
      </c>
      <c r="J610" s="774">
        <v>44657</v>
      </c>
      <c r="K610" s="924">
        <f t="shared" si="133"/>
        <v>200000</v>
      </c>
      <c r="L610" s="910"/>
      <c r="M610" s="910"/>
      <c r="N610" s="910"/>
      <c r="O610" s="910"/>
      <c r="P610" s="910"/>
      <c r="Q610" s="28">
        <f t="shared" si="134"/>
        <v>200000</v>
      </c>
      <c r="R610" s="301"/>
      <c r="S610" s="301"/>
      <c r="T610" s="55"/>
      <c r="U610" s="24"/>
      <c r="V610" s="5" t="s">
        <v>4864</v>
      </c>
      <c r="W610"/>
      <c r="X610"/>
      <c r="Y610"/>
      <c r="Z610"/>
      <c r="AA610"/>
      <c r="AB610"/>
      <c r="AC610"/>
      <c r="AD610"/>
      <c r="AE610"/>
      <c r="AF610"/>
      <c r="AG610"/>
      <c r="AH610"/>
      <c r="AI610"/>
      <c r="AJ610"/>
      <c r="AK610"/>
      <c r="AL610"/>
      <c r="AM610"/>
      <c r="AN610"/>
      <c r="AO610"/>
      <c r="AP610"/>
      <c r="AQ610"/>
      <c r="AR610"/>
    </row>
    <row r="611" spans="1:44" s="10" customFormat="1" ht="15.75" customHeight="1" x14ac:dyDescent="0.25">
      <c r="A611" s="55">
        <v>287</v>
      </c>
      <c r="B611" s="633">
        <v>44657</v>
      </c>
      <c r="C611" s="755"/>
      <c r="D611" s="824" t="s">
        <v>4884</v>
      </c>
      <c r="E611" s="884"/>
      <c r="F611" s="33" t="s">
        <v>4019</v>
      </c>
      <c r="G611" s="404" t="s">
        <v>4424</v>
      </c>
      <c r="H611" s="45">
        <v>824000</v>
      </c>
      <c r="I611" s="377" t="s">
        <v>4883</v>
      </c>
      <c r="J611" s="774">
        <v>44657</v>
      </c>
      <c r="K611" s="924">
        <f t="shared" si="133"/>
        <v>824000</v>
      </c>
      <c r="L611" s="910"/>
      <c r="M611" s="910"/>
      <c r="N611" s="910"/>
      <c r="O611" s="910"/>
      <c r="P611" s="910"/>
      <c r="Q611" s="28">
        <f t="shared" si="134"/>
        <v>824000</v>
      </c>
      <c r="R611" s="301"/>
      <c r="S611" s="301"/>
      <c r="T611" s="55"/>
      <c r="U611" s="24"/>
      <c r="V611" s="5" t="s">
        <v>4864</v>
      </c>
      <c r="W611"/>
      <c r="X611"/>
      <c r="Y611"/>
      <c r="Z611"/>
      <c r="AA611"/>
      <c r="AB611"/>
      <c r="AC611"/>
      <c r="AD611"/>
      <c r="AE611"/>
      <c r="AF611"/>
      <c r="AG611"/>
      <c r="AH611"/>
      <c r="AI611"/>
      <c r="AJ611"/>
      <c r="AK611"/>
      <c r="AL611"/>
      <c r="AM611"/>
      <c r="AN611"/>
      <c r="AO611"/>
      <c r="AP611"/>
      <c r="AQ611"/>
      <c r="AR611"/>
    </row>
    <row r="612" spans="1:44" s="10" customFormat="1" ht="15.75" customHeight="1" x14ac:dyDescent="0.25">
      <c r="A612" s="55">
        <v>292</v>
      </c>
      <c r="B612" s="633">
        <v>44661</v>
      </c>
      <c r="C612" s="755" t="s">
        <v>4900</v>
      </c>
      <c r="D612" s="824" t="s">
        <v>4899</v>
      </c>
      <c r="E612" s="884"/>
      <c r="F612" s="33" t="s">
        <v>1840</v>
      </c>
      <c r="G612" s="404" t="s">
        <v>4029</v>
      </c>
      <c r="H612" s="45">
        <v>300000000</v>
      </c>
      <c r="I612" s="377" t="s">
        <v>4896</v>
      </c>
      <c r="J612" s="774">
        <v>44658</v>
      </c>
      <c r="K612" s="924">
        <f t="shared" si="133"/>
        <v>300000000</v>
      </c>
      <c r="L612" s="910">
        <v>150000000</v>
      </c>
      <c r="M612" s="910"/>
      <c r="N612" s="910"/>
      <c r="O612" s="910"/>
      <c r="P612" s="910"/>
      <c r="Q612" s="28">
        <f t="shared" si="134"/>
        <v>150000000</v>
      </c>
      <c r="R612" s="301" t="s">
        <v>4903</v>
      </c>
      <c r="S612" s="301"/>
      <c r="T612" s="55"/>
      <c r="U612" s="24"/>
      <c r="V612" s="5"/>
      <c r="W612"/>
      <c r="X612"/>
      <c r="Y612"/>
      <c r="Z612"/>
      <c r="AA612"/>
      <c r="AB612"/>
      <c r="AC612"/>
      <c r="AD612"/>
      <c r="AE612"/>
      <c r="AF612"/>
      <c r="AG612"/>
      <c r="AH612"/>
      <c r="AI612"/>
      <c r="AJ612"/>
      <c r="AK612"/>
      <c r="AL612"/>
      <c r="AM612"/>
      <c r="AN612"/>
      <c r="AO612"/>
      <c r="AP612"/>
      <c r="AQ612"/>
      <c r="AR612"/>
    </row>
    <row r="613" spans="1:44" s="10" customFormat="1" ht="15.75" customHeight="1" x14ac:dyDescent="0.25">
      <c r="A613" s="55">
        <v>293</v>
      </c>
      <c r="B613" s="633">
        <v>44660</v>
      </c>
      <c r="C613" s="755" t="s">
        <v>4902</v>
      </c>
      <c r="D613" s="824" t="s">
        <v>4901</v>
      </c>
      <c r="E613" s="884"/>
      <c r="F613" s="33" t="s">
        <v>3519</v>
      </c>
      <c r="G613" s="404" t="s">
        <v>4424</v>
      </c>
      <c r="H613" s="45">
        <v>444000</v>
      </c>
      <c r="I613" s="377" t="s">
        <v>4897</v>
      </c>
      <c r="J613" s="774">
        <v>44662</v>
      </c>
      <c r="K613" s="924">
        <f t="shared" si="133"/>
        <v>444000</v>
      </c>
      <c r="L613" s="910"/>
      <c r="M613" s="910"/>
      <c r="N613" s="910"/>
      <c r="O613" s="910"/>
      <c r="P613" s="910">
        <v>444000</v>
      </c>
      <c r="Q613" s="28">
        <f t="shared" si="134"/>
        <v>0</v>
      </c>
      <c r="R613" s="301"/>
      <c r="S613" s="301">
        <v>44673</v>
      </c>
      <c r="T613" s="55"/>
      <c r="U613" s="24"/>
      <c r="V613" s="5"/>
      <c r="W613"/>
      <c r="X613"/>
      <c r="Y613"/>
      <c r="Z613"/>
      <c r="AA613"/>
      <c r="AB613"/>
      <c r="AC613"/>
      <c r="AD613"/>
      <c r="AE613"/>
      <c r="AF613"/>
      <c r="AG613"/>
      <c r="AH613"/>
      <c r="AI613"/>
      <c r="AJ613"/>
      <c r="AK613"/>
      <c r="AL613"/>
      <c r="AM613"/>
      <c r="AN613"/>
      <c r="AO613"/>
      <c r="AP613"/>
      <c r="AQ613"/>
      <c r="AR613"/>
    </row>
    <row r="614" spans="1:44" s="10" customFormat="1" ht="15.75" customHeight="1" x14ac:dyDescent="0.25">
      <c r="A614" s="55">
        <v>294</v>
      </c>
      <c r="B614" s="633">
        <v>44660</v>
      </c>
      <c r="C614" s="755" t="s">
        <v>4911</v>
      </c>
      <c r="D614" s="824" t="s">
        <v>4912</v>
      </c>
      <c r="E614" s="884"/>
      <c r="F614" s="33" t="s">
        <v>3982</v>
      </c>
      <c r="G614" s="404" t="s">
        <v>4424</v>
      </c>
      <c r="H614" s="45">
        <v>616500</v>
      </c>
      <c r="I614" s="377" t="s">
        <v>4910</v>
      </c>
      <c r="J614" s="774">
        <v>44662</v>
      </c>
      <c r="K614" s="924">
        <f t="shared" si="133"/>
        <v>616500</v>
      </c>
      <c r="L614" s="910"/>
      <c r="M614" s="910"/>
      <c r="N614" s="910"/>
      <c r="O614" s="910"/>
      <c r="P614" s="910"/>
      <c r="Q614" s="28">
        <f t="shared" si="134"/>
        <v>616500</v>
      </c>
      <c r="R614" s="301"/>
      <c r="S614" s="301"/>
      <c r="T614" s="55"/>
      <c r="U614" s="24"/>
      <c r="V614" s="5"/>
      <c r="W614"/>
      <c r="X614"/>
      <c r="Y614"/>
      <c r="Z614"/>
      <c r="AA614"/>
      <c r="AB614"/>
      <c r="AC614"/>
      <c r="AD614"/>
      <c r="AE614"/>
      <c r="AF614"/>
      <c r="AG614"/>
      <c r="AH614"/>
      <c r="AI614"/>
      <c r="AJ614"/>
      <c r="AK614"/>
      <c r="AL614"/>
      <c r="AM614"/>
      <c r="AN614"/>
      <c r="AO614"/>
      <c r="AP614"/>
      <c r="AQ614"/>
      <c r="AR614"/>
    </row>
    <row r="615" spans="1:44" s="10" customFormat="1" ht="15.75" customHeight="1" x14ac:dyDescent="0.25">
      <c r="A615" s="55">
        <v>295</v>
      </c>
      <c r="B615" s="633">
        <v>44660</v>
      </c>
      <c r="C615" s="755"/>
      <c r="D615" s="824" t="s">
        <v>4915</v>
      </c>
      <c r="E615" s="884"/>
      <c r="F615" s="33" t="s">
        <v>4914</v>
      </c>
      <c r="G615" s="404" t="s">
        <v>4709</v>
      </c>
      <c r="H615" s="45">
        <v>399600</v>
      </c>
      <c r="I615" s="377" t="s">
        <v>4913</v>
      </c>
      <c r="J615" s="774">
        <v>44662</v>
      </c>
      <c r="K615" s="924">
        <f t="shared" si="133"/>
        <v>399600</v>
      </c>
      <c r="L615" s="910"/>
      <c r="M615" s="910"/>
      <c r="N615" s="910"/>
      <c r="O615" s="910"/>
      <c r="P615" s="910"/>
      <c r="Q615" s="28">
        <f t="shared" si="134"/>
        <v>399600</v>
      </c>
      <c r="R615" s="301"/>
      <c r="S615" s="301"/>
      <c r="T615" s="55"/>
      <c r="U615" s="24"/>
      <c r="V615" s="5"/>
      <c r="W615"/>
      <c r="X615"/>
      <c r="Y615"/>
      <c r="Z615"/>
      <c r="AA615"/>
      <c r="AB615"/>
      <c r="AC615"/>
      <c r="AD615"/>
      <c r="AE615"/>
      <c r="AF615"/>
      <c r="AG615"/>
      <c r="AH615"/>
      <c r="AI615"/>
      <c r="AJ615"/>
      <c r="AK615"/>
      <c r="AL615"/>
      <c r="AM615"/>
      <c r="AN615"/>
      <c r="AO615"/>
      <c r="AP615"/>
      <c r="AQ615"/>
      <c r="AR615"/>
    </row>
    <row r="616" spans="1:44" s="10" customFormat="1" ht="15.75" customHeight="1" x14ac:dyDescent="0.25">
      <c r="A616" s="55">
        <v>296</v>
      </c>
      <c r="B616" s="633">
        <v>44662</v>
      </c>
      <c r="C616" s="755"/>
      <c r="D616" s="824" t="s">
        <v>4918</v>
      </c>
      <c r="E616" s="884"/>
      <c r="F616" s="33" t="s">
        <v>4917</v>
      </c>
      <c r="G616" s="404" t="s">
        <v>598</v>
      </c>
      <c r="H616" s="45">
        <v>43000000</v>
      </c>
      <c r="I616" s="377" t="s">
        <v>4919</v>
      </c>
      <c r="J616" s="774">
        <v>44663</v>
      </c>
      <c r="K616" s="924">
        <f t="shared" si="133"/>
        <v>43000000</v>
      </c>
      <c r="L616" s="910"/>
      <c r="M616" s="910">
        <v>5000000</v>
      </c>
      <c r="N616" s="910"/>
      <c r="O616" s="910"/>
      <c r="P616" s="910"/>
      <c r="Q616" s="28">
        <f t="shared" si="134"/>
        <v>38000000</v>
      </c>
      <c r="R616" s="301"/>
      <c r="S616" s="301"/>
      <c r="T616" s="55"/>
      <c r="U616" s="24"/>
      <c r="V616" s="5"/>
      <c r="W616"/>
      <c r="X616"/>
      <c r="Y616"/>
      <c r="Z616"/>
      <c r="AA616"/>
      <c r="AB616"/>
      <c r="AC616"/>
      <c r="AD616"/>
      <c r="AE616"/>
      <c r="AF616"/>
      <c r="AG616"/>
      <c r="AH616"/>
      <c r="AI616"/>
      <c r="AJ616"/>
      <c r="AK616"/>
      <c r="AL616"/>
      <c r="AM616"/>
      <c r="AN616"/>
      <c r="AO616"/>
      <c r="AP616"/>
      <c r="AQ616"/>
      <c r="AR616"/>
    </row>
    <row r="617" spans="1:44" s="10" customFormat="1" ht="15.75" customHeight="1" x14ac:dyDescent="0.25">
      <c r="A617" s="55">
        <v>297</v>
      </c>
      <c r="B617" s="633">
        <v>44659</v>
      </c>
      <c r="C617" s="755" t="s">
        <v>4922</v>
      </c>
      <c r="D617" s="824" t="s">
        <v>4921</v>
      </c>
      <c r="E617" s="884"/>
      <c r="F617" s="33" t="s">
        <v>4920</v>
      </c>
      <c r="G617" s="404" t="s">
        <v>3432</v>
      </c>
      <c r="H617" s="45">
        <v>13113651</v>
      </c>
      <c r="I617" s="377" t="s">
        <v>4923</v>
      </c>
      <c r="J617" s="774">
        <v>44663</v>
      </c>
      <c r="K617" s="924">
        <f t="shared" si="133"/>
        <v>13113651</v>
      </c>
      <c r="L617" s="910"/>
      <c r="M617" s="910"/>
      <c r="N617" s="910"/>
      <c r="O617" s="910"/>
      <c r="P617" s="910"/>
      <c r="Q617" s="28">
        <f t="shared" si="134"/>
        <v>13113651</v>
      </c>
      <c r="R617" s="301"/>
      <c r="S617" s="301"/>
      <c r="T617" s="55"/>
      <c r="U617" s="24"/>
      <c r="V617" s="5"/>
      <c r="W617"/>
      <c r="X617"/>
      <c r="Y617"/>
      <c r="Z617"/>
      <c r="AA617"/>
      <c r="AB617"/>
      <c r="AC617"/>
      <c r="AD617"/>
      <c r="AE617"/>
      <c r="AF617"/>
      <c r="AG617"/>
      <c r="AH617"/>
      <c r="AI617"/>
      <c r="AJ617"/>
      <c r="AK617"/>
      <c r="AL617"/>
      <c r="AM617"/>
      <c r="AN617"/>
      <c r="AO617"/>
      <c r="AP617"/>
      <c r="AQ617"/>
      <c r="AR617"/>
    </row>
    <row r="618" spans="1:44" s="10" customFormat="1" ht="15.75" customHeight="1" x14ac:dyDescent="0.25">
      <c r="A618" s="55">
        <v>299</v>
      </c>
      <c r="B618" s="633">
        <v>44657</v>
      </c>
      <c r="C618" s="755">
        <v>405354</v>
      </c>
      <c r="D618" s="824" t="s">
        <v>4927</v>
      </c>
      <c r="E618" s="884"/>
      <c r="F618" s="33" t="s">
        <v>4926</v>
      </c>
      <c r="G618" s="404" t="s">
        <v>653</v>
      </c>
      <c r="H618" s="45">
        <v>4800000</v>
      </c>
      <c r="I618" s="377" t="s">
        <v>4928</v>
      </c>
      <c r="J618" s="774">
        <v>44663</v>
      </c>
      <c r="K618" s="924">
        <f t="shared" si="133"/>
        <v>4800000</v>
      </c>
      <c r="L618" s="910">
        <v>2200000</v>
      </c>
      <c r="M618" s="910"/>
      <c r="N618" s="910"/>
      <c r="O618" s="910"/>
      <c r="P618" s="910"/>
      <c r="Q618" s="28">
        <f t="shared" si="134"/>
        <v>2600000</v>
      </c>
      <c r="R618" s="301" t="s">
        <v>4929</v>
      </c>
      <c r="S618" s="301"/>
      <c r="T618" s="55"/>
      <c r="U618" s="24"/>
      <c r="V618" s="5" t="s">
        <v>4930</v>
      </c>
      <c r="W618"/>
      <c r="X618"/>
      <c r="Y618"/>
      <c r="Z618"/>
      <c r="AA618"/>
      <c r="AB618"/>
      <c r="AC618"/>
      <c r="AD618"/>
      <c r="AE618"/>
      <c r="AF618"/>
      <c r="AG618"/>
      <c r="AH618"/>
      <c r="AI618"/>
      <c r="AJ618"/>
      <c r="AK618"/>
      <c r="AL618"/>
      <c r="AM618"/>
      <c r="AN618"/>
      <c r="AO618"/>
      <c r="AP618"/>
      <c r="AQ618"/>
      <c r="AR618"/>
    </row>
    <row r="619" spans="1:44" s="10" customFormat="1" ht="15.75" customHeight="1" x14ac:dyDescent="0.25">
      <c r="A619" s="55">
        <v>300</v>
      </c>
      <c r="B619" s="633">
        <v>44663</v>
      </c>
      <c r="C619" s="755" t="s">
        <v>4932</v>
      </c>
      <c r="D619" s="824" t="s">
        <v>4933</v>
      </c>
      <c r="E619" s="884"/>
      <c r="F619" s="33" t="s">
        <v>4931</v>
      </c>
      <c r="G619" s="404" t="s">
        <v>4935</v>
      </c>
      <c r="H619" s="45">
        <v>650000</v>
      </c>
      <c r="I619" s="377" t="s">
        <v>4934</v>
      </c>
      <c r="J619" s="774">
        <v>44664</v>
      </c>
      <c r="K619" s="924">
        <f t="shared" si="133"/>
        <v>650000</v>
      </c>
      <c r="L619" s="910"/>
      <c r="M619" s="910"/>
      <c r="N619" s="910"/>
      <c r="O619" s="910"/>
      <c r="P619" s="910">
        <v>650000</v>
      </c>
      <c r="Q619" s="28">
        <f t="shared" si="134"/>
        <v>0</v>
      </c>
      <c r="R619" s="301"/>
      <c r="S619" s="301">
        <v>44664</v>
      </c>
      <c r="T619" s="55"/>
      <c r="U619" s="24"/>
      <c r="V619" s="5" t="s">
        <v>4936</v>
      </c>
      <c r="W619" s="130"/>
      <c r="X619" s="130"/>
      <c r="Y619"/>
      <c r="Z619"/>
      <c r="AA619"/>
      <c r="AB619"/>
      <c r="AC619"/>
      <c r="AD619"/>
      <c r="AE619"/>
      <c r="AF619"/>
      <c r="AG619"/>
      <c r="AH619"/>
      <c r="AI619"/>
      <c r="AJ619"/>
      <c r="AK619"/>
      <c r="AL619"/>
      <c r="AM619"/>
      <c r="AN619"/>
      <c r="AO619"/>
      <c r="AP619"/>
      <c r="AQ619"/>
      <c r="AR619"/>
    </row>
    <row r="620" spans="1:44" s="10" customFormat="1" ht="15.75" customHeight="1" x14ac:dyDescent="0.25">
      <c r="A620" s="55">
        <v>301</v>
      </c>
      <c r="B620" s="633">
        <v>44659</v>
      </c>
      <c r="C620" s="755" t="s">
        <v>4940</v>
      </c>
      <c r="D620" s="824" t="s">
        <v>4939</v>
      </c>
      <c r="E620" s="884"/>
      <c r="F620" s="33" t="s">
        <v>4938</v>
      </c>
      <c r="G620" s="404" t="s">
        <v>4424</v>
      </c>
      <c r="H620" s="45">
        <v>2400000</v>
      </c>
      <c r="I620" s="377" t="s">
        <v>4937</v>
      </c>
      <c r="J620" s="774">
        <v>44664</v>
      </c>
      <c r="K620" s="924">
        <f t="shared" si="133"/>
        <v>2400000</v>
      </c>
      <c r="L620" s="910"/>
      <c r="M620" s="910"/>
      <c r="N620" s="910"/>
      <c r="O620" s="910"/>
      <c r="P620" s="910"/>
      <c r="Q620" s="28">
        <f t="shared" si="134"/>
        <v>2400000</v>
      </c>
      <c r="R620" s="301"/>
      <c r="S620" s="301"/>
      <c r="T620" s="55"/>
      <c r="U620" s="24"/>
      <c r="V620" s="5" t="s">
        <v>2186</v>
      </c>
      <c r="W620"/>
      <c r="X620"/>
      <c r="Y620"/>
      <c r="Z620"/>
      <c r="AA620"/>
      <c r="AB620"/>
      <c r="AC620"/>
      <c r="AD620"/>
      <c r="AE620"/>
      <c r="AF620"/>
      <c r="AG620"/>
      <c r="AH620"/>
      <c r="AI620"/>
      <c r="AJ620"/>
      <c r="AK620"/>
      <c r="AL620"/>
      <c r="AM620"/>
      <c r="AN620"/>
      <c r="AO620"/>
      <c r="AP620"/>
      <c r="AQ620"/>
      <c r="AR620"/>
    </row>
    <row r="621" spans="1:44" s="10" customFormat="1" ht="15.75" customHeight="1" x14ac:dyDescent="0.25">
      <c r="A621" s="55">
        <v>302</v>
      </c>
      <c r="B621" s="633">
        <v>44663</v>
      </c>
      <c r="C621" s="755" t="s">
        <v>4942</v>
      </c>
      <c r="D621" s="824" t="s">
        <v>4943</v>
      </c>
      <c r="E621" s="884"/>
      <c r="F621" s="33" t="s">
        <v>4941</v>
      </c>
      <c r="G621" s="404" t="s">
        <v>4944</v>
      </c>
      <c r="H621" s="45">
        <v>880000</v>
      </c>
      <c r="I621" s="377" t="s">
        <v>4945</v>
      </c>
      <c r="J621" s="774">
        <v>44664</v>
      </c>
      <c r="K621" s="929">
        <f t="shared" si="133"/>
        <v>880000</v>
      </c>
      <c r="L621" s="910"/>
      <c r="M621" s="910"/>
      <c r="N621" s="910"/>
      <c r="O621" s="910"/>
      <c r="P621" s="910"/>
      <c r="Q621" s="28">
        <f t="shared" si="134"/>
        <v>880000</v>
      </c>
      <c r="R621" s="301"/>
      <c r="S621" s="301"/>
      <c r="T621" s="55"/>
      <c r="U621" s="24"/>
      <c r="V621" s="5" t="s">
        <v>2186</v>
      </c>
      <c r="W621"/>
      <c r="X621"/>
      <c r="Y621"/>
      <c r="Z621"/>
      <c r="AA621"/>
      <c r="AB621"/>
      <c r="AC621"/>
      <c r="AD621"/>
      <c r="AE621"/>
      <c r="AF621"/>
      <c r="AG621"/>
      <c r="AH621"/>
      <c r="AI621"/>
      <c r="AJ621"/>
      <c r="AK621"/>
      <c r="AL621"/>
      <c r="AM621"/>
      <c r="AN621"/>
      <c r="AO621"/>
      <c r="AP621"/>
      <c r="AQ621"/>
      <c r="AR621"/>
    </row>
    <row r="622" spans="1:44" s="10" customFormat="1" ht="15.75" customHeight="1" x14ac:dyDescent="0.25">
      <c r="A622" s="55">
        <v>303</v>
      </c>
      <c r="B622" s="633">
        <v>44663</v>
      </c>
      <c r="C622" s="755"/>
      <c r="D622" s="824" t="s">
        <v>4948</v>
      </c>
      <c r="E622" s="884"/>
      <c r="F622" s="33" t="s">
        <v>4947</v>
      </c>
      <c r="G622" s="404" t="s">
        <v>4424</v>
      </c>
      <c r="H622" s="45">
        <v>2695000</v>
      </c>
      <c r="I622" s="377" t="s">
        <v>4946</v>
      </c>
      <c r="J622" s="774">
        <v>44664</v>
      </c>
      <c r="K622" s="929">
        <f t="shared" si="133"/>
        <v>2695000</v>
      </c>
      <c r="L622" s="910"/>
      <c r="M622" s="910"/>
      <c r="N622" s="910"/>
      <c r="O622" s="910"/>
      <c r="P622" s="910"/>
      <c r="Q622" s="28">
        <f t="shared" si="134"/>
        <v>2695000</v>
      </c>
      <c r="R622" s="301"/>
      <c r="S622" s="301"/>
      <c r="T622" s="55"/>
      <c r="U622" s="24"/>
      <c r="V622" s="5" t="s">
        <v>2186</v>
      </c>
      <c r="W622"/>
      <c r="X622"/>
      <c r="Y622"/>
      <c r="Z622"/>
      <c r="AA622"/>
      <c r="AB622"/>
      <c r="AC622"/>
      <c r="AD622"/>
      <c r="AE622"/>
      <c r="AF622"/>
      <c r="AG622"/>
      <c r="AH622"/>
      <c r="AI622"/>
      <c r="AJ622"/>
      <c r="AK622"/>
      <c r="AL622"/>
      <c r="AM622"/>
      <c r="AN622"/>
      <c r="AO622"/>
      <c r="AP622"/>
      <c r="AQ622"/>
      <c r="AR622"/>
    </row>
    <row r="623" spans="1:44" s="10" customFormat="1" ht="15.75" customHeight="1" x14ac:dyDescent="0.25">
      <c r="A623" s="55">
        <v>304</v>
      </c>
      <c r="B623" s="633">
        <v>44663</v>
      </c>
      <c r="C623" s="755"/>
      <c r="D623" s="824" t="s">
        <v>4953</v>
      </c>
      <c r="E623" s="884"/>
      <c r="F623" s="33" t="s">
        <v>4019</v>
      </c>
      <c r="G623" s="404" t="s">
        <v>4424</v>
      </c>
      <c r="H623" s="45">
        <v>225000</v>
      </c>
      <c r="I623" s="377" t="s">
        <v>4949</v>
      </c>
      <c r="J623" s="774">
        <v>44664</v>
      </c>
      <c r="K623" s="929">
        <f t="shared" si="133"/>
        <v>225000</v>
      </c>
      <c r="L623" s="910"/>
      <c r="M623" s="910"/>
      <c r="N623" s="910"/>
      <c r="O623" s="910"/>
      <c r="P623" s="910"/>
      <c r="Q623" s="28">
        <f t="shared" si="134"/>
        <v>225000</v>
      </c>
      <c r="R623" s="301"/>
      <c r="S623" s="301"/>
      <c r="T623" s="55"/>
      <c r="U623" s="24"/>
      <c r="V623" s="5" t="s">
        <v>2186</v>
      </c>
      <c r="W623"/>
      <c r="X623"/>
      <c r="Y623"/>
      <c r="Z623"/>
      <c r="AA623"/>
      <c r="AB623"/>
      <c r="AC623"/>
      <c r="AD623"/>
      <c r="AE623"/>
      <c r="AF623"/>
      <c r="AG623"/>
      <c r="AH623"/>
      <c r="AI623"/>
      <c r="AJ623"/>
      <c r="AK623"/>
      <c r="AL623"/>
      <c r="AM623"/>
      <c r="AN623"/>
      <c r="AO623"/>
      <c r="AP623"/>
      <c r="AQ623"/>
      <c r="AR623"/>
    </row>
    <row r="624" spans="1:44" s="10" customFormat="1" ht="15.75" customHeight="1" x14ac:dyDescent="0.25">
      <c r="A624" s="55">
        <v>305</v>
      </c>
      <c r="B624" s="633">
        <v>44663</v>
      </c>
      <c r="C624" s="905"/>
      <c r="D624" s="824" t="s">
        <v>4952</v>
      </c>
      <c r="E624" s="884"/>
      <c r="F624" s="33" t="s">
        <v>4950</v>
      </c>
      <c r="G624" s="404" t="s">
        <v>4424</v>
      </c>
      <c r="H624" s="45">
        <v>2670000</v>
      </c>
      <c r="I624" s="377" t="s">
        <v>4951</v>
      </c>
      <c r="J624" s="774">
        <v>44664</v>
      </c>
      <c r="K624" s="929">
        <f t="shared" si="133"/>
        <v>2670000</v>
      </c>
      <c r="L624" s="910"/>
      <c r="M624" s="910"/>
      <c r="N624" s="910"/>
      <c r="O624" s="910"/>
      <c r="P624" s="910">
        <v>2670000</v>
      </c>
      <c r="Q624" s="28">
        <f t="shared" si="134"/>
        <v>0</v>
      </c>
      <c r="R624" s="301"/>
      <c r="S624" s="301">
        <v>44669</v>
      </c>
      <c r="T624" s="55"/>
      <c r="U624" s="24"/>
      <c r="V624" s="5" t="s">
        <v>2186</v>
      </c>
      <c r="W624"/>
      <c r="X624"/>
      <c r="Y624"/>
      <c r="Z624"/>
      <c r="AA624"/>
      <c r="AB624"/>
      <c r="AC624"/>
      <c r="AD624"/>
      <c r="AE624"/>
      <c r="AF624"/>
      <c r="AG624"/>
      <c r="AH624"/>
      <c r="AI624"/>
      <c r="AJ624"/>
      <c r="AK624"/>
      <c r="AL624"/>
      <c r="AM624"/>
      <c r="AN624"/>
      <c r="AO624"/>
      <c r="AP624"/>
      <c r="AQ624"/>
      <c r="AR624"/>
    </row>
    <row r="625" spans="1:44" s="10" customFormat="1" ht="15.75" customHeight="1" x14ac:dyDescent="0.25">
      <c r="A625" s="55">
        <v>306</v>
      </c>
      <c r="B625" s="633">
        <v>44662</v>
      </c>
      <c r="C625" s="755" t="s">
        <v>4955</v>
      </c>
      <c r="D625" s="824" t="s">
        <v>4956</v>
      </c>
      <c r="E625" s="884"/>
      <c r="F625" s="33" t="s">
        <v>4954</v>
      </c>
      <c r="G625" s="404" t="s">
        <v>4424</v>
      </c>
      <c r="H625" s="45">
        <v>2660000</v>
      </c>
      <c r="I625" s="377" t="s">
        <v>4957</v>
      </c>
      <c r="J625" s="774">
        <v>44664</v>
      </c>
      <c r="K625" s="929">
        <f t="shared" si="133"/>
        <v>2660000</v>
      </c>
      <c r="L625" s="910"/>
      <c r="M625" s="910"/>
      <c r="N625" s="910"/>
      <c r="O625" s="910"/>
      <c r="P625" s="910"/>
      <c r="Q625" s="28">
        <f t="shared" si="134"/>
        <v>2660000</v>
      </c>
      <c r="R625" s="301"/>
      <c r="S625" s="301"/>
      <c r="T625" s="55"/>
      <c r="U625" s="197"/>
      <c r="V625" s="5" t="s">
        <v>2186</v>
      </c>
      <c r="W625"/>
      <c r="X625"/>
      <c r="Y625"/>
      <c r="Z625"/>
      <c r="AA625"/>
      <c r="AB625"/>
      <c r="AC625"/>
      <c r="AD625"/>
      <c r="AE625"/>
      <c r="AF625"/>
      <c r="AG625"/>
      <c r="AH625"/>
      <c r="AI625"/>
      <c r="AJ625"/>
      <c r="AK625"/>
      <c r="AL625"/>
      <c r="AM625"/>
      <c r="AN625"/>
      <c r="AO625"/>
      <c r="AP625"/>
      <c r="AQ625"/>
      <c r="AR625"/>
    </row>
    <row r="626" spans="1:44" s="10" customFormat="1" ht="15.75" customHeight="1" x14ac:dyDescent="0.25">
      <c r="A626" s="55">
        <v>307</v>
      </c>
      <c r="B626" s="633">
        <v>44662</v>
      </c>
      <c r="C626" s="755" t="s">
        <v>4958</v>
      </c>
      <c r="D626" s="824" t="s">
        <v>4959</v>
      </c>
      <c r="E626" s="884"/>
      <c r="F626" s="33" t="s">
        <v>4954</v>
      </c>
      <c r="G626" s="404" t="s">
        <v>4424</v>
      </c>
      <c r="H626" s="45">
        <v>332000</v>
      </c>
      <c r="I626" s="377" t="s">
        <v>4960</v>
      </c>
      <c r="J626" s="774">
        <v>44664</v>
      </c>
      <c r="K626" s="931">
        <f t="shared" si="133"/>
        <v>332000</v>
      </c>
      <c r="L626" s="910"/>
      <c r="M626" s="910"/>
      <c r="N626" s="910"/>
      <c r="O626" s="910"/>
      <c r="P626" s="910"/>
      <c r="Q626" s="28">
        <f t="shared" si="134"/>
        <v>332000</v>
      </c>
      <c r="R626" s="301"/>
      <c r="S626" s="301"/>
      <c r="T626" s="55"/>
      <c r="U626" s="197"/>
      <c r="V626" s="5" t="s">
        <v>2186</v>
      </c>
      <c r="W626"/>
      <c r="X626"/>
      <c r="Y626"/>
      <c r="Z626"/>
      <c r="AA626"/>
      <c r="AB626"/>
      <c r="AC626"/>
      <c r="AD626"/>
      <c r="AE626"/>
      <c r="AF626"/>
      <c r="AG626"/>
      <c r="AH626"/>
      <c r="AI626"/>
      <c r="AJ626"/>
      <c r="AK626"/>
      <c r="AL626"/>
      <c r="AM626"/>
      <c r="AN626"/>
      <c r="AO626"/>
      <c r="AP626"/>
      <c r="AQ626"/>
      <c r="AR626"/>
    </row>
    <row r="627" spans="1:44" s="10" customFormat="1" ht="15.75" customHeight="1" x14ac:dyDescent="0.25">
      <c r="A627" s="55">
        <v>308</v>
      </c>
      <c r="B627" s="633">
        <v>44662</v>
      </c>
      <c r="C627" s="755" t="s">
        <v>4962</v>
      </c>
      <c r="D627" s="824" t="s">
        <v>4961</v>
      </c>
      <c r="E627" s="884"/>
      <c r="F627" s="33" t="s">
        <v>4954</v>
      </c>
      <c r="G627" s="404" t="s">
        <v>4424</v>
      </c>
      <c r="H627" s="45">
        <v>216000</v>
      </c>
      <c r="I627" s="377" t="s">
        <v>4963</v>
      </c>
      <c r="J627" s="774">
        <v>44664</v>
      </c>
      <c r="K627" s="931">
        <f t="shared" si="133"/>
        <v>216000</v>
      </c>
      <c r="L627" s="910"/>
      <c r="M627" s="910"/>
      <c r="N627" s="910"/>
      <c r="O627" s="910"/>
      <c r="P627" s="910"/>
      <c r="Q627" s="28">
        <f t="shared" si="134"/>
        <v>216000</v>
      </c>
      <c r="R627" s="301"/>
      <c r="S627" s="301"/>
      <c r="T627" s="55"/>
      <c r="U627" s="197"/>
      <c r="V627" s="5" t="s">
        <v>2186</v>
      </c>
      <c r="W627"/>
      <c r="X627"/>
      <c r="Y627"/>
      <c r="Z627"/>
      <c r="AA627"/>
      <c r="AB627"/>
      <c r="AC627"/>
      <c r="AD627"/>
      <c r="AE627"/>
      <c r="AF627"/>
      <c r="AG627"/>
      <c r="AH627"/>
      <c r="AI627"/>
      <c r="AJ627"/>
      <c r="AK627"/>
      <c r="AL627"/>
      <c r="AM627"/>
      <c r="AN627"/>
      <c r="AO627"/>
      <c r="AP627"/>
      <c r="AQ627"/>
      <c r="AR627"/>
    </row>
    <row r="628" spans="1:44" s="10" customFormat="1" ht="15.75" customHeight="1" x14ac:dyDescent="0.25">
      <c r="A628" s="55">
        <v>309</v>
      </c>
      <c r="B628" s="633">
        <v>44637</v>
      </c>
      <c r="C628" s="755" t="s">
        <v>4965</v>
      </c>
      <c r="D628" s="824" t="s">
        <v>4964</v>
      </c>
      <c r="E628" s="884"/>
      <c r="F628" s="33" t="s">
        <v>3857</v>
      </c>
      <c r="G628" s="404" t="s">
        <v>774</v>
      </c>
      <c r="H628" s="45">
        <v>14221400</v>
      </c>
      <c r="I628" s="377" t="s">
        <v>4966</v>
      </c>
      <c r="J628" s="774">
        <v>44665</v>
      </c>
      <c r="K628" s="931">
        <f t="shared" si="133"/>
        <v>14221400</v>
      </c>
      <c r="L628" s="910">
        <v>9800000</v>
      </c>
      <c r="M628" s="910"/>
      <c r="N628" s="910"/>
      <c r="O628" s="910"/>
      <c r="P628" s="910">
        <v>4421400</v>
      </c>
      <c r="Q628" s="28">
        <f t="shared" si="134"/>
        <v>0</v>
      </c>
      <c r="R628" s="301"/>
      <c r="S628" s="301"/>
      <c r="T628" s="55"/>
      <c r="U628" s="197"/>
      <c r="V628" s="5" t="s">
        <v>4970</v>
      </c>
      <c r="W628"/>
      <c r="X628"/>
      <c r="Y628"/>
      <c r="Z628"/>
      <c r="AA628"/>
      <c r="AB628"/>
      <c r="AC628"/>
      <c r="AD628"/>
      <c r="AE628"/>
      <c r="AF628"/>
      <c r="AG628"/>
      <c r="AH628"/>
      <c r="AI628"/>
      <c r="AJ628"/>
      <c r="AK628"/>
      <c r="AL628"/>
      <c r="AM628"/>
      <c r="AN628"/>
      <c r="AO628"/>
      <c r="AP628"/>
      <c r="AQ628"/>
      <c r="AR628"/>
    </row>
    <row r="629" spans="1:44" s="10" customFormat="1" ht="15.75" customHeight="1" x14ac:dyDescent="0.25">
      <c r="A629" s="55">
        <v>310</v>
      </c>
      <c r="B629" s="633">
        <v>44651</v>
      </c>
      <c r="C629" s="755" t="s">
        <v>4967</v>
      </c>
      <c r="D629" s="824" t="s">
        <v>4968</v>
      </c>
      <c r="E629" s="884"/>
      <c r="F629" s="33" t="s">
        <v>3857</v>
      </c>
      <c r="G629" s="404" t="s">
        <v>4349</v>
      </c>
      <c r="H629" s="45">
        <v>8800000</v>
      </c>
      <c r="I629" s="377" t="s">
        <v>4969</v>
      </c>
      <c r="J629" s="774">
        <v>44665</v>
      </c>
      <c r="K629" s="931">
        <f t="shared" si="133"/>
        <v>8800000</v>
      </c>
      <c r="L629" s="910">
        <v>5950000</v>
      </c>
      <c r="M629" s="910"/>
      <c r="N629" s="910"/>
      <c r="O629" s="910"/>
      <c r="P629" s="910">
        <v>2850000</v>
      </c>
      <c r="Q629" s="28">
        <f t="shared" si="134"/>
        <v>0</v>
      </c>
      <c r="R629" s="55"/>
      <c r="S629" s="301"/>
      <c r="T629" s="55"/>
      <c r="U629" s="197"/>
      <c r="V629" s="5" t="s">
        <v>4971</v>
      </c>
      <c r="W629"/>
      <c r="X629"/>
      <c r="Y629"/>
      <c r="Z629"/>
      <c r="AA629"/>
      <c r="AB629"/>
      <c r="AC629"/>
      <c r="AD629"/>
      <c r="AE629"/>
      <c r="AF629"/>
      <c r="AG629"/>
      <c r="AH629"/>
      <c r="AI629"/>
      <c r="AJ629"/>
      <c r="AK629"/>
      <c r="AL629"/>
      <c r="AM629"/>
      <c r="AN629"/>
      <c r="AO629"/>
      <c r="AP629"/>
      <c r="AQ629"/>
      <c r="AR629"/>
    </row>
    <row r="630" spans="1:44" s="10" customFormat="1" ht="15.75" customHeight="1" x14ac:dyDescent="0.25">
      <c r="A630" s="55">
        <v>311</v>
      </c>
      <c r="B630" s="633">
        <v>44618</v>
      </c>
      <c r="C630" s="755" t="s">
        <v>4973</v>
      </c>
      <c r="D630" s="824" t="s">
        <v>4202</v>
      </c>
      <c r="E630" s="884"/>
      <c r="F630" s="33" t="s">
        <v>3857</v>
      </c>
      <c r="G630" s="404" t="s">
        <v>467</v>
      </c>
      <c r="H630" s="45">
        <v>10800000</v>
      </c>
      <c r="I630" s="377" t="s">
        <v>4974</v>
      </c>
      <c r="J630" s="774">
        <v>44665</v>
      </c>
      <c r="K630" s="931">
        <f t="shared" si="133"/>
        <v>10800000</v>
      </c>
      <c r="L630" s="910">
        <v>7550000</v>
      </c>
      <c r="M630" s="910"/>
      <c r="N630" s="910"/>
      <c r="O630" s="910"/>
      <c r="P630" s="910">
        <v>3250000</v>
      </c>
      <c r="Q630" s="28">
        <f t="shared" si="134"/>
        <v>0</v>
      </c>
      <c r="R630" s="301">
        <v>44627</v>
      </c>
      <c r="S630" s="301"/>
      <c r="T630" s="55"/>
      <c r="U630" s="197"/>
      <c r="V630" s="5" t="s">
        <v>4971</v>
      </c>
      <c r="W630"/>
      <c r="X630"/>
      <c r="Y630"/>
      <c r="Z630"/>
      <c r="AA630"/>
      <c r="AB630"/>
      <c r="AC630"/>
      <c r="AD630"/>
      <c r="AE630"/>
      <c r="AF630"/>
      <c r="AG630"/>
      <c r="AH630"/>
      <c r="AI630"/>
      <c r="AJ630"/>
      <c r="AK630"/>
      <c r="AL630"/>
      <c r="AM630"/>
      <c r="AN630"/>
      <c r="AO630"/>
      <c r="AP630"/>
      <c r="AQ630"/>
      <c r="AR630"/>
    </row>
    <row r="631" spans="1:44" s="10" customFormat="1" ht="16.5" customHeight="1" x14ac:dyDescent="0.25">
      <c r="A631" s="55">
        <v>312</v>
      </c>
      <c r="B631" s="633">
        <v>44618</v>
      </c>
      <c r="C631" s="755" t="s">
        <v>4976</v>
      </c>
      <c r="D631" s="824" t="s">
        <v>4201</v>
      </c>
      <c r="E631" s="884"/>
      <c r="F631" s="33" t="s">
        <v>3857</v>
      </c>
      <c r="G631" s="404" t="s">
        <v>467</v>
      </c>
      <c r="H631" s="45">
        <v>4650000</v>
      </c>
      <c r="I631" s="377" t="s">
        <v>4975</v>
      </c>
      <c r="J631" s="774">
        <v>44665</v>
      </c>
      <c r="K631" s="931">
        <f t="shared" si="133"/>
        <v>4650000</v>
      </c>
      <c r="L631" s="910">
        <v>3250000</v>
      </c>
      <c r="M631" s="910"/>
      <c r="N631" s="910"/>
      <c r="O631" s="910"/>
      <c r="P631" s="910">
        <v>1400000</v>
      </c>
      <c r="Q631" s="28">
        <f t="shared" si="134"/>
        <v>0</v>
      </c>
      <c r="R631" s="301">
        <v>44627</v>
      </c>
      <c r="S631" s="301"/>
      <c r="T631" s="55"/>
      <c r="U631" s="24"/>
      <c r="V631" s="5"/>
      <c r="W631"/>
      <c r="X631"/>
      <c r="Y631"/>
      <c r="Z631"/>
      <c r="AA631"/>
      <c r="AB631"/>
      <c r="AC631"/>
      <c r="AD631"/>
      <c r="AE631"/>
      <c r="AF631"/>
      <c r="AG631"/>
      <c r="AH631"/>
      <c r="AI631"/>
      <c r="AJ631"/>
      <c r="AK631"/>
      <c r="AL631"/>
      <c r="AM631"/>
      <c r="AN631"/>
      <c r="AO631"/>
      <c r="AP631"/>
      <c r="AQ631"/>
      <c r="AR631"/>
    </row>
    <row r="632" spans="1:44" s="10" customFormat="1" ht="15.75" customHeight="1" x14ac:dyDescent="0.25">
      <c r="A632" s="55">
        <v>313</v>
      </c>
      <c r="B632" s="633">
        <v>44630</v>
      </c>
      <c r="C632" s="755" t="s">
        <v>4979</v>
      </c>
      <c r="D632" s="824" t="s">
        <v>4731</v>
      </c>
      <c r="E632" s="884"/>
      <c r="F632" s="33" t="s">
        <v>3857</v>
      </c>
      <c r="G632" s="404" t="s">
        <v>4978</v>
      </c>
      <c r="H632" s="45">
        <v>4992000</v>
      </c>
      <c r="I632" s="377" t="s">
        <v>4977</v>
      </c>
      <c r="J632" s="774">
        <v>44665</v>
      </c>
      <c r="K632" s="931">
        <f t="shared" si="133"/>
        <v>4992000</v>
      </c>
      <c r="L632" s="910">
        <v>3200000</v>
      </c>
      <c r="M632" s="910"/>
      <c r="N632" s="910"/>
      <c r="O632" s="910"/>
      <c r="P632" s="910">
        <v>1792000</v>
      </c>
      <c r="Q632" s="28">
        <f t="shared" si="134"/>
        <v>0</v>
      </c>
      <c r="R632" s="301">
        <v>44635</v>
      </c>
      <c r="S632" s="301"/>
      <c r="T632" s="55"/>
      <c r="U632" s="24"/>
      <c r="V632" s="5"/>
      <c r="W632"/>
      <c r="X632"/>
      <c r="Y632"/>
      <c r="Z632"/>
      <c r="AA632"/>
      <c r="AB632"/>
      <c r="AC632"/>
      <c r="AD632"/>
      <c r="AE632"/>
      <c r="AF632"/>
      <c r="AG632"/>
      <c r="AH632"/>
      <c r="AI632"/>
      <c r="AJ632"/>
      <c r="AK632"/>
      <c r="AL632"/>
      <c r="AM632"/>
      <c r="AN632"/>
      <c r="AO632"/>
      <c r="AP632"/>
      <c r="AQ632"/>
      <c r="AR632"/>
    </row>
    <row r="633" spans="1:44" s="10" customFormat="1" ht="15.75" customHeight="1" x14ac:dyDescent="0.25">
      <c r="A633" s="55">
        <v>314</v>
      </c>
      <c r="B633" s="633">
        <v>44636</v>
      </c>
      <c r="C633" s="755" t="s">
        <v>4982</v>
      </c>
      <c r="D633" s="824" t="s">
        <v>4981</v>
      </c>
      <c r="E633" s="884"/>
      <c r="F633" s="33" t="s">
        <v>3549</v>
      </c>
      <c r="G633" s="404" t="s">
        <v>500</v>
      </c>
      <c r="H633" s="45">
        <v>16246100</v>
      </c>
      <c r="I633" s="377" t="s">
        <v>4980</v>
      </c>
      <c r="J633" s="774">
        <v>44665</v>
      </c>
      <c r="K633" s="931">
        <f t="shared" si="133"/>
        <v>16246100</v>
      </c>
      <c r="L633" s="910">
        <v>10300000</v>
      </c>
      <c r="M633" s="910"/>
      <c r="N633" s="910"/>
      <c r="O633" s="910"/>
      <c r="P633" s="910">
        <v>5946100</v>
      </c>
      <c r="Q633" s="28">
        <f t="shared" si="134"/>
        <v>0</v>
      </c>
      <c r="R633" s="301">
        <v>44636</v>
      </c>
      <c r="S633" s="301"/>
      <c r="T633" s="55"/>
      <c r="U633" s="24"/>
      <c r="V633" s="5"/>
      <c r="W633"/>
      <c r="X633"/>
      <c r="Y633"/>
      <c r="Z633"/>
      <c r="AA633"/>
      <c r="AB633"/>
      <c r="AC633"/>
      <c r="AD633"/>
      <c r="AE633"/>
      <c r="AF633"/>
      <c r="AG633"/>
      <c r="AH633"/>
      <c r="AI633"/>
      <c r="AJ633"/>
      <c r="AK633"/>
      <c r="AL633"/>
      <c r="AM633"/>
      <c r="AN633"/>
      <c r="AO633"/>
      <c r="AP633"/>
      <c r="AQ633"/>
      <c r="AR633"/>
    </row>
    <row r="634" spans="1:44" s="10" customFormat="1" ht="15.75" customHeight="1" x14ac:dyDescent="0.25">
      <c r="A634" s="55">
        <v>315</v>
      </c>
      <c r="B634" s="633">
        <v>44633</v>
      </c>
      <c r="C634" s="755" t="s">
        <v>4983</v>
      </c>
      <c r="D634" s="824" t="s">
        <v>4735</v>
      </c>
      <c r="E634" s="884"/>
      <c r="F634" s="33" t="s">
        <v>4669</v>
      </c>
      <c r="G634" s="404" t="s">
        <v>4984</v>
      </c>
      <c r="H634" s="45">
        <v>12900000</v>
      </c>
      <c r="I634" s="377" t="s">
        <v>5144</v>
      </c>
      <c r="J634" s="774">
        <v>44674</v>
      </c>
      <c r="K634" s="931">
        <f t="shared" si="133"/>
        <v>12900000</v>
      </c>
      <c r="L634" s="910">
        <v>8700000</v>
      </c>
      <c r="M634" s="910"/>
      <c r="N634" s="910"/>
      <c r="O634" s="910"/>
      <c r="P634" s="910"/>
      <c r="Q634" s="28">
        <f t="shared" si="134"/>
        <v>4200000</v>
      </c>
      <c r="R634" s="301">
        <v>44635</v>
      </c>
      <c r="S634" s="301"/>
      <c r="T634" s="55"/>
      <c r="U634" s="24"/>
      <c r="V634" s="5"/>
      <c r="W634"/>
      <c r="X634"/>
      <c r="Y634"/>
      <c r="Z634"/>
      <c r="AA634"/>
      <c r="AB634"/>
      <c r="AC634"/>
      <c r="AD634"/>
      <c r="AE634"/>
      <c r="AF634"/>
      <c r="AG634"/>
      <c r="AH634"/>
      <c r="AI634"/>
      <c r="AJ634"/>
      <c r="AK634"/>
      <c r="AL634"/>
      <c r="AM634"/>
      <c r="AN634"/>
      <c r="AO634"/>
      <c r="AP634"/>
      <c r="AQ634"/>
      <c r="AR634"/>
    </row>
    <row r="635" spans="1:44" s="10" customFormat="1" ht="15.75" customHeight="1" x14ac:dyDescent="0.25">
      <c r="A635" s="55">
        <v>316</v>
      </c>
      <c r="B635" s="633">
        <v>44633</v>
      </c>
      <c r="C635" s="755" t="s">
        <v>4986</v>
      </c>
      <c r="D635" s="824" t="s">
        <v>4734</v>
      </c>
      <c r="E635" s="884"/>
      <c r="F635" s="33" t="s">
        <v>4669</v>
      </c>
      <c r="G635" s="404" t="s">
        <v>467</v>
      </c>
      <c r="H635" s="45">
        <v>5490000</v>
      </c>
      <c r="I635" s="377" t="s">
        <v>4985</v>
      </c>
      <c r="J635" s="774">
        <v>44665</v>
      </c>
      <c r="K635" s="931">
        <f t="shared" si="133"/>
        <v>5490000</v>
      </c>
      <c r="L635" s="910">
        <v>3500000</v>
      </c>
      <c r="M635" s="910"/>
      <c r="N635" s="910"/>
      <c r="O635" s="910"/>
      <c r="P635" s="910">
        <v>1990000</v>
      </c>
      <c r="Q635" s="28">
        <f t="shared" si="134"/>
        <v>0</v>
      </c>
      <c r="R635" s="301">
        <v>44635</v>
      </c>
      <c r="S635" s="301"/>
      <c r="T635" s="55"/>
      <c r="U635" s="24"/>
      <c r="V635" s="5"/>
      <c r="W635"/>
      <c r="X635"/>
      <c r="Y635"/>
      <c r="Z635"/>
      <c r="AA635"/>
      <c r="AB635"/>
      <c r="AC635"/>
      <c r="AD635"/>
      <c r="AE635"/>
      <c r="AF635"/>
      <c r="AG635"/>
      <c r="AH635"/>
      <c r="AI635"/>
      <c r="AJ635"/>
      <c r="AK635"/>
      <c r="AL635"/>
      <c r="AM635"/>
      <c r="AN635"/>
      <c r="AO635"/>
      <c r="AP635"/>
      <c r="AQ635"/>
      <c r="AR635"/>
    </row>
    <row r="636" spans="1:44" s="10" customFormat="1" ht="15.75" customHeight="1" x14ac:dyDescent="0.25">
      <c r="A636" s="55">
        <v>317</v>
      </c>
      <c r="B636" s="633">
        <v>44613</v>
      </c>
      <c r="C636" s="755"/>
      <c r="D636" s="824"/>
      <c r="E636" s="884"/>
      <c r="F636" s="33" t="s">
        <v>4561</v>
      </c>
      <c r="G636" s="404" t="s">
        <v>4988</v>
      </c>
      <c r="H636" s="45">
        <v>6220200</v>
      </c>
      <c r="I636" s="377" t="s">
        <v>4987</v>
      </c>
      <c r="J636" s="774">
        <v>44665</v>
      </c>
      <c r="K636" s="931">
        <f t="shared" si="133"/>
        <v>6220200</v>
      </c>
      <c r="L636" s="910"/>
      <c r="M636" s="910"/>
      <c r="N636" s="910"/>
      <c r="O636" s="910"/>
      <c r="P636" s="910"/>
      <c r="Q636" s="28">
        <f t="shared" si="134"/>
        <v>6220200</v>
      </c>
      <c r="R636" s="55"/>
      <c r="S636" s="301"/>
      <c r="T636" s="55"/>
      <c r="U636" s="24"/>
      <c r="V636" s="5"/>
      <c r="W636"/>
      <c r="X636"/>
      <c r="Y636"/>
      <c r="Z636"/>
      <c r="AA636"/>
      <c r="AB636"/>
      <c r="AC636"/>
      <c r="AD636"/>
      <c r="AE636"/>
      <c r="AF636"/>
      <c r="AG636"/>
      <c r="AH636"/>
      <c r="AI636"/>
      <c r="AJ636"/>
      <c r="AK636"/>
      <c r="AL636"/>
      <c r="AM636"/>
      <c r="AN636"/>
      <c r="AO636"/>
      <c r="AP636"/>
      <c r="AQ636"/>
      <c r="AR636"/>
    </row>
    <row r="637" spans="1:44" s="10" customFormat="1" ht="15.75" customHeight="1" x14ac:dyDescent="0.25">
      <c r="A637" s="55">
        <v>318</v>
      </c>
      <c r="B637" s="633">
        <v>44655</v>
      </c>
      <c r="C637" s="755" t="s">
        <v>4989</v>
      </c>
      <c r="D637" s="824" t="s">
        <v>4990</v>
      </c>
      <c r="E637" s="884"/>
      <c r="F637" s="33" t="s">
        <v>4685</v>
      </c>
      <c r="G637" s="404" t="s">
        <v>677</v>
      </c>
      <c r="H637" s="45">
        <v>3000000</v>
      </c>
      <c r="I637" s="377" t="s">
        <v>4991</v>
      </c>
      <c r="J637" s="774">
        <v>44667</v>
      </c>
      <c r="K637" s="933">
        <f t="shared" si="133"/>
        <v>3000000</v>
      </c>
      <c r="L637" s="910"/>
      <c r="M637" s="910"/>
      <c r="N637" s="910"/>
      <c r="O637" s="910"/>
      <c r="P637" s="910"/>
      <c r="Q637" s="28">
        <f t="shared" si="134"/>
        <v>3000000</v>
      </c>
      <c r="R637" s="55"/>
      <c r="S637" s="301"/>
      <c r="T637" s="55"/>
      <c r="U637" s="24"/>
      <c r="V637" s="5" t="s">
        <v>4992</v>
      </c>
      <c r="W637"/>
      <c r="X637"/>
      <c r="Y637"/>
      <c r="Z637"/>
      <c r="AA637"/>
      <c r="AB637"/>
      <c r="AC637"/>
      <c r="AD637"/>
      <c r="AE637"/>
      <c r="AF637"/>
      <c r="AG637"/>
      <c r="AH637"/>
      <c r="AI637"/>
      <c r="AJ637"/>
      <c r="AK637"/>
      <c r="AL637"/>
      <c r="AM637"/>
      <c r="AN637"/>
      <c r="AO637"/>
      <c r="AP637"/>
      <c r="AQ637"/>
      <c r="AR637"/>
    </row>
    <row r="638" spans="1:44" s="10" customFormat="1" ht="15.75" customHeight="1" x14ac:dyDescent="0.25">
      <c r="A638" s="55">
        <v>319</v>
      </c>
      <c r="B638" s="633">
        <v>44656</v>
      </c>
      <c r="C638" s="755" t="s">
        <v>4994</v>
      </c>
      <c r="D638" s="824" t="s">
        <v>4993</v>
      </c>
      <c r="E638" s="884"/>
      <c r="F638" s="33" t="s">
        <v>4685</v>
      </c>
      <c r="G638" s="404" t="s">
        <v>2302</v>
      </c>
      <c r="H638" s="45">
        <v>5500000</v>
      </c>
      <c r="I638" s="377" t="s">
        <v>4995</v>
      </c>
      <c r="J638" s="774">
        <v>44667</v>
      </c>
      <c r="K638" s="933">
        <f t="shared" si="133"/>
        <v>5500000</v>
      </c>
      <c r="L638" s="910"/>
      <c r="M638" s="910"/>
      <c r="N638" s="910"/>
      <c r="O638" s="910"/>
      <c r="P638" s="910"/>
      <c r="Q638" s="28">
        <f t="shared" si="134"/>
        <v>5500000</v>
      </c>
      <c r="R638" s="55"/>
      <c r="S638" s="301"/>
      <c r="T638" s="55"/>
      <c r="U638" s="24"/>
      <c r="V638" s="5" t="s">
        <v>4992</v>
      </c>
      <c r="W638"/>
      <c r="X638"/>
      <c r="Y638"/>
      <c r="Z638"/>
      <c r="AA638"/>
      <c r="AB638"/>
      <c r="AC638"/>
      <c r="AD638"/>
      <c r="AE638"/>
      <c r="AF638"/>
      <c r="AG638"/>
      <c r="AH638"/>
      <c r="AI638"/>
      <c r="AJ638"/>
      <c r="AK638"/>
      <c r="AL638"/>
      <c r="AM638"/>
      <c r="AN638"/>
      <c r="AO638"/>
      <c r="AP638"/>
      <c r="AQ638"/>
      <c r="AR638"/>
    </row>
    <row r="639" spans="1:44" s="10" customFormat="1" ht="15.75" customHeight="1" x14ac:dyDescent="0.25">
      <c r="A639" s="55">
        <v>320</v>
      </c>
      <c r="B639" s="633">
        <v>44657</v>
      </c>
      <c r="C639" s="755" t="s">
        <v>4997</v>
      </c>
      <c r="D639" s="824" t="s">
        <v>4996</v>
      </c>
      <c r="E639" s="884"/>
      <c r="F639" s="33" t="s">
        <v>4220</v>
      </c>
      <c r="G639" s="404" t="s">
        <v>677</v>
      </c>
      <c r="H639" s="45">
        <v>2500000</v>
      </c>
      <c r="I639" s="377" t="s">
        <v>4998</v>
      </c>
      <c r="J639" s="774">
        <v>44667</v>
      </c>
      <c r="K639" s="933">
        <f t="shared" si="133"/>
        <v>2500000</v>
      </c>
      <c r="L639" s="910"/>
      <c r="M639" s="910"/>
      <c r="N639" s="910"/>
      <c r="O639" s="910"/>
      <c r="P639" s="910"/>
      <c r="Q639" s="28">
        <f t="shared" si="134"/>
        <v>2500000</v>
      </c>
      <c r="R639" s="55"/>
      <c r="S639" s="301"/>
      <c r="T639" s="55"/>
      <c r="U639" s="24"/>
      <c r="V639" s="5" t="s">
        <v>4992</v>
      </c>
      <c r="W639"/>
      <c r="X639"/>
      <c r="Y639"/>
      <c r="Z639"/>
      <c r="AA639"/>
      <c r="AB639"/>
      <c r="AC639"/>
      <c r="AD639"/>
      <c r="AE639"/>
      <c r="AF639"/>
      <c r="AG639"/>
      <c r="AH639"/>
      <c r="AI639"/>
      <c r="AJ639"/>
      <c r="AK639"/>
      <c r="AL639"/>
      <c r="AM639"/>
      <c r="AN639"/>
      <c r="AO639"/>
      <c r="AP639"/>
      <c r="AQ639"/>
      <c r="AR639"/>
    </row>
    <row r="640" spans="1:44" s="10" customFormat="1" ht="15.75" customHeight="1" x14ac:dyDescent="0.25">
      <c r="A640" s="55"/>
      <c r="B640" s="633">
        <v>44649</v>
      </c>
      <c r="C640" s="755"/>
      <c r="D640" s="938" t="s">
        <v>4745</v>
      </c>
      <c r="E640" s="884"/>
      <c r="F640" s="33" t="s">
        <v>4220</v>
      </c>
      <c r="G640" s="404" t="s">
        <v>2289</v>
      </c>
      <c r="H640" s="45">
        <v>6000000</v>
      </c>
      <c r="I640" s="377" t="s">
        <v>5055</v>
      </c>
      <c r="J640" s="774">
        <v>44667</v>
      </c>
      <c r="K640" s="935">
        <f t="shared" si="133"/>
        <v>6000000</v>
      </c>
      <c r="L640" s="935"/>
      <c r="M640" s="935"/>
      <c r="N640" s="935"/>
      <c r="O640" s="935"/>
      <c r="P640" s="935"/>
      <c r="Q640" s="28">
        <f t="shared" si="134"/>
        <v>6000000</v>
      </c>
      <c r="R640" s="55"/>
      <c r="S640" s="301"/>
      <c r="T640" s="55"/>
      <c r="U640" s="24"/>
      <c r="V640" s="5" t="s">
        <v>4992</v>
      </c>
      <c r="W640"/>
      <c r="X640"/>
      <c r="Y640"/>
      <c r="Z640"/>
      <c r="AA640"/>
      <c r="AB640"/>
      <c r="AC640"/>
      <c r="AD640"/>
      <c r="AE640"/>
      <c r="AF640"/>
      <c r="AG640"/>
      <c r="AH640"/>
      <c r="AI640"/>
      <c r="AJ640"/>
      <c r="AK640"/>
      <c r="AL640"/>
      <c r="AM640"/>
      <c r="AN640"/>
      <c r="AO640"/>
      <c r="AP640"/>
      <c r="AQ640"/>
      <c r="AR640"/>
    </row>
    <row r="641" spans="1:44" s="10" customFormat="1" ht="15.75" customHeight="1" x14ac:dyDescent="0.25">
      <c r="A641" s="55">
        <v>321</v>
      </c>
      <c r="B641" s="633">
        <v>44649</v>
      </c>
      <c r="C641" s="755"/>
      <c r="D641" s="824" t="s">
        <v>4745</v>
      </c>
      <c r="E641" s="884"/>
      <c r="F641" s="33" t="s">
        <v>4685</v>
      </c>
      <c r="G641" s="404" t="s">
        <v>4999</v>
      </c>
      <c r="H641" s="45">
        <v>3000000</v>
      </c>
      <c r="I641" s="377" t="s">
        <v>5000</v>
      </c>
      <c r="J641" s="774">
        <v>44667</v>
      </c>
      <c r="K641" s="933">
        <f t="shared" si="133"/>
        <v>3000000</v>
      </c>
      <c r="L641" s="910"/>
      <c r="M641" s="910"/>
      <c r="N641" s="910"/>
      <c r="O641" s="910"/>
      <c r="P641" s="910"/>
      <c r="Q641" s="28">
        <f t="shared" si="134"/>
        <v>3000000</v>
      </c>
      <c r="R641" s="55"/>
      <c r="S641" s="301"/>
      <c r="T641" s="55"/>
      <c r="U641" s="24"/>
      <c r="V641" s="5" t="s">
        <v>4992</v>
      </c>
      <c r="W641"/>
      <c r="X641"/>
      <c r="Y641"/>
      <c r="Z641"/>
      <c r="AA641"/>
      <c r="AB641"/>
      <c r="AC641"/>
      <c r="AD641"/>
      <c r="AE641"/>
      <c r="AF641"/>
      <c r="AG641"/>
      <c r="AH641"/>
      <c r="AI641"/>
      <c r="AJ641"/>
      <c r="AK641"/>
      <c r="AL641"/>
      <c r="AM641"/>
      <c r="AN641"/>
      <c r="AO641"/>
      <c r="AP641"/>
      <c r="AQ641"/>
      <c r="AR641"/>
    </row>
    <row r="642" spans="1:44" s="10" customFormat="1" ht="15.75" customHeight="1" x14ac:dyDescent="0.25">
      <c r="A642" s="55">
        <v>322</v>
      </c>
      <c r="B642" s="633">
        <v>44665</v>
      </c>
      <c r="C642" s="755"/>
      <c r="D642" s="824" t="s">
        <v>5044</v>
      </c>
      <c r="E642" s="884"/>
      <c r="F642" s="33" t="s">
        <v>5042</v>
      </c>
      <c r="G642" s="404" t="s">
        <v>988</v>
      </c>
      <c r="H642" s="45">
        <v>1308000</v>
      </c>
      <c r="I642" s="377" t="s">
        <v>5041</v>
      </c>
      <c r="J642" s="774">
        <v>44669</v>
      </c>
      <c r="K642" s="933">
        <f t="shared" si="133"/>
        <v>1308000</v>
      </c>
      <c r="L642" s="910"/>
      <c r="M642" s="910"/>
      <c r="N642" s="910"/>
      <c r="O642" s="910"/>
      <c r="P642" s="910"/>
      <c r="Q642" s="28">
        <f t="shared" si="134"/>
        <v>1308000</v>
      </c>
      <c r="R642" s="55"/>
      <c r="S642" s="301"/>
      <c r="T642" s="55"/>
      <c r="U642" s="24"/>
      <c r="V642" s="5" t="s">
        <v>2186</v>
      </c>
      <c r="W642"/>
      <c r="X642"/>
      <c r="Y642"/>
      <c r="Z642"/>
      <c r="AA642"/>
      <c r="AB642"/>
      <c r="AC642"/>
      <c r="AD642"/>
      <c r="AE642"/>
      <c r="AF642"/>
      <c r="AG642"/>
      <c r="AH642"/>
      <c r="AI642"/>
      <c r="AJ642"/>
      <c r="AK642"/>
      <c r="AL642"/>
      <c r="AM642"/>
      <c r="AN642"/>
      <c r="AO642"/>
      <c r="AP642"/>
      <c r="AQ642"/>
      <c r="AR642"/>
    </row>
    <row r="643" spans="1:44" s="10" customFormat="1" ht="15.75" customHeight="1" x14ac:dyDescent="0.25">
      <c r="A643" s="55">
        <v>323</v>
      </c>
      <c r="B643" s="633">
        <v>44665</v>
      </c>
      <c r="C643" s="755"/>
      <c r="D643" s="824" t="s">
        <v>5046</v>
      </c>
      <c r="E643" s="884"/>
      <c r="F643" s="33" t="s">
        <v>5045</v>
      </c>
      <c r="G643" s="404" t="s">
        <v>988</v>
      </c>
      <c r="H643" s="45">
        <v>728000</v>
      </c>
      <c r="I643" s="377" t="s">
        <v>5043</v>
      </c>
      <c r="J643" s="774">
        <v>44669</v>
      </c>
      <c r="K643" s="933">
        <f t="shared" si="133"/>
        <v>728000</v>
      </c>
      <c r="L643" s="910"/>
      <c r="M643" s="910"/>
      <c r="N643" s="910"/>
      <c r="O643" s="910"/>
      <c r="P643" s="910"/>
      <c r="Q643" s="28">
        <f t="shared" si="134"/>
        <v>728000</v>
      </c>
      <c r="R643" s="55"/>
      <c r="S643" s="301"/>
      <c r="T643" s="55"/>
      <c r="U643" s="24"/>
      <c r="V643" s="5" t="s">
        <v>2186</v>
      </c>
      <c r="W643"/>
      <c r="X643"/>
      <c r="Y643"/>
      <c r="Z643"/>
      <c r="AA643"/>
      <c r="AB643"/>
      <c r="AC643"/>
      <c r="AD643"/>
      <c r="AE643"/>
      <c r="AF643"/>
      <c r="AG643"/>
      <c r="AH643"/>
      <c r="AI643"/>
      <c r="AJ643"/>
      <c r="AK643"/>
      <c r="AL643"/>
      <c r="AM643"/>
      <c r="AN643"/>
      <c r="AO643"/>
      <c r="AP643"/>
      <c r="AQ643"/>
      <c r="AR643"/>
    </row>
    <row r="644" spans="1:44" s="10" customFormat="1" ht="15.75" customHeight="1" x14ac:dyDescent="0.25">
      <c r="A644" s="55">
        <v>324</v>
      </c>
      <c r="B644" s="633">
        <v>44665</v>
      </c>
      <c r="C644" s="755"/>
      <c r="D644" s="824" t="s">
        <v>5059</v>
      </c>
      <c r="E644" s="884"/>
      <c r="F644" s="33" t="s">
        <v>4854</v>
      </c>
      <c r="G644" s="404" t="s">
        <v>988</v>
      </c>
      <c r="H644" s="45">
        <v>274500</v>
      </c>
      <c r="I644" s="377" t="s">
        <v>5058</v>
      </c>
      <c r="J644" s="774">
        <v>44669</v>
      </c>
      <c r="K644" s="933">
        <f t="shared" si="133"/>
        <v>274500</v>
      </c>
      <c r="L644" s="910"/>
      <c r="M644" s="910"/>
      <c r="N644" s="910"/>
      <c r="O644" s="910"/>
      <c r="P644" s="910"/>
      <c r="Q644" s="28">
        <f t="shared" si="134"/>
        <v>274500</v>
      </c>
      <c r="R644" s="55"/>
      <c r="S644" s="301"/>
      <c r="T644" s="55"/>
      <c r="U644" s="24"/>
      <c r="V644" s="5"/>
      <c r="W644"/>
      <c r="X644"/>
      <c r="Y644"/>
      <c r="Z644"/>
      <c r="AA644"/>
      <c r="AB644"/>
      <c r="AC644"/>
      <c r="AD644"/>
      <c r="AE644"/>
      <c r="AF644"/>
      <c r="AG644"/>
      <c r="AH644"/>
      <c r="AI644"/>
      <c r="AJ644"/>
      <c r="AK644"/>
      <c r="AL644"/>
      <c r="AM644"/>
      <c r="AN644"/>
      <c r="AO644"/>
      <c r="AP644"/>
      <c r="AQ644"/>
      <c r="AR644"/>
    </row>
    <row r="645" spans="1:44" s="10" customFormat="1" ht="15.75" customHeight="1" x14ac:dyDescent="0.25">
      <c r="A645" s="55">
        <v>325</v>
      </c>
      <c r="B645" s="633">
        <v>44667</v>
      </c>
      <c r="C645" s="755"/>
      <c r="D645" s="824" t="s">
        <v>5061</v>
      </c>
      <c r="E645" s="884"/>
      <c r="F645" s="33" t="s">
        <v>2671</v>
      </c>
      <c r="G645" s="404" t="s">
        <v>988</v>
      </c>
      <c r="H645" s="45">
        <v>225000</v>
      </c>
      <c r="I645" s="377" t="s">
        <v>5060</v>
      </c>
      <c r="J645" s="774">
        <v>44669</v>
      </c>
      <c r="K645" s="933">
        <f t="shared" si="133"/>
        <v>225000</v>
      </c>
      <c r="L645" s="910"/>
      <c r="M645" s="910"/>
      <c r="N645" s="910"/>
      <c r="O645" s="910"/>
      <c r="P645" s="910"/>
      <c r="Q645" s="28">
        <f t="shared" si="134"/>
        <v>225000</v>
      </c>
      <c r="R645" s="301"/>
      <c r="S645" s="301"/>
      <c r="T645" s="55"/>
      <c r="U645" s="24"/>
      <c r="V645" s="5"/>
      <c r="W645"/>
      <c r="X645"/>
      <c r="Y645"/>
      <c r="Z645"/>
      <c r="AA645"/>
      <c r="AB645"/>
      <c r="AC645"/>
      <c r="AD645"/>
      <c r="AE645"/>
      <c r="AF645"/>
      <c r="AG645"/>
      <c r="AH645"/>
      <c r="AI645"/>
      <c r="AJ645"/>
      <c r="AK645"/>
      <c r="AL645"/>
      <c r="AM645"/>
      <c r="AN645"/>
      <c r="AO645"/>
      <c r="AP645"/>
      <c r="AQ645"/>
      <c r="AR645"/>
    </row>
    <row r="646" spans="1:44" s="10" customFormat="1" ht="15.75" customHeight="1" x14ac:dyDescent="0.25">
      <c r="A646" s="55">
        <v>326</v>
      </c>
      <c r="B646" s="633">
        <v>44667</v>
      </c>
      <c r="C646" s="755"/>
      <c r="D646" s="824" t="s">
        <v>5062</v>
      </c>
      <c r="E646" s="884"/>
      <c r="F646" s="33" t="s">
        <v>2671</v>
      </c>
      <c r="G646" s="404" t="s">
        <v>988</v>
      </c>
      <c r="H646" s="45">
        <v>355500</v>
      </c>
      <c r="I646" s="377" t="s">
        <v>5063</v>
      </c>
      <c r="J646" s="774">
        <v>44669</v>
      </c>
      <c r="K646" s="933">
        <f t="shared" si="133"/>
        <v>355500</v>
      </c>
      <c r="L646" s="910"/>
      <c r="M646" s="910"/>
      <c r="N646" s="910"/>
      <c r="O646" s="910"/>
      <c r="P646" s="910"/>
      <c r="Q646" s="28">
        <f t="shared" si="134"/>
        <v>355500</v>
      </c>
      <c r="R646" s="397"/>
      <c r="S646" s="301"/>
      <c r="T646" s="55"/>
      <c r="U646" s="24"/>
      <c r="V646" s="5"/>
      <c r="W646"/>
      <c r="X646"/>
      <c r="Y646"/>
      <c r="Z646"/>
      <c r="AA646"/>
      <c r="AB646"/>
      <c r="AC646"/>
      <c r="AD646"/>
      <c r="AE646"/>
      <c r="AF646"/>
      <c r="AG646"/>
      <c r="AH646"/>
      <c r="AI646"/>
      <c r="AJ646"/>
      <c r="AK646"/>
      <c r="AL646"/>
      <c r="AM646"/>
      <c r="AN646"/>
      <c r="AO646"/>
      <c r="AP646"/>
      <c r="AQ646"/>
      <c r="AR646"/>
    </row>
    <row r="647" spans="1:44" s="10" customFormat="1" ht="15.75" customHeight="1" x14ac:dyDescent="0.25">
      <c r="A647" s="55">
        <v>327</v>
      </c>
      <c r="B647" s="633">
        <v>44669</v>
      </c>
      <c r="C647" s="755"/>
      <c r="D647" s="824" t="s">
        <v>5065</v>
      </c>
      <c r="E647" s="884"/>
      <c r="F647" s="33" t="s">
        <v>5064</v>
      </c>
      <c r="G647" s="404" t="s">
        <v>521</v>
      </c>
      <c r="H647" s="45">
        <v>431000</v>
      </c>
      <c r="I647" s="377" t="s">
        <v>5066</v>
      </c>
      <c r="J647" s="774">
        <v>44669</v>
      </c>
      <c r="K647" s="933">
        <f t="shared" si="133"/>
        <v>431000</v>
      </c>
      <c r="L647" s="910"/>
      <c r="M647" s="910"/>
      <c r="N647" s="910"/>
      <c r="O647" s="910"/>
      <c r="P647" s="910"/>
      <c r="Q647" s="28">
        <f t="shared" si="134"/>
        <v>431000</v>
      </c>
      <c r="R647" s="301"/>
      <c r="S647" s="301"/>
      <c r="T647" s="55"/>
      <c r="U647" s="24"/>
      <c r="V647" s="5"/>
      <c r="W647"/>
      <c r="X647"/>
      <c r="Y647"/>
      <c r="Z647"/>
      <c r="AA647"/>
      <c r="AB647"/>
      <c r="AC647"/>
      <c r="AD647"/>
      <c r="AE647"/>
      <c r="AF647"/>
      <c r="AG647"/>
      <c r="AH647"/>
      <c r="AI647"/>
      <c r="AJ647"/>
      <c r="AK647"/>
      <c r="AL647"/>
      <c r="AM647"/>
      <c r="AN647"/>
      <c r="AO647"/>
      <c r="AP647"/>
      <c r="AQ647"/>
      <c r="AR647"/>
    </row>
    <row r="648" spans="1:44" s="10" customFormat="1" ht="15.75" customHeight="1" x14ac:dyDescent="0.25">
      <c r="A648" s="55">
        <v>328</v>
      </c>
      <c r="B648" s="633">
        <v>44669</v>
      </c>
      <c r="C648" s="755"/>
      <c r="D648" s="824" t="s">
        <v>5069</v>
      </c>
      <c r="E648" s="884"/>
      <c r="F648" s="33" t="s">
        <v>5068</v>
      </c>
      <c r="G648" s="404" t="s">
        <v>3440</v>
      </c>
      <c r="H648" s="45">
        <v>507000</v>
      </c>
      <c r="I648" s="377" t="s">
        <v>5067</v>
      </c>
      <c r="J648" s="774">
        <v>44669</v>
      </c>
      <c r="K648" s="933">
        <f t="shared" si="133"/>
        <v>507000</v>
      </c>
      <c r="L648" s="910"/>
      <c r="M648" s="910"/>
      <c r="N648" s="910"/>
      <c r="O648" s="910"/>
      <c r="P648" s="910"/>
      <c r="Q648" s="28">
        <f t="shared" si="134"/>
        <v>507000</v>
      </c>
      <c r="R648" s="55"/>
      <c r="S648" s="301"/>
      <c r="T648" s="55"/>
      <c r="U648" s="24"/>
      <c r="V648" s="5"/>
      <c r="W648"/>
      <c r="X648"/>
      <c r="Y648"/>
      <c r="Z648"/>
      <c r="AA648"/>
      <c r="AB648"/>
      <c r="AC648"/>
      <c r="AD648"/>
      <c r="AE648"/>
      <c r="AF648"/>
      <c r="AG648"/>
      <c r="AH648"/>
      <c r="AI648"/>
      <c r="AJ648"/>
      <c r="AK648"/>
      <c r="AL648"/>
      <c r="AM648"/>
      <c r="AN648"/>
      <c r="AO648"/>
      <c r="AP648"/>
      <c r="AQ648"/>
      <c r="AR648"/>
    </row>
    <row r="649" spans="1:44" s="10" customFormat="1" ht="15.75" customHeight="1" x14ac:dyDescent="0.25">
      <c r="A649" s="55">
        <v>329</v>
      </c>
      <c r="B649" s="633">
        <v>44658</v>
      </c>
      <c r="C649" s="755"/>
      <c r="D649" s="824" t="s">
        <v>5071</v>
      </c>
      <c r="E649" s="884"/>
      <c r="F649" s="33" t="s">
        <v>4199</v>
      </c>
      <c r="G649" s="404" t="s">
        <v>425</v>
      </c>
      <c r="H649" s="45">
        <v>2680000</v>
      </c>
      <c r="I649" s="377" t="s">
        <v>5070</v>
      </c>
      <c r="J649" s="774">
        <v>44669</v>
      </c>
      <c r="K649" s="933">
        <f t="shared" si="133"/>
        <v>2680000</v>
      </c>
      <c r="L649" s="910"/>
      <c r="M649" s="910"/>
      <c r="N649" s="910"/>
      <c r="O649" s="910"/>
      <c r="P649" s="910"/>
      <c r="Q649" s="28">
        <f t="shared" si="134"/>
        <v>2680000</v>
      </c>
      <c r="R649" s="55"/>
      <c r="S649" s="301"/>
      <c r="T649" s="55">
        <v>14</v>
      </c>
      <c r="U649" s="24">
        <f t="shared" ref="U649:U652" si="135">J649+T649</f>
        <v>44683</v>
      </c>
      <c r="V649" s="5"/>
      <c r="W649"/>
      <c r="X649"/>
      <c r="Y649"/>
      <c r="Z649"/>
      <c r="AA649"/>
      <c r="AB649"/>
      <c r="AC649"/>
      <c r="AD649"/>
      <c r="AE649"/>
      <c r="AF649"/>
      <c r="AG649"/>
      <c r="AH649"/>
      <c r="AI649"/>
      <c r="AJ649"/>
      <c r="AK649"/>
      <c r="AL649"/>
      <c r="AM649"/>
      <c r="AN649"/>
      <c r="AO649"/>
      <c r="AP649"/>
      <c r="AQ649"/>
      <c r="AR649"/>
    </row>
    <row r="650" spans="1:44" s="10" customFormat="1" ht="15.75" customHeight="1" x14ac:dyDescent="0.25">
      <c r="A650" s="55">
        <v>330</v>
      </c>
      <c r="B650" s="633">
        <v>44646</v>
      </c>
      <c r="C650" s="755"/>
      <c r="D650" s="824" t="s">
        <v>5073</v>
      </c>
      <c r="E650" s="884"/>
      <c r="F650" s="33" t="s">
        <v>4199</v>
      </c>
      <c r="G650" s="404" t="s">
        <v>425</v>
      </c>
      <c r="H650" s="45">
        <v>388500</v>
      </c>
      <c r="I650" s="377" t="s">
        <v>5072</v>
      </c>
      <c r="J650" s="774">
        <v>44669</v>
      </c>
      <c r="K650" s="933">
        <f t="shared" si="133"/>
        <v>388500</v>
      </c>
      <c r="L650" s="910"/>
      <c r="M650" s="910"/>
      <c r="N650" s="910"/>
      <c r="O650" s="910"/>
      <c r="P650" s="910"/>
      <c r="Q650" s="28">
        <f t="shared" si="134"/>
        <v>388500</v>
      </c>
      <c r="R650" s="55"/>
      <c r="S650" s="301"/>
      <c r="T650" s="55">
        <v>14</v>
      </c>
      <c r="U650" s="24">
        <f t="shared" si="135"/>
        <v>44683</v>
      </c>
      <c r="V650" s="5"/>
      <c r="W650"/>
      <c r="X650"/>
      <c r="Y650"/>
      <c r="Z650"/>
      <c r="AA650"/>
      <c r="AB650"/>
      <c r="AC650"/>
      <c r="AD650"/>
      <c r="AE650"/>
      <c r="AF650"/>
      <c r="AG650"/>
      <c r="AH650"/>
      <c r="AI650"/>
      <c r="AJ650"/>
      <c r="AK650"/>
      <c r="AL650"/>
      <c r="AM650"/>
      <c r="AN650"/>
      <c r="AO650"/>
      <c r="AP650"/>
      <c r="AQ650"/>
      <c r="AR650"/>
    </row>
    <row r="651" spans="1:44" s="10" customFormat="1" ht="15.75" customHeight="1" x14ac:dyDescent="0.25">
      <c r="A651" s="55">
        <v>331</v>
      </c>
      <c r="B651" s="633">
        <v>44660</v>
      </c>
      <c r="C651" s="755"/>
      <c r="D651" s="824" t="s">
        <v>5076</v>
      </c>
      <c r="E651" s="884"/>
      <c r="F651" s="33" t="s">
        <v>4199</v>
      </c>
      <c r="G651" s="404" t="s">
        <v>5075</v>
      </c>
      <c r="H651" s="45">
        <v>3400000</v>
      </c>
      <c r="I651" s="377" t="s">
        <v>5074</v>
      </c>
      <c r="J651" s="774">
        <v>44669</v>
      </c>
      <c r="K651" s="933">
        <f t="shared" si="133"/>
        <v>3400000</v>
      </c>
      <c r="L651" s="910"/>
      <c r="M651" s="910"/>
      <c r="N651" s="910"/>
      <c r="O651" s="910"/>
      <c r="P651" s="910"/>
      <c r="Q651" s="28">
        <f t="shared" si="134"/>
        <v>3400000</v>
      </c>
      <c r="R651" s="55"/>
      <c r="S651" s="301"/>
      <c r="T651" s="55">
        <v>14</v>
      </c>
      <c r="U651" s="24">
        <f t="shared" si="135"/>
        <v>44683</v>
      </c>
      <c r="V651" s="5"/>
      <c r="W651"/>
      <c r="X651"/>
      <c r="Y651"/>
      <c r="Z651"/>
      <c r="AA651"/>
      <c r="AB651"/>
      <c r="AC651"/>
      <c r="AD651"/>
      <c r="AE651"/>
      <c r="AF651"/>
      <c r="AG651"/>
      <c r="AH651"/>
      <c r="AI651"/>
      <c r="AJ651"/>
      <c r="AK651"/>
      <c r="AL651"/>
      <c r="AM651"/>
      <c r="AN651"/>
      <c r="AO651"/>
      <c r="AP651"/>
      <c r="AQ651"/>
      <c r="AR651"/>
    </row>
    <row r="652" spans="1:44" s="10" customFormat="1" ht="15.75" customHeight="1" x14ac:dyDescent="0.25">
      <c r="A652" s="55">
        <v>332</v>
      </c>
      <c r="B652" s="633">
        <v>44659</v>
      </c>
      <c r="C652" s="755">
        <v>405465</v>
      </c>
      <c r="D652" s="824" t="s">
        <v>5077</v>
      </c>
      <c r="E652" s="884"/>
      <c r="F652" s="33" t="s">
        <v>4199</v>
      </c>
      <c r="G652" s="404" t="s">
        <v>5078</v>
      </c>
      <c r="H652" s="45">
        <v>4300000</v>
      </c>
      <c r="I652" s="377" t="s">
        <v>5079</v>
      </c>
      <c r="J652" s="774">
        <v>44669</v>
      </c>
      <c r="K652" s="933">
        <f t="shared" si="133"/>
        <v>4300000</v>
      </c>
      <c r="L652" s="910"/>
      <c r="M652" s="910"/>
      <c r="N652" s="910"/>
      <c r="O652" s="910"/>
      <c r="P652" s="910"/>
      <c r="Q652" s="28">
        <f t="shared" si="134"/>
        <v>4300000</v>
      </c>
      <c r="R652" s="55"/>
      <c r="S652" s="301"/>
      <c r="T652" s="55">
        <v>14</v>
      </c>
      <c r="U652" s="24">
        <f t="shared" si="135"/>
        <v>44683</v>
      </c>
      <c r="V652" s="5"/>
      <c r="W652"/>
      <c r="X652"/>
      <c r="Y652"/>
      <c r="Z652"/>
      <c r="AA652"/>
      <c r="AB652"/>
      <c r="AC652"/>
      <c r="AD652"/>
      <c r="AE652"/>
      <c r="AF652"/>
      <c r="AG652"/>
      <c r="AH652"/>
      <c r="AI652"/>
      <c r="AJ652"/>
      <c r="AK652"/>
      <c r="AL652"/>
      <c r="AM652"/>
      <c r="AN652"/>
      <c r="AO652"/>
      <c r="AP652"/>
      <c r="AQ652"/>
      <c r="AR652"/>
    </row>
    <row r="653" spans="1:44" s="10" customFormat="1" ht="15.75" customHeight="1" x14ac:dyDescent="0.25">
      <c r="A653" s="55">
        <v>333</v>
      </c>
      <c r="B653" s="633">
        <v>44643</v>
      </c>
      <c r="C653" s="755" t="s">
        <v>5082</v>
      </c>
      <c r="D653" s="824" t="s">
        <v>5081</v>
      </c>
      <c r="E653" s="884"/>
      <c r="F653" s="33" t="s">
        <v>2755</v>
      </c>
      <c r="G653" s="404" t="s">
        <v>503</v>
      </c>
      <c r="H653" s="45">
        <v>19100000</v>
      </c>
      <c r="I653" s="377" t="s">
        <v>5080</v>
      </c>
      <c r="J653" s="774">
        <v>44669</v>
      </c>
      <c r="K653" s="933">
        <f t="shared" si="133"/>
        <v>19100000</v>
      </c>
      <c r="L653" s="910"/>
      <c r="M653" s="910"/>
      <c r="N653" s="910"/>
      <c r="O653" s="910"/>
      <c r="P653" s="910"/>
      <c r="Q653" s="28">
        <f t="shared" si="134"/>
        <v>19100000</v>
      </c>
      <c r="R653" s="55"/>
      <c r="S653" s="301"/>
      <c r="T653" s="55"/>
      <c r="U653" s="24"/>
      <c r="V653" s="5"/>
      <c r="W653"/>
      <c r="X653"/>
      <c r="Y653"/>
      <c r="Z653"/>
      <c r="AA653"/>
      <c r="AB653"/>
      <c r="AC653"/>
      <c r="AD653"/>
      <c r="AE653"/>
      <c r="AF653"/>
      <c r="AG653"/>
      <c r="AH653"/>
      <c r="AI653"/>
      <c r="AJ653"/>
      <c r="AK653"/>
      <c r="AL653"/>
      <c r="AM653"/>
      <c r="AN653"/>
      <c r="AO653"/>
      <c r="AP653"/>
      <c r="AQ653"/>
      <c r="AR653"/>
    </row>
    <row r="654" spans="1:44" s="10" customFormat="1" ht="15.75" customHeight="1" x14ac:dyDescent="0.25">
      <c r="A654" s="55">
        <v>334</v>
      </c>
      <c r="B654" s="633">
        <v>44657</v>
      </c>
      <c r="C654" s="755" t="s">
        <v>5085</v>
      </c>
      <c r="D654" s="824" t="s">
        <v>5083</v>
      </c>
      <c r="E654" s="884"/>
      <c r="F654" s="33" t="s">
        <v>2755</v>
      </c>
      <c r="G654" s="404" t="s">
        <v>477</v>
      </c>
      <c r="H654" s="45">
        <v>843000</v>
      </c>
      <c r="I654" s="377" t="s">
        <v>5084</v>
      </c>
      <c r="J654" s="774">
        <v>44669</v>
      </c>
      <c r="K654" s="933">
        <f t="shared" si="133"/>
        <v>843000</v>
      </c>
      <c r="L654" s="910"/>
      <c r="M654" s="910"/>
      <c r="N654" s="910"/>
      <c r="O654" s="910"/>
      <c r="P654" s="910"/>
      <c r="Q654" s="28">
        <f t="shared" si="134"/>
        <v>843000</v>
      </c>
      <c r="R654" s="55"/>
      <c r="S654" s="301"/>
      <c r="T654" s="55"/>
      <c r="U654" s="24"/>
      <c r="V654" s="5"/>
      <c r="W654"/>
      <c r="X654"/>
      <c r="Y654"/>
      <c r="Z654"/>
      <c r="AA654"/>
      <c r="AB654"/>
      <c r="AC654"/>
      <c r="AD654"/>
      <c r="AE654"/>
      <c r="AF654"/>
      <c r="AG654"/>
      <c r="AH654"/>
      <c r="AI654"/>
      <c r="AJ654"/>
      <c r="AK654"/>
      <c r="AL654"/>
      <c r="AM654"/>
      <c r="AN654"/>
      <c r="AO654"/>
      <c r="AP654"/>
      <c r="AQ654"/>
      <c r="AR654"/>
    </row>
    <row r="655" spans="1:44" s="10" customFormat="1" ht="15.75" customHeight="1" x14ac:dyDescent="0.25">
      <c r="A655" s="55">
        <v>335</v>
      </c>
      <c r="B655" s="633">
        <v>44638</v>
      </c>
      <c r="C655" s="755" t="s">
        <v>5086</v>
      </c>
      <c r="D655" s="824" t="s">
        <v>3110</v>
      </c>
      <c r="E655" s="884"/>
      <c r="F655" s="33" t="s">
        <v>2755</v>
      </c>
      <c r="G655" s="404" t="s">
        <v>774</v>
      </c>
      <c r="H655" s="45">
        <v>450000</v>
      </c>
      <c r="I655" s="377" t="s">
        <v>5087</v>
      </c>
      <c r="J655" s="774">
        <v>44669</v>
      </c>
      <c r="K655" s="933">
        <f t="shared" si="133"/>
        <v>450000</v>
      </c>
      <c r="L655" s="910"/>
      <c r="M655" s="910"/>
      <c r="N655" s="910"/>
      <c r="O655" s="910"/>
      <c r="P655" s="910"/>
      <c r="Q655" s="28">
        <f t="shared" si="134"/>
        <v>450000</v>
      </c>
      <c r="R655" s="55"/>
      <c r="S655" s="301"/>
      <c r="T655" s="55"/>
      <c r="U655" s="24"/>
      <c r="V655" s="5"/>
      <c r="W655"/>
      <c r="X655"/>
      <c r="Y655"/>
      <c r="Z655"/>
      <c r="AA655"/>
      <c r="AB655"/>
      <c r="AC655"/>
      <c r="AD655"/>
      <c r="AE655"/>
      <c r="AF655"/>
      <c r="AG655"/>
      <c r="AH655"/>
      <c r="AI655"/>
      <c r="AJ655"/>
      <c r="AK655"/>
      <c r="AL655"/>
      <c r="AM655"/>
      <c r="AN655"/>
      <c r="AO655"/>
      <c r="AP655"/>
      <c r="AQ655"/>
      <c r="AR655"/>
    </row>
    <row r="656" spans="1:44" s="10" customFormat="1" ht="15.75" customHeight="1" x14ac:dyDescent="0.25">
      <c r="A656" s="55">
        <v>336</v>
      </c>
      <c r="B656" s="633">
        <v>44638</v>
      </c>
      <c r="C656" s="755" t="s">
        <v>5088</v>
      </c>
      <c r="D656" s="824" t="s">
        <v>3249</v>
      </c>
      <c r="E656" s="884"/>
      <c r="F656" s="33" t="s">
        <v>2755</v>
      </c>
      <c r="G656" s="404" t="s">
        <v>2302</v>
      </c>
      <c r="H656" s="45">
        <v>350000</v>
      </c>
      <c r="I656" s="377" t="s">
        <v>5089</v>
      </c>
      <c r="J656" s="774">
        <v>44669</v>
      </c>
      <c r="K656" s="943">
        <f t="shared" si="133"/>
        <v>350000</v>
      </c>
      <c r="L656" s="910"/>
      <c r="M656" s="910"/>
      <c r="N656" s="910"/>
      <c r="O656" s="910"/>
      <c r="P656" s="910"/>
      <c r="Q656" s="28">
        <f t="shared" si="134"/>
        <v>350000</v>
      </c>
      <c r="R656" s="55"/>
      <c r="S656" s="301"/>
      <c r="T656" s="55"/>
      <c r="U656" s="24"/>
      <c r="V656" s="5"/>
      <c r="W656"/>
      <c r="X656"/>
      <c r="Y656"/>
      <c r="Z656"/>
      <c r="AA656"/>
      <c r="AB656"/>
      <c r="AC656"/>
      <c r="AD656"/>
      <c r="AE656"/>
      <c r="AF656"/>
      <c r="AG656"/>
      <c r="AH656"/>
      <c r="AI656"/>
      <c r="AJ656"/>
      <c r="AK656"/>
      <c r="AL656"/>
      <c r="AM656"/>
      <c r="AN656"/>
      <c r="AO656"/>
      <c r="AP656"/>
      <c r="AQ656"/>
      <c r="AR656"/>
    </row>
    <row r="657" spans="1:44" s="10" customFormat="1" ht="15.75" customHeight="1" x14ac:dyDescent="0.25">
      <c r="A657" s="55">
        <v>337</v>
      </c>
      <c r="B657" s="633">
        <v>44645</v>
      </c>
      <c r="C657" s="755" t="s">
        <v>5091</v>
      </c>
      <c r="D657" s="824" t="s">
        <v>5092</v>
      </c>
      <c r="E657" s="884"/>
      <c r="F657" s="33" t="s">
        <v>2755</v>
      </c>
      <c r="G657" s="404" t="s">
        <v>1833</v>
      </c>
      <c r="H657" s="45">
        <v>1316000</v>
      </c>
      <c r="I657" s="377" t="s">
        <v>5090</v>
      </c>
      <c r="J657" s="774">
        <v>44669</v>
      </c>
      <c r="K657" s="943">
        <f t="shared" si="133"/>
        <v>1316000</v>
      </c>
      <c r="L657" s="910"/>
      <c r="M657" s="910"/>
      <c r="N657" s="910"/>
      <c r="O657" s="910"/>
      <c r="P657" s="910"/>
      <c r="Q657" s="28">
        <f t="shared" si="134"/>
        <v>1316000</v>
      </c>
      <c r="R657" s="301"/>
      <c r="S657" s="301"/>
      <c r="T657" s="55"/>
      <c r="U657" s="24"/>
      <c r="V657" s="5"/>
      <c r="W657"/>
      <c r="X657"/>
      <c r="Y657"/>
      <c r="Z657"/>
      <c r="AA657"/>
      <c r="AB657"/>
      <c r="AC657"/>
      <c r="AD657"/>
      <c r="AE657"/>
      <c r="AF657"/>
      <c r="AG657"/>
      <c r="AH657"/>
      <c r="AI657"/>
      <c r="AJ657"/>
      <c r="AK657"/>
      <c r="AL657"/>
      <c r="AM657"/>
      <c r="AN657"/>
      <c r="AO657"/>
      <c r="AP657"/>
      <c r="AQ657"/>
      <c r="AR657"/>
    </row>
    <row r="658" spans="1:44" s="10" customFormat="1" ht="15.75" customHeight="1" x14ac:dyDescent="0.25">
      <c r="A658" s="55">
        <v>338</v>
      </c>
      <c r="B658" s="633">
        <v>44662</v>
      </c>
      <c r="C658" s="755" t="s">
        <v>5095</v>
      </c>
      <c r="D658" s="824" t="s">
        <v>5094</v>
      </c>
      <c r="E658" s="884"/>
      <c r="F658" s="33" t="s">
        <v>4220</v>
      </c>
      <c r="G658" s="404" t="s">
        <v>477</v>
      </c>
      <c r="H658" s="45">
        <v>5000000</v>
      </c>
      <c r="I658" s="377" t="s">
        <v>5093</v>
      </c>
      <c r="J658" s="774">
        <v>44669</v>
      </c>
      <c r="K658" s="943">
        <f t="shared" si="133"/>
        <v>5000000</v>
      </c>
      <c r="L658" s="910"/>
      <c r="M658" s="910"/>
      <c r="N658" s="910"/>
      <c r="O658" s="910"/>
      <c r="P658" s="910"/>
      <c r="Q658" s="28">
        <f t="shared" si="134"/>
        <v>5000000</v>
      </c>
      <c r="R658" s="301"/>
      <c r="S658" s="301"/>
      <c r="T658" s="55"/>
      <c r="U658" s="24"/>
      <c r="V658" s="5"/>
      <c r="W658"/>
      <c r="X658"/>
      <c r="Y658"/>
      <c r="Z658"/>
      <c r="AA658"/>
      <c r="AB658"/>
      <c r="AC658"/>
      <c r="AD658"/>
      <c r="AE658"/>
      <c r="AF658"/>
      <c r="AG658"/>
      <c r="AH658"/>
      <c r="AI658"/>
      <c r="AJ658"/>
      <c r="AK658"/>
      <c r="AL658"/>
      <c r="AM658"/>
      <c r="AN658"/>
      <c r="AO658"/>
      <c r="AP658"/>
      <c r="AQ658"/>
      <c r="AR658"/>
    </row>
    <row r="659" spans="1:44" s="10" customFormat="1" ht="15.75" customHeight="1" x14ac:dyDescent="0.25">
      <c r="A659" s="55">
        <v>339</v>
      </c>
      <c r="B659" s="633">
        <v>44659</v>
      </c>
      <c r="C659" s="755"/>
      <c r="D659" s="824" t="s">
        <v>5096</v>
      </c>
      <c r="E659" s="884"/>
      <c r="F659" s="33" t="s">
        <v>4220</v>
      </c>
      <c r="G659" s="404" t="s">
        <v>677</v>
      </c>
      <c r="H659" s="45">
        <v>3000000</v>
      </c>
      <c r="I659" s="377" t="s">
        <v>5097</v>
      </c>
      <c r="J659" s="774">
        <v>44669</v>
      </c>
      <c r="K659" s="943">
        <f t="shared" si="133"/>
        <v>3000000</v>
      </c>
      <c r="L659" s="910"/>
      <c r="M659" s="910"/>
      <c r="N659" s="910"/>
      <c r="O659" s="910"/>
      <c r="P659" s="910"/>
      <c r="Q659" s="28">
        <f t="shared" si="134"/>
        <v>3000000</v>
      </c>
      <c r="R659" s="55"/>
      <c r="S659" s="301"/>
      <c r="T659" s="55"/>
      <c r="U659" s="24"/>
      <c r="V659" s="5"/>
      <c r="W659"/>
      <c r="X659"/>
      <c r="Y659"/>
      <c r="Z659"/>
      <c r="AA659"/>
      <c r="AB659"/>
      <c r="AC659"/>
      <c r="AD659"/>
      <c r="AE659"/>
      <c r="AF659"/>
      <c r="AG659"/>
      <c r="AH659"/>
      <c r="AI659"/>
      <c r="AJ659"/>
      <c r="AK659"/>
      <c r="AL659"/>
      <c r="AM659"/>
      <c r="AN659"/>
      <c r="AO659"/>
      <c r="AP659"/>
      <c r="AQ659"/>
      <c r="AR659"/>
    </row>
    <row r="660" spans="1:44" s="10" customFormat="1" ht="15.75" customHeight="1" x14ac:dyDescent="0.25">
      <c r="A660" s="55">
        <v>340</v>
      </c>
      <c r="B660" s="633">
        <v>44670</v>
      </c>
      <c r="C660" s="755"/>
      <c r="D660" s="824" t="s">
        <v>5098</v>
      </c>
      <c r="E660" s="884"/>
      <c r="F660" s="33" t="s">
        <v>4917</v>
      </c>
      <c r="G660" s="404" t="s">
        <v>163</v>
      </c>
      <c r="H660" s="45">
        <v>17000000</v>
      </c>
      <c r="I660" s="377" t="s">
        <v>5099</v>
      </c>
      <c r="J660" s="774">
        <v>44670</v>
      </c>
      <c r="K660" s="943">
        <f t="shared" si="133"/>
        <v>17000000</v>
      </c>
      <c r="L660" s="910">
        <v>8500000</v>
      </c>
      <c r="M660" s="910"/>
      <c r="N660" s="910"/>
      <c r="O660" s="910"/>
      <c r="P660" s="910">
        <v>8500000</v>
      </c>
      <c r="Q660" s="28">
        <f t="shared" si="134"/>
        <v>0</v>
      </c>
      <c r="R660" s="55"/>
      <c r="S660" s="301"/>
      <c r="T660" s="55"/>
      <c r="U660" s="24"/>
      <c r="V660" s="5" t="s">
        <v>5100</v>
      </c>
      <c r="W660"/>
      <c r="X660"/>
      <c r="Y660"/>
      <c r="Z660"/>
      <c r="AA660"/>
      <c r="AB660"/>
      <c r="AC660"/>
      <c r="AD660"/>
      <c r="AE660"/>
      <c r="AF660"/>
      <c r="AG660"/>
      <c r="AH660"/>
      <c r="AI660"/>
      <c r="AJ660"/>
      <c r="AK660"/>
      <c r="AL660"/>
      <c r="AM660"/>
      <c r="AN660"/>
      <c r="AO660"/>
      <c r="AP660"/>
      <c r="AQ660"/>
      <c r="AR660"/>
    </row>
    <row r="661" spans="1:44" s="10" customFormat="1" ht="15.75" customHeight="1" x14ac:dyDescent="0.25">
      <c r="A661" s="55">
        <v>341</v>
      </c>
      <c r="B661" s="633">
        <v>44669</v>
      </c>
      <c r="C661" s="755"/>
      <c r="D661" s="824" t="s">
        <v>5102</v>
      </c>
      <c r="E661" s="884"/>
      <c r="F661" s="33" t="s">
        <v>4878</v>
      </c>
      <c r="G661" s="404" t="s">
        <v>988</v>
      </c>
      <c r="H661" s="45">
        <v>750000</v>
      </c>
      <c r="I661" s="944" t="s">
        <v>5101</v>
      </c>
      <c r="J661" s="774">
        <v>44670</v>
      </c>
      <c r="K661" s="943">
        <f t="shared" si="133"/>
        <v>750000</v>
      </c>
      <c r="L661" s="910"/>
      <c r="M661" s="910"/>
      <c r="N661" s="910"/>
      <c r="O661" s="910"/>
      <c r="P661" s="910"/>
      <c r="Q661" s="28">
        <f t="shared" si="134"/>
        <v>750000</v>
      </c>
      <c r="R661" s="55"/>
      <c r="S661" s="301"/>
      <c r="T661" s="55"/>
      <c r="U661" s="24"/>
      <c r="V661" s="5"/>
      <c r="W661"/>
      <c r="X661"/>
      <c r="Y661"/>
      <c r="Z661"/>
      <c r="AA661"/>
      <c r="AB661"/>
      <c r="AC661"/>
      <c r="AD661"/>
      <c r="AE661"/>
      <c r="AF661"/>
      <c r="AG661"/>
      <c r="AH661"/>
      <c r="AI661"/>
      <c r="AJ661"/>
      <c r="AK661"/>
      <c r="AL661"/>
      <c r="AM661"/>
      <c r="AN661"/>
      <c r="AO661"/>
      <c r="AP661"/>
      <c r="AQ661"/>
      <c r="AR661"/>
    </row>
    <row r="662" spans="1:44" s="10" customFormat="1" ht="15.75" customHeight="1" x14ac:dyDescent="0.25">
      <c r="A662" s="55">
        <v>342</v>
      </c>
      <c r="B662" s="633">
        <v>44670</v>
      </c>
      <c r="C662" s="755"/>
      <c r="D662" s="824" t="s">
        <v>5105</v>
      </c>
      <c r="E662" s="884"/>
      <c r="F662" s="33" t="s">
        <v>5103</v>
      </c>
      <c r="G662" s="404" t="s">
        <v>988</v>
      </c>
      <c r="H662" s="45">
        <v>1161000</v>
      </c>
      <c r="I662" s="377" t="s">
        <v>5104</v>
      </c>
      <c r="J662" s="774">
        <v>44670</v>
      </c>
      <c r="K662" s="943">
        <f t="shared" si="133"/>
        <v>1161000</v>
      </c>
      <c r="L662" s="910"/>
      <c r="M662" s="910"/>
      <c r="N662" s="910"/>
      <c r="O662" s="910"/>
      <c r="P662" s="910"/>
      <c r="Q662" s="28">
        <f t="shared" ref="Q662:Q742" si="136">K662-L662-M662-O662-P662+N662</f>
        <v>1161000</v>
      </c>
      <c r="R662" s="55"/>
      <c r="S662" s="301"/>
      <c r="T662" s="55"/>
      <c r="U662" s="24"/>
      <c r="V662" s="5"/>
      <c r="W662"/>
      <c r="X662"/>
      <c r="Y662"/>
      <c r="Z662"/>
      <c r="AA662"/>
      <c r="AB662"/>
      <c r="AC662"/>
      <c r="AD662"/>
      <c r="AE662"/>
      <c r="AF662"/>
      <c r="AG662"/>
      <c r="AH662"/>
      <c r="AI662"/>
      <c r="AJ662"/>
      <c r="AK662"/>
      <c r="AL662"/>
      <c r="AM662"/>
      <c r="AN662"/>
      <c r="AO662"/>
      <c r="AP662"/>
      <c r="AQ662"/>
      <c r="AR662"/>
    </row>
    <row r="663" spans="1:44" s="10" customFormat="1" ht="15.75" customHeight="1" x14ac:dyDescent="0.25">
      <c r="A663" s="55">
        <v>343</v>
      </c>
      <c r="B663" s="633">
        <v>44670</v>
      </c>
      <c r="C663" s="755"/>
      <c r="D663" s="824" t="s">
        <v>5106</v>
      </c>
      <c r="E663" s="884"/>
      <c r="F663" s="33" t="s">
        <v>5103</v>
      </c>
      <c r="G663" s="404" t="s">
        <v>988</v>
      </c>
      <c r="H663" s="45">
        <v>801000</v>
      </c>
      <c r="I663" s="377" t="s">
        <v>5107</v>
      </c>
      <c r="J663" s="774">
        <v>44670</v>
      </c>
      <c r="K663" s="943">
        <f t="shared" si="133"/>
        <v>801000</v>
      </c>
      <c r="L663" s="910"/>
      <c r="M663" s="910"/>
      <c r="N663" s="910"/>
      <c r="O663" s="910"/>
      <c r="P663" s="910"/>
      <c r="Q663" s="28">
        <f t="shared" si="136"/>
        <v>801000</v>
      </c>
      <c r="R663" s="55"/>
      <c r="S663" s="301"/>
      <c r="T663" s="55"/>
      <c r="U663" s="24"/>
      <c r="V663" s="5"/>
      <c r="W663"/>
      <c r="X663"/>
      <c r="Y663"/>
      <c r="Z663"/>
      <c r="AA663"/>
      <c r="AB663"/>
      <c r="AC663"/>
      <c r="AD663"/>
      <c r="AE663"/>
      <c r="AF663"/>
      <c r="AG663"/>
      <c r="AH663"/>
      <c r="AI663"/>
      <c r="AJ663"/>
      <c r="AK663"/>
      <c r="AL663"/>
      <c r="AM663"/>
      <c r="AN663"/>
      <c r="AO663"/>
      <c r="AP663"/>
      <c r="AQ663"/>
      <c r="AR663"/>
    </row>
    <row r="664" spans="1:44" s="10" customFormat="1" ht="15.75" customHeight="1" x14ac:dyDescent="0.25">
      <c r="A664" s="55">
        <v>344</v>
      </c>
      <c r="B664" s="633">
        <v>44662</v>
      </c>
      <c r="C664" s="755"/>
      <c r="D664" s="824" t="s">
        <v>5110</v>
      </c>
      <c r="E664" s="884"/>
      <c r="F664" s="33" t="s">
        <v>5108</v>
      </c>
      <c r="G664" s="404" t="s">
        <v>467</v>
      </c>
      <c r="H664" s="45">
        <v>20000000</v>
      </c>
      <c r="I664" s="377" t="s">
        <v>5109</v>
      </c>
      <c r="J664" s="774">
        <v>44670</v>
      </c>
      <c r="K664" s="943">
        <f t="shared" si="133"/>
        <v>20000000</v>
      </c>
      <c r="L664" s="910"/>
      <c r="M664" s="910"/>
      <c r="N664" s="910"/>
      <c r="O664" s="910"/>
      <c r="P664" s="910"/>
      <c r="Q664" s="28">
        <f t="shared" si="136"/>
        <v>20000000</v>
      </c>
      <c r="R664" s="55"/>
      <c r="S664" s="301"/>
      <c r="T664" s="55"/>
      <c r="U664" s="24"/>
      <c r="V664" s="5"/>
      <c r="W664"/>
      <c r="X664"/>
      <c r="Y664"/>
      <c r="Z664"/>
      <c r="AA664"/>
      <c r="AB664"/>
      <c r="AC664"/>
      <c r="AD664"/>
      <c r="AE664"/>
      <c r="AF664"/>
      <c r="AG664"/>
      <c r="AH664"/>
      <c r="AI664"/>
      <c r="AJ664"/>
      <c r="AK664"/>
      <c r="AL664"/>
      <c r="AM664"/>
      <c r="AN664"/>
      <c r="AO664"/>
      <c r="AP664"/>
      <c r="AQ664"/>
      <c r="AR664"/>
    </row>
    <row r="665" spans="1:44" s="10" customFormat="1" ht="15.75" customHeight="1" x14ac:dyDescent="0.25">
      <c r="A665" s="55">
        <v>345</v>
      </c>
      <c r="B665" s="633">
        <v>44670</v>
      </c>
      <c r="C665" s="755"/>
      <c r="D665" s="824" t="s">
        <v>5111</v>
      </c>
      <c r="E665" s="884"/>
      <c r="F665" s="33" t="s">
        <v>5112</v>
      </c>
      <c r="G665" s="404" t="s">
        <v>503</v>
      </c>
      <c r="H665" s="45">
        <v>768000</v>
      </c>
      <c r="I665" s="377" t="s">
        <v>5113</v>
      </c>
      <c r="J665" s="774">
        <v>44670</v>
      </c>
      <c r="K665" s="943">
        <f t="shared" si="133"/>
        <v>768000</v>
      </c>
      <c r="L665" s="910"/>
      <c r="M665" s="910"/>
      <c r="N665" s="910"/>
      <c r="O665" s="910"/>
      <c r="P665" s="910"/>
      <c r="Q665" s="28">
        <f t="shared" si="136"/>
        <v>768000</v>
      </c>
      <c r="R665" s="55"/>
      <c r="S665" s="301"/>
      <c r="T665" s="55"/>
      <c r="U665" s="24"/>
      <c r="V665" s="5"/>
      <c r="W665"/>
      <c r="X665"/>
      <c r="Y665"/>
      <c r="Z665"/>
      <c r="AA665"/>
      <c r="AB665"/>
      <c r="AC665"/>
      <c r="AD665"/>
      <c r="AE665"/>
      <c r="AF665"/>
      <c r="AG665"/>
      <c r="AH665"/>
      <c r="AI665"/>
      <c r="AJ665"/>
      <c r="AK665"/>
      <c r="AL665"/>
      <c r="AM665"/>
      <c r="AN665"/>
      <c r="AO665"/>
      <c r="AP665"/>
      <c r="AQ665"/>
      <c r="AR665"/>
    </row>
    <row r="666" spans="1:44" s="10" customFormat="1" ht="15.75" customHeight="1" x14ac:dyDescent="0.25">
      <c r="A666" s="55">
        <v>346</v>
      </c>
      <c r="B666" s="633">
        <v>44670</v>
      </c>
      <c r="C666" s="755"/>
      <c r="D666" s="824" t="s">
        <v>5111</v>
      </c>
      <c r="E666" s="884"/>
      <c r="F666" s="33" t="s">
        <v>5112</v>
      </c>
      <c r="G666" s="404" t="s">
        <v>503</v>
      </c>
      <c r="H666" s="45">
        <v>30000</v>
      </c>
      <c r="I666" s="377" t="s">
        <v>5114</v>
      </c>
      <c r="J666" s="774">
        <v>44670</v>
      </c>
      <c r="K666" s="943">
        <f t="shared" ref="K666:K689" si="137">H666</f>
        <v>30000</v>
      </c>
      <c r="L666" s="910"/>
      <c r="M666" s="910"/>
      <c r="N666" s="910"/>
      <c r="O666" s="910"/>
      <c r="P666" s="910"/>
      <c r="Q666" s="28">
        <f t="shared" si="136"/>
        <v>30000</v>
      </c>
      <c r="R666" s="301"/>
      <c r="S666" s="301"/>
      <c r="T666" s="55"/>
      <c r="U666" s="24"/>
      <c r="V666" s="5"/>
      <c r="W666"/>
      <c r="X666"/>
      <c r="Y666"/>
      <c r="Z666"/>
      <c r="AA666"/>
      <c r="AB666"/>
      <c r="AC666"/>
      <c r="AD666"/>
      <c r="AE666"/>
      <c r="AF666"/>
      <c r="AG666"/>
      <c r="AH666"/>
      <c r="AI666"/>
      <c r="AJ666"/>
      <c r="AK666"/>
      <c r="AL666"/>
      <c r="AM666"/>
      <c r="AN666"/>
      <c r="AO666"/>
      <c r="AP666"/>
      <c r="AQ666"/>
      <c r="AR666"/>
    </row>
    <row r="667" spans="1:44" s="10" customFormat="1" ht="15.75" customHeight="1" x14ac:dyDescent="0.25">
      <c r="A667" s="55">
        <v>347</v>
      </c>
      <c r="B667" s="633">
        <v>44670</v>
      </c>
      <c r="C667" s="755"/>
      <c r="D667" s="824" t="s">
        <v>5115</v>
      </c>
      <c r="E667" s="884"/>
      <c r="F667" s="33" t="s">
        <v>5116</v>
      </c>
      <c r="G667" s="404" t="s">
        <v>988</v>
      </c>
      <c r="H667" s="45">
        <v>571500</v>
      </c>
      <c r="I667" s="377" t="s">
        <v>5117</v>
      </c>
      <c r="J667" s="774">
        <v>44670</v>
      </c>
      <c r="K667" s="943">
        <f t="shared" si="137"/>
        <v>571500</v>
      </c>
      <c r="L667" s="910"/>
      <c r="M667" s="910"/>
      <c r="N667" s="910"/>
      <c r="O667" s="910"/>
      <c r="P667" s="910"/>
      <c r="Q667" s="28">
        <f t="shared" si="136"/>
        <v>571500</v>
      </c>
      <c r="R667" s="55"/>
      <c r="S667" s="301"/>
      <c r="T667" s="55"/>
      <c r="U667" s="24"/>
      <c r="V667" s="5"/>
      <c r="W667"/>
      <c r="X667"/>
      <c r="Y667"/>
      <c r="Z667"/>
      <c r="AA667"/>
      <c r="AB667"/>
      <c r="AC667"/>
      <c r="AD667"/>
      <c r="AE667"/>
      <c r="AF667"/>
      <c r="AG667"/>
      <c r="AH667"/>
      <c r="AI667"/>
      <c r="AJ667"/>
      <c r="AK667"/>
      <c r="AL667"/>
      <c r="AM667"/>
      <c r="AN667"/>
      <c r="AO667"/>
      <c r="AP667"/>
      <c r="AQ667"/>
      <c r="AR667"/>
    </row>
    <row r="668" spans="1:44" s="10" customFormat="1" ht="15.75" customHeight="1" x14ac:dyDescent="0.25">
      <c r="A668" s="55">
        <v>348</v>
      </c>
      <c r="B668" s="633">
        <v>44656</v>
      </c>
      <c r="C668" s="755"/>
      <c r="D668" s="824" t="s">
        <v>5119</v>
      </c>
      <c r="E668" s="884"/>
      <c r="F668" s="33" t="s">
        <v>933</v>
      </c>
      <c r="G668" s="404" t="s">
        <v>163</v>
      </c>
      <c r="H668" s="45">
        <v>600000</v>
      </c>
      <c r="I668" s="377" t="s">
        <v>5118</v>
      </c>
      <c r="J668" s="774">
        <v>44670</v>
      </c>
      <c r="K668" s="943">
        <f t="shared" si="137"/>
        <v>600000</v>
      </c>
      <c r="L668" s="910"/>
      <c r="M668" s="910"/>
      <c r="N668" s="910"/>
      <c r="O668" s="910"/>
      <c r="P668" s="910"/>
      <c r="Q668" s="28">
        <f t="shared" si="136"/>
        <v>600000</v>
      </c>
      <c r="R668" s="55"/>
      <c r="S668" s="301"/>
      <c r="T668" s="55"/>
      <c r="U668" s="24"/>
      <c r="V668" s="5"/>
      <c r="W668"/>
      <c r="X668"/>
      <c r="Y668"/>
      <c r="Z668"/>
      <c r="AA668"/>
      <c r="AB668"/>
      <c r="AC668"/>
      <c r="AD668"/>
      <c r="AE668"/>
      <c r="AF668"/>
      <c r="AG668"/>
      <c r="AH668"/>
      <c r="AI668"/>
      <c r="AJ668"/>
      <c r="AK668"/>
      <c r="AL668"/>
      <c r="AM668"/>
      <c r="AN668"/>
      <c r="AO668"/>
      <c r="AP668"/>
      <c r="AQ668"/>
      <c r="AR668"/>
    </row>
    <row r="669" spans="1:44" s="10" customFormat="1" ht="15.75" customHeight="1" x14ac:dyDescent="0.25">
      <c r="A669" s="55">
        <v>349</v>
      </c>
      <c r="B669" s="633">
        <v>44650</v>
      </c>
      <c r="C669" s="755" t="s">
        <v>5120</v>
      </c>
      <c r="D669" s="824" t="s">
        <v>3312</v>
      </c>
      <c r="E669" s="884"/>
      <c r="F669" s="33" t="s">
        <v>5121</v>
      </c>
      <c r="G669" s="404" t="s">
        <v>1318</v>
      </c>
      <c r="H669" s="45">
        <v>12950000</v>
      </c>
      <c r="I669" s="377" t="s">
        <v>5122</v>
      </c>
      <c r="J669" s="774">
        <v>44670</v>
      </c>
      <c r="K669" s="943">
        <f t="shared" si="137"/>
        <v>12950000</v>
      </c>
      <c r="L669" s="910"/>
      <c r="M669" s="910"/>
      <c r="N669" s="910"/>
      <c r="O669" s="910"/>
      <c r="P669" s="910"/>
      <c r="Q669" s="28">
        <f t="shared" si="136"/>
        <v>12950000</v>
      </c>
      <c r="R669" s="55"/>
      <c r="S669" s="301"/>
      <c r="T669" s="55"/>
      <c r="U669" s="24"/>
      <c r="V669" s="5"/>
      <c r="W669"/>
      <c r="X669"/>
      <c r="Y669"/>
      <c r="Z669"/>
      <c r="AA669"/>
      <c r="AB669"/>
      <c r="AC669"/>
      <c r="AD669"/>
      <c r="AE669"/>
      <c r="AF669"/>
      <c r="AG669"/>
      <c r="AH669"/>
      <c r="AI669"/>
      <c r="AJ669"/>
      <c r="AK669"/>
      <c r="AL669"/>
      <c r="AM669"/>
      <c r="AN669"/>
      <c r="AO669"/>
      <c r="AP669"/>
      <c r="AQ669"/>
      <c r="AR669"/>
    </row>
    <row r="670" spans="1:44" s="10" customFormat="1" ht="15.75" customHeight="1" x14ac:dyDescent="0.25">
      <c r="A670" s="55">
        <v>350</v>
      </c>
      <c r="B670" s="633">
        <v>44650</v>
      </c>
      <c r="C670" s="755" t="s">
        <v>5120</v>
      </c>
      <c r="D670" s="824" t="s">
        <v>5123</v>
      </c>
      <c r="E670" s="884"/>
      <c r="F670" s="33" t="s">
        <v>2755</v>
      </c>
      <c r="G670" s="404" t="s">
        <v>5125</v>
      </c>
      <c r="H670" s="45">
        <v>766500</v>
      </c>
      <c r="I670" s="377" t="s">
        <v>5124</v>
      </c>
      <c r="J670" s="774">
        <v>44670</v>
      </c>
      <c r="K670" s="943">
        <f t="shared" si="137"/>
        <v>766500</v>
      </c>
      <c r="L670" s="910"/>
      <c r="M670" s="910"/>
      <c r="N670" s="910"/>
      <c r="O670" s="910"/>
      <c r="P670" s="910"/>
      <c r="Q670" s="28">
        <f t="shared" si="136"/>
        <v>766500</v>
      </c>
      <c r="R670" s="55"/>
      <c r="S670" s="301"/>
      <c r="T670" s="55"/>
      <c r="U670" s="24"/>
      <c r="V670" s="5"/>
      <c r="W670"/>
      <c r="X670"/>
      <c r="Y670"/>
      <c r="Z670"/>
      <c r="AA670"/>
      <c r="AB670"/>
      <c r="AC670"/>
      <c r="AD670"/>
      <c r="AE670"/>
      <c r="AF670"/>
      <c r="AG670"/>
      <c r="AH670"/>
      <c r="AI670"/>
      <c r="AJ670"/>
      <c r="AK670"/>
      <c r="AL670"/>
      <c r="AM670"/>
      <c r="AN670"/>
      <c r="AO670"/>
      <c r="AP670"/>
      <c r="AQ670"/>
      <c r="AR670"/>
    </row>
    <row r="671" spans="1:44" s="10" customFormat="1" ht="15.75" customHeight="1" x14ac:dyDescent="0.25">
      <c r="A671" s="55">
        <v>351</v>
      </c>
      <c r="B671" s="633">
        <v>44654</v>
      </c>
      <c r="C671" s="755" t="s">
        <v>5126</v>
      </c>
      <c r="D671" s="824" t="s">
        <v>5127</v>
      </c>
      <c r="E671" s="884"/>
      <c r="F671" s="33" t="s">
        <v>2755</v>
      </c>
      <c r="G671" s="404" t="s">
        <v>5129</v>
      </c>
      <c r="H671" s="45">
        <v>600000</v>
      </c>
      <c r="I671" s="377" t="s">
        <v>5128</v>
      </c>
      <c r="J671" s="774">
        <v>44670</v>
      </c>
      <c r="K671" s="943">
        <f t="shared" si="137"/>
        <v>600000</v>
      </c>
      <c r="L671" s="910"/>
      <c r="M671" s="910"/>
      <c r="N671" s="910"/>
      <c r="O671" s="910"/>
      <c r="P671" s="910"/>
      <c r="Q671" s="28">
        <f t="shared" si="136"/>
        <v>600000</v>
      </c>
      <c r="R671" s="55"/>
      <c r="S671" s="301"/>
      <c r="T671" s="55"/>
      <c r="U671" s="24"/>
      <c r="V671" s="5"/>
      <c r="W671"/>
      <c r="X671"/>
      <c r="Y671"/>
      <c r="Z671"/>
      <c r="AA671"/>
      <c r="AB671"/>
      <c r="AC671"/>
      <c r="AD671"/>
      <c r="AE671"/>
      <c r="AF671"/>
      <c r="AG671"/>
      <c r="AH671"/>
      <c r="AI671"/>
      <c r="AJ671"/>
      <c r="AK671"/>
      <c r="AL671"/>
      <c r="AM671"/>
      <c r="AN671"/>
      <c r="AO671"/>
      <c r="AP671"/>
      <c r="AQ671"/>
      <c r="AR671"/>
    </row>
    <row r="672" spans="1:44" s="10" customFormat="1" ht="15.75" customHeight="1" x14ac:dyDescent="0.25">
      <c r="A672" s="55">
        <v>352</v>
      </c>
      <c r="B672" s="633">
        <v>44660</v>
      </c>
      <c r="C672" s="755"/>
      <c r="D672" s="824" t="s">
        <v>5131</v>
      </c>
      <c r="E672" s="884"/>
      <c r="F672" s="33" t="s">
        <v>5130</v>
      </c>
      <c r="G672" s="404" t="s">
        <v>653</v>
      </c>
      <c r="H672" s="45">
        <v>7000000</v>
      </c>
      <c r="I672" s="906" t="s">
        <v>5132</v>
      </c>
      <c r="J672" s="774">
        <v>44670</v>
      </c>
      <c r="K672" s="943">
        <f t="shared" si="137"/>
        <v>7000000</v>
      </c>
      <c r="L672" s="910"/>
      <c r="M672" s="910"/>
      <c r="N672" s="910"/>
      <c r="O672" s="910"/>
      <c r="P672" s="910"/>
      <c r="Q672" s="28">
        <f t="shared" si="136"/>
        <v>7000000</v>
      </c>
      <c r="R672" s="55"/>
      <c r="S672" s="301"/>
      <c r="T672" s="55"/>
      <c r="U672" s="24"/>
      <c r="V672" s="5"/>
      <c r="W672"/>
      <c r="X672"/>
      <c r="Y672"/>
      <c r="Z672"/>
      <c r="AA672"/>
      <c r="AB672"/>
      <c r="AC672"/>
      <c r="AD672"/>
      <c r="AE672"/>
      <c r="AF672"/>
      <c r="AG672"/>
      <c r="AH672"/>
      <c r="AI672"/>
      <c r="AJ672"/>
      <c r="AK672"/>
      <c r="AL672"/>
      <c r="AM672"/>
      <c r="AN672"/>
      <c r="AO672"/>
      <c r="AP672"/>
      <c r="AQ672"/>
      <c r="AR672"/>
    </row>
    <row r="673" spans="1:44" s="10" customFormat="1" ht="15.75" customHeight="1" x14ac:dyDescent="0.25">
      <c r="A673" s="55">
        <v>353</v>
      </c>
      <c r="B673" s="633">
        <v>44671</v>
      </c>
      <c r="C673" s="755" t="s">
        <v>5135</v>
      </c>
      <c r="D673" s="824" t="s">
        <v>5136</v>
      </c>
      <c r="E673" s="884"/>
      <c r="F673" s="33" t="s">
        <v>5134</v>
      </c>
      <c r="G673" s="404" t="s">
        <v>155</v>
      </c>
      <c r="H673" s="45">
        <v>830500</v>
      </c>
      <c r="I673" s="377" t="s">
        <v>5133</v>
      </c>
      <c r="J673" s="774">
        <v>44671</v>
      </c>
      <c r="K673" s="943">
        <f t="shared" si="137"/>
        <v>830500</v>
      </c>
      <c r="L673" s="910"/>
      <c r="M673" s="910"/>
      <c r="N673" s="910"/>
      <c r="O673" s="910"/>
      <c r="P673" s="910"/>
      <c r="Q673" s="28">
        <f t="shared" si="136"/>
        <v>830500</v>
      </c>
      <c r="R673" s="55"/>
      <c r="S673" s="301"/>
      <c r="T673" s="55"/>
      <c r="U673" s="24"/>
      <c r="V673" s="5"/>
      <c r="W673"/>
      <c r="X673"/>
      <c r="Y673"/>
      <c r="Z673"/>
      <c r="AA673"/>
      <c r="AB673"/>
      <c r="AC673"/>
      <c r="AD673"/>
      <c r="AE673"/>
      <c r="AF673"/>
      <c r="AG673"/>
      <c r="AH673"/>
      <c r="AI673"/>
      <c r="AJ673"/>
      <c r="AK673"/>
      <c r="AL673"/>
      <c r="AM673"/>
      <c r="AN673"/>
      <c r="AO673"/>
      <c r="AP673"/>
      <c r="AQ673"/>
      <c r="AR673"/>
    </row>
    <row r="674" spans="1:44" s="10" customFormat="1" ht="15.75" customHeight="1" x14ac:dyDescent="0.25">
      <c r="A674" s="55">
        <v>354</v>
      </c>
      <c r="B674" s="633">
        <v>44671</v>
      </c>
      <c r="C674" s="755"/>
      <c r="D674" s="824" t="s">
        <v>5138</v>
      </c>
      <c r="E674" s="884"/>
      <c r="F674" s="33" t="s">
        <v>5137</v>
      </c>
      <c r="G674" s="404" t="s">
        <v>988</v>
      </c>
      <c r="H674" s="45">
        <v>1374500</v>
      </c>
      <c r="I674" s="377" t="s">
        <v>5139</v>
      </c>
      <c r="J674" s="774">
        <v>44671</v>
      </c>
      <c r="K674" s="943">
        <f t="shared" si="137"/>
        <v>1374500</v>
      </c>
      <c r="L674" s="910"/>
      <c r="M674" s="910"/>
      <c r="N674" s="910"/>
      <c r="O674" s="910"/>
      <c r="P674" s="910"/>
      <c r="Q674" s="28">
        <f t="shared" si="136"/>
        <v>1374500</v>
      </c>
      <c r="R674" s="55"/>
      <c r="S674" s="301"/>
      <c r="T674" s="55"/>
      <c r="U674" s="24"/>
      <c r="V674" s="5"/>
      <c r="W674"/>
      <c r="X674"/>
      <c r="Y674"/>
      <c r="Z674"/>
      <c r="AA674"/>
      <c r="AB674"/>
      <c r="AC674"/>
      <c r="AD674"/>
      <c r="AE674"/>
      <c r="AF674"/>
      <c r="AG674"/>
      <c r="AH674"/>
      <c r="AI674"/>
      <c r="AJ674"/>
      <c r="AK674"/>
      <c r="AL674"/>
      <c r="AM674"/>
      <c r="AN674"/>
      <c r="AO674"/>
      <c r="AP674"/>
      <c r="AQ674"/>
      <c r="AR674"/>
    </row>
    <row r="675" spans="1:44" s="10" customFormat="1" ht="15.75" customHeight="1" x14ac:dyDescent="0.25">
      <c r="A675" s="55">
        <v>355</v>
      </c>
      <c r="B675" s="633">
        <v>44665</v>
      </c>
      <c r="C675" s="755"/>
      <c r="D675" s="824" t="s">
        <v>5141</v>
      </c>
      <c r="E675" s="884"/>
      <c r="F675" s="33" t="s">
        <v>4685</v>
      </c>
      <c r="G675" s="404" t="s">
        <v>2302</v>
      </c>
      <c r="H675" s="45">
        <v>3500000</v>
      </c>
      <c r="I675" s="377" t="s">
        <v>5140</v>
      </c>
      <c r="J675" s="774">
        <v>44672</v>
      </c>
      <c r="K675" s="943">
        <f t="shared" si="137"/>
        <v>3500000</v>
      </c>
      <c r="L675" s="910"/>
      <c r="M675" s="910"/>
      <c r="N675" s="910"/>
      <c r="O675" s="910"/>
      <c r="P675" s="910"/>
      <c r="Q675" s="28">
        <f t="shared" si="136"/>
        <v>3500000</v>
      </c>
      <c r="R675" s="55"/>
      <c r="S675" s="301"/>
      <c r="T675" s="55"/>
      <c r="U675" s="24"/>
      <c r="V675" s="5"/>
      <c r="W675"/>
      <c r="X675"/>
      <c r="Y675"/>
      <c r="Z675"/>
      <c r="AA675"/>
      <c r="AB675"/>
      <c r="AC675"/>
      <c r="AD675"/>
      <c r="AE675"/>
      <c r="AF675"/>
      <c r="AG675"/>
      <c r="AH675"/>
      <c r="AI675"/>
      <c r="AJ675"/>
      <c r="AK675"/>
      <c r="AL675"/>
      <c r="AM675"/>
      <c r="AN675"/>
      <c r="AO675"/>
      <c r="AP675"/>
      <c r="AQ675"/>
      <c r="AR675"/>
    </row>
    <row r="676" spans="1:44" s="10" customFormat="1" ht="15.75" customHeight="1" x14ac:dyDescent="0.25">
      <c r="A676" s="55">
        <v>357</v>
      </c>
      <c r="B676" s="633">
        <v>44672</v>
      </c>
      <c r="C676" s="755"/>
      <c r="D676" s="824" t="s">
        <v>5146</v>
      </c>
      <c r="E676" s="884"/>
      <c r="F676" s="33" t="s">
        <v>5147</v>
      </c>
      <c r="G676" s="404" t="s">
        <v>988</v>
      </c>
      <c r="H676" s="45">
        <v>225000</v>
      </c>
      <c r="I676" s="377" t="s">
        <v>5145</v>
      </c>
      <c r="J676" s="774">
        <v>44672</v>
      </c>
      <c r="K676" s="943">
        <f t="shared" si="137"/>
        <v>225000</v>
      </c>
      <c r="L676" s="910"/>
      <c r="M676" s="910"/>
      <c r="N676" s="910"/>
      <c r="O676" s="910"/>
      <c r="P676" s="910"/>
      <c r="Q676" s="28">
        <f t="shared" si="136"/>
        <v>225000</v>
      </c>
      <c r="R676" s="55"/>
      <c r="S676" s="301"/>
      <c r="T676" s="55"/>
      <c r="U676" s="24"/>
      <c r="V676" s="5" t="s">
        <v>5162</v>
      </c>
      <c r="W676"/>
      <c r="X676"/>
      <c r="Y676"/>
      <c r="Z676"/>
      <c r="AA676"/>
      <c r="AB676"/>
      <c r="AC676"/>
      <c r="AD676"/>
      <c r="AE676"/>
      <c r="AF676"/>
      <c r="AG676"/>
      <c r="AH676"/>
      <c r="AI676"/>
      <c r="AJ676"/>
      <c r="AK676"/>
      <c r="AL676"/>
      <c r="AM676"/>
      <c r="AN676"/>
      <c r="AO676"/>
      <c r="AP676"/>
      <c r="AQ676"/>
      <c r="AR676"/>
    </row>
    <row r="677" spans="1:44" s="10" customFormat="1" ht="15.75" customHeight="1" x14ac:dyDescent="0.25">
      <c r="A677" s="55">
        <v>358</v>
      </c>
      <c r="B677" s="633">
        <v>44673</v>
      </c>
      <c r="C677" s="755"/>
      <c r="D677" s="824" t="s">
        <v>5150</v>
      </c>
      <c r="E677" s="884"/>
      <c r="F677" s="33" t="s">
        <v>5149</v>
      </c>
      <c r="G677" s="404" t="s">
        <v>988</v>
      </c>
      <c r="H677" s="45">
        <v>378000</v>
      </c>
      <c r="I677" s="377" t="s">
        <v>5148</v>
      </c>
      <c r="J677" s="774">
        <v>44673</v>
      </c>
      <c r="K677" s="943">
        <f t="shared" si="137"/>
        <v>378000</v>
      </c>
      <c r="L677" s="910"/>
      <c r="M677" s="910"/>
      <c r="N677" s="910"/>
      <c r="O677" s="910"/>
      <c r="P677" s="910"/>
      <c r="Q677" s="28">
        <f t="shared" si="136"/>
        <v>378000</v>
      </c>
      <c r="R677" s="301"/>
      <c r="S677" s="301"/>
      <c r="T677" s="55"/>
      <c r="U677" s="24"/>
      <c r="V677" s="5" t="s">
        <v>5162</v>
      </c>
      <c r="W677"/>
      <c r="X677"/>
      <c r="Y677"/>
      <c r="Z677"/>
      <c r="AA677"/>
      <c r="AB677"/>
      <c r="AC677"/>
      <c r="AD677"/>
      <c r="AE677"/>
      <c r="AF677"/>
      <c r="AG677"/>
      <c r="AH677"/>
      <c r="AI677"/>
      <c r="AJ677"/>
      <c r="AK677"/>
      <c r="AL677"/>
      <c r="AM677"/>
      <c r="AN677"/>
      <c r="AO677"/>
      <c r="AP677"/>
      <c r="AQ677"/>
      <c r="AR677"/>
    </row>
    <row r="678" spans="1:44" s="10" customFormat="1" ht="15.75" customHeight="1" x14ac:dyDescent="0.25">
      <c r="A678" s="55">
        <v>359</v>
      </c>
      <c r="B678" s="633">
        <v>44673</v>
      </c>
      <c r="C678" s="755"/>
      <c r="D678" s="824" t="s">
        <v>5152</v>
      </c>
      <c r="E678" s="884"/>
      <c r="F678" s="33" t="s">
        <v>5153</v>
      </c>
      <c r="G678" s="404" t="s">
        <v>988</v>
      </c>
      <c r="H678" s="45">
        <v>294000</v>
      </c>
      <c r="I678" s="377" t="s">
        <v>5151</v>
      </c>
      <c r="J678" s="774">
        <v>44673</v>
      </c>
      <c r="K678" s="943">
        <f t="shared" si="137"/>
        <v>294000</v>
      </c>
      <c r="L678" s="910"/>
      <c r="M678" s="910"/>
      <c r="N678" s="910"/>
      <c r="O678" s="910"/>
      <c r="P678" s="910"/>
      <c r="Q678" s="28">
        <f t="shared" si="136"/>
        <v>294000</v>
      </c>
      <c r="R678" s="55"/>
      <c r="S678" s="301"/>
      <c r="T678" s="55"/>
      <c r="U678" s="24"/>
      <c r="V678" s="5" t="s">
        <v>5162</v>
      </c>
      <c r="W678"/>
      <c r="X678"/>
      <c r="Y678"/>
      <c r="Z678"/>
      <c r="AA678"/>
      <c r="AB678"/>
      <c r="AC678"/>
      <c r="AD678"/>
      <c r="AE678"/>
      <c r="AF678"/>
      <c r="AG678"/>
      <c r="AH678"/>
      <c r="AI678"/>
      <c r="AJ678"/>
      <c r="AK678"/>
      <c r="AL678"/>
      <c r="AM678"/>
      <c r="AN678"/>
      <c r="AO678"/>
      <c r="AP678"/>
      <c r="AQ678"/>
      <c r="AR678"/>
    </row>
    <row r="679" spans="1:44" s="10" customFormat="1" ht="15.75" customHeight="1" x14ac:dyDescent="0.25">
      <c r="A679" s="55">
        <v>360</v>
      </c>
      <c r="B679" s="633">
        <v>44673</v>
      </c>
      <c r="C679" s="755"/>
      <c r="D679" s="824" t="s">
        <v>5156</v>
      </c>
      <c r="E679" s="884"/>
      <c r="F679" s="33" t="s">
        <v>5155</v>
      </c>
      <c r="G679" s="404" t="s">
        <v>988</v>
      </c>
      <c r="H679" s="45">
        <v>270000</v>
      </c>
      <c r="I679" s="377" t="s">
        <v>5154</v>
      </c>
      <c r="J679" s="774">
        <v>44673</v>
      </c>
      <c r="K679" s="945">
        <f t="shared" si="137"/>
        <v>270000</v>
      </c>
      <c r="L679" s="910"/>
      <c r="M679" s="910"/>
      <c r="N679" s="910"/>
      <c r="O679" s="910"/>
      <c r="P679" s="910"/>
      <c r="Q679" s="28">
        <f t="shared" si="136"/>
        <v>270000</v>
      </c>
      <c r="R679" s="55"/>
      <c r="S679" s="301"/>
      <c r="T679" s="55"/>
      <c r="U679" s="24"/>
      <c r="V679" s="5" t="s">
        <v>5162</v>
      </c>
      <c r="W679"/>
      <c r="X679"/>
      <c r="Y679"/>
      <c r="Z679"/>
      <c r="AA679"/>
      <c r="AB679"/>
      <c r="AC679"/>
      <c r="AD679"/>
      <c r="AE679"/>
      <c r="AF679"/>
      <c r="AG679"/>
      <c r="AH679"/>
      <c r="AI679"/>
      <c r="AJ679"/>
      <c r="AK679"/>
      <c r="AL679"/>
      <c r="AM679"/>
      <c r="AN679"/>
      <c r="AO679"/>
      <c r="AP679"/>
      <c r="AQ679"/>
      <c r="AR679"/>
    </row>
    <row r="680" spans="1:44" s="10" customFormat="1" ht="15.75" customHeight="1" x14ac:dyDescent="0.25">
      <c r="A680" s="55">
        <v>361</v>
      </c>
      <c r="B680" s="633">
        <v>44673</v>
      </c>
      <c r="C680" s="755"/>
      <c r="D680" s="824" t="s">
        <v>5158</v>
      </c>
      <c r="E680" s="884"/>
      <c r="F680" s="33" t="s">
        <v>5159</v>
      </c>
      <c r="G680" s="404" t="s">
        <v>988</v>
      </c>
      <c r="H680" s="45">
        <v>576000</v>
      </c>
      <c r="I680" s="377" t="s">
        <v>5157</v>
      </c>
      <c r="J680" s="774">
        <v>44673</v>
      </c>
      <c r="K680" s="945">
        <f t="shared" si="137"/>
        <v>576000</v>
      </c>
      <c r="L680" s="910"/>
      <c r="M680" s="910"/>
      <c r="N680" s="910"/>
      <c r="O680" s="910"/>
      <c r="P680" s="910"/>
      <c r="Q680" s="28">
        <f t="shared" si="136"/>
        <v>576000</v>
      </c>
      <c r="R680" s="55"/>
      <c r="S680" s="301"/>
      <c r="T680" s="55"/>
      <c r="U680" s="24"/>
      <c r="V680" s="5" t="s">
        <v>5162</v>
      </c>
      <c r="W680"/>
      <c r="X680"/>
      <c r="Y680"/>
      <c r="Z680"/>
      <c r="AA680"/>
      <c r="AB680"/>
      <c r="AC680"/>
      <c r="AD680"/>
      <c r="AE680"/>
      <c r="AF680"/>
      <c r="AG680"/>
      <c r="AH680"/>
      <c r="AI680"/>
      <c r="AJ680"/>
      <c r="AK680"/>
      <c r="AL680"/>
      <c r="AM680"/>
      <c r="AN680"/>
      <c r="AO680"/>
      <c r="AP680"/>
      <c r="AQ680"/>
      <c r="AR680"/>
    </row>
    <row r="681" spans="1:44" s="10" customFormat="1" ht="15.75" customHeight="1" x14ac:dyDescent="0.25">
      <c r="A681" s="55">
        <v>362</v>
      </c>
      <c r="B681" s="633">
        <v>44673</v>
      </c>
      <c r="C681" s="755"/>
      <c r="D681" s="932" t="s">
        <v>5164</v>
      </c>
      <c r="E681" s="884"/>
      <c r="F681" s="33" t="s">
        <v>5161</v>
      </c>
      <c r="G681" s="404" t="s">
        <v>713</v>
      </c>
      <c r="H681" s="45">
        <v>4189500</v>
      </c>
      <c r="I681" s="377" t="s">
        <v>5160</v>
      </c>
      <c r="J681" s="774">
        <v>44673</v>
      </c>
      <c r="K681" s="945">
        <f t="shared" si="137"/>
        <v>4189500</v>
      </c>
      <c r="L681" s="931"/>
      <c r="M681" s="931"/>
      <c r="N681" s="931"/>
      <c r="O681" s="931"/>
      <c r="P681" s="931"/>
      <c r="Q681" s="28">
        <f t="shared" si="136"/>
        <v>4189500</v>
      </c>
      <c r="R681" s="55"/>
      <c r="S681" s="301"/>
      <c r="T681" s="55"/>
      <c r="U681" s="24"/>
      <c r="V681" s="5" t="s">
        <v>5163</v>
      </c>
      <c r="W681"/>
      <c r="X681"/>
      <c r="Y681"/>
      <c r="Z681"/>
      <c r="AA681"/>
      <c r="AB681"/>
      <c r="AC681"/>
      <c r="AD681"/>
      <c r="AE681"/>
      <c r="AF681"/>
      <c r="AG681"/>
      <c r="AH681"/>
      <c r="AI681"/>
      <c r="AJ681"/>
      <c r="AK681"/>
      <c r="AL681"/>
      <c r="AM681"/>
      <c r="AN681"/>
      <c r="AO681"/>
      <c r="AP681"/>
      <c r="AQ681"/>
      <c r="AR681"/>
    </row>
    <row r="682" spans="1:44" s="10" customFormat="1" ht="15.75" customHeight="1" x14ac:dyDescent="0.25">
      <c r="A682" s="55">
        <v>363</v>
      </c>
      <c r="B682" s="633">
        <v>44673</v>
      </c>
      <c r="C682" s="755"/>
      <c r="D682" s="932" t="s">
        <v>5166</v>
      </c>
      <c r="E682" s="884"/>
      <c r="F682" s="33" t="s">
        <v>5167</v>
      </c>
      <c r="G682" s="404" t="s">
        <v>4424</v>
      </c>
      <c r="H682" s="45">
        <v>225000</v>
      </c>
      <c r="I682" s="377" t="s">
        <v>5165</v>
      </c>
      <c r="J682" s="774">
        <v>44673</v>
      </c>
      <c r="K682" s="945">
        <f t="shared" si="137"/>
        <v>225000</v>
      </c>
      <c r="L682" s="931"/>
      <c r="M682" s="931"/>
      <c r="N682" s="931"/>
      <c r="O682" s="931"/>
      <c r="P682" s="931"/>
      <c r="Q682" s="28">
        <f t="shared" si="136"/>
        <v>225000</v>
      </c>
      <c r="R682" s="55"/>
      <c r="S682" s="301"/>
      <c r="T682" s="55"/>
      <c r="U682" s="24"/>
      <c r="V682" s="5" t="s">
        <v>2186</v>
      </c>
      <c r="W682"/>
      <c r="X682"/>
      <c r="Y682"/>
      <c r="Z682"/>
      <c r="AA682"/>
      <c r="AB682"/>
      <c r="AC682"/>
      <c r="AD682"/>
      <c r="AE682"/>
      <c r="AF682"/>
      <c r="AG682"/>
      <c r="AH682"/>
      <c r="AI682"/>
      <c r="AJ682"/>
      <c r="AK682"/>
      <c r="AL682"/>
      <c r="AM682"/>
      <c r="AN682"/>
      <c r="AO682"/>
      <c r="AP682"/>
      <c r="AQ682"/>
      <c r="AR682"/>
    </row>
    <row r="683" spans="1:44" s="10" customFormat="1" ht="15.75" customHeight="1" x14ac:dyDescent="0.25">
      <c r="A683" s="55">
        <v>364</v>
      </c>
      <c r="B683" s="633">
        <v>44673</v>
      </c>
      <c r="C683" s="755"/>
      <c r="D683" s="932" t="s">
        <v>5172</v>
      </c>
      <c r="E683" s="884"/>
      <c r="F683" s="33" t="s">
        <v>5169</v>
      </c>
      <c r="G683" s="404" t="s">
        <v>4424</v>
      </c>
      <c r="H683" s="45">
        <v>418500</v>
      </c>
      <c r="I683" s="377" t="s">
        <v>5168</v>
      </c>
      <c r="J683" s="774">
        <v>44673</v>
      </c>
      <c r="K683" s="945">
        <f t="shared" si="137"/>
        <v>418500</v>
      </c>
      <c r="L683" s="931"/>
      <c r="M683" s="931"/>
      <c r="N683" s="931"/>
      <c r="O683" s="931"/>
      <c r="P683" s="931"/>
      <c r="Q683" s="28">
        <f t="shared" si="136"/>
        <v>418500</v>
      </c>
      <c r="R683" s="55"/>
      <c r="S683" s="301"/>
      <c r="T683" s="55"/>
      <c r="U683" s="24"/>
      <c r="V683" s="5" t="s">
        <v>2186</v>
      </c>
      <c r="W683"/>
      <c r="X683"/>
      <c r="Y683"/>
      <c r="Z683"/>
      <c r="AA683"/>
      <c r="AB683"/>
      <c r="AC683"/>
      <c r="AD683"/>
      <c r="AE683"/>
      <c r="AF683"/>
      <c r="AG683"/>
      <c r="AH683"/>
      <c r="AI683"/>
      <c r="AJ683"/>
      <c r="AK683"/>
      <c r="AL683"/>
      <c r="AM683"/>
      <c r="AN683"/>
      <c r="AO683"/>
      <c r="AP683"/>
      <c r="AQ683"/>
      <c r="AR683"/>
    </row>
    <row r="684" spans="1:44" s="10" customFormat="1" ht="15.75" customHeight="1" x14ac:dyDescent="0.25">
      <c r="A684" s="55">
        <v>365</v>
      </c>
      <c r="B684" s="633">
        <v>44673</v>
      </c>
      <c r="C684" s="755"/>
      <c r="D684" s="932" t="s">
        <v>5171</v>
      </c>
      <c r="E684" s="884"/>
      <c r="F684" s="33" t="s">
        <v>5173</v>
      </c>
      <c r="G684" s="404" t="s">
        <v>4424</v>
      </c>
      <c r="H684" s="45">
        <v>1350000</v>
      </c>
      <c r="I684" s="377" t="s">
        <v>5170</v>
      </c>
      <c r="J684" s="774">
        <v>44673</v>
      </c>
      <c r="K684" s="945">
        <f t="shared" si="137"/>
        <v>1350000</v>
      </c>
      <c r="L684" s="931"/>
      <c r="M684" s="931"/>
      <c r="N684" s="931"/>
      <c r="O684" s="931"/>
      <c r="P684" s="931"/>
      <c r="Q684" s="28">
        <f t="shared" si="136"/>
        <v>1350000</v>
      </c>
      <c r="R684" s="55"/>
      <c r="S684" s="301"/>
      <c r="T684" s="55"/>
      <c r="U684" s="24"/>
      <c r="V684" s="1140" t="s">
        <v>2186</v>
      </c>
      <c r="W684"/>
      <c r="X684"/>
      <c r="Y684"/>
      <c r="Z684"/>
      <c r="AA684"/>
      <c r="AB684"/>
      <c r="AC684"/>
      <c r="AD684"/>
      <c r="AE684"/>
      <c r="AF684"/>
      <c r="AG684"/>
      <c r="AH684"/>
      <c r="AI684"/>
      <c r="AJ684"/>
      <c r="AK684"/>
      <c r="AL684"/>
      <c r="AM684"/>
      <c r="AN684"/>
      <c r="AO684"/>
      <c r="AP684"/>
      <c r="AQ684"/>
      <c r="AR684"/>
    </row>
    <row r="685" spans="1:44" s="10" customFormat="1" ht="15.75" customHeight="1" x14ac:dyDescent="0.25">
      <c r="A685" s="55">
        <v>366</v>
      </c>
      <c r="B685" s="633">
        <v>44670</v>
      </c>
      <c r="C685" s="755"/>
      <c r="D685" s="932" t="s">
        <v>5175</v>
      </c>
      <c r="E685" s="884"/>
      <c r="F685" s="33" t="s">
        <v>1840</v>
      </c>
      <c r="G685" s="404" t="s">
        <v>582</v>
      </c>
      <c r="H685" s="45">
        <v>5000000</v>
      </c>
      <c r="I685" s="377" t="s">
        <v>5174</v>
      </c>
      <c r="J685" s="774">
        <v>44673</v>
      </c>
      <c r="K685" s="945">
        <f t="shared" si="137"/>
        <v>5000000</v>
      </c>
      <c r="L685" s="931"/>
      <c r="M685" s="931">
        <v>500000</v>
      </c>
      <c r="N685" s="931"/>
      <c r="O685" s="931"/>
      <c r="P685" s="931">
        <v>5000000</v>
      </c>
      <c r="Q685" s="28">
        <f>K685-L685-O685-P685+N685</f>
        <v>0</v>
      </c>
      <c r="R685" s="55"/>
      <c r="S685" s="301">
        <v>44673</v>
      </c>
      <c r="T685" s="55"/>
      <c r="U685" s="24"/>
      <c r="V685" s="5" t="s">
        <v>5176</v>
      </c>
      <c r="W685"/>
      <c r="X685"/>
      <c r="Y685"/>
      <c r="Z685"/>
      <c r="AA685"/>
      <c r="AB685"/>
      <c r="AC685"/>
      <c r="AD685"/>
      <c r="AE685"/>
      <c r="AF685"/>
      <c r="AG685"/>
      <c r="AH685"/>
      <c r="AI685"/>
      <c r="AJ685"/>
      <c r="AK685"/>
      <c r="AL685"/>
      <c r="AM685"/>
      <c r="AN685"/>
      <c r="AO685"/>
      <c r="AP685"/>
      <c r="AQ685"/>
      <c r="AR685"/>
    </row>
    <row r="686" spans="1:44" s="10" customFormat="1" ht="15.75" customHeight="1" x14ac:dyDescent="0.25">
      <c r="A686" s="55">
        <v>368</v>
      </c>
      <c r="B686" s="633">
        <v>44624</v>
      </c>
      <c r="C686" s="755"/>
      <c r="D686" s="932" t="s">
        <v>4292</v>
      </c>
      <c r="E686" s="884"/>
      <c r="F686" s="33" t="s">
        <v>5179</v>
      </c>
      <c r="G686" s="404" t="s">
        <v>5180</v>
      </c>
      <c r="H686" s="45">
        <v>2650000</v>
      </c>
      <c r="I686" s="377" t="s">
        <v>5178</v>
      </c>
      <c r="J686" s="774">
        <v>44674</v>
      </c>
      <c r="K686" s="945">
        <f t="shared" si="137"/>
        <v>2650000</v>
      </c>
      <c r="L686" s="931">
        <v>1850000</v>
      </c>
      <c r="M686" s="931"/>
      <c r="N686" s="931"/>
      <c r="O686" s="931"/>
      <c r="P686" s="931"/>
      <c r="Q686" s="28">
        <f t="shared" si="136"/>
        <v>800000</v>
      </c>
      <c r="R686" s="301">
        <v>44627</v>
      </c>
      <c r="S686" s="301"/>
      <c r="T686" s="55"/>
      <c r="U686" s="24"/>
      <c r="V686" s="5"/>
      <c r="W686"/>
      <c r="X686"/>
      <c r="Y686"/>
      <c r="Z686"/>
      <c r="AA686"/>
      <c r="AB686"/>
      <c r="AC686"/>
      <c r="AD686"/>
      <c r="AE686"/>
      <c r="AF686"/>
      <c r="AG686"/>
      <c r="AH686"/>
      <c r="AI686"/>
      <c r="AJ686"/>
      <c r="AK686"/>
      <c r="AL686"/>
      <c r="AM686"/>
      <c r="AN686"/>
      <c r="AO686"/>
      <c r="AP686"/>
      <c r="AQ686"/>
      <c r="AR686"/>
    </row>
    <row r="687" spans="1:44" s="10" customFormat="1" ht="15.75" customHeight="1" x14ac:dyDescent="0.25">
      <c r="A687" s="55">
        <v>369</v>
      </c>
      <c r="B687" s="633">
        <v>44654</v>
      </c>
      <c r="C687" s="755"/>
      <c r="D687" s="932" t="s">
        <v>3246</v>
      </c>
      <c r="E687" s="884"/>
      <c r="F687" s="33" t="s">
        <v>5179</v>
      </c>
      <c r="G687" s="404" t="s">
        <v>201</v>
      </c>
      <c r="H687" s="45">
        <v>18850000</v>
      </c>
      <c r="I687" s="377" t="s">
        <v>5181</v>
      </c>
      <c r="J687" s="774" t="s">
        <v>5177</v>
      </c>
      <c r="K687" s="945">
        <f t="shared" si="137"/>
        <v>18850000</v>
      </c>
      <c r="L687" s="931">
        <v>13100000</v>
      </c>
      <c r="M687" s="931"/>
      <c r="N687" s="931"/>
      <c r="O687" s="931"/>
      <c r="P687" s="931"/>
      <c r="Q687" s="28">
        <f t="shared" si="136"/>
        <v>5750000</v>
      </c>
      <c r="R687" s="301">
        <v>44627</v>
      </c>
      <c r="S687" s="301"/>
      <c r="T687" s="55"/>
      <c r="U687" s="24"/>
      <c r="V687" s="5"/>
      <c r="W687"/>
      <c r="X687"/>
      <c r="Y687"/>
      <c r="Z687"/>
      <c r="AA687"/>
      <c r="AB687"/>
      <c r="AC687"/>
      <c r="AD687"/>
      <c r="AE687"/>
      <c r="AF687"/>
      <c r="AG687"/>
      <c r="AH687"/>
      <c r="AI687"/>
      <c r="AJ687"/>
      <c r="AK687"/>
      <c r="AL687"/>
      <c r="AM687"/>
      <c r="AN687"/>
      <c r="AO687"/>
      <c r="AP687"/>
      <c r="AQ687"/>
      <c r="AR687"/>
    </row>
    <row r="688" spans="1:44" s="10" customFormat="1" ht="15.75" customHeight="1" x14ac:dyDescent="0.25">
      <c r="A688" s="55">
        <v>370</v>
      </c>
      <c r="B688" s="633"/>
      <c r="C688" s="755"/>
      <c r="D688" s="932"/>
      <c r="E688" s="884"/>
      <c r="F688" s="33"/>
      <c r="G688" s="404"/>
      <c r="H688" s="45"/>
      <c r="I688" s="377"/>
      <c r="J688" s="774"/>
      <c r="K688" s="945">
        <f t="shared" si="137"/>
        <v>0</v>
      </c>
      <c r="L688" s="931"/>
      <c r="M688" s="931"/>
      <c r="N688" s="931"/>
      <c r="O688" s="931"/>
      <c r="P688" s="931"/>
      <c r="Q688" s="28"/>
      <c r="R688" s="55"/>
      <c r="S688" s="301"/>
      <c r="T688" s="55"/>
      <c r="U688" s="24"/>
      <c r="V688" s="5"/>
      <c r="W688"/>
      <c r="X688"/>
      <c r="Y688"/>
      <c r="Z688"/>
      <c r="AA688"/>
      <c r="AB688"/>
      <c r="AC688"/>
      <c r="AD688"/>
      <c r="AE688"/>
      <c r="AF688"/>
      <c r="AG688"/>
      <c r="AH688"/>
      <c r="AI688"/>
      <c r="AJ688"/>
      <c r="AK688"/>
      <c r="AL688"/>
      <c r="AM688"/>
      <c r="AN688"/>
      <c r="AO688"/>
      <c r="AP688"/>
      <c r="AQ688"/>
      <c r="AR688"/>
    </row>
    <row r="689" spans="1:44" s="10" customFormat="1" ht="15.75" customHeight="1" x14ac:dyDescent="0.25">
      <c r="A689" s="55">
        <v>371</v>
      </c>
      <c r="B689" s="633"/>
      <c r="C689" s="755"/>
      <c r="D689" s="932"/>
      <c r="E689" s="884"/>
      <c r="F689" s="33"/>
      <c r="G689" s="404"/>
      <c r="H689" s="45"/>
      <c r="I689" s="377"/>
      <c r="J689" s="774"/>
      <c r="K689" s="945">
        <f t="shared" si="137"/>
        <v>0</v>
      </c>
      <c r="L689" s="931"/>
      <c r="M689" s="931"/>
      <c r="N689" s="931"/>
      <c r="O689" s="931"/>
      <c r="P689" s="931"/>
      <c r="Q689" s="28"/>
      <c r="R689" s="55"/>
      <c r="S689" s="301"/>
      <c r="T689" s="55"/>
      <c r="U689" s="24"/>
      <c r="V689" s="5"/>
      <c r="W689"/>
      <c r="X689"/>
      <c r="Y689"/>
      <c r="Z689"/>
      <c r="AA689"/>
      <c r="AB689"/>
      <c r="AC689"/>
      <c r="AD689"/>
      <c r="AE689"/>
      <c r="AF689"/>
      <c r="AG689"/>
      <c r="AH689"/>
      <c r="AI689"/>
      <c r="AJ689"/>
      <c r="AK689"/>
      <c r="AL689"/>
      <c r="AM689"/>
      <c r="AN689"/>
      <c r="AO689"/>
      <c r="AP689"/>
      <c r="AQ689"/>
      <c r="AR689"/>
    </row>
    <row r="690" spans="1:44" s="10" customFormat="1" ht="15.75" customHeight="1" x14ac:dyDescent="0.25">
      <c r="A690" s="55">
        <v>372</v>
      </c>
      <c r="B690" s="633"/>
      <c r="C690" s="755"/>
      <c r="D690" s="932"/>
      <c r="E690" s="884"/>
      <c r="F690" s="33"/>
      <c r="G690" s="404"/>
      <c r="H690" s="45"/>
      <c r="I690" s="377"/>
      <c r="J690" s="774"/>
      <c r="K690" s="931"/>
      <c r="L690" s="931"/>
      <c r="M690" s="931"/>
      <c r="N690" s="931"/>
      <c r="O690" s="931"/>
      <c r="P690" s="931"/>
      <c r="Q690" s="28"/>
      <c r="R690" s="55"/>
      <c r="S690" s="301"/>
      <c r="T690" s="55"/>
      <c r="U690" s="24"/>
      <c r="V690" s="5"/>
      <c r="W690"/>
      <c r="X690"/>
      <c r="Y690"/>
      <c r="Z690"/>
      <c r="AA690"/>
      <c r="AB690"/>
      <c r="AC690"/>
      <c r="AD690"/>
      <c r="AE690"/>
      <c r="AF690"/>
      <c r="AG690"/>
      <c r="AH690"/>
      <c r="AI690"/>
      <c r="AJ690"/>
      <c r="AK690"/>
      <c r="AL690"/>
      <c r="AM690"/>
      <c r="AN690"/>
      <c r="AO690"/>
      <c r="AP690"/>
      <c r="AQ690"/>
      <c r="AR690"/>
    </row>
    <row r="691" spans="1:44" s="10" customFormat="1" ht="15.75" customHeight="1" x14ac:dyDescent="0.25">
      <c r="A691" s="55">
        <v>373</v>
      </c>
      <c r="B691" s="633"/>
      <c r="C691" s="755"/>
      <c r="D691" s="932"/>
      <c r="E691" s="884"/>
      <c r="F691" s="33"/>
      <c r="G691" s="404"/>
      <c r="H691" s="45"/>
      <c r="I691" s="377"/>
      <c r="J691" s="774"/>
      <c r="K691" s="931"/>
      <c r="L691" s="931"/>
      <c r="M691" s="931"/>
      <c r="N691" s="931"/>
      <c r="O691" s="931"/>
      <c r="P691" s="931"/>
      <c r="Q691" s="28"/>
      <c r="R691" s="55"/>
      <c r="S691" s="301"/>
      <c r="T691" s="55"/>
      <c r="U691" s="24"/>
      <c r="V691" s="5"/>
      <c r="W691"/>
      <c r="X691"/>
      <c r="Y691"/>
      <c r="Z691"/>
      <c r="AA691"/>
      <c r="AB691"/>
      <c r="AC691"/>
      <c r="AD691"/>
      <c r="AE691"/>
      <c r="AF691"/>
      <c r="AG691"/>
      <c r="AH691"/>
      <c r="AI691"/>
      <c r="AJ691"/>
      <c r="AK691"/>
      <c r="AL691"/>
      <c r="AM691"/>
      <c r="AN691"/>
      <c r="AO691"/>
      <c r="AP691"/>
      <c r="AQ691"/>
      <c r="AR691"/>
    </row>
    <row r="692" spans="1:44" s="10" customFormat="1" ht="15.75" customHeight="1" x14ac:dyDescent="0.25">
      <c r="A692" s="55">
        <v>374</v>
      </c>
      <c r="B692" s="633"/>
      <c r="C692" s="755"/>
      <c r="D692" s="932"/>
      <c r="E692" s="884"/>
      <c r="F692" s="33"/>
      <c r="G692" s="404"/>
      <c r="H692" s="45"/>
      <c r="I692" s="377"/>
      <c r="J692" s="774"/>
      <c r="K692" s="931"/>
      <c r="L692" s="931"/>
      <c r="M692" s="931"/>
      <c r="N692" s="931"/>
      <c r="O692" s="931"/>
      <c r="P692" s="931"/>
      <c r="Q692" s="28"/>
      <c r="R692" s="55"/>
      <c r="S692" s="301"/>
      <c r="T692" s="55"/>
      <c r="U692" s="24"/>
      <c r="V692" s="5"/>
      <c r="W692"/>
      <c r="X692"/>
      <c r="Y692"/>
      <c r="Z692"/>
      <c r="AA692"/>
      <c r="AB692"/>
      <c r="AC692"/>
      <c r="AD692"/>
      <c r="AE692"/>
      <c r="AF692"/>
      <c r="AG692"/>
      <c r="AH692"/>
      <c r="AI692"/>
      <c r="AJ692"/>
      <c r="AK692"/>
      <c r="AL692"/>
      <c r="AM692"/>
      <c r="AN692"/>
      <c r="AO692"/>
      <c r="AP692"/>
      <c r="AQ692"/>
      <c r="AR692"/>
    </row>
    <row r="693" spans="1:44" s="10" customFormat="1" ht="15.75" customHeight="1" x14ac:dyDescent="0.25">
      <c r="A693" s="55">
        <v>375</v>
      </c>
      <c r="B693" s="633"/>
      <c r="C693" s="755"/>
      <c r="D693" s="932"/>
      <c r="E693" s="884"/>
      <c r="F693" s="33"/>
      <c r="G693" s="404"/>
      <c r="H693" s="45"/>
      <c r="I693" s="377"/>
      <c r="J693" s="774"/>
      <c r="K693" s="931"/>
      <c r="L693" s="931"/>
      <c r="M693" s="931"/>
      <c r="N693" s="931"/>
      <c r="O693" s="931"/>
      <c r="P693" s="931"/>
      <c r="Q693" s="28"/>
      <c r="R693" s="55"/>
      <c r="S693" s="301"/>
      <c r="T693" s="55"/>
      <c r="U693" s="24"/>
      <c r="V693" s="5"/>
      <c r="W693"/>
      <c r="X693"/>
      <c r="Y693"/>
      <c r="Z693"/>
      <c r="AA693"/>
      <c r="AB693"/>
      <c r="AC693"/>
      <c r="AD693"/>
      <c r="AE693"/>
      <c r="AF693"/>
      <c r="AG693"/>
      <c r="AH693"/>
      <c r="AI693"/>
      <c r="AJ693"/>
      <c r="AK693"/>
      <c r="AL693"/>
      <c r="AM693"/>
      <c r="AN693"/>
      <c r="AO693"/>
      <c r="AP693"/>
      <c r="AQ693"/>
      <c r="AR693"/>
    </row>
    <row r="694" spans="1:44" s="10" customFormat="1" ht="15.75" customHeight="1" x14ac:dyDescent="0.25">
      <c r="A694" s="55">
        <v>376</v>
      </c>
      <c r="B694" s="633"/>
      <c r="C694" s="755"/>
      <c r="D694" s="932"/>
      <c r="E694" s="884"/>
      <c r="F694" s="33"/>
      <c r="G694" s="404"/>
      <c r="H694" s="45"/>
      <c r="I694" s="377"/>
      <c r="J694" s="774"/>
      <c r="K694" s="931"/>
      <c r="L694" s="931"/>
      <c r="M694" s="931"/>
      <c r="N694" s="931"/>
      <c r="O694" s="931"/>
      <c r="P694" s="931"/>
      <c r="Q694" s="28"/>
      <c r="R694" s="55"/>
      <c r="S694" s="301"/>
      <c r="T694" s="55"/>
      <c r="U694" s="24"/>
      <c r="V694" s="5"/>
      <c r="W694"/>
      <c r="X694"/>
      <c r="Y694"/>
      <c r="Z694"/>
      <c r="AA694"/>
      <c r="AB694"/>
      <c r="AC694"/>
      <c r="AD694"/>
      <c r="AE694"/>
      <c r="AF694"/>
      <c r="AG694"/>
      <c r="AH694"/>
      <c r="AI694"/>
      <c r="AJ694"/>
      <c r="AK694"/>
      <c r="AL694"/>
      <c r="AM694"/>
      <c r="AN694"/>
      <c r="AO694"/>
      <c r="AP694"/>
      <c r="AQ694"/>
      <c r="AR694"/>
    </row>
    <row r="695" spans="1:44" s="10" customFormat="1" ht="15.75" customHeight="1" x14ac:dyDescent="0.25">
      <c r="A695" s="55">
        <v>377</v>
      </c>
      <c r="B695" s="633"/>
      <c r="C695" s="755"/>
      <c r="D695" s="932"/>
      <c r="E695" s="884"/>
      <c r="F695" s="33"/>
      <c r="G695" s="404"/>
      <c r="H695" s="45"/>
      <c r="I695" s="377"/>
      <c r="J695" s="774"/>
      <c r="K695" s="931"/>
      <c r="L695" s="931"/>
      <c r="M695" s="931"/>
      <c r="N695" s="931"/>
      <c r="O695" s="931"/>
      <c r="P695" s="931"/>
      <c r="Q695" s="28"/>
      <c r="R695" s="55"/>
      <c r="S695" s="301"/>
      <c r="T695" s="55"/>
      <c r="U695" s="24"/>
      <c r="V695" s="5"/>
      <c r="W695"/>
      <c r="X695"/>
      <c r="Y695"/>
      <c r="Z695"/>
      <c r="AA695"/>
      <c r="AB695"/>
      <c r="AC695"/>
      <c r="AD695"/>
      <c r="AE695"/>
      <c r="AF695"/>
      <c r="AG695"/>
      <c r="AH695"/>
      <c r="AI695"/>
      <c r="AJ695"/>
      <c r="AK695"/>
      <c r="AL695"/>
      <c r="AM695"/>
      <c r="AN695"/>
      <c r="AO695"/>
      <c r="AP695"/>
      <c r="AQ695"/>
      <c r="AR695"/>
    </row>
    <row r="696" spans="1:44" s="10" customFormat="1" ht="15.75" customHeight="1" x14ac:dyDescent="0.25">
      <c r="A696" s="55">
        <v>378</v>
      </c>
      <c r="B696" s="633"/>
      <c r="C696" s="755"/>
      <c r="D696" s="932"/>
      <c r="E696" s="884"/>
      <c r="F696" s="33"/>
      <c r="G696" s="404"/>
      <c r="H696" s="45"/>
      <c r="I696" s="377"/>
      <c r="J696" s="774"/>
      <c r="K696" s="931"/>
      <c r="L696" s="931"/>
      <c r="M696" s="931"/>
      <c r="N696" s="931"/>
      <c r="O696" s="931"/>
      <c r="P696" s="931"/>
      <c r="Q696" s="28"/>
      <c r="R696" s="55"/>
      <c r="S696" s="301"/>
      <c r="T696" s="55"/>
      <c r="U696" s="24"/>
      <c r="V696" s="5"/>
      <c r="W696"/>
      <c r="X696"/>
      <c r="Y696"/>
      <c r="Z696"/>
      <c r="AA696"/>
      <c r="AB696"/>
      <c r="AC696"/>
      <c r="AD696"/>
      <c r="AE696"/>
      <c r="AF696"/>
      <c r="AG696"/>
      <c r="AH696"/>
      <c r="AI696"/>
      <c r="AJ696"/>
      <c r="AK696"/>
      <c r="AL696"/>
      <c r="AM696"/>
      <c r="AN696"/>
      <c r="AO696"/>
      <c r="AP696"/>
      <c r="AQ696"/>
      <c r="AR696"/>
    </row>
    <row r="697" spans="1:44" s="10" customFormat="1" ht="15.75" customHeight="1" x14ac:dyDescent="0.25">
      <c r="A697" s="55">
        <v>379</v>
      </c>
      <c r="B697" s="633"/>
      <c r="C697" s="755"/>
      <c r="D697" s="932"/>
      <c r="E697" s="884"/>
      <c r="F697" s="33"/>
      <c r="G697" s="404"/>
      <c r="H697" s="45"/>
      <c r="I697" s="377"/>
      <c r="J697" s="774"/>
      <c r="K697" s="931"/>
      <c r="L697" s="931"/>
      <c r="M697" s="931"/>
      <c r="N697" s="931"/>
      <c r="O697" s="931"/>
      <c r="P697" s="931"/>
      <c r="Q697" s="28"/>
      <c r="R697" s="55"/>
      <c r="S697" s="301"/>
      <c r="T697" s="55"/>
      <c r="U697" s="24"/>
      <c r="V697" s="5"/>
      <c r="W697"/>
      <c r="X697"/>
      <c r="Y697"/>
      <c r="Z697"/>
      <c r="AA697"/>
      <c r="AB697"/>
      <c r="AC697"/>
      <c r="AD697"/>
      <c r="AE697"/>
      <c r="AF697"/>
      <c r="AG697"/>
      <c r="AH697"/>
      <c r="AI697"/>
      <c r="AJ697"/>
      <c r="AK697"/>
      <c r="AL697"/>
      <c r="AM697"/>
      <c r="AN697"/>
      <c r="AO697"/>
      <c r="AP697"/>
      <c r="AQ697"/>
      <c r="AR697"/>
    </row>
    <row r="698" spans="1:44" s="10" customFormat="1" ht="15.75" customHeight="1" x14ac:dyDescent="0.25">
      <c r="A698" s="55">
        <v>380</v>
      </c>
      <c r="B698" s="633"/>
      <c r="C698" s="755"/>
      <c r="D698" s="932"/>
      <c r="E698" s="884"/>
      <c r="F698" s="33"/>
      <c r="G698" s="404"/>
      <c r="H698" s="45"/>
      <c r="I698" s="377"/>
      <c r="J698" s="774"/>
      <c r="K698" s="931"/>
      <c r="L698" s="931"/>
      <c r="M698" s="931"/>
      <c r="N698" s="931"/>
      <c r="O698" s="931"/>
      <c r="P698" s="931"/>
      <c r="Q698" s="28"/>
      <c r="R698" s="55"/>
      <c r="S698" s="301"/>
      <c r="T698" s="55"/>
      <c r="U698" s="24"/>
      <c r="V698" s="5"/>
      <c r="W698"/>
      <c r="X698"/>
      <c r="Y698"/>
      <c r="Z698"/>
      <c r="AA698"/>
      <c r="AB698"/>
      <c r="AC698"/>
      <c r="AD698"/>
      <c r="AE698"/>
      <c r="AF698"/>
      <c r="AG698"/>
      <c r="AH698"/>
      <c r="AI698"/>
      <c r="AJ698"/>
      <c r="AK698"/>
      <c r="AL698"/>
      <c r="AM698"/>
      <c r="AN698"/>
      <c r="AO698"/>
      <c r="AP698"/>
      <c r="AQ698"/>
      <c r="AR698"/>
    </row>
    <row r="699" spans="1:44" s="10" customFormat="1" ht="15.75" customHeight="1" x14ac:dyDescent="0.25">
      <c r="A699" s="55">
        <v>381</v>
      </c>
      <c r="B699" s="633"/>
      <c r="C699" s="755"/>
      <c r="D699" s="932"/>
      <c r="E699" s="884"/>
      <c r="F699" s="33"/>
      <c r="G699" s="404"/>
      <c r="H699" s="45"/>
      <c r="I699" s="377"/>
      <c r="J699" s="774"/>
      <c r="K699" s="931"/>
      <c r="L699" s="931"/>
      <c r="M699" s="931"/>
      <c r="N699" s="931"/>
      <c r="O699" s="931"/>
      <c r="P699" s="931"/>
      <c r="Q699" s="28"/>
      <c r="R699" s="55"/>
      <c r="S699" s="301"/>
      <c r="T699" s="55"/>
      <c r="U699" s="24"/>
      <c r="V699" s="5"/>
      <c r="W699"/>
      <c r="X699"/>
      <c r="Y699"/>
      <c r="Z699"/>
      <c r="AA699"/>
      <c r="AB699"/>
      <c r="AC699"/>
      <c r="AD699"/>
      <c r="AE699"/>
      <c r="AF699"/>
      <c r="AG699"/>
      <c r="AH699"/>
      <c r="AI699"/>
      <c r="AJ699"/>
      <c r="AK699"/>
      <c r="AL699"/>
      <c r="AM699"/>
      <c r="AN699"/>
      <c r="AO699"/>
      <c r="AP699"/>
      <c r="AQ699"/>
      <c r="AR699"/>
    </row>
    <row r="700" spans="1:44" s="10" customFormat="1" ht="15.75" customHeight="1" x14ac:dyDescent="0.25">
      <c r="A700" s="55">
        <v>382</v>
      </c>
      <c r="B700" s="633"/>
      <c r="C700" s="755"/>
      <c r="D700" s="932"/>
      <c r="E700" s="884"/>
      <c r="F700" s="33"/>
      <c r="G700" s="404"/>
      <c r="H700" s="45"/>
      <c r="I700" s="377"/>
      <c r="J700" s="774"/>
      <c r="K700" s="931"/>
      <c r="L700" s="931"/>
      <c r="M700" s="931"/>
      <c r="N700" s="931"/>
      <c r="O700" s="931"/>
      <c r="P700" s="931"/>
      <c r="Q700" s="28"/>
      <c r="R700" s="55"/>
      <c r="S700" s="301"/>
      <c r="T700" s="55"/>
      <c r="U700" s="24"/>
      <c r="V700" s="5"/>
      <c r="W700"/>
      <c r="X700"/>
      <c r="Y700"/>
      <c r="Z700"/>
      <c r="AA700"/>
      <c r="AB700"/>
      <c r="AC700"/>
      <c r="AD700"/>
      <c r="AE700"/>
      <c r="AF700"/>
      <c r="AG700"/>
      <c r="AH700"/>
      <c r="AI700"/>
      <c r="AJ700"/>
      <c r="AK700"/>
      <c r="AL700"/>
      <c r="AM700"/>
      <c r="AN700"/>
      <c r="AO700"/>
      <c r="AP700"/>
      <c r="AQ700"/>
      <c r="AR700"/>
    </row>
    <row r="701" spans="1:44" s="10" customFormat="1" ht="15.75" customHeight="1" x14ac:dyDescent="0.25">
      <c r="A701" s="55">
        <v>383</v>
      </c>
      <c r="B701" s="633"/>
      <c r="C701" s="755"/>
      <c r="D701" s="932"/>
      <c r="E701" s="884"/>
      <c r="F701" s="33"/>
      <c r="G701" s="404"/>
      <c r="H701" s="45"/>
      <c r="I701" s="377"/>
      <c r="J701" s="774"/>
      <c r="K701" s="931"/>
      <c r="L701" s="931"/>
      <c r="M701" s="931"/>
      <c r="N701" s="931"/>
      <c r="O701" s="931"/>
      <c r="P701" s="931"/>
      <c r="Q701" s="28"/>
      <c r="R701" s="55"/>
      <c r="S701" s="301"/>
      <c r="T701" s="55"/>
      <c r="U701" s="24"/>
      <c r="V701" s="5"/>
      <c r="W701"/>
      <c r="X701"/>
      <c r="Y701"/>
      <c r="Z701"/>
      <c r="AA701"/>
      <c r="AB701"/>
      <c r="AC701"/>
      <c r="AD701"/>
      <c r="AE701"/>
      <c r="AF701"/>
      <c r="AG701"/>
      <c r="AH701"/>
      <c r="AI701"/>
      <c r="AJ701"/>
      <c r="AK701"/>
      <c r="AL701"/>
      <c r="AM701"/>
      <c r="AN701"/>
      <c r="AO701"/>
      <c r="AP701"/>
      <c r="AQ701"/>
      <c r="AR701"/>
    </row>
    <row r="702" spans="1:44" s="10" customFormat="1" ht="15.75" customHeight="1" x14ac:dyDescent="0.25">
      <c r="A702" s="55">
        <v>384</v>
      </c>
      <c r="B702" s="633"/>
      <c r="C702" s="755"/>
      <c r="D702" s="932"/>
      <c r="E702" s="884"/>
      <c r="F702" s="33"/>
      <c r="G702" s="404"/>
      <c r="H702" s="45"/>
      <c r="I702" s="377"/>
      <c r="J702" s="774"/>
      <c r="K702" s="931"/>
      <c r="L702" s="931"/>
      <c r="M702" s="931"/>
      <c r="N702" s="931"/>
      <c r="O702" s="931"/>
      <c r="P702" s="931"/>
      <c r="Q702" s="28"/>
      <c r="R702" s="55"/>
      <c r="S702" s="301"/>
      <c r="T702" s="55"/>
      <c r="U702" s="24"/>
      <c r="V702" s="5"/>
      <c r="W702"/>
      <c r="X702"/>
      <c r="Y702"/>
      <c r="Z702"/>
      <c r="AA702"/>
      <c r="AB702"/>
      <c r="AC702"/>
      <c r="AD702"/>
      <c r="AE702"/>
      <c r="AF702"/>
      <c r="AG702"/>
      <c r="AH702"/>
      <c r="AI702"/>
      <c r="AJ702"/>
      <c r="AK702"/>
      <c r="AL702"/>
      <c r="AM702"/>
      <c r="AN702"/>
      <c r="AO702"/>
      <c r="AP702"/>
      <c r="AQ702"/>
      <c r="AR702"/>
    </row>
    <row r="703" spans="1:44" s="10" customFormat="1" ht="15.75" customHeight="1" x14ac:dyDescent="0.25">
      <c r="A703" s="55">
        <v>385</v>
      </c>
      <c r="B703" s="633"/>
      <c r="C703" s="755"/>
      <c r="D703" s="932"/>
      <c r="E703" s="884"/>
      <c r="F703" s="33"/>
      <c r="G703" s="404"/>
      <c r="H703" s="45"/>
      <c r="I703" s="377"/>
      <c r="J703" s="774"/>
      <c r="K703" s="931"/>
      <c r="L703" s="931"/>
      <c r="M703" s="931"/>
      <c r="N703" s="931"/>
      <c r="O703" s="931"/>
      <c r="P703" s="931"/>
      <c r="Q703" s="28"/>
      <c r="R703" s="55"/>
      <c r="S703" s="301"/>
      <c r="T703" s="55"/>
      <c r="U703" s="24"/>
      <c r="V703" s="5"/>
      <c r="W703"/>
      <c r="X703"/>
      <c r="Y703"/>
      <c r="Z703"/>
      <c r="AA703"/>
      <c r="AB703"/>
      <c r="AC703"/>
      <c r="AD703"/>
      <c r="AE703"/>
      <c r="AF703"/>
      <c r="AG703"/>
      <c r="AH703"/>
      <c r="AI703"/>
      <c r="AJ703"/>
      <c r="AK703"/>
      <c r="AL703"/>
      <c r="AM703"/>
      <c r="AN703"/>
      <c r="AO703"/>
      <c r="AP703"/>
      <c r="AQ703"/>
      <c r="AR703"/>
    </row>
    <row r="704" spans="1:44" s="10" customFormat="1" ht="15.75" customHeight="1" x14ac:dyDescent="0.25">
      <c r="A704" s="55">
        <v>386</v>
      </c>
      <c r="B704" s="633"/>
      <c r="C704" s="755"/>
      <c r="D704" s="932"/>
      <c r="E704" s="884"/>
      <c r="F704" s="33"/>
      <c r="G704" s="404"/>
      <c r="H704" s="45"/>
      <c r="I704" s="377"/>
      <c r="J704" s="774"/>
      <c r="K704" s="931"/>
      <c r="L704" s="931"/>
      <c r="M704" s="931"/>
      <c r="N704" s="931"/>
      <c r="O704" s="931"/>
      <c r="P704" s="931"/>
      <c r="Q704" s="28"/>
      <c r="R704" s="55"/>
      <c r="S704" s="301"/>
      <c r="T704" s="55"/>
      <c r="U704" s="24"/>
      <c r="V704" s="5"/>
      <c r="W704"/>
      <c r="X704"/>
      <c r="Y704"/>
      <c r="Z704"/>
      <c r="AA704"/>
      <c r="AB704"/>
      <c r="AC704"/>
      <c r="AD704"/>
      <c r="AE704"/>
      <c r="AF704"/>
      <c r="AG704"/>
      <c r="AH704"/>
      <c r="AI704"/>
      <c r="AJ704"/>
      <c r="AK704"/>
      <c r="AL704"/>
      <c r="AM704"/>
      <c r="AN704"/>
      <c r="AO704"/>
      <c r="AP704"/>
      <c r="AQ704"/>
      <c r="AR704"/>
    </row>
    <row r="705" spans="1:44" s="10" customFormat="1" ht="15.75" customHeight="1" x14ac:dyDescent="0.25">
      <c r="A705" s="55">
        <v>387</v>
      </c>
      <c r="B705" s="633"/>
      <c r="C705" s="755"/>
      <c r="D705" s="932"/>
      <c r="E705" s="884"/>
      <c r="F705" s="33"/>
      <c r="G705" s="404"/>
      <c r="H705" s="45"/>
      <c r="I705" s="377"/>
      <c r="J705" s="774"/>
      <c r="K705" s="931"/>
      <c r="L705" s="931"/>
      <c r="M705" s="931"/>
      <c r="N705" s="931"/>
      <c r="O705" s="931"/>
      <c r="P705" s="931"/>
      <c r="Q705" s="28"/>
      <c r="R705" s="55"/>
      <c r="S705" s="301"/>
      <c r="T705" s="55"/>
      <c r="U705" s="24"/>
      <c r="V705" s="5"/>
      <c r="W705"/>
      <c r="X705"/>
      <c r="Y705"/>
      <c r="Z705"/>
      <c r="AA705"/>
      <c r="AB705"/>
      <c r="AC705"/>
      <c r="AD705"/>
      <c r="AE705"/>
      <c r="AF705"/>
      <c r="AG705"/>
      <c r="AH705"/>
      <c r="AI705"/>
      <c r="AJ705"/>
      <c r="AK705"/>
      <c r="AL705"/>
      <c r="AM705"/>
      <c r="AN705"/>
      <c r="AO705"/>
      <c r="AP705"/>
      <c r="AQ705"/>
      <c r="AR705"/>
    </row>
    <row r="706" spans="1:44" s="10" customFormat="1" ht="15.75" customHeight="1" x14ac:dyDescent="0.25">
      <c r="A706" s="55">
        <v>388</v>
      </c>
      <c r="B706" s="633"/>
      <c r="C706" s="755"/>
      <c r="D706" s="932"/>
      <c r="E706" s="884"/>
      <c r="F706" s="33"/>
      <c r="G706" s="404"/>
      <c r="H706" s="45"/>
      <c r="I706" s="377"/>
      <c r="J706" s="774"/>
      <c r="K706" s="931"/>
      <c r="L706" s="931"/>
      <c r="M706" s="931"/>
      <c r="N706" s="931"/>
      <c r="O706" s="931"/>
      <c r="P706" s="931"/>
      <c r="Q706" s="28"/>
      <c r="R706" s="55"/>
      <c r="S706" s="301"/>
      <c r="T706" s="55"/>
      <c r="U706" s="24"/>
      <c r="V706" s="5"/>
      <c r="W706"/>
      <c r="X706"/>
      <c r="Y706"/>
      <c r="Z706"/>
      <c r="AA706"/>
      <c r="AB706"/>
      <c r="AC706"/>
      <c r="AD706"/>
      <c r="AE706"/>
      <c r="AF706"/>
      <c r="AG706"/>
      <c r="AH706"/>
      <c r="AI706"/>
      <c r="AJ706"/>
      <c r="AK706"/>
      <c r="AL706"/>
      <c r="AM706"/>
      <c r="AN706"/>
      <c r="AO706"/>
      <c r="AP706"/>
      <c r="AQ706"/>
      <c r="AR706"/>
    </row>
    <row r="707" spans="1:44" s="10" customFormat="1" ht="15.75" customHeight="1" x14ac:dyDescent="0.25">
      <c r="A707" s="55">
        <v>389</v>
      </c>
      <c r="B707" s="633"/>
      <c r="C707" s="755"/>
      <c r="D707" s="932"/>
      <c r="E707" s="884"/>
      <c r="F707" s="33"/>
      <c r="G707" s="404"/>
      <c r="H707" s="45"/>
      <c r="I707" s="377"/>
      <c r="J707" s="774"/>
      <c r="K707" s="931"/>
      <c r="L707" s="931"/>
      <c r="M707" s="931"/>
      <c r="N707" s="931"/>
      <c r="O707" s="931"/>
      <c r="P707" s="931"/>
      <c r="Q707" s="28"/>
      <c r="R707" s="55"/>
      <c r="S707" s="301"/>
      <c r="T707" s="55"/>
      <c r="U707" s="24"/>
      <c r="V707" s="5"/>
      <c r="W707"/>
      <c r="X707"/>
      <c r="Y707"/>
      <c r="Z707"/>
      <c r="AA707"/>
      <c r="AB707"/>
      <c r="AC707"/>
      <c r="AD707"/>
      <c r="AE707"/>
      <c r="AF707"/>
      <c r="AG707"/>
      <c r="AH707"/>
      <c r="AI707"/>
      <c r="AJ707"/>
      <c r="AK707"/>
      <c r="AL707"/>
      <c r="AM707"/>
      <c r="AN707"/>
      <c r="AO707"/>
      <c r="AP707"/>
      <c r="AQ707"/>
      <c r="AR707"/>
    </row>
    <row r="708" spans="1:44" s="10" customFormat="1" ht="15.75" customHeight="1" x14ac:dyDescent="0.25">
      <c r="A708" s="55">
        <v>390</v>
      </c>
      <c r="B708" s="633"/>
      <c r="C708" s="755"/>
      <c r="D708" s="932"/>
      <c r="E708" s="884"/>
      <c r="F708" s="33"/>
      <c r="G708" s="404"/>
      <c r="H708" s="45"/>
      <c r="I708" s="377"/>
      <c r="J708" s="774"/>
      <c r="K708" s="931"/>
      <c r="L708" s="931"/>
      <c r="M708" s="931"/>
      <c r="N708" s="931"/>
      <c r="O708" s="931"/>
      <c r="P708" s="931"/>
      <c r="Q708" s="28"/>
      <c r="R708" s="55"/>
      <c r="S708" s="301"/>
      <c r="T708" s="55"/>
      <c r="U708" s="24"/>
      <c r="V708" s="5"/>
      <c r="W708"/>
      <c r="X708"/>
      <c r="Y708"/>
      <c r="Z708"/>
      <c r="AA708"/>
      <c r="AB708"/>
      <c r="AC708"/>
      <c r="AD708"/>
      <c r="AE708"/>
      <c r="AF708"/>
      <c r="AG708"/>
      <c r="AH708"/>
      <c r="AI708"/>
      <c r="AJ708"/>
      <c r="AK708"/>
      <c r="AL708"/>
      <c r="AM708"/>
      <c r="AN708"/>
      <c r="AO708"/>
      <c r="AP708"/>
      <c r="AQ708"/>
      <c r="AR708"/>
    </row>
    <row r="709" spans="1:44" s="10" customFormat="1" ht="15.75" customHeight="1" x14ac:dyDescent="0.25">
      <c r="A709" s="55">
        <v>391</v>
      </c>
      <c r="B709" s="633"/>
      <c r="C709" s="755"/>
      <c r="D709" s="932"/>
      <c r="E709" s="884"/>
      <c r="F709" s="33"/>
      <c r="G709" s="404"/>
      <c r="H709" s="45"/>
      <c r="I709" s="377"/>
      <c r="J709" s="774"/>
      <c r="K709" s="931"/>
      <c r="L709" s="931"/>
      <c r="M709" s="931"/>
      <c r="N709" s="931"/>
      <c r="O709" s="931"/>
      <c r="P709" s="931"/>
      <c r="Q709" s="28"/>
      <c r="R709" s="55"/>
      <c r="S709" s="301"/>
      <c r="T709" s="55"/>
      <c r="U709" s="24"/>
      <c r="V709" s="5"/>
      <c r="W709"/>
      <c r="X709"/>
      <c r="Y709"/>
      <c r="Z709"/>
      <c r="AA709"/>
      <c r="AB709"/>
      <c r="AC709"/>
      <c r="AD709"/>
      <c r="AE709"/>
      <c r="AF709"/>
      <c r="AG709"/>
      <c r="AH709"/>
      <c r="AI709"/>
      <c r="AJ709"/>
      <c r="AK709"/>
      <c r="AL709"/>
      <c r="AM709"/>
      <c r="AN709"/>
      <c r="AO709"/>
      <c r="AP709"/>
      <c r="AQ709"/>
      <c r="AR709"/>
    </row>
    <row r="710" spans="1:44" s="10" customFormat="1" ht="15.75" customHeight="1" x14ac:dyDescent="0.25">
      <c r="A710" s="55">
        <v>392</v>
      </c>
      <c r="B710" s="633"/>
      <c r="C710" s="755"/>
      <c r="D710" s="932"/>
      <c r="E710" s="884"/>
      <c r="F710" s="33"/>
      <c r="G710" s="404"/>
      <c r="H710" s="45"/>
      <c r="I710" s="377"/>
      <c r="J710" s="774"/>
      <c r="K710" s="931"/>
      <c r="L710" s="931"/>
      <c r="M710" s="931"/>
      <c r="N710" s="931"/>
      <c r="O710" s="931"/>
      <c r="P710" s="931"/>
      <c r="Q710" s="28"/>
      <c r="R710" s="55"/>
      <c r="S710" s="301"/>
      <c r="T710" s="55"/>
      <c r="U710" s="24"/>
      <c r="V710" s="5"/>
      <c r="W710"/>
      <c r="X710"/>
      <c r="Y710"/>
      <c r="Z710"/>
      <c r="AA710"/>
      <c r="AB710"/>
      <c r="AC710"/>
      <c r="AD710"/>
      <c r="AE710"/>
      <c r="AF710"/>
      <c r="AG710"/>
      <c r="AH710"/>
      <c r="AI710"/>
      <c r="AJ710"/>
      <c r="AK710"/>
      <c r="AL710"/>
      <c r="AM710"/>
      <c r="AN710"/>
      <c r="AO710"/>
      <c r="AP710"/>
      <c r="AQ710"/>
      <c r="AR710"/>
    </row>
    <row r="711" spans="1:44" s="10" customFormat="1" ht="15.75" customHeight="1" x14ac:dyDescent="0.25">
      <c r="A711" s="55">
        <v>393</v>
      </c>
      <c r="B711" s="633"/>
      <c r="C711" s="755"/>
      <c r="D711" s="932"/>
      <c r="E711" s="884"/>
      <c r="F711" s="33"/>
      <c r="G711" s="404"/>
      <c r="H711" s="45"/>
      <c r="I711" s="377"/>
      <c r="J711" s="774"/>
      <c r="K711" s="931"/>
      <c r="L711" s="931"/>
      <c r="M711" s="931"/>
      <c r="N711" s="931"/>
      <c r="O711" s="931"/>
      <c r="P711" s="931"/>
      <c r="Q711" s="28"/>
      <c r="R711" s="55"/>
      <c r="S711" s="301"/>
      <c r="T711" s="55"/>
      <c r="U711" s="24"/>
      <c r="V711" s="5"/>
      <c r="W711"/>
      <c r="X711"/>
      <c r="Y711"/>
      <c r="Z711"/>
      <c r="AA711"/>
      <c r="AB711"/>
      <c r="AC711"/>
      <c r="AD711"/>
      <c r="AE711"/>
      <c r="AF711"/>
      <c r="AG711"/>
      <c r="AH711"/>
      <c r="AI711"/>
      <c r="AJ711"/>
      <c r="AK711"/>
      <c r="AL711"/>
      <c r="AM711"/>
      <c r="AN711"/>
      <c r="AO711"/>
      <c r="AP711"/>
      <c r="AQ711"/>
      <c r="AR711"/>
    </row>
    <row r="712" spans="1:44" s="10" customFormat="1" ht="15.75" customHeight="1" x14ac:dyDescent="0.25">
      <c r="A712" s="55">
        <v>394</v>
      </c>
      <c r="B712" s="633"/>
      <c r="C712" s="755"/>
      <c r="D712" s="932"/>
      <c r="E712" s="884"/>
      <c r="F712" s="33"/>
      <c r="G712" s="404"/>
      <c r="H712" s="45"/>
      <c r="I712" s="377"/>
      <c r="J712" s="774"/>
      <c r="K712" s="931"/>
      <c r="L712" s="931"/>
      <c r="M712" s="931"/>
      <c r="N712" s="931"/>
      <c r="O712" s="931"/>
      <c r="P712" s="931"/>
      <c r="Q712" s="28"/>
      <c r="R712" s="55"/>
      <c r="S712" s="301"/>
      <c r="T712" s="55"/>
      <c r="U712" s="24"/>
      <c r="V712" s="5"/>
      <c r="W712"/>
      <c r="X712"/>
      <c r="Y712"/>
      <c r="Z712"/>
      <c r="AA712"/>
      <c r="AB712"/>
      <c r="AC712"/>
      <c r="AD712"/>
      <c r="AE712"/>
      <c r="AF712"/>
      <c r="AG712"/>
      <c r="AH712"/>
      <c r="AI712"/>
      <c r="AJ712"/>
      <c r="AK712"/>
      <c r="AL712"/>
      <c r="AM712"/>
      <c r="AN712"/>
      <c r="AO712"/>
      <c r="AP712"/>
      <c r="AQ712"/>
      <c r="AR712"/>
    </row>
    <row r="713" spans="1:44" s="10" customFormat="1" ht="15.75" customHeight="1" x14ac:dyDescent="0.25">
      <c r="A713" s="55">
        <v>395</v>
      </c>
      <c r="B713" s="633"/>
      <c r="C713" s="755"/>
      <c r="D713" s="932"/>
      <c r="E713" s="884"/>
      <c r="F713" s="33"/>
      <c r="G713" s="404"/>
      <c r="H713" s="45"/>
      <c r="I713" s="377"/>
      <c r="J713" s="774"/>
      <c r="K713" s="931"/>
      <c r="L713" s="931"/>
      <c r="M713" s="931"/>
      <c r="N713" s="931"/>
      <c r="O713" s="931"/>
      <c r="P713" s="931"/>
      <c r="Q713" s="28"/>
      <c r="R713" s="55"/>
      <c r="S713" s="301"/>
      <c r="T713" s="55"/>
      <c r="U713" s="24"/>
      <c r="V713" s="5"/>
      <c r="W713"/>
      <c r="X713"/>
      <c r="Y713"/>
      <c r="Z713"/>
      <c r="AA713"/>
      <c r="AB713"/>
      <c r="AC713"/>
      <c r="AD713"/>
      <c r="AE713"/>
      <c r="AF713"/>
      <c r="AG713"/>
      <c r="AH713"/>
      <c r="AI713"/>
      <c r="AJ713"/>
      <c r="AK713"/>
      <c r="AL713"/>
      <c r="AM713"/>
      <c r="AN713"/>
      <c r="AO713"/>
      <c r="AP713"/>
      <c r="AQ713"/>
      <c r="AR713"/>
    </row>
    <row r="714" spans="1:44" s="10" customFormat="1" ht="15.75" customHeight="1" x14ac:dyDescent="0.25">
      <c r="A714" s="55">
        <v>396</v>
      </c>
      <c r="B714" s="633"/>
      <c r="C714" s="755"/>
      <c r="D714" s="932"/>
      <c r="E714" s="884"/>
      <c r="F714" s="33"/>
      <c r="G714" s="404"/>
      <c r="H714" s="45"/>
      <c r="I714" s="377"/>
      <c r="J714" s="774"/>
      <c r="K714" s="931"/>
      <c r="L714" s="931"/>
      <c r="M714" s="931"/>
      <c r="N714" s="931"/>
      <c r="O714" s="931"/>
      <c r="P714" s="931"/>
      <c r="Q714" s="28"/>
      <c r="R714" s="55"/>
      <c r="S714" s="301"/>
      <c r="T714" s="55"/>
      <c r="U714" s="24"/>
      <c r="V714" s="5"/>
      <c r="W714"/>
      <c r="X714"/>
      <c r="Y714"/>
      <c r="Z714"/>
      <c r="AA714"/>
      <c r="AB714"/>
      <c r="AC714"/>
      <c r="AD714"/>
      <c r="AE714"/>
      <c r="AF714"/>
      <c r="AG714"/>
      <c r="AH714"/>
      <c r="AI714"/>
      <c r="AJ714"/>
      <c r="AK714"/>
      <c r="AL714"/>
      <c r="AM714"/>
      <c r="AN714"/>
      <c r="AO714"/>
      <c r="AP714"/>
      <c r="AQ714"/>
      <c r="AR714"/>
    </row>
    <row r="715" spans="1:44" s="10" customFormat="1" ht="15.75" customHeight="1" x14ac:dyDescent="0.25">
      <c r="A715" s="55">
        <v>397</v>
      </c>
      <c r="B715" s="633"/>
      <c r="C715" s="755"/>
      <c r="D715" s="932"/>
      <c r="E715" s="884"/>
      <c r="F715" s="33"/>
      <c r="G715" s="404"/>
      <c r="H715" s="45"/>
      <c r="I715" s="377"/>
      <c r="J715" s="774"/>
      <c r="K715" s="931"/>
      <c r="L715" s="931"/>
      <c r="M715" s="931"/>
      <c r="N715" s="931"/>
      <c r="O715" s="931"/>
      <c r="P715" s="931"/>
      <c r="Q715" s="28"/>
      <c r="R715" s="55"/>
      <c r="S715" s="301"/>
      <c r="T715" s="55"/>
      <c r="U715" s="24"/>
      <c r="V715" s="5"/>
      <c r="W715"/>
      <c r="X715"/>
      <c r="Y715"/>
      <c r="Z715"/>
      <c r="AA715"/>
      <c r="AB715"/>
      <c r="AC715"/>
      <c r="AD715"/>
      <c r="AE715"/>
      <c r="AF715"/>
      <c r="AG715"/>
      <c r="AH715"/>
      <c r="AI715"/>
      <c r="AJ715"/>
      <c r="AK715"/>
      <c r="AL715"/>
      <c r="AM715"/>
      <c r="AN715"/>
      <c r="AO715"/>
      <c r="AP715"/>
      <c r="AQ715"/>
      <c r="AR715"/>
    </row>
    <row r="716" spans="1:44" s="10" customFormat="1" ht="15.75" customHeight="1" x14ac:dyDescent="0.25">
      <c r="A716" s="55">
        <v>398</v>
      </c>
      <c r="B716" s="633"/>
      <c r="C716" s="755"/>
      <c r="D716" s="932"/>
      <c r="E716" s="884"/>
      <c r="F716" s="33"/>
      <c r="G716" s="404"/>
      <c r="H716" s="45"/>
      <c r="I716" s="377"/>
      <c r="J716" s="774"/>
      <c r="K716" s="931"/>
      <c r="L716" s="931"/>
      <c r="M716" s="931"/>
      <c r="N716" s="931"/>
      <c r="O716" s="931"/>
      <c r="P716" s="931"/>
      <c r="Q716" s="28"/>
      <c r="R716" s="55"/>
      <c r="S716" s="301"/>
      <c r="T716" s="55"/>
      <c r="U716" s="24"/>
      <c r="V716" s="5"/>
      <c r="W716"/>
      <c r="X716"/>
      <c r="Y716"/>
      <c r="Z716"/>
      <c r="AA716"/>
      <c r="AB716"/>
      <c r="AC716"/>
      <c r="AD716"/>
      <c r="AE716"/>
      <c r="AF716"/>
      <c r="AG716"/>
      <c r="AH716"/>
      <c r="AI716"/>
      <c r="AJ716"/>
      <c r="AK716"/>
      <c r="AL716"/>
      <c r="AM716"/>
      <c r="AN716"/>
      <c r="AO716"/>
      <c r="AP716"/>
      <c r="AQ716"/>
      <c r="AR716"/>
    </row>
    <row r="717" spans="1:44" s="10" customFormat="1" ht="15.75" customHeight="1" x14ac:dyDescent="0.25">
      <c r="A717" s="55">
        <v>399</v>
      </c>
      <c r="B717" s="633"/>
      <c r="C717" s="755"/>
      <c r="D717" s="932"/>
      <c r="E717" s="884"/>
      <c r="F717" s="33"/>
      <c r="G717" s="404"/>
      <c r="H717" s="45"/>
      <c r="I717" s="377"/>
      <c r="J717" s="774"/>
      <c r="K717" s="931"/>
      <c r="L717" s="931"/>
      <c r="M717" s="931"/>
      <c r="N717" s="931"/>
      <c r="O717" s="931"/>
      <c r="P717" s="931"/>
      <c r="Q717" s="28"/>
      <c r="R717" s="55"/>
      <c r="S717" s="301"/>
      <c r="T717" s="55"/>
      <c r="U717" s="24"/>
      <c r="V717" s="5"/>
      <c r="W717"/>
      <c r="X717"/>
      <c r="Y717"/>
      <c r="Z717"/>
      <c r="AA717"/>
      <c r="AB717"/>
      <c r="AC717"/>
      <c r="AD717"/>
      <c r="AE717"/>
      <c r="AF717"/>
      <c r="AG717"/>
      <c r="AH717"/>
      <c r="AI717"/>
      <c r="AJ717"/>
      <c r="AK717"/>
      <c r="AL717"/>
      <c r="AM717"/>
      <c r="AN717"/>
      <c r="AO717"/>
      <c r="AP717"/>
      <c r="AQ717"/>
      <c r="AR717"/>
    </row>
    <row r="718" spans="1:44" s="10" customFormat="1" ht="15.75" customHeight="1" x14ac:dyDescent="0.25">
      <c r="A718" s="55">
        <v>400</v>
      </c>
      <c r="B718" s="633"/>
      <c r="C718" s="755"/>
      <c r="D718" s="932"/>
      <c r="E718" s="884"/>
      <c r="F718" s="33"/>
      <c r="G718" s="404"/>
      <c r="H718" s="45"/>
      <c r="I718" s="377"/>
      <c r="J718" s="774"/>
      <c r="K718" s="931"/>
      <c r="L718" s="931"/>
      <c r="M718" s="931"/>
      <c r="N718" s="931"/>
      <c r="O718" s="931"/>
      <c r="P718" s="931"/>
      <c r="Q718" s="28"/>
      <c r="R718" s="55"/>
      <c r="S718" s="301"/>
      <c r="T718" s="55"/>
      <c r="U718" s="24"/>
      <c r="V718" s="5"/>
      <c r="W718"/>
      <c r="X718"/>
      <c r="Y718"/>
      <c r="Z718"/>
      <c r="AA718"/>
      <c r="AB718"/>
      <c r="AC718"/>
      <c r="AD718"/>
      <c r="AE718"/>
      <c r="AF718"/>
      <c r="AG718"/>
      <c r="AH718"/>
      <c r="AI718"/>
      <c r="AJ718"/>
      <c r="AK718"/>
      <c r="AL718"/>
      <c r="AM718"/>
      <c r="AN718"/>
      <c r="AO718"/>
      <c r="AP718"/>
      <c r="AQ718"/>
      <c r="AR718"/>
    </row>
    <row r="719" spans="1:44" s="10" customFormat="1" ht="18.75" customHeight="1" x14ac:dyDescent="0.25">
      <c r="A719" s="55">
        <v>401</v>
      </c>
      <c r="B719" s="633"/>
      <c r="C719" s="755"/>
      <c r="D719" s="932"/>
      <c r="E719" s="884"/>
      <c r="F719" s="33"/>
      <c r="G719" s="404"/>
      <c r="H719" s="45"/>
      <c r="I719" s="377"/>
      <c r="J719" s="774"/>
      <c r="K719" s="931"/>
      <c r="L719" s="931"/>
      <c r="M719" s="931"/>
      <c r="N719" s="931"/>
      <c r="O719" s="931"/>
      <c r="P719" s="931"/>
      <c r="Q719" s="28"/>
      <c r="R719" s="55"/>
      <c r="S719" s="301"/>
      <c r="T719" s="55"/>
      <c r="U719" s="24"/>
      <c r="V719" s="5"/>
      <c r="W719"/>
      <c r="X719"/>
      <c r="Y719"/>
      <c r="Z719"/>
      <c r="AA719"/>
      <c r="AB719"/>
      <c r="AC719"/>
      <c r="AD719"/>
      <c r="AE719"/>
      <c r="AF719"/>
      <c r="AG719"/>
      <c r="AH719"/>
      <c r="AI719"/>
      <c r="AJ719"/>
      <c r="AK719"/>
      <c r="AL719"/>
      <c r="AM719"/>
      <c r="AN719"/>
      <c r="AO719"/>
      <c r="AP719"/>
      <c r="AQ719"/>
      <c r="AR719"/>
    </row>
    <row r="720" spans="1:44" s="10" customFormat="1" ht="15.75" customHeight="1" x14ac:dyDescent="0.25">
      <c r="A720" s="55">
        <v>402</v>
      </c>
      <c r="B720" s="633"/>
      <c r="C720" s="755"/>
      <c r="D720" s="932"/>
      <c r="E720" s="884"/>
      <c r="F720" s="33"/>
      <c r="G720" s="404"/>
      <c r="H720" s="45"/>
      <c r="I720" s="377"/>
      <c r="J720" s="774"/>
      <c r="K720" s="931"/>
      <c r="L720" s="931"/>
      <c r="M720" s="931"/>
      <c r="N720" s="931"/>
      <c r="O720" s="931"/>
      <c r="P720" s="931"/>
      <c r="Q720" s="28"/>
      <c r="R720" s="55"/>
      <c r="S720" s="301"/>
      <c r="T720" s="55"/>
      <c r="U720" s="24"/>
      <c r="V720" s="5"/>
      <c r="W720"/>
      <c r="X720"/>
      <c r="Y720"/>
      <c r="Z720"/>
      <c r="AA720"/>
      <c r="AB720"/>
      <c r="AC720"/>
      <c r="AD720"/>
      <c r="AE720"/>
      <c r="AF720"/>
      <c r="AG720"/>
      <c r="AH720"/>
      <c r="AI720"/>
      <c r="AJ720"/>
      <c r="AK720"/>
      <c r="AL720"/>
      <c r="AM720"/>
      <c r="AN720"/>
      <c r="AO720"/>
      <c r="AP720"/>
      <c r="AQ720"/>
      <c r="AR720"/>
    </row>
    <row r="721" spans="1:44" s="10" customFormat="1" ht="15.75" customHeight="1" x14ac:dyDescent="0.25">
      <c r="A721" s="55">
        <v>403</v>
      </c>
      <c r="B721" s="633"/>
      <c r="C721" s="755"/>
      <c r="D721" s="932"/>
      <c r="E721" s="884"/>
      <c r="F721" s="33"/>
      <c r="G721" s="404"/>
      <c r="H721" s="45"/>
      <c r="I721" s="377"/>
      <c r="J721" s="774"/>
      <c r="K721" s="931"/>
      <c r="L721" s="931"/>
      <c r="M721" s="931"/>
      <c r="N721" s="931"/>
      <c r="O721" s="931"/>
      <c r="P721" s="931"/>
      <c r="Q721" s="28"/>
      <c r="R721" s="55"/>
      <c r="S721" s="301"/>
      <c r="T721" s="55"/>
      <c r="U721" s="24"/>
      <c r="V721" s="5"/>
      <c r="W721"/>
      <c r="X721"/>
      <c r="Y721"/>
      <c r="Z721"/>
      <c r="AA721"/>
      <c r="AB721"/>
      <c r="AC721"/>
      <c r="AD721"/>
      <c r="AE721"/>
      <c r="AF721"/>
      <c r="AG721"/>
      <c r="AH721"/>
      <c r="AI721"/>
      <c r="AJ721"/>
      <c r="AK721"/>
      <c r="AL721"/>
      <c r="AM721"/>
      <c r="AN721"/>
      <c r="AO721"/>
      <c r="AP721"/>
      <c r="AQ721"/>
      <c r="AR721"/>
    </row>
    <row r="722" spans="1:44" s="10" customFormat="1" ht="15.75" customHeight="1" x14ac:dyDescent="0.25">
      <c r="A722" s="55">
        <v>404</v>
      </c>
      <c r="B722" s="633"/>
      <c r="C722" s="755"/>
      <c r="D722" s="932"/>
      <c r="E722" s="884"/>
      <c r="F722" s="33"/>
      <c r="G722" s="404"/>
      <c r="H722" s="45"/>
      <c r="I722" s="377"/>
      <c r="J722" s="774"/>
      <c r="K722" s="931"/>
      <c r="L722" s="931"/>
      <c r="M722" s="931"/>
      <c r="N722" s="931"/>
      <c r="O722" s="931"/>
      <c r="P722" s="931"/>
      <c r="Q722" s="28"/>
      <c r="R722" s="55"/>
      <c r="S722" s="301"/>
      <c r="T722" s="55"/>
      <c r="U722" s="24"/>
      <c r="V722" s="5"/>
      <c r="W722"/>
      <c r="X722"/>
      <c r="Y722"/>
      <c r="Z722"/>
      <c r="AA722"/>
      <c r="AB722"/>
      <c r="AC722"/>
      <c r="AD722"/>
      <c r="AE722"/>
      <c r="AF722"/>
      <c r="AG722"/>
      <c r="AH722"/>
      <c r="AI722"/>
      <c r="AJ722"/>
      <c r="AK722"/>
      <c r="AL722"/>
      <c r="AM722"/>
      <c r="AN722"/>
      <c r="AO722"/>
      <c r="AP722"/>
      <c r="AQ722"/>
      <c r="AR722"/>
    </row>
    <row r="723" spans="1:44" s="10" customFormat="1" ht="15.75" customHeight="1" x14ac:dyDescent="0.25">
      <c r="A723" s="55">
        <v>405</v>
      </c>
      <c r="B723" s="633"/>
      <c r="C723" s="755"/>
      <c r="D723" s="932"/>
      <c r="E723" s="884"/>
      <c r="F723" s="33"/>
      <c r="G723" s="404"/>
      <c r="H723" s="45"/>
      <c r="I723" s="377"/>
      <c r="J723" s="774"/>
      <c r="K723" s="931"/>
      <c r="L723" s="931"/>
      <c r="M723" s="931"/>
      <c r="N723" s="931"/>
      <c r="O723" s="931"/>
      <c r="P723" s="931"/>
      <c r="Q723" s="28"/>
      <c r="R723" s="55"/>
      <c r="S723" s="301"/>
      <c r="T723" s="55"/>
      <c r="U723" s="24"/>
      <c r="V723" s="5"/>
      <c r="W723"/>
      <c r="X723"/>
      <c r="Y723"/>
      <c r="Z723"/>
      <c r="AA723"/>
      <c r="AB723"/>
      <c r="AC723"/>
      <c r="AD723"/>
      <c r="AE723"/>
      <c r="AF723"/>
      <c r="AG723"/>
      <c r="AH723"/>
      <c r="AI723"/>
      <c r="AJ723"/>
      <c r="AK723"/>
      <c r="AL723"/>
      <c r="AM723"/>
      <c r="AN723"/>
      <c r="AO723"/>
      <c r="AP723"/>
      <c r="AQ723"/>
      <c r="AR723"/>
    </row>
    <row r="724" spans="1:44" s="10" customFormat="1" ht="15.75" customHeight="1" x14ac:dyDescent="0.25">
      <c r="A724" s="55">
        <v>406</v>
      </c>
      <c r="B724" s="633"/>
      <c r="C724" s="755"/>
      <c r="D724" s="932"/>
      <c r="E724" s="884"/>
      <c r="F724" s="33"/>
      <c r="G724" s="404"/>
      <c r="H724" s="45"/>
      <c r="I724" s="377"/>
      <c r="J724" s="774"/>
      <c r="K724" s="931"/>
      <c r="L724" s="931"/>
      <c r="M724" s="931"/>
      <c r="N724" s="931"/>
      <c r="O724" s="931"/>
      <c r="P724" s="931"/>
      <c r="Q724" s="28"/>
      <c r="R724" s="55"/>
      <c r="S724" s="301"/>
      <c r="T724" s="55"/>
      <c r="U724" s="24"/>
      <c r="V724" s="5"/>
      <c r="W724"/>
      <c r="X724"/>
      <c r="Y724"/>
      <c r="Z724"/>
      <c r="AA724"/>
      <c r="AB724"/>
      <c r="AC724"/>
      <c r="AD724"/>
      <c r="AE724"/>
      <c r="AF724"/>
      <c r="AG724"/>
      <c r="AH724"/>
      <c r="AI724"/>
      <c r="AJ724"/>
      <c r="AK724"/>
      <c r="AL724"/>
      <c r="AM724"/>
      <c r="AN724"/>
      <c r="AO724"/>
      <c r="AP724"/>
      <c r="AQ724"/>
      <c r="AR724"/>
    </row>
    <row r="725" spans="1:44" s="10" customFormat="1" ht="15.75" customHeight="1" x14ac:dyDescent="0.25">
      <c r="A725" s="55">
        <v>407</v>
      </c>
      <c r="B725" s="633"/>
      <c r="C725" s="755"/>
      <c r="D725" s="932"/>
      <c r="E725" s="884"/>
      <c r="F725" s="33"/>
      <c r="G725" s="404"/>
      <c r="H725" s="45"/>
      <c r="I725" s="377"/>
      <c r="J725" s="774"/>
      <c r="K725" s="931"/>
      <c r="L725" s="931"/>
      <c r="M725" s="931"/>
      <c r="N725" s="931"/>
      <c r="O725" s="931"/>
      <c r="P725" s="931"/>
      <c r="Q725" s="28"/>
      <c r="R725" s="55"/>
      <c r="S725" s="301"/>
      <c r="T725" s="55"/>
      <c r="U725" s="24"/>
      <c r="V725" s="5"/>
      <c r="W725"/>
      <c r="X725"/>
      <c r="Y725"/>
      <c r="Z725"/>
      <c r="AA725"/>
      <c r="AB725"/>
      <c r="AC725"/>
      <c r="AD725"/>
      <c r="AE725"/>
      <c r="AF725"/>
      <c r="AG725"/>
      <c r="AH725"/>
      <c r="AI725"/>
      <c r="AJ725"/>
      <c r="AK725"/>
      <c r="AL725"/>
      <c r="AM725"/>
      <c r="AN725"/>
      <c r="AO725"/>
      <c r="AP725"/>
      <c r="AQ725"/>
      <c r="AR725"/>
    </row>
    <row r="726" spans="1:44" s="10" customFormat="1" ht="15.75" customHeight="1" x14ac:dyDescent="0.25">
      <c r="A726" s="55">
        <v>408</v>
      </c>
      <c r="B726" s="633"/>
      <c r="C726" s="755"/>
      <c r="D726" s="932"/>
      <c r="E726" s="884"/>
      <c r="F726" s="33"/>
      <c r="G726" s="404"/>
      <c r="H726" s="45"/>
      <c r="I726" s="377"/>
      <c r="J726" s="774"/>
      <c r="K726" s="931"/>
      <c r="L726" s="931"/>
      <c r="M726" s="931"/>
      <c r="N726" s="931"/>
      <c r="O726" s="931"/>
      <c r="P726" s="931"/>
      <c r="Q726" s="28"/>
      <c r="R726" s="55"/>
      <c r="S726" s="301"/>
      <c r="T726" s="55"/>
      <c r="U726" s="24"/>
      <c r="V726" s="5"/>
      <c r="W726"/>
      <c r="X726"/>
      <c r="Y726"/>
      <c r="Z726"/>
      <c r="AA726"/>
      <c r="AB726"/>
      <c r="AC726"/>
      <c r="AD726"/>
      <c r="AE726"/>
      <c r="AF726"/>
      <c r="AG726"/>
      <c r="AH726"/>
      <c r="AI726"/>
      <c r="AJ726"/>
      <c r="AK726"/>
      <c r="AL726"/>
      <c r="AM726"/>
      <c r="AN726"/>
      <c r="AO726"/>
      <c r="AP726"/>
      <c r="AQ726"/>
      <c r="AR726"/>
    </row>
    <row r="727" spans="1:44" s="10" customFormat="1" ht="15.75" customHeight="1" x14ac:dyDescent="0.25">
      <c r="A727" s="55">
        <v>409</v>
      </c>
      <c r="B727" s="633"/>
      <c r="C727" s="755"/>
      <c r="D727" s="932"/>
      <c r="E727" s="884"/>
      <c r="F727" s="33"/>
      <c r="G727" s="404"/>
      <c r="H727" s="45"/>
      <c r="I727" s="377"/>
      <c r="J727" s="774"/>
      <c r="K727" s="931"/>
      <c r="L727" s="931"/>
      <c r="M727" s="931"/>
      <c r="N727" s="931"/>
      <c r="O727" s="931"/>
      <c r="P727" s="931"/>
      <c r="Q727" s="28"/>
      <c r="R727" s="55"/>
      <c r="S727" s="301"/>
      <c r="T727" s="55"/>
      <c r="U727" s="24"/>
      <c r="V727" s="5"/>
      <c r="W727"/>
      <c r="X727"/>
      <c r="Y727"/>
      <c r="Z727"/>
      <c r="AA727"/>
      <c r="AB727"/>
      <c r="AC727"/>
      <c r="AD727"/>
      <c r="AE727"/>
      <c r="AF727"/>
      <c r="AG727"/>
      <c r="AH727"/>
      <c r="AI727"/>
      <c r="AJ727"/>
      <c r="AK727"/>
      <c r="AL727"/>
      <c r="AM727"/>
      <c r="AN727"/>
      <c r="AO727"/>
      <c r="AP727"/>
      <c r="AQ727"/>
      <c r="AR727"/>
    </row>
    <row r="728" spans="1:44" s="10" customFormat="1" ht="15.75" customHeight="1" x14ac:dyDescent="0.25">
      <c r="A728" s="55">
        <v>410</v>
      </c>
      <c r="B728" s="633"/>
      <c r="C728" s="755"/>
      <c r="D728" s="932"/>
      <c r="E728" s="884"/>
      <c r="F728" s="33"/>
      <c r="G728" s="404"/>
      <c r="H728" s="45"/>
      <c r="I728" s="377"/>
      <c r="J728" s="774"/>
      <c r="K728" s="931"/>
      <c r="L728" s="931"/>
      <c r="M728" s="931"/>
      <c r="N728" s="931"/>
      <c r="O728" s="931"/>
      <c r="P728" s="931"/>
      <c r="Q728" s="28"/>
      <c r="R728" s="55"/>
      <c r="S728" s="301"/>
      <c r="T728" s="55"/>
      <c r="U728" s="24"/>
      <c r="V728" s="5"/>
      <c r="W728"/>
      <c r="X728"/>
      <c r="Y728"/>
      <c r="Z728"/>
      <c r="AA728"/>
      <c r="AB728"/>
      <c r="AC728"/>
      <c r="AD728"/>
      <c r="AE728"/>
      <c r="AF728"/>
      <c r="AG728"/>
      <c r="AH728"/>
      <c r="AI728"/>
      <c r="AJ728"/>
      <c r="AK728"/>
      <c r="AL728"/>
      <c r="AM728"/>
      <c r="AN728"/>
      <c r="AO728"/>
      <c r="AP728"/>
      <c r="AQ728"/>
      <c r="AR728"/>
    </row>
    <row r="729" spans="1:44" s="10" customFormat="1" ht="15.75" customHeight="1" x14ac:dyDescent="0.25">
      <c r="A729" s="55">
        <v>411</v>
      </c>
      <c r="B729" s="633"/>
      <c r="C729" s="755"/>
      <c r="D729" s="932"/>
      <c r="E729" s="884"/>
      <c r="F729" s="33"/>
      <c r="G729" s="404"/>
      <c r="H729" s="45"/>
      <c r="I729" s="377"/>
      <c r="J729" s="774"/>
      <c r="K729" s="931"/>
      <c r="L729" s="931"/>
      <c r="M729" s="931"/>
      <c r="N729" s="931"/>
      <c r="O729" s="931"/>
      <c r="P729" s="931"/>
      <c r="Q729" s="28"/>
      <c r="R729" s="55"/>
      <c r="S729" s="301"/>
      <c r="T729" s="55"/>
      <c r="U729" s="24"/>
      <c r="V729" s="5"/>
      <c r="W729"/>
      <c r="X729"/>
      <c r="Y729"/>
      <c r="Z729"/>
      <c r="AA729"/>
      <c r="AB729"/>
      <c r="AC729"/>
      <c r="AD729"/>
      <c r="AE729"/>
      <c r="AF729"/>
      <c r="AG729"/>
      <c r="AH729"/>
      <c r="AI729"/>
      <c r="AJ729"/>
      <c r="AK729"/>
      <c r="AL729"/>
      <c r="AM729"/>
      <c r="AN729"/>
      <c r="AO729"/>
      <c r="AP729"/>
      <c r="AQ729"/>
      <c r="AR729"/>
    </row>
    <row r="730" spans="1:44" s="10" customFormat="1" ht="15.75" customHeight="1" x14ac:dyDescent="0.25">
      <c r="A730" s="55">
        <v>412</v>
      </c>
      <c r="B730" s="633"/>
      <c r="C730" s="755"/>
      <c r="D730" s="932"/>
      <c r="E730" s="884"/>
      <c r="F730" s="33"/>
      <c r="G730" s="404"/>
      <c r="H730" s="45"/>
      <c r="I730" s="377"/>
      <c r="J730" s="774"/>
      <c r="K730" s="931"/>
      <c r="L730" s="931"/>
      <c r="M730" s="931"/>
      <c r="N730" s="931"/>
      <c r="O730" s="931"/>
      <c r="P730" s="931"/>
      <c r="Q730" s="28"/>
      <c r="R730" s="55"/>
      <c r="S730" s="301"/>
      <c r="T730" s="55"/>
      <c r="U730" s="24"/>
      <c r="V730" s="5"/>
      <c r="W730"/>
      <c r="X730"/>
      <c r="Y730"/>
      <c r="Z730"/>
      <c r="AA730"/>
      <c r="AB730"/>
      <c r="AC730"/>
      <c r="AD730"/>
      <c r="AE730"/>
      <c r="AF730"/>
      <c r="AG730"/>
      <c r="AH730"/>
      <c r="AI730"/>
      <c r="AJ730"/>
      <c r="AK730"/>
      <c r="AL730"/>
      <c r="AM730"/>
      <c r="AN730"/>
      <c r="AO730"/>
      <c r="AP730"/>
      <c r="AQ730"/>
      <c r="AR730"/>
    </row>
    <row r="731" spans="1:44" s="10" customFormat="1" ht="15.75" customHeight="1" x14ac:dyDescent="0.25">
      <c r="A731" s="55">
        <v>413</v>
      </c>
      <c r="B731" s="633"/>
      <c r="C731" s="755"/>
      <c r="D731" s="932"/>
      <c r="E731" s="884"/>
      <c r="F731" s="33"/>
      <c r="G731" s="404"/>
      <c r="H731" s="45"/>
      <c r="I731" s="377"/>
      <c r="J731" s="774"/>
      <c r="K731" s="931"/>
      <c r="L731" s="931"/>
      <c r="M731" s="931"/>
      <c r="N731" s="931"/>
      <c r="O731" s="931"/>
      <c r="P731" s="931"/>
      <c r="Q731" s="28"/>
      <c r="R731" s="55"/>
      <c r="S731" s="301"/>
      <c r="T731" s="55"/>
      <c r="U731" s="24"/>
      <c r="V731" s="5"/>
      <c r="W731"/>
      <c r="X731"/>
      <c r="Y731"/>
      <c r="Z731"/>
      <c r="AA731"/>
      <c r="AB731"/>
      <c r="AC731"/>
      <c r="AD731"/>
      <c r="AE731"/>
      <c r="AF731"/>
      <c r="AG731"/>
      <c r="AH731"/>
      <c r="AI731"/>
      <c r="AJ731"/>
      <c r="AK731"/>
      <c r="AL731"/>
      <c r="AM731"/>
      <c r="AN731"/>
      <c r="AO731"/>
      <c r="AP731"/>
      <c r="AQ731"/>
      <c r="AR731"/>
    </row>
    <row r="732" spans="1:44" s="10" customFormat="1" ht="15.75" customHeight="1" x14ac:dyDescent="0.25">
      <c r="A732" s="55">
        <v>414</v>
      </c>
      <c r="B732" s="633"/>
      <c r="C732" s="755"/>
      <c r="D732" s="932"/>
      <c r="E732" s="884"/>
      <c r="F732" s="33"/>
      <c r="G732" s="404"/>
      <c r="H732" s="45"/>
      <c r="I732" s="377"/>
      <c r="J732" s="774"/>
      <c r="K732" s="931"/>
      <c r="L732" s="931"/>
      <c r="M732" s="931"/>
      <c r="N732" s="931"/>
      <c r="O732" s="931"/>
      <c r="P732" s="931"/>
      <c r="Q732" s="28"/>
      <c r="R732" s="55"/>
      <c r="S732" s="301"/>
      <c r="T732" s="55"/>
      <c r="U732" s="24"/>
      <c r="V732" s="5"/>
      <c r="W732"/>
      <c r="X732"/>
      <c r="Y732"/>
      <c r="Z732"/>
      <c r="AA732"/>
      <c r="AB732"/>
      <c r="AC732"/>
      <c r="AD732"/>
      <c r="AE732"/>
      <c r="AF732"/>
      <c r="AG732"/>
      <c r="AH732"/>
      <c r="AI732"/>
      <c r="AJ732"/>
      <c r="AK732"/>
      <c r="AL732"/>
      <c r="AM732"/>
      <c r="AN732"/>
      <c r="AO732"/>
      <c r="AP732"/>
      <c r="AQ732"/>
      <c r="AR732"/>
    </row>
    <row r="733" spans="1:44" s="10" customFormat="1" ht="15.75" customHeight="1" x14ac:dyDescent="0.25">
      <c r="A733" s="55">
        <v>415</v>
      </c>
      <c r="B733" s="633"/>
      <c r="C733" s="755"/>
      <c r="D733" s="932"/>
      <c r="E733" s="884"/>
      <c r="F733" s="33"/>
      <c r="G733" s="404"/>
      <c r="H733" s="45"/>
      <c r="I733" s="377"/>
      <c r="J733" s="774"/>
      <c r="K733" s="931"/>
      <c r="L733" s="931"/>
      <c r="M733" s="931"/>
      <c r="N733" s="931"/>
      <c r="O733" s="931"/>
      <c r="P733" s="931"/>
      <c r="Q733" s="28"/>
      <c r="R733" s="55"/>
      <c r="S733" s="301"/>
      <c r="T733" s="55"/>
      <c r="U733" s="24"/>
      <c r="V733" s="5"/>
      <c r="W733"/>
      <c r="X733"/>
      <c r="Y733"/>
      <c r="Z733"/>
      <c r="AA733"/>
      <c r="AB733"/>
      <c r="AC733"/>
      <c r="AD733"/>
      <c r="AE733"/>
      <c r="AF733"/>
      <c r="AG733"/>
      <c r="AH733"/>
      <c r="AI733"/>
      <c r="AJ733"/>
      <c r="AK733"/>
      <c r="AL733"/>
      <c r="AM733"/>
      <c r="AN733"/>
      <c r="AO733"/>
      <c r="AP733"/>
      <c r="AQ733"/>
      <c r="AR733"/>
    </row>
    <row r="734" spans="1:44" s="10" customFormat="1" ht="15.75" customHeight="1" x14ac:dyDescent="0.25">
      <c r="A734" s="55">
        <v>416</v>
      </c>
      <c r="B734" s="633"/>
      <c r="C734" s="755"/>
      <c r="D734" s="932"/>
      <c r="E734" s="884"/>
      <c r="F734" s="33"/>
      <c r="G734" s="404"/>
      <c r="H734" s="45"/>
      <c r="I734" s="377"/>
      <c r="J734" s="774"/>
      <c r="K734" s="931"/>
      <c r="L734" s="931"/>
      <c r="M734" s="931"/>
      <c r="N734" s="931"/>
      <c r="O734" s="931"/>
      <c r="P734" s="931"/>
      <c r="Q734" s="28"/>
      <c r="R734" s="55"/>
      <c r="S734" s="301"/>
      <c r="T734" s="55"/>
      <c r="U734" s="24"/>
      <c r="V734" s="5"/>
      <c r="W734"/>
      <c r="X734"/>
      <c r="Y734"/>
      <c r="Z734"/>
      <c r="AA734"/>
      <c r="AB734"/>
      <c r="AC734"/>
      <c r="AD734"/>
      <c r="AE734"/>
      <c r="AF734"/>
      <c r="AG734"/>
      <c r="AH734"/>
      <c r="AI734"/>
      <c r="AJ734"/>
      <c r="AK734"/>
      <c r="AL734"/>
      <c r="AM734"/>
      <c r="AN734"/>
      <c r="AO734"/>
      <c r="AP734"/>
      <c r="AQ734"/>
      <c r="AR734"/>
    </row>
    <row r="735" spans="1:44" s="10" customFormat="1" ht="15.75" customHeight="1" x14ac:dyDescent="0.25">
      <c r="A735" s="55">
        <v>417</v>
      </c>
      <c r="B735" s="633"/>
      <c r="C735" s="755"/>
      <c r="D735" s="824"/>
      <c r="E735" s="884"/>
      <c r="F735" s="33"/>
      <c r="G735" s="404"/>
      <c r="H735" s="45"/>
      <c r="I735" s="377"/>
      <c r="J735" s="774"/>
      <c r="K735" s="910"/>
      <c r="L735" s="910"/>
      <c r="M735" s="910"/>
      <c r="N735" s="910"/>
      <c r="O735" s="910"/>
      <c r="P735" s="910"/>
      <c r="Q735" s="28">
        <f t="shared" si="136"/>
        <v>0</v>
      </c>
      <c r="R735" s="55"/>
      <c r="S735" s="301"/>
      <c r="T735" s="55"/>
      <c r="U735" s="24"/>
      <c r="V735" s="5"/>
      <c r="W735"/>
      <c r="X735"/>
      <c r="Y735"/>
      <c r="Z735"/>
      <c r="AA735"/>
      <c r="AB735"/>
      <c r="AC735"/>
      <c r="AD735"/>
      <c r="AE735"/>
      <c r="AF735"/>
      <c r="AG735"/>
      <c r="AH735"/>
      <c r="AI735"/>
      <c r="AJ735"/>
      <c r="AK735"/>
      <c r="AL735"/>
      <c r="AM735"/>
      <c r="AN735"/>
      <c r="AO735"/>
      <c r="AP735"/>
      <c r="AQ735"/>
      <c r="AR735"/>
    </row>
    <row r="736" spans="1:44" s="10" customFormat="1" ht="15.75" customHeight="1" x14ac:dyDescent="0.25">
      <c r="A736" s="55">
        <v>418</v>
      </c>
      <c r="B736" s="633"/>
      <c r="C736" s="755"/>
      <c r="D736" s="824"/>
      <c r="E736" s="884"/>
      <c r="F736" s="33"/>
      <c r="G736" s="404"/>
      <c r="H736" s="45"/>
      <c r="I736" s="906"/>
      <c r="J736" s="774"/>
      <c r="K736" s="910"/>
      <c r="L736" s="910"/>
      <c r="M736" s="910"/>
      <c r="N736" s="910"/>
      <c r="O736" s="910"/>
      <c r="P736" s="910"/>
      <c r="Q736" s="28">
        <f t="shared" si="136"/>
        <v>0</v>
      </c>
      <c r="R736" s="55"/>
      <c r="S736" s="301"/>
      <c r="T736" s="55"/>
      <c r="U736" s="24"/>
      <c r="V736" s="5"/>
      <c r="W736"/>
      <c r="X736"/>
      <c r="Y736"/>
      <c r="Z736"/>
      <c r="AA736"/>
      <c r="AB736"/>
      <c r="AC736"/>
      <c r="AD736"/>
      <c r="AE736"/>
      <c r="AF736"/>
      <c r="AG736"/>
      <c r="AH736"/>
      <c r="AI736"/>
      <c r="AJ736"/>
      <c r="AK736"/>
      <c r="AL736"/>
      <c r="AM736"/>
      <c r="AN736"/>
      <c r="AO736"/>
      <c r="AP736"/>
      <c r="AQ736"/>
      <c r="AR736"/>
    </row>
    <row r="737" spans="1:44" s="10" customFormat="1" ht="15.75" customHeight="1" x14ac:dyDescent="0.25">
      <c r="A737" s="55">
        <v>419</v>
      </c>
      <c r="B737" s="633"/>
      <c r="C737" s="755"/>
      <c r="D737" s="824"/>
      <c r="E737" s="884"/>
      <c r="F737" s="33"/>
      <c r="G737" s="404"/>
      <c r="H737" s="45"/>
      <c r="I737" s="377"/>
      <c r="J737" s="774"/>
      <c r="K737" s="910"/>
      <c r="L737" s="910"/>
      <c r="M737" s="910"/>
      <c r="N737" s="910"/>
      <c r="O737" s="910"/>
      <c r="P737" s="910"/>
      <c r="Q737" s="28">
        <f t="shared" si="136"/>
        <v>0</v>
      </c>
      <c r="R737" s="55"/>
      <c r="S737" s="301"/>
      <c r="T737" s="55"/>
      <c r="U737" s="24"/>
      <c r="V737" s="5"/>
      <c r="W737"/>
      <c r="X737"/>
      <c r="Y737"/>
      <c r="Z737"/>
      <c r="AA737"/>
      <c r="AB737"/>
      <c r="AC737"/>
      <c r="AD737"/>
      <c r="AE737"/>
      <c r="AF737"/>
      <c r="AG737"/>
      <c r="AH737"/>
      <c r="AI737"/>
      <c r="AJ737"/>
      <c r="AK737"/>
      <c r="AL737"/>
      <c r="AM737"/>
      <c r="AN737"/>
      <c r="AO737"/>
      <c r="AP737"/>
      <c r="AQ737"/>
      <c r="AR737"/>
    </row>
    <row r="738" spans="1:44" s="10" customFormat="1" ht="15.75" customHeight="1" x14ac:dyDescent="0.25">
      <c r="A738" s="55">
        <v>420</v>
      </c>
      <c r="B738" s="633"/>
      <c r="C738" s="755"/>
      <c r="D738" s="824"/>
      <c r="E738" s="884"/>
      <c r="F738" s="33"/>
      <c r="G738" s="404"/>
      <c r="H738" s="45"/>
      <c r="I738" s="377"/>
      <c r="J738" s="774"/>
      <c r="K738" s="910"/>
      <c r="L738" s="910"/>
      <c r="M738" s="910"/>
      <c r="N738" s="910"/>
      <c r="O738" s="910"/>
      <c r="P738" s="910"/>
      <c r="Q738" s="28">
        <f t="shared" si="136"/>
        <v>0</v>
      </c>
      <c r="R738" s="55"/>
      <c r="S738" s="301"/>
      <c r="T738" s="55"/>
      <c r="U738" s="24"/>
      <c r="V738" s="5"/>
      <c r="W738"/>
      <c r="X738"/>
      <c r="Y738"/>
      <c r="Z738"/>
      <c r="AA738"/>
      <c r="AB738"/>
      <c r="AC738"/>
      <c r="AD738"/>
      <c r="AE738"/>
      <c r="AF738"/>
      <c r="AG738"/>
      <c r="AH738"/>
      <c r="AI738"/>
      <c r="AJ738"/>
      <c r="AK738"/>
      <c r="AL738"/>
      <c r="AM738"/>
      <c r="AN738"/>
      <c r="AO738"/>
      <c r="AP738"/>
      <c r="AQ738"/>
      <c r="AR738"/>
    </row>
    <row r="739" spans="1:44" s="10" customFormat="1" ht="15.75" customHeight="1" x14ac:dyDescent="0.25">
      <c r="A739" s="55">
        <v>421</v>
      </c>
      <c r="B739" s="633"/>
      <c r="C739" s="755"/>
      <c r="D739" s="824"/>
      <c r="E739" s="884"/>
      <c r="F739" s="33"/>
      <c r="G739" s="404"/>
      <c r="H739" s="45"/>
      <c r="I739" s="377"/>
      <c r="J739" s="774"/>
      <c r="K739" s="910"/>
      <c r="L739" s="910"/>
      <c r="M739" s="910"/>
      <c r="N739" s="910"/>
      <c r="O739" s="910"/>
      <c r="P739" s="910"/>
      <c r="Q739" s="28">
        <f t="shared" si="136"/>
        <v>0</v>
      </c>
      <c r="R739" s="55"/>
      <c r="S739" s="301"/>
      <c r="T739" s="55"/>
      <c r="U739" s="24"/>
      <c r="V739" s="5"/>
      <c r="W739"/>
      <c r="X739"/>
      <c r="Y739"/>
      <c r="Z739"/>
      <c r="AA739"/>
      <c r="AB739"/>
      <c r="AC739"/>
      <c r="AD739"/>
      <c r="AE739"/>
      <c r="AF739"/>
      <c r="AG739"/>
      <c r="AH739"/>
      <c r="AI739"/>
      <c r="AJ739"/>
      <c r="AK739"/>
      <c r="AL739"/>
      <c r="AM739"/>
      <c r="AN739"/>
      <c r="AO739"/>
      <c r="AP739"/>
      <c r="AQ739"/>
      <c r="AR739"/>
    </row>
    <row r="740" spans="1:44" s="10" customFormat="1" ht="15.75" customHeight="1" x14ac:dyDescent="0.25">
      <c r="A740" s="55">
        <v>422</v>
      </c>
      <c r="B740" s="633"/>
      <c r="C740" s="755"/>
      <c r="D740" s="824"/>
      <c r="E740" s="884"/>
      <c r="F740" s="33"/>
      <c r="G740" s="404"/>
      <c r="H740" s="45"/>
      <c r="I740" s="377"/>
      <c r="J740" s="774"/>
      <c r="K740" s="910"/>
      <c r="L740" s="910"/>
      <c r="M740" s="910"/>
      <c r="N740" s="910"/>
      <c r="O740" s="910"/>
      <c r="P740" s="910"/>
      <c r="Q740" s="28">
        <f t="shared" si="136"/>
        <v>0</v>
      </c>
      <c r="R740" s="55"/>
      <c r="S740" s="301"/>
      <c r="T740" s="55"/>
      <c r="U740" s="24"/>
      <c r="V740" s="5"/>
      <c r="W740"/>
      <c r="X740"/>
      <c r="Y740"/>
      <c r="Z740"/>
      <c r="AA740"/>
      <c r="AB740"/>
      <c r="AC740"/>
      <c r="AD740"/>
      <c r="AE740"/>
      <c r="AF740"/>
      <c r="AG740"/>
      <c r="AH740"/>
      <c r="AI740"/>
      <c r="AJ740"/>
      <c r="AK740"/>
      <c r="AL740"/>
      <c r="AM740"/>
      <c r="AN740"/>
      <c r="AO740"/>
      <c r="AP740"/>
      <c r="AQ740"/>
      <c r="AR740"/>
    </row>
    <row r="741" spans="1:44" s="10" customFormat="1" ht="15.75" customHeight="1" x14ac:dyDescent="0.25">
      <c r="A741" s="55">
        <v>423</v>
      </c>
      <c r="B741" s="633"/>
      <c r="C741" s="755"/>
      <c r="D741" s="824"/>
      <c r="E741" s="884"/>
      <c r="F741" s="33"/>
      <c r="G741" s="404"/>
      <c r="H741" s="45"/>
      <c r="I741" s="377"/>
      <c r="J741" s="774"/>
      <c r="K741" s="910"/>
      <c r="L741" s="910"/>
      <c r="M741" s="910"/>
      <c r="N741" s="910"/>
      <c r="O741" s="910"/>
      <c r="P741" s="910"/>
      <c r="Q741" s="28">
        <f t="shared" si="136"/>
        <v>0</v>
      </c>
      <c r="R741" s="55"/>
      <c r="S741" s="301"/>
      <c r="T741" s="55"/>
      <c r="U741" s="24"/>
      <c r="V741" s="5"/>
      <c r="W741"/>
      <c r="X741"/>
      <c r="Y741"/>
      <c r="Z741"/>
      <c r="AA741"/>
      <c r="AB741"/>
      <c r="AC741"/>
      <c r="AD741"/>
      <c r="AE741"/>
      <c r="AF741"/>
      <c r="AG741"/>
      <c r="AH741"/>
      <c r="AI741"/>
      <c r="AJ741"/>
      <c r="AK741"/>
      <c r="AL741"/>
      <c r="AM741"/>
      <c r="AN741"/>
      <c r="AO741"/>
      <c r="AP741"/>
      <c r="AQ741"/>
      <c r="AR741"/>
    </row>
    <row r="742" spans="1:44" s="10" customFormat="1" ht="15.75" customHeight="1" x14ac:dyDescent="0.25">
      <c r="A742" s="55">
        <v>424</v>
      </c>
      <c r="B742" s="633"/>
      <c r="C742" s="755"/>
      <c r="D742" s="824"/>
      <c r="E742" s="884"/>
      <c r="F742" s="33"/>
      <c r="G742" s="404"/>
      <c r="H742" s="45"/>
      <c r="I742" s="377"/>
      <c r="J742" s="774"/>
      <c r="K742" s="910"/>
      <c r="L742" s="910"/>
      <c r="M742" s="910"/>
      <c r="N742" s="910"/>
      <c r="O742" s="910"/>
      <c r="P742" s="910"/>
      <c r="Q742" s="28">
        <f t="shared" si="136"/>
        <v>0</v>
      </c>
      <c r="R742" s="55"/>
      <c r="S742" s="301"/>
      <c r="T742" s="55"/>
      <c r="U742" s="24"/>
      <c r="V742" s="5"/>
      <c r="W742"/>
      <c r="X742"/>
      <c r="Y742"/>
      <c r="Z742"/>
      <c r="AA742"/>
      <c r="AB742"/>
      <c r="AC742"/>
      <c r="AD742"/>
      <c r="AE742"/>
      <c r="AF742"/>
      <c r="AG742"/>
      <c r="AH742"/>
      <c r="AI742"/>
      <c r="AJ742"/>
      <c r="AK742"/>
      <c r="AL742"/>
      <c r="AM742"/>
      <c r="AN742"/>
      <c r="AO742"/>
      <c r="AP742"/>
      <c r="AQ742"/>
      <c r="AR742"/>
    </row>
    <row r="743" spans="1:44" s="10" customFormat="1" ht="15.75" customHeight="1" x14ac:dyDescent="0.25">
      <c r="A743" s="55">
        <v>425</v>
      </c>
      <c r="B743" s="633"/>
      <c r="C743" s="755"/>
      <c r="D743" s="824"/>
      <c r="E743" s="884"/>
      <c r="F743" s="33"/>
      <c r="G743" s="404"/>
      <c r="H743" s="45"/>
      <c r="I743" s="377"/>
      <c r="J743" s="774"/>
      <c r="K743" s="910"/>
      <c r="L743" s="910"/>
      <c r="M743" s="910"/>
      <c r="N743" s="910"/>
      <c r="O743" s="910"/>
      <c r="P743" s="910"/>
      <c r="Q743" s="28">
        <f>K743-L743-M743-O743-P743+N743</f>
        <v>0</v>
      </c>
      <c r="R743" s="55"/>
      <c r="S743" s="301"/>
      <c r="T743" s="55"/>
      <c r="U743" s="24"/>
      <c r="V743" s="5"/>
      <c r="W743"/>
      <c r="X743"/>
      <c r="Y743"/>
      <c r="Z743"/>
      <c r="AA743"/>
      <c r="AB743"/>
      <c r="AC743"/>
      <c r="AD743"/>
      <c r="AE743"/>
      <c r="AF743"/>
      <c r="AG743"/>
      <c r="AH743"/>
      <c r="AI743"/>
      <c r="AJ743"/>
      <c r="AK743"/>
      <c r="AL743"/>
      <c r="AM743"/>
      <c r="AN743"/>
      <c r="AO743"/>
      <c r="AP743"/>
      <c r="AQ743"/>
      <c r="AR743"/>
    </row>
    <row r="744" spans="1:44" s="10" customFormat="1" ht="32.25" customHeight="1" x14ac:dyDescent="0.25">
      <c r="A744" s="672" t="s">
        <v>4815</v>
      </c>
      <c r="B744" s="673"/>
      <c r="C744" s="665"/>
      <c r="D744" s="665"/>
      <c r="E744" s="673"/>
      <c r="F744" s="665"/>
      <c r="G744" s="665"/>
      <c r="H744" s="665"/>
      <c r="I744" s="665"/>
      <c r="J744" s="665"/>
      <c r="K744" s="665"/>
      <c r="L744" s="665"/>
      <c r="M744" s="665"/>
      <c r="N744" s="665"/>
      <c r="O744" s="665"/>
      <c r="P744" s="450"/>
      <c r="Q744" s="451">
        <f>SUM(Q324:Q743)</f>
        <v>1920626106.8048768</v>
      </c>
      <c r="R744" s="827"/>
      <c r="S744" s="828"/>
      <c r="T744" s="828"/>
      <c r="U744" s="829"/>
      <c r="V744"/>
      <c r="W744"/>
      <c r="X744"/>
      <c r="Y744"/>
      <c r="Z744"/>
      <c r="AA744"/>
      <c r="AB744"/>
      <c r="AC744"/>
      <c r="AD744"/>
      <c r="AE744"/>
      <c r="AF744"/>
      <c r="AG744"/>
      <c r="AH744"/>
      <c r="AI744"/>
      <c r="AJ744"/>
      <c r="AK744"/>
      <c r="AL744"/>
      <c r="AM744"/>
      <c r="AN744"/>
      <c r="AO744"/>
      <c r="AP744"/>
      <c r="AQ744"/>
      <c r="AR744"/>
    </row>
    <row r="745" spans="1:44" s="10" customFormat="1" ht="23.25" customHeight="1" x14ac:dyDescent="0.25">
      <c r="A745" s="674" t="s">
        <v>208</v>
      </c>
      <c r="B745" s="675"/>
      <c r="C745" s="662"/>
      <c r="D745" s="662"/>
      <c r="E745" s="675"/>
      <c r="F745" s="662"/>
      <c r="G745" s="662"/>
      <c r="H745" s="662"/>
      <c r="I745" s="662"/>
      <c r="J745" s="518"/>
      <c r="K745" s="662"/>
      <c r="L745" s="662"/>
      <c r="M745" s="662"/>
      <c r="N745" s="662"/>
      <c r="O745" s="662"/>
      <c r="P745" s="425"/>
      <c r="Q745" s="87">
        <f>'PiuGlobal 20'!O110:O110</f>
        <v>125945057.59999999</v>
      </c>
      <c r="R745" s="826"/>
      <c r="S745" s="418"/>
      <c r="T745" s="418"/>
      <c r="U745" s="720"/>
      <c r="V745"/>
      <c r="W745"/>
      <c r="X745"/>
      <c r="Y745"/>
      <c r="Z745"/>
      <c r="AA745"/>
      <c r="AB745"/>
      <c r="AC745"/>
      <c r="AD745"/>
      <c r="AE745"/>
      <c r="AF745"/>
      <c r="AG745"/>
      <c r="AH745"/>
      <c r="AI745"/>
      <c r="AJ745"/>
      <c r="AK745"/>
      <c r="AL745"/>
      <c r="AM745"/>
      <c r="AN745"/>
      <c r="AO745"/>
      <c r="AP745"/>
      <c r="AQ745"/>
      <c r="AR745"/>
    </row>
    <row r="746" spans="1:44" s="10" customFormat="1" ht="23.25" customHeight="1" x14ac:dyDescent="0.25">
      <c r="A746" s="676" t="s">
        <v>270</v>
      </c>
      <c r="B746" s="677"/>
      <c r="C746" s="663"/>
      <c r="D746" s="663"/>
      <c r="E746" s="677"/>
      <c r="F746" s="663"/>
      <c r="G746" s="663"/>
      <c r="H746" s="663"/>
      <c r="I746" s="663"/>
      <c r="J746" s="519"/>
      <c r="K746" s="663"/>
      <c r="L746" s="663"/>
      <c r="M746" s="663"/>
      <c r="N746" s="663"/>
      <c r="O746" s="663"/>
      <c r="P746" s="428"/>
      <c r="Q746" s="87">
        <f>'PiuGlobal 21'!Q1153</f>
        <v>349729192.81599993</v>
      </c>
      <c r="R746" s="826"/>
      <c r="S746" s="418"/>
      <c r="T746" s="418"/>
      <c r="U746" s="720"/>
      <c r="V746"/>
      <c r="W746"/>
      <c r="X746"/>
      <c r="Y746"/>
      <c r="Z746"/>
      <c r="AA746"/>
      <c r="AB746"/>
      <c r="AC746"/>
      <c r="AD746"/>
      <c r="AE746"/>
      <c r="AF746"/>
      <c r="AG746"/>
      <c r="AH746"/>
      <c r="AI746"/>
      <c r="AJ746"/>
      <c r="AK746"/>
      <c r="AL746"/>
      <c r="AM746"/>
      <c r="AN746"/>
      <c r="AO746"/>
      <c r="AP746"/>
      <c r="AQ746"/>
      <c r="AR746"/>
    </row>
    <row r="747" spans="1:44" s="10" customFormat="1" ht="23.25" customHeight="1" x14ac:dyDescent="0.25">
      <c r="A747" s="771" t="s">
        <v>3306</v>
      </c>
      <c r="B747" s="766"/>
      <c r="C747" s="767"/>
      <c r="D747" s="767"/>
      <c r="E747" s="766"/>
      <c r="F747" s="770"/>
      <c r="G747" s="767"/>
      <c r="H747" s="767"/>
      <c r="I747" s="767"/>
      <c r="J747" s="768"/>
      <c r="K747" s="767"/>
      <c r="L747" s="767"/>
      <c r="M747" s="767"/>
      <c r="N747" s="767"/>
      <c r="O747" s="767"/>
      <c r="P747" s="769"/>
      <c r="Q747" s="87">
        <f>Q145+Q302+Q508</f>
        <v>494123598.21849996</v>
      </c>
      <c r="R747" s="826"/>
      <c r="S747" s="418"/>
      <c r="T747" s="418"/>
      <c r="U747" s="720"/>
      <c r="V747"/>
      <c r="W747"/>
      <c r="X747"/>
      <c r="Y747"/>
      <c r="Z747"/>
      <c r="AA747"/>
      <c r="AB747"/>
      <c r="AC747"/>
      <c r="AD747"/>
      <c r="AE747"/>
      <c r="AF747"/>
      <c r="AG747"/>
      <c r="AH747"/>
      <c r="AI747"/>
      <c r="AJ747"/>
      <c r="AK747"/>
      <c r="AL747"/>
      <c r="AM747"/>
      <c r="AN747"/>
      <c r="AO747"/>
      <c r="AP747"/>
      <c r="AQ747"/>
      <c r="AR747"/>
    </row>
    <row r="748" spans="1:44" s="10" customFormat="1" ht="23.25" customHeight="1" x14ac:dyDescent="0.25">
      <c r="A748" s="678" t="s">
        <v>271</v>
      </c>
      <c r="B748" s="679"/>
      <c r="C748" s="664"/>
      <c r="D748" s="664"/>
      <c r="E748" s="679"/>
      <c r="F748" s="664"/>
      <c r="G748" s="664"/>
      <c r="H748" s="664"/>
      <c r="I748" s="664"/>
      <c r="J748" s="520"/>
      <c r="K748" s="664"/>
      <c r="L748" s="664"/>
      <c r="M748" s="664"/>
      <c r="N748" s="664"/>
      <c r="O748" s="664"/>
      <c r="P748" s="430"/>
      <c r="Q748" s="88">
        <f>Q745+Q746+Q747</f>
        <v>969797848.63449979</v>
      </c>
      <c r="R748" s="826"/>
      <c r="S748" s="418"/>
      <c r="T748" s="418"/>
      <c r="U748" s="720"/>
      <c r="V748"/>
      <c r="W748"/>
      <c r="X748"/>
      <c r="Y748"/>
      <c r="Z748"/>
      <c r="AA748"/>
      <c r="AB748"/>
      <c r="AC748"/>
      <c r="AD748"/>
      <c r="AE748"/>
      <c r="AF748"/>
      <c r="AG748"/>
      <c r="AH748"/>
      <c r="AI748"/>
      <c r="AJ748"/>
      <c r="AK748"/>
      <c r="AL748"/>
      <c r="AM748"/>
      <c r="AN748"/>
      <c r="AO748"/>
      <c r="AP748"/>
      <c r="AQ748"/>
      <c r="AR748"/>
    </row>
    <row r="749" spans="1:44" hidden="1" x14ac:dyDescent="0.25">
      <c r="K749"/>
      <c r="L749"/>
      <c r="M749"/>
      <c r="N749"/>
      <c r="O749"/>
      <c r="P749"/>
      <c r="Q749"/>
    </row>
    <row r="750" spans="1:44" x14ac:dyDescent="0.25">
      <c r="B750"/>
      <c r="C750"/>
      <c r="F750"/>
      <c r="H750"/>
      <c r="I750"/>
      <c r="J750"/>
      <c r="K750"/>
      <c r="L750"/>
      <c r="M750"/>
      <c r="N750"/>
      <c r="O750"/>
      <c r="P750"/>
      <c r="Q750" s="28">
        <f t="shared" ref="Q750" si="138">K750-L750-M750-O750-P750+N750</f>
        <v>0</v>
      </c>
      <c r="R750" s="130"/>
      <c r="S750"/>
      <c r="U750"/>
    </row>
    <row r="751" spans="1:44" x14ac:dyDescent="0.25">
      <c r="B751"/>
      <c r="C751"/>
      <c r="F751"/>
      <c r="G751"/>
      <c r="H751"/>
      <c r="I751"/>
      <c r="J751"/>
      <c r="K751"/>
      <c r="L751"/>
      <c r="M751" s="700">
        <f>M42/K42</f>
        <v>3.2325E-2</v>
      </c>
      <c r="N751"/>
      <c r="O751"/>
      <c r="P751"/>
      <c r="Q751"/>
      <c r="S751"/>
      <c r="U751"/>
    </row>
    <row r="752" spans="1:44" x14ac:dyDescent="0.25">
      <c r="B752"/>
      <c r="C752"/>
      <c r="F752"/>
      <c r="G752"/>
      <c r="H752"/>
      <c r="I752"/>
      <c r="J752"/>
      <c r="K752"/>
      <c r="L752"/>
      <c r="M752"/>
      <c r="N752"/>
      <c r="O752"/>
      <c r="P752" s="275"/>
      <c r="Q752"/>
      <c r="S752"/>
      <c r="U752"/>
    </row>
    <row r="753" spans="2:21" x14ac:dyDescent="0.25">
      <c r="B753"/>
      <c r="C753"/>
      <c r="F753"/>
      <c r="G753"/>
      <c r="H753"/>
      <c r="I753" t="s">
        <v>5056</v>
      </c>
      <c r="J753"/>
      <c r="K753" s="16">
        <f>K48+K49+K50+K51+K52+K54+K55+K56+K57+K58+K59+K60</f>
        <v>31500000</v>
      </c>
      <c r="L753" s="16">
        <f>L48+L50</f>
        <v>10917500</v>
      </c>
      <c r="M753" s="275">
        <v>805161</v>
      </c>
      <c r="N753" s="16">
        <f>N48+N49+N50+N51+N52+N54+N55+N56+N57+N58+N59+N60</f>
        <v>315000</v>
      </c>
      <c r="O753" s="16">
        <f>O48+O49+O50+O51+O52+O54+O55+O56+O57+O58+O59+O60</f>
        <v>630000</v>
      </c>
      <c r="P753" s="16">
        <v>19462339</v>
      </c>
      <c r="Q753" s="16">
        <f>K753-L753-M753+N753-O753-P753</f>
        <v>0</v>
      </c>
      <c r="S753"/>
      <c r="U753"/>
    </row>
    <row r="754" spans="2:21" x14ac:dyDescent="0.25">
      <c r="B754"/>
      <c r="C754"/>
      <c r="F754"/>
      <c r="G754"/>
      <c r="H754"/>
      <c r="I754"/>
      <c r="J754"/>
      <c r="K754"/>
      <c r="L754" s="16">
        <f>K753-L753</f>
        <v>20582500</v>
      </c>
      <c r="M754"/>
      <c r="N754"/>
      <c r="O754"/>
      <c r="P754"/>
      <c r="Q754"/>
      <c r="S754"/>
      <c r="U754"/>
    </row>
    <row r="755" spans="2:21" x14ac:dyDescent="0.25">
      <c r="B755"/>
      <c r="C755"/>
      <c r="F755"/>
      <c r="G755"/>
      <c r="H755"/>
      <c r="I755"/>
      <c r="J755"/>
      <c r="K755"/>
      <c r="L755"/>
      <c r="M755" s="700">
        <f>M753/K753</f>
        <v>2.5560666666666666E-2</v>
      </c>
      <c r="N755"/>
      <c r="O755"/>
      <c r="P755"/>
      <c r="Q755"/>
      <c r="S755"/>
      <c r="U755"/>
    </row>
    <row r="756" spans="2:21" x14ac:dyDescent="0.25">
      <c r="B756"/>
      <c r="C756"/>
      <c r="F756"/>
      <c r="G756"/>
      <c r="H756"/>
      <c r="I756"/>
      <c r="J756"/>
      <c r="K756"/>
      <c r="L756"/>
      <c r="M756"/>
      <c r="N756"/>
      <c r="O756"/>
      <c r="P756"/>
      <c r="Q756"/>
      <c r="S756"/>
      <c r="U756"/>
    </row>
    <row r="757" spans="2:21" x14ac:dyDescent="0.25">
      <c r="B757"/>
      <c r="C757"/>
      <c r="F757"/>
      <c r="G757"/>
      <c r="H757"/>
      <c r="I757"/>
      <c r="J757"/>
      <c r="K757"/>
      <c r="L757"/>
      <c r="M757" s="16"/>
      <c r="N757" s="16"/>
      <c r="O757" s="16"/>
      <c r="P757"/>
      <c r="Q757"/>
      <c r="S757"/>
      <c r="U757"/>
    </row>
    <row r="758" spans="2:21" x14ac:dyDescent="0.25">
      <c r="B758"/>
      <c r="C758"/>
      <c r="F758"/>
      <c r="G758"/>
      <c r="H758"/>
      <c r="I758"/>
      <c r="J758"/>
      <c r="K758" s="275"/>
      <c r="L758" s="275"/>
      <c r="M758" s="275"/>
      <c r="N758" s="275"/>
      <c r="O758" s="275"/>
      <c r="P758"/>
      <c r="Q758"/>
      <c r="S758"/>
      <c r="U758"/>
    </row>
    <row r="759" spans="2:21" x14ac:dyDescent="0.25">
      <c r="B759"/>
      <c r="C759"/>
      <c r="F759"/>
      <c r="G759" s="909"/>
      <c r="H759"/>
      <c r="I759"/>
      <c r="J759"/>
      <c r="K759"/>
      <c r="L759"/>
      <c r="M759"/>
      <c r="N759"/>
      <c r="O759"/>
      <c r="P759"/>
      <c r="Q759"/>
      <c r="S759"/>
      <c r="U759"/>
    </row>
    <row r="760" spans="2:21" x14ac:dyDescent="0.25">
      <c r="B760"/>
      <c r="C760"/>
      <c r="F760"/>
      <c r="G760"/>
      <c r="H760"/>
      <c r="I760"/>
      <c r="J760"/>
      <c r="K760" s="16"/>
      <c r="L760"/>
      <c r="M760"/>
      <c r="N760" s="16"/>
      <c r="O760" s="16"/>
      <c r="P760"/>
      <c r="Q760"/>
      <c r="S760"/>
      <c r="U760"/>
    </row>
    <row r="761" spans="2:21" x14ac:dyDescent="0.25">
      <c r="B761"/>
      <c r="C761"/>
      <c r="F761"/>
      <c r="G761"/>
      <c r="H761"/>
      <c r="I761"/>
      <c r="J761"/>
      <c r="K761"/>
      <c r="L761"/>
      <c r="M761"/>
      <c r="N761"/>
      <c r="O761"/>
      <c r="P761"/>
      <c r="Q761"/>
      <c r="S761"/>
      <c r="U761"/>
    </row>
    <row r="762" spans="2:21" x14ac:dyDescent="0.25">
      <c r="B762"/>
      <c r="C762"/>
      <c r="F762"/>
      <c r="G762"/>
      <c r="H762"/>
      <c r="I762"/>
      <c r="J762"/>
      <c r="K762"/>
      <c r="L762"/>
      <c r="M762" s="16">
        <f>K305/4</f>
        <v>5250000</v>
      </c>
      <c r="N762"/>
      <c r="O762"/>
      <c r="P762"/>
      <c r="Q762"/>
      <c r="S762"/>
      <c r="U762"/>
    </row>
    <row r="763" spans="2:21" x14ac:dyDescent="0.25">
      <c r="B763"/>
      <c r="C763"/>
      <c r="F763"/>
      <c r="G763"/>
      <c r="H763"/>
      <c r="I763"/>
      <c r="J763"/>
      <c r="K763"/>
      <c r="L763"/>
      <c r="M763"/>
      <c r="N763"/>
      <c r="O763"/>
      <c r="P763"/>
      <c r="Q763"/>
      <c r="S763"/>
      <c r="U763"/>
    </row>
    <row r="764" spans="2:21" x14ac:dyDescent="0.25">
      <c r="B764"/>
      <c r="C764"/>
      <c r="F764"/>
      <c r="G764"/>
      <c r="H764"/>
      <c r="I764"/>
      <c r="J764"/>
      <c r="K764"/>
      <c r="L764"/>
      <c r="M764"/>
      <c r="N764"/>
      <c r="O764"/>
      <c r="P764"/>
      <c r="Q764"/>
      <c r="S764"/>
      <c r="U764"/>
    </row>
    <row r="765" spans="2:21" x14ac:dyDescent="0.25">
      <c r="B765"/>
      <c r="C765"/>
      <c r="F765"/>
      <c r="G765"/>
      <c r="H765"/>
      <c r="I765"/>
      <c r="J765"/>
      <c r="K765"/>
      <c r="L765"/>
      <c r="M765"/>
      <c r="N765"/>
      <c r="O765"/>
      <c r="P765"/>
      <c r="Q765"/>
      <c r="S765"/>
      <c r="U765"/>
    </row>
    <row r="766" spans="2:21" x14ac:dyDescent="0.25">
      <c r="B766"/>
      <c r="C766"/>
      <c r="F766"/>
      <c r="G766"/>
      <c r="H766"/>
      <c r="I766"/>
      <c r="J766"/>
      <c r="K766"/>
      <c r="L766"/>
      <c r="M766"/>
      <c r="N766"/>
      <c r="O766"/>
      <c r="P766"/>
      <c r="Q766"/>
      <c r="S766"/>
      <c r="U766"/>
    </row>
    <row r="767" spans="2:21" x14ac:dyDescent="0.25">
      <c r="B767"/>
      <c r="C767"/>
      <c r="F767"/>
      <c r="G767"/>
      <c r="H767"/>
      <c r="I767"/>
      <c r="J767"/>
      <c r="K767"/>
      <c r="L767"/>
      <c r="M767"/>
      <c r="N767"/>
      <c r="O767"/>
      <c r="P767"/>
      <c r="Q767"/>
      <c r="S767"/>
      <c r="U767"/>
    </row>
    <row r="768" spans="2:21" x14ac:dyDescent="0.25">
      <c r="B768"/>
      <c r="C768"/>
      <c r="F768"/>
      <c r="G768"/>
      <c r="H768"/>
      <c r="I768"/>
      <c r="J768"/>
      <c r="K768"/>
      <c r="L768"/>
      <c r="M768"/>
      <c r="N768"/>
      <c r="O768"/>
      <c r="P768"/>
      <c r="Q768"/>
      <c r="S768"/>
      <c r="U768"/>
    </row>
    <row r="769" spans="2:21" x14ac:dyDescent="0.25">
      <c r="B769"/>
      <c r="C769"/>
      <c r="F769"/>
      <c r="G769"/>
      <c r="H769"/>
      <c r="I769"/>
      <c r="J769"/>
      <c r="K769"/>
      <c r="L769"/>
      <c r="M769"/>
      <c r="N769"/>
      <c r="O769"/>
      <c r="P769"/>
      <c r="Q769"/>
      <c r="S769"/>
      <c r="U769"/>
    </row>
    <row r="770" spans="2:21" x14ac:dyDescent="0.25">
      <c r="B770"/>
      <c r="C770"/>
      <c r="F770"/>
      <c r="G770"/>
      <c r="H770"/>
      <c r="I770"/>
      <c r="J770"/>
      <c r="K770"/>
      <c r="L770"/>
      <c r="M770"/>
      <c r="N770"/>
      <c r="O770"/>
      <c r="P770"/>
      <c r="Q770"/>
      <c r="S770"/>
      <c r="U770"/>
    </row>
    <row r="771" spans="2:21" x14ac:dyDescent="0.25">
      <c r="B771"/>
      <c r="C771"/>
      <c r="F771"/>
      <c r="G771"/>
      <c r="H771"/>
      <c r="I771"/>
      <c r="J771"/>
      <c r="K771"/>
      <c r="L771"/>
      <c r="M771"/>
      <c r="N771"/>
      <c r="O771"/>
      <c r="P771"/>
      <c r="Q771"/>
      <c r="S771"/>
      <c r="U771"/>
    </row>
    <row r="772" spans="2:21" x14ac:dyDescent="0.25">
      <c r="B772"/>
      <c r="C772"/>
      <c r="F772"/>
      <c r="G772"/>
      <c r="H772"/>
      <c r="I772"/>
      <c r="J772"/>
      <c r="K772"/>
      <c r="L772"/>
      <c r="M772"/>
      <c r="N772"/>
      <c r="O772"/>
      <c r="P772"/>
      <c r="Q772"/>
      <c r="S772"/>
      <c r="U772"/>
    </row>
    <row r="773" spans="2:21" x14ac:dyDescent="0.25">
      <c r="B773"/>
      <c r="C773"/>
      <c r="F773"/>
      <c r="G773"/>
      <c r="H773"/>
      <c r="I773"/>
      <c r="J773"/>
      <c r="K773"/>
      <c r="L773"/>
      <c r="M773"/>
      <c r="N773"/>
      <c r="O773"/>
      <c r="P773"/>
      <c r="Q773"/>
      <c r="S773"/>
      <c r="U773"/>
    </row>
    <row r="774" spans="2:21" x14ac:dyDescent="0.25">
      <c r="B774"/>
      <c r="C774"/>
      <c r="F774"/>
      <c r="G774"/>
      <c r="H774"/>
      <c r="I774"/>
      <c r="J774"/>
      <c r="K774"/>
      <c r="L774"/>
      <c r="M774"/>
      <c r="N774"/>
      <c r="O774"/>
      <c r="P774"/>
      <c r="Q774"/>
      <c r="S774"/>
      <c r="U774"/>
    </row>
    <row r="775" spans="2:21" x14ac:dyDescent="0.25">
      <c r="B775"/>
      <c r="C775"/>
      <c r="F775"/>
      <c r="G775"/>
      <c r="H775"/>
      <c r="I775"/>
      <c r="J775"/>
      <c r="K775"/>
      <c r="L775"/>
      <c r="M775"/>
      <c r="N775"/>
      <c r="O775"/>
      <c r="P775"/>
      <c r="Q775"/>
      <c r="S775"/>
      <c r="U775"/>
    </row>
    <row r="776" spans="2:21" x14ac:dyDescent="0.25">
      <c r="B776"/>
      <c r="C776"/>
      <c r="F776"/>
      <c r="G776"/>
      <c r="H776"/>
      <c r="I776"/>
      <c r="J776"/>
      <c r="K776"/>
      <c r="L776"/>
      <c r="M776"/>
      <c r="N776"/>
      <c r="O776"/>
      <c r="P776"/>
      <c r="Q776"/>
      <c r="S776"/>
      <c r="U776"/>
    </row>
    <row r="777" spans="2:21" x14ac:dyDescent="0.25">
      <c r="B777"/>
      <c r="C777"/>
      <c r="F777"/>
      <c r="G777"/>
      <c r="H777"/>
      <c r="I777"/>
      <c r="J777"/>
      <c r="K777"/>
      <c r="L777"/>
      <c r="M777"/>
      <c r="N777"/>
      <c r="O777"/>
      <c r="P777"/>
      <c r="Q777"/>
      <c r="S777"/>
      <c r="U777"/>
    </row>
    <row r="778" spans="2:21" x14ac:dyDescent="0.25">
      <c r="B778"/>
      <c r="C778"/>
      <c r="F778"/>
      <c r="G778"/>
      <c r="H778"/>
      <c r="I778"/>
      <c r="J778"/>
      <c r="K778"/>
      <c r="L778"/>
      <c r="M778"/>
      <c r="N778"/>
      <c r="O778"/>
      <c r="P778"/>
      <c r="Q778"/>
      <c r="S778"/>
      <c r="U778"/>
    </row>
    <row r="779" spans="2:21" x14ac:dyDescent="0.25">
      <c r="B779"/>
      <c r="C779"/>
      <c r="F779"/>
      <c r="G779"/>
      <c r="H779"/>
      <c r="I779"/>
      <c r="J779"/>
      <c r="K779"/>
      <c r="L779"/>
      <c r="M779"/>
      <c r="N779"/>
      <c r="O779"/>
      <c r="P779"/>
      <c r="Q779"/>
      <c r="S779"/>
      <c r="U779"/>
    </row>
    <row r="780" spans="2:21" x14ac:dyDescent="0.25">
      <c r="B780"/>
      <c r="C780"/>
      <c r="F780"/>
      <c r="G780"/>
      <c r="H780"/>
      <c r="I780"/>
      <c r="J780"/>
      <c r="K780"/>
      <c r="L780"/>
      <c r="M780"/>
      <c r="N780"/>
      <c r="O780"/>
      <c r="P780"/>
      <c r="Q780"/>
      <c r="S780"/>
      <c r="U780"/>
    </row>
    <row r="781" spans="2:21" x14ac:dyDescent="0.25">
      <c r="B781"/>
      <c r="C781"/>
      <c r="F781"/>
      <c r="G781"/>
      <c r="H781"/>
      <c r="I781"/>
      <c r="J781"/>
      <c r="K781"/>
      <c r="L781"/>
      <c r="M781"/>
      <c r="N781"/>
      <c r="O781"/>
      <c r="P781"/>
      <c r="Q781"/>
      <c r="S781"/>
      <c r="U781"/>
    </row>
    <row r="782" spans="2:21" x14ac:dyDescent="0.25">
      <c r="B782"/>
      <c r="C782"/>
      <c r="F782"/>
      <c r="G782"/>
      <c r="H782"/>
      <c r="I782"/>
      <c r="J782"/>
      <c r="K782"/>
      <c r="L782"/>
      <c r="M782"/>
      <c r="N782"/>
      <c r="O782"/>
      <c r="P782"/>
      <c r="Q782"/>
      <c r="S782"/>
      <c r="U782"/>
    </row>
    <row r="783" spans="2:21" x14ac:dyDescent="0.25">
      <c r="B783"/>
      <c r="C783"/>
      <c r="F783"/>
      <c r="G783"/>
      <c r="H783"/>
      <c r="I783"/>
      <c r="J783"/>
      <c r="K783"/>
      <c r="L783"/>
      <c r="M783"/>
      <c r="N783"/>
      <c r="O783"/>
      <c r="P783"/>
      <c r="Q783"/>
      <c r="S783"/>
      <c r="U783"/>
    </row>
    <row r="784" spans="2:21" x14ac:dyDescent="0.25">
      <c r="B784"/>
      <c r="C784"/>
      <c r="F784"/>
      <c r="G784"/>
      <c r="H784"/>
      <c r="I784"/>
      <c r="J784"/>
      <c r="K784"/>
      <c r="L784"/>
      <c r="M784"/>
      <c r="N784"/>
      <c r="O784"/>
      <c r="P784"/>
      <c r="Q784"/>
      <c r="S784"/>
      <c r="U784"/>
    </row>
    <row r="785" spans="2:21" x14ac:dyDescent="0.25">
      <c r="B785"/>
      <c r="C785"/>
      <c r="F785"/>
      <c r="G785"/>
      <c r="H785"/>
      <c r="I785"/>
      <c r="J785"/>
      <c r="K785"/>
      <c r="L785"/>
      <c r="M785"/>
      <c r="N785"/>
      <c r="O785"/>
      <c r="P785"/>
      <c r="Q785"/>
      <c r="S785"/>
      <c r="U785"/>
    </row>
    <row r="786" spans="2:21" x14ac:dyDescent="0.25">
      <c r="B786"/>
      <c r="C786"/>
      <c r="F786"/>
      <c r="G786"/>
      <c r="H786"/>
      <c r="I786"/>
      <c r="J786"/>
      <c r="K786"/>
      <c r="L786"/>
      <c r="M786"/>
      <c r="N786"/>
      <c r="O786"/>
      <c r="P786"/>
      <c r="Q786"/>
      <c r="S786"/>
      <c r="U786"/>
    </row>
    <row r="787" spans="2:21" x14ac:dyDescent="0.25">
      <c r="B787"/>
      <c r="C787"/>
      <c r="F787"/>
      <c r="G787"/>
      <c r="H787"/>
      <c r="I787"/>
      <c r="J787"/>
      <c r="K787"/>
      <c r="L787"/>
      <c r="M787"/>
      <c r="N787"/>
      <c r="O787"/>
      <c r="P787"/>
      <c r="Q787"/>
      <c r="S787"/>
      <c r="U787"/>
    </row>
    <row r="788" spans="2:21" x14ac:dyDescent="0.25">
      <c r="B788"/>
      <c r="C788"/>
      <c r="F788"/>
      <c r="G788"/>
      <c r="H788"/>
      <c r="I788"/>
      <c r="J788"/>
      <c r="K788"/>
      <c r="L788"/>
      <c r="M788"/>
      <c r="N788"/>
      <c r="O788"/>
      <c r="P788"/>
      <c r="Q788"/>
      <c r="S788"/>
      <c r="U788"/>
    </row>
    <row r="789" spans="2:21" x14ac:dyDescent="0.25">
      <c r="B789"/>
      <c r="C789"/>
      <c r="F789"/>
      <c r="G789"/>
      <c r="H789"/>
      <c r="I789"/>
      <c r="J789"/>
      <c r="K789"/>
      <c r="L789"/>
      <c r="M789"/>
      <c r="N789"/>
      <c r="O789"/>
      <c r="P789"/>
      <c r="Q789"/>
      <c r="S789"/>
      <c r="U789"/>
    </row>
    <row r="790" spans="2:21" x14ac:dyDescent="0.25">
      <c r="B790"/>
      <c r="C790"/>
      <c r="F790"/>
      <c r="G790"/>
      <c r="H790"/>
      <c r="I790"/>
      <c r="J790"/>
      <c r="K790"/>
      <c r="L790"/>
      <c r="M790"/>
      <c r="N790"/>
      <c r="O790"/>
      <c r="P790"/>
      <c r="Q790"/>
      <c r="S790"/>
      <c r="U790"/>
    </row>
    <row r="791" spans="2:21" x14ac:dyDescent="0.25">
      <c r="B791"/>
      <c r="C791"/>
      <c r="F791"/>
      <c r="G791"/>
      <c r="H791"/>
      <c r="I791"/>
      <c r="J791"/>
      <c r="K791"/>
      <c r="L791"/>
      <c r="M791"/>
      <c r="N791"/>
      <c r="O791"/>
      <c r="P791"/>
      <c r="Q791"/>
      <c r="S791"/>
      <c r="U791"/>
    </row>
    <row r="792" spans="2:21" x14ac:dyDescent="0.25">
      <c r="B792"/>
      <c r="C792"/>
      <c r="F792"/>
      <c r="G792"/>
      <c r="H792"/>
      <c r="I792"/>
      <c r="J792"/>
      <c r="K792"/>
      <c r="L792"/>
      <c r="M792"/>
      <c r="N792"/>
      <c r="O792"/>
      <c r="P792"/>
      <c r="Q792"/>
      <c r="S792"/>
      <c r="U792"/>
    </row>
    <row r="793" spans="2:21" x14ac:dyDescent="0.25">
      <c r="B793"/>
      <c r="C793"/>
      <c r="F793"/>
      <c r="G793"/>
      <c r="H793"/>
      <c r="I793"/>
      <c r="J793"/>
      <c r="K793"/>
      <c r="L793"/>
      <c r="M793"/>
      <c r="N793"/>
      <c r="O793"/>
      <c r="P793"/>
      <c r="Q793"/>
      <c r="S793"/>
      <c r="U793"/>
    </row>
    <row r="794" spans="2:21" x14ac:dyDescent="0.25">
      <c r="B794"/>
      <c r="C794"/>
      <c r="F794"/>
      <c r="G794"/>
      <c r="H794"/>
      <c r="I794"/>
      <c r="J794"/>
      <c r="K794"/>
      <c r="L794"/>
      <c r="M794"/>
      <c r="N794"/>
      <c r="O794"/>
      <c r="P794"/>
      <c r="Q794"/>
      <c r="S794"/>
      <c r="U794"/>
    </row>
    <row r="795" spans="2:21" x14ac:dyDescent="0.25">
      <c r="B795"/>
      <c r="C795"/>
      <c r="F795"/>
      <c r="G795"/>
      <c r="H795"/>
      <c r="I795"/>
      <c r="J795"/>
      <c r="K795"/>
      <c r="L795"/>
      <c r="M795"/>
      <c r="N795"/>
      <c r="O795"/>
      <c r="P795"/>
      <c r="Q795"/>
      <c r="S795"/>
      <c r="U795"/>
    </row>
    <row r="796" spans="2:21" x14ac:dyDescent="0.25">
      <c r="B796"/>
      <c r="C796"/>
      <c r="F796"/>
      <c r="G796"/>
      <c r="H796"/>
      <c r="I796"/>
      <c r="J796"/>
      <c r="K796"/>
      <c r="L796"/>
      <c r="M796"/>
      <c r="N796"/>
      <c r="O796"/>
      <c r="P796"/>
      <c r="Q796"/>
      <c r="S796"/>
      <c r="U796"/>
    </row>
    <row r="797" spans="2:21" x14ac:dyDescent="0.25">
      <c r="B797"/>
      <c r="C797"/>
      <c r="F797"/>
      <c r="G797"/>
      <c r="H797"/>
      <c r="I797"/>
      <c r="J797"/>
      <c r="K797"/>
      <c r="L797"/>
      <c r="M797"/>
      <c r="N797"/>
      <c r="O797"/>
      <c r="P797"/>
      <c r="Q797"/>
      <c r="S797"/>
      <c r="U797"/>
    </row>
    <row r="798" spans="2:21" x14ac:dyDescent="0.25">
      <c r="B798"/>
      <c r="C798"/>
      <c r="F798"/>
      <c r="G798"/>
      <c r="H798"/>
      <c r="I798"/>
      <c r="J798"/>
      <c r="K798"/>
      <c r="L798"/>
      <c r="M798"/>
      <c r="N798"/>
      <c r="O798"/>
      <c r="P798"/>
      <c r="Q798"/>
      <c r="S798"/>
      <c r="U798"/>
    </row>
    <row r="799" spans="2:21" x14ac:dyDescent="0.25">
      <c r="B799"/>
      <c r="C799"/>
      <c r="F799"/>
      <c r="G799"/>
      <c r="H799"/>
      <c r="I799"/>
      <c r="J799"/>
      <c r="K799"/>
      <c r="L799"/>
      <c r="M799"/>
      <c r="N799"/>
      <c r="O799"/>
      <c r="P799"/>
      <c r="Q799"/>
      <c r="S799"/>
      <c r="U799"/>
    </row>
    <row r="800" spans="2:21" x14ac:dyDescent="0.25">
      <c r="B800"/>
      <c r="C800"/>
      <c r="F800"/>
      <c r="G800"/>
      <c r="H800"/>
      <c r="I800"/>
      <c r="J800"/>
      <c r="K800"/>
      <c r="L800"/>
      <c r="M800"/>
      <c r="N800"/>
      <c r="O800"/>
      <c r="P800"/>
      <c r="Q800"/>
      <c r="S800"/>
      <c r="U800"/>
    </row>
    <row r="801" spans="2:21" x14ac:dyDescent="0.25">
      <c r="B801"/>
      <c r="C801"/>
      <c r="F801"/>
      <c r="G801"/>
      <c r="H801"/>
      <c r="I801"/>
      <c r="J801"/>
      <c r="K801"/>
      <c r="L801"/>
      <c r="M801"/>
      <c r="N801"/>
      <c r="O801"/>
      <c r="P801"/>
      <c r="Q801"/>
      <c r="S801"/>
      <c r="U801"/>
    </row>
    <row r="802" spans="2:21" x14ac:dyDescent="0.25">
      <c r="B802"/>
      <c r="C802"/>
      <c r="F802"/>
      <c r="G802"/>
      <c r="H802"/>
      <c r="I802"/>
      <c r="J802"/>
      <c r="K802"/>
      <c r="L802"/>
      <c r="M802"/>
      <c r="N802"/>
      <c r="O802"/>
      <c r="P802"/>
      <c r="Q802"/>
      <c r="S802"/>
      <c r="U802"/>
    </row>
    <row r="803" spans="2:21" x14ac:dyDescent="0.25">
      <c r="B803"/>
      <c r="C803"/>
      <c r="F803"/>
      <c r="G803"/>
      <c r="H803"/>
      <c r="I803"/>
      <c r="J803"/>
      <c r="K803"/>
      <c r="L803"/>
      <c r="M803"/>
      <c r="N803"/>
      <c r="O803"/>
      <c r="P803"/>
      <c r="Q803"/>
      <c r="S803"/>
      <c r="U803"/>
    </row>
    <row r="804" spans="2:21" x14ac:dyDescent="0.25">
      <c r="B804"/>
      <c r="C804"/>
      <c r="F804"/>
      <c r="G804"/>
      <c r="H804"/>
      <c r="I804"/>
      <c r="J804"/>
      <c r="K804"/>
      <c r="L804"/>
      <c r="M804"/>
      <c r="N804"/>
      <c r="O804"/>
      <c r="P804"/>
      <c r="Q804"/>
      <c r="S804"/>
      <c r="U804"/>
    </row>
    <row r="805" spans="2:21" x14ac:dyDescent="0.25">
      <c r="B805"/>
      <c r="C805"/>
      <c r="F805"/>
      <c r="G805"/>
      <c r="H805"/>
      <c r="I805"/>
      <c r="J805"/>
      <c r="K805"/>
      <c r="L805"/>
      <c r="M805"/>
      <c r="N805"/>
      <c r="O805"/>
      <c r="P805"/>
      <c r="Q805"/>
      <c r="S805"/>
      <c r="U805"/>
    </row>
    <row r="806" spans="2:21" x14ac:dyDescent="0.25">
      <c r="B806"/>
      <c r="C806"/>
      <c r="F806"/>
      <c r="G806"/>
      <c r="H806"/>
      <c r="I806"/>
      <c r="J806"/>
      <c r="K806"/>
      <c r="L806"/>
      <c r="M806"/>
      <c r="N806"/>
      <c r="O806"/>
      <c r="P806"/>
      <c r="Q806"/>
      <c r="S806"/>
      <c r="U806"/>
    </row>
    <row r="807" spans="2:21" x14ac:dyDescent="0.25">
      <c r="B807"/>
      <c r="C807"/>
      <c r="F807"/>
      <c r="G807"/>
      <c r="H807"/>
      <c r="I807"/>
      <c r="J807"/>
      <c r="K807"/>
      <c r="L807"/>
      <c r="M807"/>
      <c r="N807"/>
      <c r="O807"/>
      <c r="P807"/>
      <c r="Q807"/>
      <c r="S807"/>
      <c r="U807"/>
    </row>
    <row r="808" spans="2:21" x14ac:dyDescent="0.25">
      <c r="B808"/>
      <c r="C808"/>
      <c r="F808"/>
      <c r="G808"/>
      <c r="H808"/>
      <c r="I808"/>
      <c r="J808"/>
      <c r="K808"/>
      <c r="L808"/>
      <c r="M808"/>
      <c r="N808"/>
      <c r="O808"/>
      <c r="P808"/>
      <c r="Q808"/>
      <c r="S808"/>
      <c r="U808"/>
    </row>
    <row r="809" spans="2:21" x14ac:dyDescent="0.25">
      <c r="B809"/>
      <c r="C809"/>
      <c r="F809"/>
      <c r="G809"/>
      <c r="H809"/>
      <c r="I809"/>
      <c r="J809"/>
      <c r="K809"/>
      <c r="L809"/>
      <c r="M809"/>
      <c r="N809"/>
      <c r="O809"/>
      <c r="P809"/>
      <c r="Q809"/>
      <c r="S809"/>
      <c r="U809"/>
    </row>
    <row r="810" spans="2:21" x14ac:dyDescent="0.25">
      <c r="B810"/>
      <c r="C810"/>
      <c r="F810"/>
      <c r="G810"/>
      <c r="H810"/>
      <c r="I810"/>
      <c r="J810"/>
      <c r="K810"/>
      <c r="L810"/>
      <c r="M810"/>
      <c r="N810"/>
      <c r="O810"/>
      <c r="P810"/>
      <c r="Q810"/>
      <c r="S810"/>
      <c r="U810"/>
    </row>
    <row r="811" spans="2:21" x14ac:dyDescent="0.25">
      <c r="B811"/>
      <c r="C811"/>
      <c r="F811"/>
      <c r="G811"/>
      <c r="H811"/>
      <c r="I811"/>
      <c r="J811"/>
      <c r="K811"/>
      <c r="L811"/>
      <c r="M811"/>
      <c r="N811"/>
      <c r="O811"/>
      <c r="P811"/>
      <c r="Q811"/>
      <c r="S811"/>
      <c r="U811"/>
    </row>
    <row r="812" spans="2:21" x14ac:dyDescent="0.25">
      <c r="B812"/>
      <c r="C812"/>
      <c r="F812"/>
      <c r="G812"/>
      <c r="H812"/>
      <c r="I812"/>
      <c r="J812"/>
      <c r="K812"/>
      <c r="L812"/>
      <c r="M812"/>
      <c r="N812"/>
      <c r="O812"/>
      <c r="P812"/>
      <c r="Q812"/>
      <c r="S812"/>
      <c r="U812"/>
    </row>
    <row r="813" spans="2:21" x14ac:dyDescent="0.25">
      <c r="B813"/>
      <c r="C813"/>
      <c r="F813"/>
      <c r="G813"/>
      <c r="H813"/>
      <c r="I813"/>
      <c r="J813"/>
      <c r="K813"/>
      <c r="L813"/>
      <c r="M813"/>
      <c r="N813"/>
      <c r="O813"/>
      <c r="P813"/>
      <c r="Q813"/>
      <c r="S813"/>
      <c r="U813"/>
    </row>
    <row r="814" spans="2:21" x14ac:dyDescent="0.25">
      <c r="B814"/>
      <c r="C814"/>
      <c r="F814"/>
      <c r="G814"/>
      <c r="H814"/>
      <c r="I814"/>
      <c r="J814"/>
      <c r="K814"/>
      <c r="L814"/>
      <c r="M814"/>
      <c r="N814"/>
      <c r="O814"/>
      <c r="P814"/>
      <c r="Q814"/>
      <c r="S814"/>
      <c r="U814"/>
    </row>
    <row r="815" spans="2:21" x14ac:dyDescent="0.25">
      <c r="B815"/>
      <c r="C815"/>
      <c r="F815"/>
      <c r="G815"/>
      <c r="H815"/>
      <c r="I815"/>
      <c r="J815"/>
      <c r="K815"/>
      <c r="L815"/>
      <c r="M815"/>
      <c r="N815"/>
      <c r="O815"/>
      <c r="P815"/>
      <c r="Q815"/>
      <c r="S815"/>
      <c r="U815"/>
    </row>
    <row r="816" spans="2:21" x14ac:dyDescent="0.25">
      <c r="B816"/>
      <c r="C816"/>
      <c r="F816"/>
      <c r="G816"/>
      <c r="H816"/>
      <c r="I816"/>
      <c r="J816"/>
      <c r="K816"/>
      <c r="L816"/>
      <c r="M816"/>
      <c r="N816"/>
      <c r="O816"/>
      <c r="P816"/>
      <c r="Q816"/>
      <c r="S816"/>
      <c r="U816"/>
    </row>
    <row r="817" spans="2:21" x14ac:dyDescent="0.25">
      <c r="B817"/>
      <c r="C817"/>
      <c r="F817"/>
      <c r="G817"/>
      <c r="H817"/>
      <c r="I817"/>
      <c r="J817"/>
      <c r="K817"/>
      <c r="L817"/>
      <c r="M817"/>
      <c r="N817"/>
      <c r="O817"/>
      <c r="P817"/>
      <c r="Q817"/>
      <c r="S817"/>
      <c r="U817"/>
    </row>
    <row r="818" spans="2:21" x14ac:dyDescent="0.25">
      <c r="B818"/>
      <c r="C818"/>
      <c r="F818"/>
      <c r="G818"/>
      <c r="H818"/>
      <c r="I818"/>
      <c r="J818"/>
      <c r="K818"/>
      <c r="L818"/>
      <c r="M818"/>
      <c r="N818"/>
      <c r="O818"/>
      <c r="P818"/>
      <c r="Q818"/>
      <c r="S818"/>
      <c r="U818"/>
    </row>
    <row r="819" spans="2:21" x14ac:dyDescent="0.25">
      <c r="B819"/>
      <c r="C819"/>
      <c r="F819"/>
      <c r="G819"/>
      <c r="H819"/>
      <c r="I819"/>
      <c r="J819"/>
      <c r="K819"/>
      <c r="L819"/>
      <c r="M819"/>
      <c r="N819"/>
      <c r="O819"/>
      <c r="P819"/>
      <c r="Q819"/>
      <c r="S819"/>
      <c r="U819"/>
    </row>
    <row r="820" spans="2:21" x14ac:dyDescent="0.25">
      <c r="B820"/>
      <c r="C820"/>
      <c r="F820"/>
      <c r="G820"/>
      <c r="H820"/>
      <c r="I820"/>
      <c r="J820"/>
      <c r="K820"/>
      <c r="L820"/>
      <c r="M820"/>
      <c r="N820"/>
      <c r="O820"/>
      <c r="P820"/>
      <c r="Q820"/>
      <c r="S820"/>
      <c r="U820"/>
    </row>
    <row r="821" spans="2:21" x14ac:dyDescent="0.25">
      <c r="B821"/>
      <c r="C821"/>
      <c r="F821"/>
      <c r="G821"/>
      <c r="H821"/>
      <c r="I821"/>
      <c r="J821"/>
      <c r="K821"/>
      <c r="L821"/>
      <c r="M821"/>
      <c r="N821"/>
      <c r="O821"/>
      <c r="P821"/>
      <c r="Q821"/>
      <c r="S821"/>
      <c r="U821"/>
    </row>
    <row r="822" spans="2:21" x14ac:dyDescent="0.25">
      <c r="B822"/>
      <c r="C822"/>
      <c r="F822"/>
      <c r="G822"/>
      <c r="H822"/>
      <c r="I822"/>
      <c r="J822"/>
      <c r="K822"/>
      <c r="L822"/>
      <c r="M822"/>
      <c r="N822"/>
      <c r="O822"/>
      <c r="P822"/>
      <c r="Q822"/>
      <c r="S822"/>
      <c r="U822"/>
    </row>
    <row r="823" spans="2:21" x14ac:dyDescent="0.25">
      <c r="B823"/>
      <c r="C823"/>
      <c r="F823"/>
      <c r="G823"/>
      <c r="H823"/>
      <c r="I823"/>
      <c r="J823"/>
      <c r="K823"/>
      <c r="L823"/>
      <c r="M823"/>
      <c r="N823"/>
      <c r="O823"/>
      <c r="P823"/>
      <c r="Q823"/>
      <c r="S823"/>
      <c r="U823"/>
    </row>
    <row r="824" spans="2:21" x14ac:dyDescent="0.25">
      <c r="B824"/>
      <c r="C824"/>
      <c r="F824"/>
      <c r="G824"/>
      <c r="H824"/>
      <c r="I824"/>
      <c r="J824"/>
      <c r="K824"/>
      <c r="L824"/>
      <c r="M824"/>
      <c r="N824"/>
      <c r="O824"/>
      <c r="P824"/>
      <c r="Q824"/>
      <c r="S824"/>
      <c r="U824"/>
    </row>
    <row r="825" spans="2:21" x14ac:dyDescent="0.25">
      <c r="B825"/>
      <c r="C825"/>
      <c r="F825"/>
      <c r="G825"/>
      <c r="H825"/>
      <c r="I825"/>
      <c r="J825"/>
      <c r="K825"/>
      <c r="L825"/>
      <c r="M825"/>
      <c r="N825"/>
      <c r="O825"/>
      <c r="P825"/>
      <c r="Q825"/>
      <c r="S825"/>
      <c r="U825"/>
    </row>
    <row r="826" spans="2:21" x14ac:dyDescent="0.25">
      <c r="B826"/>
      <c r="C826"/>
      <c r="F826"/>
      <c r="G826"/>
      <c r="H826"/>
      <c r="I826"/>
      <c r="J826"/>
      <c r="K826"/>
      <c r="L826"/>
      <c r="M826"/>
      <c r="N826"/>
      <c r="O826"/>
      <c r="P826"/>
      <c r="Q826"/>
      <c r="S826"/>
      <c r="U826"/>
    </row>
    <row r="827" spans="2:21" x14ac:dyDescent="0.25">
      <c r="B827"/>
      <c r="C827"/>
      <c r="F827"/>
      <c r="G827"/>
      <c r="H827"/>
      <c r="I827"/>
      <c r="J827"/>
      <c r="K827"/>
      <c r="L827"/>
      <c r="M827"/>
      <c r="N827"/>
      <c r="O827"/>
      <c r="P827"/>
      <c r="Q827"/>
      <c r="S827"/>
      <c r="U827"/>
    </row>
    <row r="828" spans="2:21" x14ac:dyDescent="0.25">
      <c r="B828"/>
      <c r="C828"/>
      <c r="F828"/>
      <c r="G828"/>
      <c r="H828"/>
      <c r="I828"/>
      <c r="J828"/>
      <c r="K828"/>
      <c r="L828"/>
      <c r="M828"/>
      <c r="N828"/>
      <c r="O828"/>
      <c r="P828"/>
      <c r="Q828"/>
      <c r="S828"/>
      <c r="U828"/>
    </row>
    <row r="829" spans="2:21" x14ac:dyDescent="0.25">
      <c r="B829"/>
      <c r="C829"/>
      <c r="F829"/>
      <c r="G829"/>
      <c r="H829"/>
      <c r="I829"/>
      <c r="J829"/>
      <c r="K829"/>
      <c r="L829"/>
      <c r="M829"/>
      <c r="N829"/>
      <c r="O829"/>
      <c r="P829"/>
      <c r="Q829"/>
      <c r="S829"/>
      <c r="U829"/>
    </row>
    <row r="830" spans="2:21" x14ac:dyDescent="0.25">
      <c r="B830"/>
      <c r="C830"/>
      <c r="F830"/>
      <c r="G830"/>
      <c r="H830"/>
      <c r="I830"/>
      <c r="J830"/>
      <c r="K830"/>
      <c r="L830"/>
      <c r="M830"/>
      <c r="N830"/>
      <c r="O830"/>
      <c r="P830"/>
      <c r="Q830"/>
      <c r="S830"/>
      <c r="U830"/>
    </row>
    <row r="831" spans="2:21" x14ac:dyDescent="0.25">
      <c r="B831"/>
      <c r="C831"/>
      <c r="F831"/>
      <c r="G831"/>
      <c r="H831"/>
      <c r="I831"/>
      <c r="J831"/>
      <c r="K831"/>
      <c r="L831"/>
      <c r="M831"/>
      <c r="N831"/>
      <c r="O831"/>
      <c r="P831"/>
      <c r="Q831"/>
      <c r="S831"/>
      <c r="U831"/>
    </row>
    <row r="832" spans="2:21" x14ac:dyDescent="0.25">
      <c r="B832"/>
      <c r="C832"/>
      <c r="F832"/>
      <c r="G832"/>
      <c r="H832"/>
      <c r="I832"/>
      <c r="J832"/>
      <c r="K832"/>
      <c r="L832"/>
      <c r="M832"/>
      <c r="N832"/>
      <c r="O832"/>
      <c r="P832"/>
      <c r="Q832"/>
      <c r="S832"/>
      <c r="U832"/>
    </row>
    <row r="833" spans="2:21" x14ac:dyDescent="0.25">
      <c r="B833"/>
      <c r="C833"/>
      <c r="F833"/>
      <c r="G833"/>
      <c r="H833"/>
      <c r="I833"/>
      <c r="J833"/>
      <c r="K833"/>
      <c r="L833"/>
      <c r="M833"/>
      <c r="N833"/>
      <c r="O833"/>
      <c r="P833"/>
      <c r="Q833"/>
      <c r="S833"/>
      <c r="U833"/>
    </row>
    <row r="834" spans="2:21" x14ac:dyDescent="0.25">
      <c r="B834"/>
      <c r="C834"/>
      <c r="F834"/>
      <c r="G834"/>
      <c r="H834"/>
      <c r="I834"/>
      <c r="J834"/>
      <c r="K834"/>
      <c r="L834"/>
      <c r="M834"/>
      <c r="N834"/>
      <c r="O834"/>
      <c r="P834"/>
      <c r="Q834"/>
      <c r="S834"/>
      <c r="U834"/>
    </row>
    <row r="835" spans="2:21" x14ac:dyDescent="0.25">
      <c r="B835"/>
      <c r="C835"/>
      <c r="F835"/>
      <c r="G835"/>
      <c r="H835"/>
      <c r="I835"/>
      <c r="J835"/>
      <c r="K835"/>
      <c r="L835"/>
      <c r="M835"/>
      <c r="N835"/>
      <c r="O835"/>
      <c r="P835"/>
      <c r="Q835"/>
      <c r="S835"/>
      <c r="U835"/>
    </row>
    <row r="836" spans="2:21" x14ac:dyDescent="0.25">
      <c r="B836"/>
      <c r="C836"/>
      <c r="F836"/>
      <c r="G836"/>
      <c r="H836"/>
      <c r="I836"/>
      <c r="J836"/>
      <c r="K836"/>
      <c r="L836"/>
      <c r="M836"/>
      <c r="N836"/>
      <c r="O836"/>
      <c r="P836"/>
      <c r="Q836"/>
      <c r="S836"/>
      <c r="U836"/>
    </row>
    <row r="837" spans="2:21" x14ac:dyDescent="0.25">
      <c r="B837"/>
      <c r="C837"/>
      <c r="F837"/>
      <c r="G837"/>
      <c r="H837"/>
      <c r="I837"/>
      <c r="J837"/>
      <c r="K837"/>
      <c r="L837"/>
      <c r="M837"/>
      <c r="N837"/>
      <c r="O837"/>
      <c r="P837"/>
      <c r="Q837"/>
      <c r="S837"/>
      <c r="U837"/>
    </row>
    <row r="838" spans="2:21" x14ac:dyDescent="0.25">
      <c r="B838"/>
      <c r="C838"/>
      <c r="F838"/>
      <c r="G838"/>
      <c r="H838"/>
      <c r="I838"/>
      <c r="J838"/>
      <c r="K838"/>
      <c r="L838"/>
      <c r="M838"/>
      <c r="N838"/>
      <c r="O838"/>
      <c r="P838"/>
      <c r="Q838"/>
      <c r="S838"/>
      <c r="U838"/>
    </row>
    <row r="839" spans="2:21" x14ac:dyDescent="0.25">
      <c r="B839"/>
      <c r="C839"/>
      <c r="F839"/>
      <c r="G839"/>
      <c r="H839"/>
      <c r="I839"/>
      <c r="J839"/>
      <c r="K839"/>
      <c r="L839"/>
      <c r="M839"/>
      <c r="N839"/>
      <c r="O839"/>
      <c r="P839"/>
      <c r="Q839"/>
      <c r="S839"/>
      <c r="U839"/>
    </row>
    <row r="840" spans="2:21" x14ac:dyDescent="0.25">
      <c r="B840"/>
      <c r="C840"/>
      <c r="F840"/>
      <c r="G840"/>
      <c r="H840"/>
      <c r="I840"/>
      <c r="J840"/>
      <c r="K840"/>
      <c r="L840"/>
      <c r="M840"/>
      <c r="N840"/>
      <c r="O840"/>
      <c r="P840"/>
      <c r="Q840"/>
      <c r="S840"/>
      <c r="U840"/>
    </row>
    <row r="841" spans="2:21" x14ac:dyDescent="0.25">
      <c r="B841"/>
      <c r="C841"/>
      <c r="F841"/>
      <c r="G841"/>
      <c r="H841"/>
      <c r="I841"/>
      <c r="J841"/>
      <c r="K841"/>
      <c r="L841"/>
      <c r="M841"/>
      <c r="N841"/>
      <c r="O841"/>
      <c r="P841"/>
      <c r="Q841"/>
      <c r="S841"/>
      <c r="U841"/>
    </row>
    <row r="842" spans="2:21" x14ac:dyDescent="0.25">
      <c r="B842"/>
      <c r="C842"/>
      <c r="F842"/>
      <c r="G842"/>
      <c r="H842"/>
      <c r="I842"/>
      <c r="J842"/>
      <c r="K842"/>
      <c r="L842"/>
      <c r="M842"/>
      <c r="N842"/>
      <c r="O842"/>
      <c r="P842"/>
      <c r="Q842"/>
      <c r="S842"/>
      <c r="U842"/>
    </row>
    <row r="843" spans="2:21" x14ac:dyDescent="0.25">
      <c r="B843"/>
      <c r="C843"/>
      <c r="F843"/>
      <c r="G843"/>
      <c r="H843"/>
      <c r="I843"/>
      <c r="J843"/>
      <c r="K843"/>
      <c r="L843"/>
      <c r="M843"/>
      <c r="N843"/>
      <c r="O843"/>
      <c r="P843"/>
      <c r="Q843"/>
      <c r="S843"/>
      <c r="U843"/>
    </row>
    <row r="844" spans="2:21" x14ac:dyDescent="0.25">
      <c r="B844"/>
      <c r="C844"/>
      <c r="F844"/>
      <c r="G844"/>
      <c r="H844"/>
      <c r="I844"/>
      <c r="J844"/>
      <c r="K844"/>
      <c r="L844"/>
      <c r="M844"/>
      <c r="N844"/>
      <c r="O844"/>
      <c r="P844"/>
      <c r="Q844"/>
      <c r="S844"/>
      <c r="U844"/>
    </row>
    <row r="845" spans="2:21" x14ac:dyDescent="0.25">
      <c r="B845"/>
      <c r="C845"/>
      <c r="F845"/>
      <c r="G845"/>
      <c r="H845"/>
      <c r="I845"/>
      <c r="J845"/>
      <c r="K845"/>
      <c r="L845"/>
      <c r="M845"/>
      <c r="N845"/>
      <c r="O845"/>
      <c r="P845"/>
      <c r="Q845"/>
      <c r="S845"/>
      <c r="U845"/>
    </row>
    <row r="846" spans="2:21" x14ac:dyDescent="0.25">
      <c r="B846"/>
      <c r="C846"/>
      <c r="F846"/>
      <c r="G846"/>
      <c r="H846"/>
      <c r="I846"/>
      <c r="J846"/>
      <c r="K846"/>
      <c r="L846"/>
      <c r="M846"/>
      <c r="N846"/>
      <c r="O846"/>
      <c r="P846"/>
      <c r="Q846"/>
      <c r="S846"/>
      <c r="U846"/>
    </row>
    <row r="847" spans="2:21" x14ac:dyDescent="0.25">
      <c r="B847"/>
      <c r="C847"/>
      <c r="F847"/>
      <c r="G847"/>
      <c r="H847"/>
      <c r="I847"/>
      <c r="J847"/>
      <c r="K847"/>
      <c r="L847"/>
      <c r="M847"/>
      <c r="N847"/>
      <c r="O847"/>
      <c r="P847"/>
      <c r="Q847"/>
      <c r="S847"/>
      <c r="U847"/>
    </row>
    <row r="848" spans="2:21" x14ac:dyDescent="0.25">
      <c r="B848"/>
      <c r="C848"/>
      <c r="F848"/>
      <c r="G848"/>
      <c r="H848"/>
      <c r="I848"/>
      <c r="J848"/>
      <c r="K848"/>
      <c r="L848"/>
      <c r="M848"/>
      <c r="N848"/>
      <c r="O848"/>
      <c r="P848"/>
      <c r="Q848"/>
      <c r="S848"/>
      <c r="U848"/>
    </row>
    <row r="849" spans="2:21" x14ac:dyDescent="0.25">
      <c r="B849"/>
      <c r="C849"/>
      <c r="F849"/>
      <c r="G849"/>
      <c r="H849"/>
      <c r="I849"/>
      <c r="J849"/>
      <c r="K849"/>
      <c r="L849"/>
      <c r="M849"/>
      <c r="N849"/>
      <c r="O849"/>
      <c r="P849"/>
      <c r="Q849"/>
      <c r="S849"/>
      <c r="U849"/>
    </row>
    <row r="850" spans="2:21" x14ac:dyDescent="0.25">
      <c r="B850"/>
      <c r="C850"/>
      <c r="F850"/>
      <c r="G850"/>
      <c r="H850"/>
      <c r="I850"/>
      <c r="J850"/>
      <c r="K850"/>
      <c r="L850"/>
      <c r="M850"/>
      <c r="N850"/>
      <c r="O850"/>
      <c r="P850"/>
      <c r="Q850"/>
      <c r="S850"/>
      <c r="U850"/>
    </row>
    <row r="851" spans="2:21" x14ac:dyDescent="0.25">
      <c r="B851"/>
      <c r="C851"/>
      <c r="F851"/>
      <c r="G851"/>
      <c r="H851"/>
      <c r="I851"/>
      <c r="J851"/>
      <c r="K851"/>
      <c r="L851"/>
      <c r="M851"/>
      <c r="N851"/>
      <c r="O851"/>
      <c r="P851"/>
      <c r="Q851"/>
      <c r="S851"/>
      <c r="U851"/>
    </row>
    <row r="852" spans="2:21" x14ac:dyDescent="0.25">
      <c r="B852"/>
      <c r="C852"/>
      <c r="F852"/>
      <c r="G852"/>
      <c r="H852"/>
      <c r="I852"/>
      <c r="J852"/>
      <c r="K852"/>
      <c r="L852"/>
      <c r="M852"/>
      <c r="N852"/>
      <c r="O852"/>
      <c r="P852"/>
      <c r="Q852"/>
      <c r="S852"/>
      <c r="U852"/>
    </row>
    <row r="853" spans="2:21" x14ac:dyDescent="0.25">
      <c r="B853"/>
      <c r="C853"/>
      <c r="F853"/>
      <c r="G853"/>
      <c r="H853"/>
      <c r="I853"/>
      <c r="J853"/>
      <c r="K853"/>
      <c r="L853"/>
      <c r="M853"/>
      <c r="N853"/>
      <c r="O853"/>
      <c r="P853"/>
      <c r="Q853"/>
      <c r="S853"/>
      <c r="U853"/>
    </row>
    <row r="854" spans="2:21" x14ac:dyDescent="0.25">
      <c r="B854"/>
      <c r="C854"/>
      <c r="F854"/>
      <c r="G854"/>
      <c r="H854"/>
      <c r="I854"/>
      <c r="J854"/>
      <c r="K854"/>
      <c r="L854"/>
      <c r="M854"/>
      <c r="N854"/>
      <c r="O854"/>
      <c r="P854"/>
      <c r="Q854"/>
      <c r="S854"/>
      <c r="U854"/>
    </row>
    <row r="855" spans="2:21" x14ac:dyDescent="0.25">
      <c r="B855"/>
      <c r="C855"/>
      <c r="F855"/>
      <c r="G855"/>
      <c r="H855"/>
      <c r="I855"/>
      <c r="J855"/>
      <c r="K855"/>
      <c r="L855"/>
      <c r="M855"/>
      <c r="N855"/>
      <c r="O855"/>
      <c r="P855"/>
      <c r="Q855"/>
      <c r="S855"/>
      <c r="U855"/>
    </row>
    <row r="856" spans="2:21" x14ac:dyDescent="0.25">
      <c r="B856"/>
      <c r="C856"/>
      <c r="F856"/>
      <c r="G856"/>
      <c r="H856"/>
      <c r="I856"/>
      <c r="J856"/>
      <c r="K856"/>
      <c r="L856"/>
      <c r="M856"/>
      <c r="N856"/>
      <c r="O856"/>
      <c r="P856"/>
      <c r="Q856"/>
      <c r="S856"/>
      <c r="U856"/>
    </row>
    <row r="857" spans="2:21" x14ac:dyDescent="0.25">
      <c r="B857"/>
      <c r="C857"/>
      <c r="F857"/>
      <c r="G857"/>
      <c r="H857"/>
      <c r="I857"/>
      <c r="J857"/>
      <c r="K857"/>
      <c r="L857"/>
      <c r="M857"/>
      <c r="N857"/>
      <c r="O857"/>
      <c r="P857"/>
      <c r="Q857"/>
      <c r="S857"/>
      <c r="U857"/>
    </row>
    <row r="858" spans="2:21" x14ac:dyDescent="0.25">
      <c r="B858"/>
      <c r="C858"/>
      <c r="F858"/>
      <c r="G858"/>
      <c r="H858"/>
      <c r="I858"/>
      <c r="J858"/>
      <c r="K858"/>
      <c r="L858"/>
      <c r="M858"/>
      <c r="N858"/>
      <c r="O858"/>
      <c r="P858"/>
      <c r="Q858"/>
      <c r="S858"/>
      <c r="U858"/>
    </row>
    <row r="859" spans="2:21" x14ac:dyDescent="0.25">
      <c r="B859"/>
      <c r="C859"/>
      <c r="F859"/>
      <c r="G859"/>
      <c r="H859"/>
      <c r="I859"/>
      <c r="J859"/>
      <c r="K859"/>
      <c r="L859"/>
      <c r="M859"/>
      <c r="N859"/>
      <c r="O859"/>
      <c r="P859"/>
      <c r="Q859"/>
      <c r="S859"/>
      <c r="U859"/>
    </row>
    <row r="860" spans="2:21" x14ac:dyDescent="0.25">
      <c r="B860"/>
      <c r="C860"/>
      <c r="F860"/>
      <c r="G860"/>
      <c r="H860"/>
      <c r="I860"/>
      <c r="J860"/>
      <c r="K860"/>
      <c r="L860"/>
      <c r="M860"/>
      <c r="N860"/>
      <c r="O860"/>
      <c r="P860"/>
      <c r="Q860"/>
      <c r="S860"/>
      <c r="U860"/>
    </row>
    <row r="861" spans="2:21" x14ac:dyDescent="0.25">
      <c r="B861"/>
      <c r="C861"/>
      <c r="F861"/>
      <c r="G861"/>
      <c r="H861"/>
      <c r="I861"/>
      <c r="J861"/>
      <c r="K861"/>
      <c r="L861"/>
      <c r="M861"/>
      <c r="N861"/>
      <c r="O861"/>
      <c r="P861"/>
      <c r="Q861"/>
      <c r="S861"/>
      <c r="U861"/>
    </row>
    <row r="862" spans="2:21" x14ac:dyDescent="0.25">
      <c r="B862"/>
      <c r="C862"/>
      <c r="F862"/>
      <c r="G862"/>
      <c r="H862"/>
      <c r="I862"/>
      <c r="J862"/>
      <c r="K862"/>
      <c r="L862"/>
      <c r="M862"/>
      <c r="N862"/>
      <c r="O862"/>
      <c r="P862"/>
      <c r="Q862"/>
      <c r="S862"/>
      <c r="U862"/>
    </row>
    <row r="863" spans="2:21" x14ac:dyDescent="0.25">
      <c r="B863"/>
      <c r="C863"/>
      <c r="F863"/>
      <c r="G863"/>
      <c r="H863"/>
      <c r="I863"/>
      <c r="J863"/>
      <c r="K863"/>
      <c r="L863"/>
      <c r="M863"/>
      <c r="N863"/>
      <c r="O863"/>
      <c r="P863"/>
      <c r="Q863"/>
      <c r="S863"/>
      <c r="U863"/>
    </row>
    <row r="864" spans="2:21" x14ac:dyDescent="0.25">
      <c r="B864"/>
      <c r="C864"/>
      <c r="F864"/>
      <c r="G864"/>
      <c r="H864"/>
      <c r="I864"/>
      <c r="J864"/>
      <c r="K864"/>
      <c r="L864"/>
      <c r="M864"/>
      <c r="N864"/>
      <c r="O864"/>
      <c r="P864"/>
      <c r="Q864"/>
      <c r="S864"/>
      <c r="U864"/>
    </row>
    <row r="865" spans="2:21" x14ac:dyDescent="0.25">
      <c r="B865"/>
      <c r="C865"/>
      <c r="F865"/>
      <c r="G865"/>
      <c r="H865"/>
      <c r="I865"/>
      <c r="J865"/>
      <c r="K865"/>
      <c r="L865"/>
      <c r="M865"/>
      <c r="N865"/>
      <c r="O865"/>
      <c r="P865"/>
      <c r="Q865"/>
      <c r="S865"/>
      <c r="U865"/>
    </row>
    <row r="866" spans="2:21" x14ac:dyDescent="0.25">
      <c r="B866"/>
      <c r="C866"/>
      <c r="F866"/>
      <c r="G866"/>
      <c r="H866"/>
      <c r="I866"/>
      <c r="J866"/>
      <c r="K866"/>
      <c r="L866"/>
      <c r="M866"/>
      <c r="N866"/>
      <c r="O866"/>
      <c r="P866"/>
      <c r="Q866"/>
      <c r="S866"/>
      <c r="U866"/>
    </row>
    <row r="867" spans="2:21" x14ac:dyDescent="0.25">
      <c r="B867"/>
      <c r="C867"/>
      <c r="F867"/>
      <c r="G867"/>
      <c r="H867"/>
      <c r="I867"/>
      <c r="J867"/>
      <c r="K867"/>
      <c r="L867"/>
      <c r="M867"/>
      <c r="N867"/>
      <c r="O867"/>
      <c r="P867"/>
      <c r="Q867"/>
      <c r="S867"/>
      <c r="U867"/>
    </row>
    <row r="868" spans="2:21" x14ac:dyDescent="0.25">
      <c r="B868"/>
      <c r="C868"/>
      <c r="F868"/>
      <c r="G868"/>
      <c r="H868"/>
      <c r="I868"/>
      <c r="J868"/>
      <c r="K868"/>
      <c r="L868"/>
      <c r="M868"/>
      <c r="N868"/>
      <c r="O868"/>
      <c r="P868"/>
      <c r="Q868"/>
      <c r="S868"/>
      <c r="U868"/>
    </row>
    <row r="869" spans="2:21" x14ac:dyDescent="0.25">
      <c r="B869"/>
      <c r="C869"/>
      <c r="F869"/>
      <c r="G869"/>
      <c r="H869"/>
      <c r="I869"/>
      <c r="J869"/>
      <c r="K869"/>
      <c r="L869"/>
      <c r="M869"/>
      <c r="N869"/>
      <c r="O869"/>
      <c r="P869"/>
      <c r="Q869"/>
      <c r="S869"/>
      <c r="U869"/>
    </row>
    <row r="870" spans="2:21" x14ac:dyDescent="0.25">
      <c r="B870"/>
      <c r="C870"/>
      <c r="F870"/>
      <c r="G870"/>
      <c r="H870"/>
      <c r="I870"/>
      <c r="J870"/>
      <c r="K870"/>
      <c r="L870"/>
      <c r="M870"/>
      <c r="N870"/>
      <c r="O870"/>
      <c r="P870"/>
      <c r="Q870"/>
      <c r="S870"/>
      <c r="U870"/>
    </row>
    <row r="871" spans="2:21" x14ac:dyDescent="0.25">
      <c r="B871"/>
      <c r="C871"/>
      <c r="F871"/>
      <c r="G871"/>
      <c r="H871"/>
      <c r="I871"/>
      <c r="J871"/>
      <c r="K871"/>
      <c r="L871"/>
      <c r="M871"/>
      <c r="N871"/>
      <c r="O871"/>
      <c r="P871"/>
      <c r="Q871"/>
      <c r="S871"/>
      <c r="U871"/>
    </row>
    <row r="872" spans="2:21" x14ac:dyDescent="0.25">
      <c r="B872"/>
      <c r="C872"/>
      <c r="F872"/>
      <c r="G872"/>
      <c r="H872"/>
      <c r="I872"/>
      <c r="J872"/>
      <c r="K872"/>
      <c r="L872"/>
      <c r="M872"/>
      <c r="N872"/>
      <c r="O872"/>
      <c r="P872"/>
      <c r="Q872"/>
      <c r="S872"/>
      <c r="U872"/>
    </row>
    <row r="873" spans="2:21" x14ac:dyDescent="0.25">
      <c r="B873"/>
      <c r="C873"/>
      <c r="F873"/>
      <c r="G873"/>
      <c r="H873"/>
      <c r="I873"/>
      <c r="J873"/>
      <c r="K873"/>
      <c r="L873"/>
      <c r="M873"/>
      <c r="N873"/>
      <c r="O873"/>
      <c r="P873"/>
      <c r="Q873"/>
      <c r="S873"/>
      <c r="U873"/>
    </row>
    <row r="874" spans="2:21" x14ac:dyDescent="0.25">
      <c r="B874"/>
      <c r="C874"/>
      <c r="F874"/>
      <c r="G874"/>
      <c r="H874"/>
      <c r="I874"/>
      <c r="J874"/>
      <c r="K874"/>
      <c r="L874"/>
      <c r="M874"/>
      <c r="N874"/>
      <c r="O874"/>
      <c r="P874"/>
      <c r="Q874"/>
      <c r="S874"/>
      <c r="U874"/>
    </row>
    <row r="875" spans="2:21" x14ac:dyDescent="0.25">
      <c r="B875"/>
      <c r="C875"/>
      <c r="F875"/>
      <c r="G875"/>
      <c r="H875"/>
      <c r="I875"/>
      <c r="J875"/>
      <c r="K875"/>
      <c r="L875"/>
      <c r="M875"/>
      <c r="N875"/>
      <c r="O875"/>
      <c r="P875"/>
      <c r="Q875"/>
      <c r="S875"/>
      <c r="U875"/>
    </row>
    <row r="876" spans="2:21" x14ac:dyDescent="0.25">
      <c r="B876"/>
      <c r="C876"/>
      <c r="F876"/>
      <c r="G876"/>
      <c r="H876"/>
      <c r="I876"/>
      <c r="J876"/>
      <c r="K876"/>
      <c r="L876"/>
      <c r="M876"/>
      <c r="N876"/>
      <c r="O876"/>
      <c r="P876"/>
      <c r="Q876"/>
      <c r="S876"/>
      <c r="U876"/>
    </row>
    <row r="877" spans="2:21" x14ac:dyDescent="0.25">
      <c r="B877"/>
      <c r="C877"/>
      <c r="F877"/>
      <c r="G877"/>
      <c r="H877"/>
      <c r="I877"/>
      <c r="J877"/>
      <c r="K877"/>
      <c r="L877"/>
      <c r="M877"/>
      <c r="N877"/>
      <c r="O877"/>
      <c r="P877"/>
      <c r="Q877"/>
      <c r="S877"/>
      <c r="U877"/>
    </row>
    <row r="878" spans="2:21" x14ac:dyDescent="0.25">
      <c r="B878"/>
      <c r="C878"/>
      <c r="F878"/>
      <c r="G878"/>
      <c r="H878"/>
      <c r="I878"/>
      <c r="J878"/>
      <c r="K878"/>
      <c r="L878"/>
      <c r="M878"/>
      <c r="N878"/>
      <c r="O878"/>
      <c r="P878"/>
      <c r="Q878"/>
      <c r="S878"/>
      <c r="U878"/>
    </row>
    <row r="879" spans="2:21" x14ac:dyDescent="0.25">
      <c r="B879"/>
      <c r="C879"/>
      <c r="F879"/>
      <c r="G879"/>
      <c r="H879"/>
      <c r="I879"/>
      <c r="J879"/>
      <c r="K879"/>
      <c r="L879"/>
      <c r="M879"/>
      <c r="N879"/>
      <c r="O879"/>
      <c r="P879"/>
      <c r="Q879"/>
      <c r="S879"/>
      <c r="U879"/>
    </row>
    <row r="880" spans="2:21" x14ac:dyDescent="0.25">
      <c r="B880"/>
      <c r="C880"/>
      <c r="F880"/>
      <c r="G880"/>
      <c r="H880"/>
      <c r="I880"/>
      <c r="J880"/>
      <c r="K880"/>
      <c r="L880"/>
      <c r="M880"/>
      <c r="N880"/>
      <c r="O880"/>
      <c r="P880"/>
      <c r="Q880"/>
      <c r="S880"/>
      <c r="U880"/>
    </row>
    <row r="881" spans="2:21" x14ac:dyDescent="0.25">
      <c r="B881"/>
      <c r="C881"/>
      <c r="F881"/>
      <c r="G881"/>
      <c r="H881"/>
      <c r="I881"/>
      <c r="J881"/>
      <c r="K881"/>
      <c r="L881"/>
      <c r="M881"/>
      <c r="N881"/>
      <c r="O881"/>
      <c r="P881"/>
      <c r="Q881"/>
      <c r="S881"/>
      <c r="U881"/>
    </row>
    <row r="882" spans="2:21" x14ac:dyDescent="0.25">
      <c r="B882"/>
      <c r="C882"/>
      <c r="F882"/>
      <c r="G882"/>
      <c r="H882"/>
      <c r="I882"/>
      <c r="J882"/>
      <c r="K882"/>
      <c r="L882"/>
      <c r="M882"/>
      <c r="N882"/>
      <c r="O882"/>
      <c r="P882"/>
      <c r="Q882"/>
      <c r="S882"/>
      <c r="U882"/>
    </row>
    <row r="883" spans="2:21" x14ac:dyDescent="0.25">
      <c r="B883"/>
      <c r="C883"/>
      <c r="F883"/>
      <c r="G883"/>
      <c r="H883"/>
      <c r="I883"/>
      <c r="J883"/>
      <c r="K883"/>
      <c r="L883"/>
      <c r="M883"/>
      <c r="N883"/>
      <c r="O883"/>
      <c r="P883"/>
      <c r="Q883"/>
      <c r="S883"/>
      <c r="U883"/>
    </row>
    <row r="884" spans="2:21" x14ac:dyDescent="0.25">
      <c r="B884"/>
      <c r="C884"/>
      <c r="F884"/>
      <c r="G884"/>
      <c r="H884"/>
      <c r="I884"/>
      <c r="J884"/>
      <c r="K884"/>
      <c r="L884"/>
      <c r="M884"/>
      <c r="N884"/>
      <c r="O884"/>
      <c r="P884"/>
      <c r="Q884"/>
      <c r="S884"/>
      <c r="U884"/>
    </row>
    <row r="885" spans="2:21" x14ac:dyDescent="0.25">
      <c r="B885"/>
      <c r="C885"/>
      <c r="F885"/>
      <c r="G885"/>
      <c r="H885"/>
      <c r="I885"/>
      <c r="J885"/>
      <c r="K885"/>
      <c r="L885"/>
      <c r="M885"/>
      <c r="N885"/>
      <c r="O885"/>
      <c r="P885"/>
      <c r="Q885"/>
      <c r="S885"/>
      <c r="U885"/>
    </row>
    <row r="886" spans="2:21" x14ac:dyDescent="0.25">
      <c r="B886"/>
      <c r="C886"/>
      <c r="F886"/>
      <c r="G886"/>
      <c r="H886"/>
      <c r="I886"/>
      <c r="J886"/>
      <c r="K886"/>
      <c r="L886"/>
      <c r="M886"/>
      <c r="N886"/>
      <c r="O886"/>
      <c r="P886"/>
      <c r="Q886"/>
      <c r="S886"/>
      <c r="U886"/>
    </row>
    <row r="887" spans="2:21" x14ac:dyDescent="0.25">
      <c r="B887"/>
      <c r="C887"/>
      <c r="F887"/>
      <c r="G887"/>
      <c r="H887"/>
      <c r="I887"/>
      <c r="J887"/>
      <c r="K887"/>
      <c r="L887"/>
      <c r="M887"/>
      <c r="N887"/>
      <c r="O887"/>
      <c r="P887"/>
      <c r="Q887"/>
      <c r="S887"/>
      <c r="U887"/>
    </row>
    <row r="888" spans="2:21" x14ac:dyDescent="0.25">
      <c r="B888"/>
      <c r="C888"/>
      <c r="F888"/>
      <c r="G888"/>
      <c r="H888"/>
      <c r="I888"/>
      <c r="J888"/>
      <c r="K888"/>
      <c r="L888"/>
      <c r="M888"/>
      <c r="N888"/>
      <c r="O888"/>
      <c r="P888"/>
      <c r="Q888"/>
      <c r="S888"/>
      <c r="U888"/>
    </row>
    <row r="889" spans="2:21" x14ac:dyDescent="0.25">
      <c r="B889"/>
      <c r="C889"/>
      <c r="F889"/>
      <c r="G889"/>
      <c r="H889"/>
      <c r="I889"/>
      <c r="J889"/>
      <c r="K889"/>
      <c r="L889"/>
      <c r="M889"/>
      <c r="N889"/>
      <c r="O889"/>
      <c r="P889"/>
      <c r="Q889"/>
      <c r="S889"/>
      <c r="U889"/>
    </row>
    <row r="890" spans="2:21" x14ac:dyDescent="0.25">
      <c r="B890"/>
      <c r="C890"/>
      <c r="F890"/>
      <c r="G890"/>
      <c r="H890"/>
      <c r="I890"/>
      <c r="J890"/>
      <c r="K890"/>
      <c r="L890"/>
      <c r="M890"/>
      <c r="N890"/>
      <c r="O890"/>
      <c r="P890"/>
      <c r="Q890"/>
      <c r="S890"/>
      <c r="U890"/>
    </row>
    <row r="891" spans="2:21" x14ac:dyDescent="0.25">
      <c r="B891"/>
      <c r="C891"/>
      <c r="F891"/>
      <c r="G891"/>
      <c r="H891"/>
      <c r="I891"/>
      <c r="J891"/>
      <c r="K891"/>
      <c r="L891"/>
      <c r="M891"/>
      <c r="N891"/>
      <c r="O891"/>
      <c r="P891"/>
      <c r="Q891"/>
      <c r="S891"/>
      <c r="U891"/>
    </row>
    <row r="892" spans="2:21" x14ac:dyDescent="0.25">
      <c r="B892"/>
      <c r="C892"/>
      <c r="F892"/>
      <c r="G892"/>
      <c r="H892"/>
      <c r="I892"/>
      <c r="J892"/>
      <c r="K892"/>
      <c r="L892"/>
      <c r="M892"/>
      <c r="N892"/>
      <c r="O892"/>
      <c r="P892"/>
      <c r="Q892"/>
      <c r="S892"/>
      <c r="U892"/>
    </row>
    <row r="893" spans="2:21" x14ac:dyDescent="0.25">
      <c r="B893"/>
      <c r="C893"/>
      <c r="F893"/>
      <c r="G893"/>
      <c r="H893"/>
      <c r="I893"/>
      <c r="J893"/>
      <c r="K893"/>
      <c r="L893"/>
      <c r="M893"/>
      <c r="N893"/>
      <c r="O893"/>
      <c r="P893"/>
      <c r="Q893"/>
      <c r="S893"/>
      <c r="U893"/>
    </row>
    <row r="894" spans="2:21" x14ac:dyDescent="0.25">
      <c r="B894"/>
      <c r="C894"/>
      <c r="F894"/>
      <c r="G894"/>
      <c r="H894"/>
      <c r="I894"/>
      <c r="J894"/>
      <c r="K894"/>
      <c r="L894"/>
      <c r="M894"/>
      <c r="N894"/>
      <c r="O894"/>
      <c r="P894"/>
      <c r="Q894"/>
      <c r="S894"/>
      <c r="U894"/>
    </row>
    <row r="895" spans="2:21" x14ac:dyDescent="0.25">
      <c r="B895"/>
      <c r="C895"/>
      <c r="F895"/>
      <c r="G895"/>
      <c r="H895"/>
      <c r="I895"/>
      <c r="J895"/>
      <c r="K895"/>
      <c r="L895"/>
      <c r="M895"/>
      <c r="N895"/>
      <c r="O895"/>
      <c r="P895"/>
      <c r="Q895"/>
      <c r="S895"/>
      <c r="U895"/>
    </row>
    <row r="896" spans="2:21" x14ac:dyDescent="0.25">
      <c r="B896"/>
      <c r="C896"/>
      <c r="F896"/>
      <c r="G896"/>
      <c r="H896"/>
      <c r="I896"/>
      <c r="J896"/>
      <c r="K896"/>
      <c r="L896"/>
      <c r="M896"/>
      <c r="N896"/>
      <c r="O896"/>
      <c r="P896"/>
      <c r="Q896"/>
      <c r="S896"/>
      <c r="U896"/>
    </row>
    <row r="897" spans="2:21" x14ac:dyDescent="0.25">
      <c r="B897"/>
      <c r="C897"/>
      <c r="F897"/>
      <c r="G897"/>
      <c r="H897"/>
      <c r="I897"/>
      <c r="J897"/>
      <c r="K897"/>
      <c r="L897"/>
      <c r="M897"/>
      <c r="N897"/>
      <c r="O897"/>
      <c r="P897"/>
      <c r="Q897"/>
      <c r="S897"/>
      <c r="U897"/>
    </row>
    <row r="898" spans="2:21" x14ac:dyDescent="0.25">
      <c r="B898"/>
      <c r="C898"/>
      <c r="F898"/>
      <c r="G898"/>
      <c r="H898"/>
      <c r="I898"/>
      <c r="J898"/>
      <c r="K898"/>
      <c r="L898"/>
      <c r="M898"/>
      <c r="N898"/>
      <c r="O898"/>
      <c r="P898"/>
      <c r="Q898"/>
      <c r="S898"/>
      <c r="U898"/>
    </row>
    <row r="899" spans="2:21" x14ac:dyDescent="0.25">
      <c r="B899"/>
      <c r="C899"/>
      <c r="F899"/>
      <c r="G899"/>
      <c r="H899"/>
      <c r="I899"/>
      <c r="J899"/>
      <c r="K899"/>
      <c r="L899"/>
      <c r="M899"/>
      <c r="N899"/>
      <c r="O899"/>
      <c r="P899"/>
      <c r="Q899"/>
      <c r="S899"/>
      <c r="U899"/>
    </row>
    <row r="900" spans="2:21" x14ac:dyDescent="0.25">
      <c r="B900"/>
      <c r="C900"/>
      <c r="F900"/>
      <c r="G900"/>
      <c r="H900"/>
      <c r="I900"/>
      <c r="J900"/>
      <c r="K900"/>
      <c r="L900"/>
      <c r="M900"/>
      <c r="N900"/>
      <c r="O900"/>
      <c r="P900"/>
      <c r="Q900"/>
      <c r="S900"/>
      <c r="U900"/>
    </row>
    <row r="901" spans="2:21" x14ac:dyDescent="0.25">
      <c r="B901"/>
      <c r="C901"/>
      <c r="F901"/>
      <c r="G901"/>
      <c r="H901"/>
      <c r="I901"/>
      <c r="J901"/>
      <c r="K901"/>
      <c r="L901"/>
      <c r="M901"/>
      <c r="N901"/>
      <c r="O901"/>
      <c r="P901"/>
      <c r="Q901"/>
      <c r="S901"/>
      <c r="U901"/>
    </row>
    <row r="902" spans="2:21" x14ac:dyDescent="0.25">
      <c r="B902"/>
      <c r="C902"/>
      <c r="F902"/>
      <c r="G902"/>
      <c r="H902"/>
      <c r="I902"/>
      <c r="J902"/>
      <c r="K902"/>
      <c r="L902"/>
      <c r="M902"/>
      <c r="N902"/>
      <c r="O902"/>
      <c r="P902"/>
      <c r="Q902"/>
      <c r="S902"/>
      <c r="U902"/>
    </row>
    <row r="903" spans="2:21" x14ac:dyDescent="0.25">
      <c r="B903"/>
      <c r="C903"/>
      <c r="F903"/>
      <c r="G903"/>
      <c r="H903"/>
      <c r="I903"/>
      <c r="J903"/>
      <c r="K903"/>
      <c r="L903"/>
      <c r="M903"/>
      <c r="N903"/>
      <c r="O903"/>
      <c r="P903"/>
      <c r="Q903"/>
      <c r="S903"/>
      <c r="U903"/>
    </row>
    <row r="904" spans="2:21" x14ac:dyDescent="0.25">
      <c r="B904"/>
      <c r="C904"/>
      <c r="F904"/>
      <c r="G904"/>
      <c r="H904"/>
      <c r="I904"/>
      <c r="J904"/>
      <c r="K904"/>
      <c r="L904"/>
      <c r="M904"/>
      <c r="N904"/>
      <c r="O904"/>
      <c r="P904"/>
      <c r="Q904"/>
      <c r="S904"/>
      <c r="U904"/>
    </row>
    <row r="905" spans="2:21" x14ac:dyDescent="0.25">
      <c r="B905"/>
      <c r="C905"/>
      <c r="F905"/>
      <c r="G905"/>
      <c r="H905"/>
      <c r="I905"/>
      <c r="J905"/>
      <c r="K905"/>
      <c r="L905"/>
      <c r="M905"/>
      <c r="N905"/>
      <c r="O905"/>
      <c r="P905"/>
      <c r="Q905"/>
      <c r="S905"/>
      <c r="U905"/>
    </row>
    <row r="906" spans="2:21" x14ac:dyDescent="0.25">
      <c r="B906"/>
      <c r="C906"/>
      <c r="F906"/>
      <c r="G906"/>
      <c r="H906"/>
      <c r="I906"/>
      <c r="J906"/>
      <c r="K906"/>
      <c r="L906"/>
      <c r="M906"/>
      <c r="N906"/>
      <c r="O906"/>
      <c r="P906"/>
      <c r="Q906"/>
      <c r="S906"/>
      <c r="U906"/>
    </row>
    <row r="907" spans="2:21" x14ac:dyDescent="0.25">
      <c r="B907"/>
      <c r="C907"/>
      <c r="F907"/>
      <c r="G907"/>
      <c r="H907"/>
      <c r="I907"/>
      <c r="J907"/>
      <c r="K907"/>
      <c r="L907"/>
      <c r="M907"/>
      <c r="N907"/>
      <c r="O907"/>
      <c r="P907"/>
      <c r="Q907"/>
      <c r="S907"/>
      <c r="U907"/>
    </row>
    <row r="908" spans="2:21" x14ac:dyDescent="0.25">
      <c r="B908"/>
      <c r="C908"/>
      <c r="F908"/>
      <c r="G908"/>
      <c r="H908"/>
      <c r="I908"/>
      <c r="J908"/>
      <c r="K908"/>
      <c r="L908"/>
      <c r="M908"/>
      <c r="N908"/>
      <c r="O908"/>
      <c r="P908"/>
      <c r="Q908"/>
      <c r="S908"/>
      <c r="U908"/>
    </row>
    <row r="909" spans="2:21" x14ac:dyDescent="0.25">
      <c r="B909"/>
      <c r="C909"/>
      <c r="F909"/>
      <c r="G909"/>
      <c r="H909"/>
      <c r="I909"/>
      <c r="J909"/>
      <c r="K909"/>
      <c r="L909"/>
      <c r="M909"/>
      <c r="N909"/>
      <c r="O909"/>
      <c r="P909"/>
      <c r="Q909"/>
      <c r="S909"/>
      <c r="U909"/>
    </row>
    <row r="910" spans="2:21" x14ac:dyDescent="0.25">
      <c r="B910"/>
      <c r="C910"/>
      <c r="F910"/>
      <c r="G910"/>
      <c r="H910"/>
      <c r="I910"/>
      <c r="J910"/>
      <c r="K910"/>
      <c r="L910"/>
      <c r="M910"/>
      <c r="N910"/>
      <c r="O910"/>
      <c r="P910"/>
      <c r="Q910"/>
      <c r="S910"/>
      <c r="U910"/>
    </row>
    <row r="911" spans="2:21" x14ac:dyDescent="0.25">
      <c r="B911"/>
      <c r="C911"/>
      <c r="F911"/>
      <c r="G911"/>
      <c r="H911"/>
      <c r="I911"/>
      <c r="J911"/>
      <c r="K911"/>
      <c r="L911"/>
      <c r="M911"/>
      <c r="N911"/>
      <c r="O911"/>
      <c r="P911"/>
      <c r="Q911"/>
      <c r="S911"/>
      <c r="U911"/>
    </row>
    <row r="912" spans="2:21" x14ac:dyDescent="0.25">
      <c r="B912"/>
      <c r="C912"/>
      <c r="F912"/>
      <c r="G912"/>
      <c r="H912"/>
      <c r="I912"/>
      <c r="J912"/>
      <c r="K912"/>
      <c r="L912"/>
      <c r="M912"/>
      <c r="N912"/>
      <c r="O912"/>
      <c r="P912"/>
      <c r="Q912"/>
      <c r="S912"/>
      <c r="U912"/>
    </row>
    <row r="913" spans="2:21" x14ac:dyDescent="0.25">
      <c r="B913"/>
      <c r="C913"/>
      <c r="F913"/>
      <c r="G913"/>
      <c r="H913"/>
      <c r="I913"/>
      <c r="J913"/>
      <c r="K913"/>
      <c r="L913"/>
      <c r="M913"/>
      <c r="N913"/>
      <c r="O913"/>
      <c r="P913"/>
      <c r="Q913"/>
      <c r="S913"/>
      <c r="U913"/>
    </row>
    <row r="914" spans="2:21" x14ac:dyDescent="0.25">
      <c r="B914"/>
      <c r="C914"/>
      <c r="F914"/>
      <c r="G914"/>
      <c r="H914"/>
      <c r="I914"/>
      <c r="J914"/>
      <c r="K914"/>
      <c r="L914"/>
      <c r="M914"/>
      <c r="N914"/>
      <c r="O914"/>
      <c r="P914"/>
      <c r="Q914"/>
      <c r="S914"/>
      <c r="U914"/>
    </row>
    <row r="915" spans="2:21" x14ac:dyDescent="0.25">
      <c r="B915"/>
      <c r="C915"/>
      <c r="F915"/>
      <c r="G915"/>
      <c r="H915"/>
      <c r="I915"/>
      <c r="J915"/>
      <c r="K915"/>
      <c r="L915"/>
      <c r="M915"/>
      <c r="N915"/>
      <c r="O915"/>
      <c r="P915"/>
      <c r="Q915"/>
      <c r="S915"/>
      <c r="U915"/>
    </row>
    <row r="916" spans="2:21" x14ac:dyDescent="0.25">
      <c r="B916"/>
      <c r="C916"/>
      <c r="F916"/>
      <c r="G916"/>
      <c r="H916"/>
      <c r="I916"/>
      <c r="J916"/>
      <c r="K916"/>
      <c r="L916"/>
      <c r="M916"/>
      <c r="N916"/>
      <c r="O916"/>
      <c r="P916"/>
      <c r="Q916"/>
      <c r="S916"/>
      <c r="U916"/>
    </row>
    <row r="917" spans="2:21" x14ac:dyDescent="0.25">
      <c r="B917"/>
      <c r="C917"/>
      <c r="F917"/>
      <c r="G917"/>
      <c r="H917"/>
      <c r="I917"/>
      <c r="J917"/>
      <c r="K917"/>
      <c r="L917"/>
      <c r="M917"/>
      <c r="N917"/>
      <c r="O917"/>
      <c r="P917"/>
      <c r="Q917"/>
      <c r="S917"/>
      <c r="U917"/>
    </row>
    <row r="918" spans="2:21" x14ac:dyDescent="0.25">
      <c r="B918"/>
      <c r="C918"/>
      <c r="F918"/>
      <c r="G918"/>
      <c r="H918"/>
      <c r="I918"/>
      <c r="J918"/>
      <c r="K918"/>
      <c r="L918"/>
      <c r="M918"/>
      <c r="N918"/>
      <c r="O918"/>
      <c r="P918"/>
      <c r="Q918"/>
      <c r="S918"/>
      <c r="U918"/>
    </row>
    <row r="919" spans="2:21" x14ac:dyDescent="0.25">
      <c r="B919"/>
      <c r="C919"/>
      <c r="F919"/>
      <c r="G919"/>
      <c r="H919"/>
      <c r="I919"/>
      <c r="J919"/>
      <c r="K919"/>
      <c r="L919"/>
      <c r="M919"/>
      <c r="N919"/>
      <c r="O919"/>
      <c r="P919"/>
      <c r="Q919"/>
      <c r="S919"/>
      <c r="U919"/>
    </row>
    <row r="920" spans="2:21" x14ac:dyDescent="0.25">
      <c r="B920"/>
      <c r="C920"/>
      <c r="F920"/>
      <c r="G920"/>
      <c r="H920"/>
      <c r="I920"/>
      <c r="J920"/>
      <c r="K920"/>
      <c r="L920"/>
      <c r="M920"/>
      <c r="N920"/>
      <c r="O920"/>
      <c r="P920"/>
      <c r="Q920"/>
      <c r="S920"/>
      <c r="U920"/>
    </row>
    <row r="921" spans="2:21" x14ac:dyDescent="0.25">
      <c r="B921"/>
      <c r="C921"/>
      <c r="F921"/>
      <c r="G921"/>
      <c r="H921"/>
      <c r="I921"/>
      <c r="J921"/>
      <c r="K921"/>
      <c r="L921"/>
      <c r="M921"/>
      <c r="N921"/>
      <c r="O921"/>
      <c r="P921"/>
      <c r="Q921"/>
      <c r="S921"/>
      <c r="U921"/>
    </row>
    <row r="922" spans="2:21" x14ac:dyDescent="0.25">
      <c r="B922"/>
      <c r="C922"/>
      <c r="F922"/>
      <c r="G922"/>
      <c r="H922"/>
      <c r="I922"/>
      <c r="J922"/>
      <c r="K922"/>
      <c r="L922"/>
      <c r="M922"/>
      <c r="N922"/>
      <c r="O922"/>
      <c r="P922"/>
      <c r="Q922"/>
      <c r="S922"/>
      <c r="U922"/>
    </row>
    <row r="923" spans="2:21" x14ac:dyDescent="0.25">
      <c r="B923"/>
      <c r="C923"/>
      <c r="F923"/>
      <c r="G923"/>
      <c r="H923"/>
      <c r="I923"/>
      <c r="J923"/>
      <c r="K923"/>
      <c r="L923"/>
      <c r="M923"/>
      <c r="N923"/>
      <c r="O923"/>
      <c r="P923"/>
      <c r="Q923"/>
      <c r="S923"/>
      <c r="U923"/>
    </row>
    <row r="924" spans="2:21" x14ac:dyDescent="0.25">
      <c r="B924"/>
      <c r="C924"/>
      <c r="F924"/>
      <c r="G924"/>
      <c r="H924"/>
      <c r="I924"/>
      <c r="J924"/>
      <c r="K924"/>
      <c r="L924"/>
      <c r="M924"/>
      <c r="N924"/>
      <c r="O924"/>
      <c r="P924"/>
      <c r="Q924"/>
      <c r="S924"/>
      <c r="U924"/>
    </row>
    <row r="925" spans="2:21" x14ac:dyDescent="0.25">
      <c r="B925"/>
      <c r="C925"/>
      <c r="F925"/>
      <c r="G925"/>
      <c r="H925"/>
      <c r="I925"/>
      <c r="J925"/>
      <c r="K925"/>
      <c r="L925"/>
      <c r="M925"/>
      <c r="N925"/>
      <c r="O925"/>
      <c r="P925"/>
      <c r="Q925"/>
      <c r="S925"/>
      <c r="U925"/>
    </row>
    <row r="926" spans="2:21" x14ac:dyDescent="0.25">
      <c r="B926"/>
      <c r="C926"/>
      <c r="F926"/>
      <c r="G926"/>
      <c r="H926"/>
      <c r="I926"/>
      <c r="J926"/>
      <c r="K926"/>
      <c r="L926"/>
      <c r="M926"/>
      <c r="N926"/>
      <c r="O926"/>
      <c r="P926"/>
      <c r="Q926"/>
      <c r="S926"/>
      <c r="U926"/>
    </row>
    <row r="927" spans="2:21" x14ac:dyDescent="0.25">
      <c r="B927"/>
      <c r="C927"/>
      <c r="F927"/>
      <c r="G927"/>
      <c r="H927"/>
      <c r="I927"/>
      <c r="J927"/>
      <c r="K927"/>
      <c r="L927"/>
      <c r="M927"/>
      <c r="N927"/>
      <c r="O927"/>
      <c r="P927"/>
      <c r="Q927"/>
      <c r="S927"/>
      <c r="U927"/>
    </row>
    <row r="928" spans="2:21" x14ac:dyDescent="0.25">
      <c r="B928"/>
      <c r="C928"/>
      <c r="F928"/>
      <c r="G928"/>
      <c r="H928"/>
      <c r="I928"/>
      <c r="J928"/>
      <c r="K928"/>
      <c r="L928"/>
      <c r="M928"/>
      <c r="N928"/>
      <c r="O928"/>
      <c r="P928"/>
      <c r="Q928"/>
      <c r="S928"/>
      <c r="U928"/>
    </row>
    <row r="929" spans="2:21" x14ac:dyDescent="0.25">
      <c r="B929"/>
      <c r="C929"/>
      <c r="F929"/>
      <c r="G929"/>
      <c r="H929"/>
      <c r="I929"/>
      <c r="J929"/>
      <c r="K929"/>
      <c r="L929"/>
      <c r="M929"/>
      <c r="N929"/>
      <c r="O929"/>
      <c r="P929"/>
      <c r="Q929"/>
      <c r="S929"/>
      <c r="U929"/>
    </row>
    <row r="930" spans="2:21" x14ac:dyDescent="0.25">
      <c r="B930"/>
      <c r="C930"/>
      <c r="F930"/>
      <c r="G930"/>
      <c r="H930"/>
      <c r="I930"/>
      <c r="J930"/>
      <c r="K930"/>
      <c r="L930"/>
      <c r="M930"/>
      <c r="N930"/>
      <c r="O930"/>
      <c r="P930"/>
      <c r="Q930"/>
      <c r="S930"/>
      <c r="U930"/>
    </row>
    <row r="931" spans="2:21" x14ac:dyDescent="0.25">
      <c r="B931"/>
      <c r="C931"/>
      <c r="F931"/>
      <c r="G931"/>
      <c r="H931"/>
      <c r="I931"/>
      <c r="J931"/>
      <c r="K931"/>
      <c r="L931"/>
      <c r="M931"/>
      <c r="N931"/>
      <c r="O931"/>
      <c r="P931"/>
      <c r="Q931"/>
      <c r="S931"/>
      <c r="U931"/>
    </row>
    <row r="932" spans="2:21" x14ac:dyDescent="0.25">
      <c r="B932"/>
      <c r="C932"/>
      <c r="F932"/>
      <c r="G932"/>
      <c r="H932"/>
      <c r="I932"/>
      <c r="J932"/>
      <c r="K932"/>
      <c r="L932"/>
      <c r="M932"/>
      <c r="N932"/>
      <c r="O932"/>
      <c r="P932"/>
      <c r="Q932"/>
      <c r="S932"/>
      <c r="U932"/>
    </row>
    <row r="933" spans="2:21" x14ac:dyDescent="0.25">
      <c r="B933"/>
      <c r="C933"/>
      <c r="F933"/>
      <c r="G933"/>
      <c r="H933"/>
      <c r="I933"/>
      <c r="J933"/>
      <c r="K933"/>
      <c r="L933"/>
      <c r="M933"/>
      <c r="N933"/>
      <c r="O933"/>
      <c r="P933"/>
      <c r="Q933"/>
      <c r="S933"/>
      <c r="U933"/>
    </row>
    <row r="934" spans="2:21" x14ac:dyDescent="0.25">
      <c r="B934"/>
      <c r="C934"/>
      <c r="F934"/>
      <c r="G934"/>
      <c r="H934"/>
      <c r="I934"/>
      <c r="J934"/>
      <c r="K934"/>
      <c r="L934"/>
      <c r="M934"/>
      <c r="N934"/>
      <c r="O934"/>
      <c r="P934"/>
      <c r="Q934"/>
      <c r="S934"/>
      <c r="U934"/>
    </row>
    <row r="935" spans="2:21" x14ac:dyDescent="0.25">
      <c r="B935"/>
      <c r="C935"/>
      <c r="F935"/>
      <c r="G935"/>
      <c r="H935"/>
      <c r="I935"/>
      <c r="J935"/>
      <c r="K935"/>
      <c r="L935"/>
      <c r="M935"/>
      <c r="N935"/>
      <c r="O935"/>
      <c r="P935"/>
      <c r="Q935"/>
      <c r="S935"/>
      <c r="U935"/>
    </row>
    <row r="936" spans="2:21" x14ac:dyDescent="0.25">
      <c r="B936"/>
      <c r="C936"/>
      <c r="F936"/>
      <c r="G936"/>
      <c r="H936"/>
      <c r="I936"/>
      <c r="J936"/>
      <c r="K936"/>
      <c r="L936"/>
      <c r="M936"/>
      <c r="N936"/>
      <c r="O936"/>
      <c r="P936"/>
      <c r="Q936"/>
      <c r="S936"/>
      <c r="U936"/>
    </row>
    <row r="937" spans="2:21" x14ac:dyDescent="0.25">
      <c r="B937"/>
      <c r="C937"/>
      <c r="F937"/>
      <c r="G937"/>
      <c r="H937"/>
      <c r="I937"/>
      <c r="J937"/>
      <c r="K937"/>
      <c r="L937"/>
      <c r="M937"/>
      <c r="N937"/>
      <c r="O937"/>
      <c r="P937"/>
      <c r="Q937"/>
      <c r="S937"/>
      <c r="U937"/>
    </row>
    <row r="938" spans="2:21" x14ac:dyDescent="0.25">
      <c r="B938"/>
      <c r="C938"/>
      <c r="F938"/>
      <c r="G938"/>
      <c r="H938"/>
      <c r="I938"/>
      <c r="J938"/>
      <c r="K938"/>
      <c r="L938"/>
      <c r="M938"/>
      <c r="N938"/>
      <c r="O938"/>
      <c r="P938"/>
      <c r="Q938"/>
      <c r="S938"/>
      <c r="U938"/>
    </row>
    <row r="939" spans="2:21" x14ac:dyDescent="0.25">
      <c r="B939"/>
      <c r="C939"/>
      <c r="F939"/>
      <c r="G939"/>
      <c r="H939"/>
      <c r="I939"/>
      <c r="J939"/>
      <c r="K939"/>
      <c r="L939"/>
      <c r="M939"/>
      <c r="N939"/>
      <c r="O939"/>
      <c r="P939"/>
      <c r="Q939"/>
      <c r="S939"/>
      <c r="U939"/>
    </row>
    <row r="940" spans="2:21" x14ac:dyDescent="0.25">
      <c r="B940"/>
      <c r="C940"/>
      <c r="F940"/>
      <c r="G940"/>
      <c r="H940"/>
      <c r="I940"/>
      <c r="J940"/>
      <c r="K940"/>
      <c r="L940"/>
      <c r="M940"/>
      <c r="N940"/>
      <c r="O940"/>
      <c r="P940"/>
      <c r="Q940"/>
      <c r="S940"/>
      <c r="U940"/>
    </row>
    <row r="941" spans="2:21" x14ac:dyDescent="0.25">
      <c r="B941"/>
      <c r="C941"/>
      <c r="F941"/>
      <c r="G941"/>
      <c r="H941"/>
      <c r="I941"/>
      <c r="J941"/>
      <c r="K941"/>
      <c r="L941"/>
      <c r="M941"/>
      <c r="N941"/>
      <c r="O941"/>
      <c r="P941"/>
      <c r="Q941"/>
      <c r="S941"/>
      <c r="U941"/>
    </row>
    <row r="942" spans="2:21" x14ac:dyDescent="0.25">
      <c r="B942"/>
      <c r="C942"/>
      <c r="F942"/>
      <c r="G942"/>
      <c r="H942"/>
      <c r="I942"/>
      <c r="J942"/>
      <c r="K942"/>
      <c r="L942"/>
      <c r="M942"/>
      <c r="N942"/>
      <c r="O942"/>
      <c r="P942"/>
      <c r="Q942"/>
      <c r="S942"/>
      <c r="U942"/>
    </row>
    <row r="943" spans="2:21" x14ac:dyDescent="0.25">
      <c r="B943"/>
      <c r="C943"/>
      <c r="F943"/>
      <c r="G943"/>
      <c r="H943"/>
      <c r="I943"/>
      <c r="J943"/>
      <c r="K943"/>
      <c r="L943"/>
      <c r="M943"/>
      <c r="N943"/>
      <c r="O943"/>
      <c r="P943"/>
      <c r="Q943"/>
      <c r="S943"/>
      <c r="U943"/>
    </row>
    <row r="944" spans="2:21" x14ac:dyDescent="0.25">
      <c r="B944"/>
      <c r="C944"/>
      <c r="F944"/>
      <c r="G944"/>
      <c r="H944"/>
      <c r="I944"/>
      <c r="J944"/>
      <c r="K944"/>
      <c r="L944"/>
      <c r="M944"/>
      <c r="N944"/>
      <c r="O944"/>
      <c r="P944"/>
      <c r="Q944"/>
      <c r="S944"/>
      <c r="U944"/>
    </row>
    <row r="945" spans="2:21" x14ac:dyDescent="0.25">
      <c r="B945"/>
      <c r="C945"/>
      <c r="F945"/>
      <c r="G945"/>
      <c r="H945"/>
      <c r="I945"/>
      <c r="J945"/>
      <c r="K945"/>
      <c r="L945"/>
      <c r="M945"/>
      <c r="N945"/>
      <c r="O945"/>
      <c r="P945"/>
      <c r="Q945"/>
      <c r="S945"/>
      <c r="U945"/>
    </row>
    <row r="946" spans="2:21" x14ac:dyDescent="0.25">
      <c r="B946"/>
      <c r="C946"/>
      <c r="F946"/>
      <c r="G946"/>
      <c r="H946"/>
      <c r="I946"/>
      <c r="J946"/>
      <c r="K946"/>
      <c r="L946"/>
      <c r="M946"/>
      <c r="N946"/>
      <c r="O946"/>
      <c r="P946"/>
      <c r="Q946"/>
      <c r="S946"/>
      <c r="U946"/>
    </row>
    <row r="947" spans="2:21" x14ac:dyDescent="0.25">
      <c r="B947"/>
      <c r="C947"/>
      <c r="F947"/>
      <c r="G947"/>
      <c r="H947"/>
      <c r="I947"/>
      <c r="J947"/>
      <c r="K947"/>
      <c r="L947"/>
      <c r="M947"/>
      <c r="N947"/>
      <c r="O947"/>
      <c r="P947"/>
      <c r="Q947"/>
      <c r="S947"/>
      <c r="U947"/>
    </row>
    <row r="948" spans="2:21" x14ac:dyDescent="0.25">
      <c r="B948"/>
      <c r="C948"/>
      <c r="F948"/>
      <c r="G948"/>
      <c r="H948"/>
      <c r="I948"/>
      <c r="J948"/>
      <c r="K948"/>
      <c r="L948"/>
      <c r="M948"/>
      <c r="N948"/>
      <c r="O948"/>
      <c r="P948"/>
      <c r="Q948"/>
      <c r="S948"/>
      <c r="U948"/>
    </row>
    <row r="949" spans="2:21" x14ac:dyDescent="0.25">
      <c r="B949"/>
      <c r="C949"/>
      <c r="F949"/>
      <c r="G949"/>
      <c r="H949"/>
      <c r="I949"/>
      <c r="J949"/>
      <c r="K949"/>
      <c r="L949"/>
      <c r="M949"/>
      <c r="N949"/>
      <c r="O949"/>
      <c r="P949"/>
      <c r="Q949"/>
      <c r="S949"/>
      <c r="U949"/>
    </row>
    <row r="950" spans="2:21" x14ac:dyDescent="0.25">
      <c r="B950"/>
      <c r="C950"/>
      <c r="F950"/>
      <c r="G950"/>
      <c r="H950"/>
      <c r="I950"/>
      <c r="J950"/>
      <c r="K950"/>
      <c r="L950"/>
      <c r="M950"/>
      <c r="N950"/>
      <c r="O950"/>
      <c r="P950"/>
      <c r="Q950"/>
      <c r="S950"/>
      <c r="U950"/>
    </row>
    <row r="951" spans="2:21" x14ac:dyDescent="0.25">
      <c r="B951"/>
      <c r="C951"/>
      <c r="F951"/>
      <c r="G951"/>
      <c r="H951"/>
      <c r="I951"/>
      <c r="J951"/>
      <c r="K951"/>
      <c r="L951"/>
      <c r="M951"/>
      <c r="N951"/>
      <c r="O951"/>
      <c r="P951"/>
      <c r="Q951"/>
      <c r="S951"/>
      <c r="U951"/>
    </row>
    <row r="952" spans="2:21" x14ac:dyDescent="0.25">
      <c r="B952"/>
      <c r="C952"/>
      <c r="F952"/>
      <c r="G952"/>
      <c r="H952"/>
      <c r="I952"/>
      <c r="J952"/>
      <c r="K952"/>
      <c r="L952"/>
      <c r="M952"/>
      <c r="N952"/>
      <c r="O952"/>
      <c r="P952"/>
      <c r="Q952"/>
      <c r="S952"/>
      <c r="U952"/>
    </row>
    <row r="953" spans="2:21" x14ac:dyDescent="0.25">
      <c r="B953"/>
      <c r="C953"/>
      <c r="F953"/>
      <c r="G953"/>
      <c r="H953"/>
      <c r="I953"/>
      <c r="J953"/>
      <c r="K953"/>
      <c r="L953"/>
      <c r="M953"/>
      <c r="N953"/>
      <c r="O953"/>
      <c r="P953"/>
      <c r="Q953"/>
      <c r="S953"/>
      <c r="U953"/>
    </row>
    <row r="954" spans="2:21" x14ac:dyDescent="0.25">
      <c r="B954"/>
      <c r="C954"/>
      <c r="F954"/>
      <c r="G954"/>
      <c r="H954"/>
      <c r="I954"/>
      <c r="J954"/>
      <c r="K954"/>
      <c r="L954"/>
      <c r="M954"/>
      <c r="N954"/>
      <c r="O954"/>
      <c r="P954"/>
      <c r="Q954"/>
      <c r="S954"/>
      <c r="U954"/>
    </row>
    <row r="955" spans="2:21" x14ac:dyDescent="0.25">
      <c r="B955"/>
      <c r="C955"/>
      <c r="F955"/>
      <c r="G955"/>
      <c r="H955"/>
      <c r="I955"/>
      <c r="J955"/>
      <c r="K955"/>
      <c r="L955"/>
      <c r="M955"/>
      <c r="N955"/>
      <c r="O955"/>
      <c r="P955"/>
      <c r="Q955"/>
      <c r="S955"/>
      <c r="U955"/>
    </row>
    <row r="956" spans="2:21" x14ac:dyDescent="0.25">
      <c r="B956"/>
      <c r="C956"/>
      <c r="F956"/>
      <c r="G956"/>
      <c r="H956"/>
      <c r="I956"/>
      <c r="J956"/>
      <c r="K956"/>
      <c r="L956"/>
      <c r="M956"/>
      <c r="N956"/>
      <c r="O956"/>
      <c r="P956"/>
      <c r="Q956"/>
      <c r="S956"/>
      <c r="U956"/>
    </row>
    <row r="957" spans="2:21" x14ac:dyDescent="0.25">
      <c r="B957"/>
      <c r="C957"/>
      <c r="F957"/>
      <c r="G957"/>
      <c r="H957"/>
      <c r="I957"/>
      <c r="J957"/>
      <c r="K957"/>
      <c r="L957"/>
      <c r="M957"/>
      <c r="N957"/>
      <c r="O957"/>
      <c r="P957"/>
      <c r="Q957"/>
      <c r="S957"/>
      <c r="U957"/>
    </row>
    <row r="958" spans="2:21" x14ac:dyDescent="0.25">
      <c r="B958"/>
      <c r="C958"/>
      <c r="F958"/>
      <c r="G958"/>
      <c r="H958"/>
      <c r="I958"/>
      <c r="J958"/>
      <c r="K958"/>
      <c r="L958"/>
      <c r="M958"/>
      <c r="N958"/>
      <c r="O958"/>
      <c r="P958"/>
      <c r="Q958"/>
      <c r="S958"/>
      <c r="U958"/>
    </row>
    <row r="959" spans="2:21" x14ac:dyDescent="0.25">
      <c r="B959"/>
      <c r="C959"/>
      <c r="F959"/>
      <c r="G959"/>
      <c r="H959"/>
      <c r="I959"/>
      <c r="J959"/>
      <c r="K959"/>
      <c r="L959"/>
      <c r="M959"/>
      <c r="N959"/>
      <c r="O959"/>
      <c r="P959"/>
      <c r="Q959"/>
      <c r="S959"/>
      <c r="U959"/>
    </row>
    <row r="960" spans="2:21" x14ac:dyDescent="0.25">
      <c r="B960"/>
      <c r="C960"/>
      <c r="F960"/>
      <c r="G960"/>
      <c r="H960"/>
      <c r="I960"/>
      <c r="J960"/>
      <c r="K960"/>
      <c r="L960"/>
      <c r="M960"/>
      <c r="N960"/>
      <c r="O960"/>
      <c r="P960"/>
      <c r="Q960"/>
      <c r="S960"/>
      <c r="U960"/>
    </row>
    <row r="961" spans="2:21" x14ac:dyDescent="0.25">
      <c r="B961"/>
      <c r="C961"/>
      <c r="F961"/>
      <c r="G961"/>
      <c r="H961"/>
      <c r="I961"/>
      <c r="J961"/>
      <c r="K961"/>
      <c r="L961"/>
      <c r="M961"/>
      <c r="N961"/>
      <c r="O961"/>
      <c r="P961"/>
      <c r="Q961"/>
      <c r="S961"/>
      <c r="U961"/>
    </row>
    <row r="962" spans="2:21" x14ac:dyDescent="0.25">
      <c r="B962"/>
      <c r="C962"/>
      <c r="F962"/>
      <c r="G962"/>
      <c r="H962"/>
      <c r="I962"/>
      <c r="J962"/>
      <c r="K962"/>
      <c r="L962"/>
      <c r="M962"/>
      <c r="N962"/>
      <c r="O962"/>
      <c r="P962"/>
      <c r="Q962"/>
      <c r="S962"/>
      <c r="U962"/>
    </row>
    <row r="963" spans="2:21" x14ac:dyDescent="0.25">
      <c r="B963"/>
      <c r="C963"/>
      <c r="F963"/>
      <c r="G963"/>
      <c r="H963"/>
      <c r="I963"/>
      <c r="J963"/>
      <c r="K963"/>
      <c r="L963"/>
      <c r="M963"/>
      <c r="N963"/>
      <c r="O963"/>
      <c r="P963"/>
      <c r="Q963"/>
      <c r="S963"/>
      <c r="U963"/>
    </row>
    <row r="964" spans="2:21" x14ac:dyDescent="0.25">
      <c r="B964"/>
      <c r="C964"/>
      <c r="F964"/>
      <c r="G964"/>
      <c r="H964"/>
      <c r="I964"/>
      <c r="J964"/>
      <c r="K964"/>
      <c r="L964"/>
      <c r="M964"/>
      <c r="N964"/>
      <c r="O964"/>
      <c r="P964"/>
      <c r="Q964"/>
      <c r="S964"/>
      <c r="U964"/>
    </row>
    <row r="965" spans="2:21" x14ac:dyDescent="0.25">
      <c r="B965"/>
      <c r="C965"/>
      <c r="F965"/>
      <c r="G965"/>
      <c r="H965"/>
      <c r="I965"/>
      <c r="J965"/>
      <c r="K965"/>
      <c r="L965"/>
      <c r="M965"/>
      <c r="N965"/>
      <c r="O965"/>
      <c r="P965"/>
      <c r="Q965"/>
      <c r="S965"/>
      <c r="U965"/>
    </row>
    <row r="966" spans="2:21" x14ac:dyDescent="0.25">
      <c r="B966"/>
      <c r="C966"/>
      <c r="F966"/>
      <c r="G966"/>
      <c r="H966"/>
      <c r="I966"/>
      <c r="J966"/>
      <c r="K966"/>
      <c r="L966"/>
      <c r="M966"/>
      <c r="N966"/>
      <c r="O966"/>
      <c r="P966"/>
      <c r="Q966"/>
      <c r="S966"/>
      <c r="U966"/>
    </row>
    <row r="967" spans="2:21" x14ac:dyDescent="0.25">
      <c r="B967"/>
      <c r="C967"/>
      <c r="F967"/>
      <c r="G967"/>
      <c r="H967"/>
      <c r="I967"/>
      <c r="J967"/>
      <c r="K967"/>
      <c r="L967"/>
      <c r="M967"/>
      <c r="N967"/>
      <c r="O967"/>
      <c r="P967"/>
      <c r="Q967"/>
      <c r="S967"/>
      <c r="U967"/>
    </row>
    <row r="968" spans="2:21" x14ac:dyDescent="0.25">
      <c r="B968"/>
      <c r="C968"/>
      <c r="F968"/>
      <c r="G968"/>
      <c r="H968"/>
      <c r="I968"/>
      <c r="J968"/>
      <c r="K968"/>
      <c r="L968"/>
      <c r="M968"/>
      <c r="N968"/>
      <c r="O968"/>
      <c r="P968"/>
      <c r="Q968"/>
      <c r="S968"/>
      <c r="U968"/>
    </row>
    <row r="969" spans="2:21" x14ac:dyDescent="0.25">
      <c r="B969"/>
      <c r="C969"/>
      <c r="F969"/>
      <c r="G969"/>
      <c r="H969"/>
      <c r="I969"/>
      <c r="J969"/>
      <c r="K969"/>
      <c r="L969"/>
      <c r="M969"/>
      <c r="N969"/>
      <c r="O969"/>
      <c r="P969"/>
      <c r="Q969"/>
      <c r="S969"/>
      <c r="U969"/>
    </row>
    <row r="970" spans="2:21" x14ac:dyDescent="0.25">
      <c r="B970"/>
      <c r="C970"/>
      <c r="F970"/>
      <c r="G970"/>
      <c r="H970"/>
      <c r="I970"/>
      <c r="J970"/>
      <c r="K970"/>
      <c r="L970"/>
      <c r="M970"/>
      <c r="N970"/>
      <c r="O970"/>
      <c r="P970"/>
      <c r="Q970"/>
      <c r="S970"/>
      <c r="U970"/>
    </row>
    <row r="971" spans="2:21" x14ac:dyDescent="0.25">
      <c r="B971"/>
      <c r="C971"/>
      <c r="F971"/>
      <c r="G971"/>
      <c r="H971"/>
      <c r="I971"/>
      <c r="J971"/>
      <c r="K971"/>
      <c r="L971"/>
      <c r="M971"/>
      <c r="N971"/>
      <c r="O971"/>
      <c r="P971"/>
      <c r="Q971"/>
      <c r="S971"/>
      <c r="U971"/>
    </row>
    <row r="972" spans="2:21" x14ac:dyDescent="0.25">
      <c r="B972"/>
      <c r="C972"/>
      <c r="F972"/>
      <c r="G972"/>
      <c r="H972"/>
      <c r="I972"/>
      <c r="J972"/>
      <c r="K972"/>
      <c r="L972"/>
      <c r="M972"/>
      <c r="N972"/>
      <c r="O972"/>
      <c r="P972"/>
      <c r="Q972"/>
      <c r="S972"/>
      <c r="U972"/>
    </row>
    <row r="973" spans="2:21" x14ac:dyDescent="0.25">
      <c r="B973"/>
      <c r="C973"/>
      <c r="F973"/>
      <c r="G973"/>
      <c r="H973"/>
      <c r="I973"/>
      <c r="J973"/>
      <c r="K973"/>
      <c r="L973"/>
      <c r="M973"/>
      <c r="N973"/>
      <c r="O973"/>
      <c r="P973"/>
      <c r="Q973"/>
      <c r="S973"/>
      <c r="U973"/>
    </row>
    <row r="974" spans="2:21" x14ac:dyDescent="0.25">
      <c r="B974"/>
      <c r="C974"/>
      <c r="F974"/>
      <c r="G974"/>
      <c r="H974"/>
      <c r="I974"/>
      <c r="J974"/>
      <c r="K974"/>
      <c r="L974"/>
      <c r="M974"/>
      <c r="N974"/>
      <c r="O974"/>
      <c r="P974"/>
      <c r="Q974"/>
      <c r="S974"/>
      <c r="U974"/>
    </row>
    <row r="975" spans="2:21" x14ac:dyDescent="0.25">
      <c r="B975"/>
      <c r="C975"/>
      <c r="F975"/>
      <c r="G975"/>
      <c r="H975"/>
      <c r="I975"/>
      <c r="J975"/>
      <c r="K975"/>
      <c r="L975"/>
      <c r="M975"/>
      <c r="N975"/>
      <c r="O975"/>
      <c r="P975"/>
      <c r="Q975"/>
      <c r="S975"/>
      <c r="U975"/>
    </row>
    <row r="976" spans="2:21" x14ac:dyDescent="0.25">
      <c r="B976"/>
      <c r="C976"/>
      <c r="F976"/>
      <c r="G976"/>
      <c r="H976"/>
      <c r="I976"/>
      <c r="J976"/>
      <c r="K976"/>
      <c r="L976"/>
      <c r="M976"/>
      <c r="N976"/>
      <c r="O976"/>
      <c r="P976"/>
      <c r="Q976"/>
      <c r="S976"/>
      <c r="U976"/>
    </row>
    <row r="977" spans="2:21" x14ac:dyDescent="0.25">
      <c r="B977"/>
      <c r="C977"/>
      <c r="F977"/>
      <c r="G977"/>
      <c r="H977"/>
      <c r="I977"/>
      <c r="J977"/>
      <c r="K977"/>
      <c r="L977"/>
      <c r="M977"/>
      <c r="N977"/>
      <c r="O977"/>
      <c r="P977"/>
      <c r="Q977"/>
      <c r="S977"/>
      <c r="U977"/>
    </row>
    <row r="978" spans="2:21" x14ac:dyDescent="0.25">
      <c r="B978"/>
      <c r="C978"/>
      <c r="F978"/>
      <c r="G978"/>
      <c r="H978"/>
      <c r="I978"/>
      <c r="J978"/>
      <c r="K978"/>
      <c r="L978"/>
      <c r="M978"/>
      <c r="N978"/>
      <c r="O978"/>
      <c r="P978"/>
      <c r="Q978"/>
      <c r="S978"/>
      <c r="U978"/>
    </row>
    <row r="979" spans="2:21" x14ac:dyDescent="0.25">
      <c r="B979"/>
      <c r="C979"/>
      <c r="F979"/>
      <c r="G979"/>
      <c r="H979"/>
      <c r="I979"/>
      <c r="J979"/>
      <c r="K979"/>
      <c r="L979"/>
      <c r="M979"/>
      <c r="N979"/>
      <c r="O979"/>
      <c r="P979"/>
      <c r="Q979"/>
      <c r="S979"/>
      <c r="U979"/>
    </row>
    <row r="980" spans="2:21" x14ac:dyDescent="0.25">
      <c r="B980"/>
      <c r="C980"/>
      <c r="F980"/>
      <c r="G980"/>
      <c r="H980"/>
      <c r="I980"/>
      <c r="J980"/>
      <c r="K980"/>
      <c r="L980"/>
      <c r="M980"/>
      <c r="N980"/>
      <c r="O980"/>
      <c r="P980"/>
      <c r="Q980"/>
      <c r="S980"/>
      <c r="U980"/>
    </row>
    <row r="981" spans="2:21" x14ac:dyDescent="0.25">
      <c r="B981"/>
      <c r="C981"/>
      <c r="F981"/>
      <c r="G981"/>
      <c r="H981"/>
      <c r="I981"/>
      <c r="J981"/>
      <c r="K981"/>
      <c r="L981"/>
      <c r="M981"/>
      <c r="N981"/>
      <c r="O981"/>
      <c r="P981"/>
      <c r="Q981"/>
      <c r="S981"/>
      <c r="U981"/>
    </row>
    <row r="982" spans="2:21" x14ac:dyDescent="0.25">
      <c r="B982"/>
      <c r="C982"/>
      <c r="F982"/>
      <c r="G982"/>
      <c r="H982"/>
      <c r="I982"/>
      <c r="J982"/>
      <c r="K982"/>
      <c r="L982"/>
      <c r="M982"/>
      <c r="N982"/>
      <c r="O982"/>
      <c r="P982"/>
      <c r="Q982"/>
      <c r="S982"/>
      <c r="U982"/>
    </row>
    <row r="983" spans="2:21" x14ac:dyDescent="0.25">
      <c r="B983"/>
      <c r="C983"/>
      <c r="F983"/>
      <c r="G983"/>
      <c r="H983"/>
      <c r="I983"/>
      <c r="J983"/>
      <c r="K983"/>
      <c r="L983"/>
      <c r="M983"/>
      <c r="N983"/>
      <c r="O983"/>
      <c r="P983"/>
      <c r="Q983"/>
      <c r="S983"/>
      <c r="U983"/>
    </row>
    <row r="984" spans="2:21" x14ac:dyDescent="0.25">
      <c r="B984"/>
      <c r="C984"/>
      <c r="F984"/>
      <c r="G984"/>
      <c r="H984"/>
      <c r="I984"/>
      <c r="J984"/>
      <c r="K984"/>
      <c r="L984"/>
      <c r="M984"/>
      <c r="N984"/>
      <c r="O984"/>
      <c r="P984"/>
      <c r="Q984"/>
      <c r="S984"/>
      <c r="U984"/>
    </row>
    <row r="985" spans="2:21" x14ac:dyDescent="0.25">
      <c r="B985"/>
      <c r="C985"/>
      <c r="F985"/>
      <c r="G985"/>
      <c r="H985"/>
      <c r="I985"/>
      <c r="J985"/>
      <c r="K985"/>
      <c r="L985"/>
      <c r="M985"/>
      <c r="N985"/>
      <c r="O985"/>
      <c r="P985"/>
      <c r="Q985"/>
      <c r="S985"/>
      <c r="U985"/>
    </row>
    <row r="986" spans="2:21" x14ac:dyDescent="0.25">
      <c r="B986"/>
      <c r="C986"/>
      <c r="F986"/>
      <c r="G986"/>
      <c r="H986"/>
      <c r="I986"/>
      <c r="J986"/>
      <c r="K986"/>
      <c r="L986"/>
      <c r="M986"/>
      <c r="N986"/>
      <c r="O986"/>
      <c r="P986"/>
      <c r="Q986"/>
      <c r="S986"/>
      <c r="U986"/>
    </row>
    <row r="987" spans="2:21" x14ac:dyDescent="0.25">
      <c r="B987"/>
      <c r="C987"/>
      <c r="F987"/>
      <c r="G987"/>
      <c r="H987"/>
      <c r="I987"/>
      <c r="J987"/>
      <c r="K987"/>
      <c r="L987"/>
      <c r="M987"/>
      <c r="N987"/>
      <c r="O987"/>
      <c r="P987"/>
      <c r="Q987"/>
      <c r="S987"/>
      <c r="U987"/>
    </row>
    <row r="988" spans="2:21" x14ac:dyDescent="0.25">
      <c r="B988"/>
      <c r="C988"/>
      <c r="F988"/>
      <c r="G988"/>
      <c r="H988"/>
      <c r="I988"/>
      <c r="J988"/>
      <c r="K988"/>
      <c r="L988"/>
      <c r="M988"/>
      <c r="N988"/>
      <c r="O988"/>
      <c r="P988"/>
      <c r="Q988"/>
      <c r="S988"/>
      <c r="U988"/>
    </row>
    <row r="989" spans="2:21" x14ac:dyDescent="0.25">
      <c r="B989"/>
      <c r="C989"/>
      <c r="F989"/>
      <c r="G989"/>
      <c r="H989"/>
      <c r="I989"/>
      <c r="J989"/>
      <c r="K989"/>
      <c r="L989"/>
      <c r="M989"/>
      <c r="N989"/>
      <c r="O989"/>
      <c r="P989"/>
      <c r="Q989"/>
      <c r="S989"/>
      <c r="U989"/>
    </row>
    <row r="990" spans="2:21" x14ac:dyDescent="0.25">
      <c r="B990"/>
      <c r="C990"/>
      <c r="F990"/>
      <c r="G990"/>
      <c r="H990"/>
      <c r="I990"/>
      <c r="J990"/>
      <c r="K990"/>
      <c r="L990"/>
      <c r="M990"/>
      <c r="N990"/>
      <c r="O990"/>
      <c r="P990"/>
      <c r="Q990"/>
      <c r="S990"/>
      <c r="U990"/>
    </row>
    <row r="991" spans="2:21" x14ac:dyDescent="0.25">
      <c r="B991"/>
      <c r="C991"/>
      <c r="F991"/>
      <c r="G991"/>
      <c r="H991"/>
      <c r="I991"/>
      <c r="J991"/>
      <c r="K991"/>
      <c r="L991"/>
      <c r="M991"/>
      <c r="N991"/>
      <c r="O991"/>
      <c r="P991"/>
      <c r="Q991"/>
      <c r="S991"/>
      <c r="U991"/>
    </row>
    <row r="992" spans="2:21" x14ac:dyDescent="0.25">
      <c r="B992"/>
      <c r="C992"/>
      <c r="F992"/>
      <c r="G992"/>
      <c r="H992"/>
      <c r="I992"/>
      <c r="J992"/>
      <c r="K992"/>
      <c r="L992"/>
      <c r="M992"/>
      <c r="N992"/>
      <c r="O992"/>
      <c r="P992"/>
      <c r="Q992"/>
      <c r="S992"/>
      <c r="U992"/>
    </row>
    <row r="993" spans="2:21" x14ac:dyDescent="0.25">
      <c r="B993"/>
      <c r="C993"/>
      <c r="F993"/>
      <c r="G993"/>
      <c r="H993"/>
      <c r="I993"/>
      <c r="J993"/>
      <c r="K993"/>
      <c r="L993"/>
      <c r="M993"/>
      <c r="N993"/>
      <c r="O993"/>
      <c r="P993"/>
      <c r="Q993"/>
      <c r="S993"/>
      <c r="U993"/>
    </row>
    <row r="994" spans="2:21" x14ac:dyDescent="0.25">
      <c r="B994"/>
      <c r="C994"/>
      <c r="F994"/>
      <c r="G994"/>
      <c r="H994"/>
      <c r="I994"/>
      <c r="J994"/>
      <c r="K994"/>
      <c r="L994"/>
      <c r="M994"/>
      <c r="N994"/>
      <c r="O994"/>
      <c r="P994"/>
      <c r="Q994"/>
      <c r="S994"/>
      <c r="U994"/>
    </row>
    <row r="995" spans="2:21" x14ac:dyDescent="0.25">
      <c r="B995"/>
      <c r="C995"/>
      <c r="F995"/>
      <c r="G995"/>
      <c r="H995"/>
      <c r="I995"/>
      <c r="J995"/>
      <c r="K995"/>
      <c r="L995"/>
      <c r="M995"/>
      <c r="N995"/>
      <c r="O995"/>
      <c r="P995"/>
      <c r="Q995"/>
      <c r="S995"/>
      <c r="U995"/>
    </row>
    <row r="996" spans="2:21" x14ac:dyDescent="0.25">
      <c r="B996"/>
      <c r="C996"/>
      <c r="F996"/>
      <c r="G996"/>
      <c r="H996"/>
      <c r="I996"/>
      <c r="J996"/>
      <c r="K996"/>
      <c r="L996"/>
      <c r="M996"/>
      <c r="N996"/>
      <c r="O996"/>
      <c r="P996"/>
      <c r="Q996"/>
      <c r="S996"/>
      <c r="U996"/>
    </row>
    <row r="997" spans="2:21" x14ac:dyDescent="0.25">
      <c r="B997"/>
      <c r="C997"/>
      <c r="F997"/>
      <c r="G997"/>
      <c r="H997"/>
      <c r="I997"/>
      <c r="J997"/>
      <c r="K997"/>
      <c r="L997"/>
      <c r="M997"/>
      <c r="N997"/>
      <c r="O997"/>
      <c r="P997"/>
      <c r="Q997"/>
      <c r="S997"/>
      <c r="U997"/>
    </row>
    <row r="998" spans="2:21" x14ac:dyDescent="0.25">
      <c r="B998"/>
      <c r="C998"/>
      <c r="F998"/>
      <c r="G998"/>
      <c r="H998"/>
      <c r="I998"/>
      <c r="J998"/>
      <c r="K998"/>
      <c r="L998"/>
      <c r="M998"/>
      <c r="N998"/>
      <c r="O998"/>
      <c r="P998"/>
      <c r="Q998"/>
      <c r="S998"/>
      <c r="U998"/>
    </row>
    <row r="999" spans="2:21" x14ac:dyDescent="0.25">
      <c r="B999"/>
      <c r="C999"/>
      <c r="F999"/>
      <c r="G999"/>
      <c r="H999"/>
      <c r="I999"/>
      <c r="J999"/>
      <c r="K999"/>
      <c r="L999"/>
      <c r="M999"/>
      <c r="N999"/>
      <c r="O999"/>
      <c r="P999"/>
      <c r="Q999"/>
      <c r="S999"/>
      <c r="U999"/>
    </row>
    <row r="1000" spans="2:21" x14ac:dyDescent="0.25">
      <c r="B1000"/>
      <c r="C1000"/>
      <c r="F1000"/>
      <c r="G1000"/>
      <c r="H1000"/>
      <c r="I1000"/>
      <c r="J1000"/>
      <c r="K1000"/>
      <c r="L1000"/>
      <c r="M1000"/>
      <c r="N1000"/>
      <c r="O1000"/>
      <c r="P1000"/>
      <c r="Q1000"/>
      <c r="S1000"/>
      <c r="U1000"/>
    </row>
    <row r="1001" spans="2:21" x14ac:dyDescent="0.25">
      <c r="B1001"/>
      <c r="C1001"/>
      <c r="F1001"/>
      <c r="G1001"/>
      <c r="H1001"/>
      <c r="I1001"/>
      <c r="J1001"/>
      <c r="K1001"/>
      <c r="L1001"/>
      <c r="M1001"/>
      <c r="N1001"/>
      <c r="O1001"/>
      <c r="P1001"/>
      <c r="Q1001"/>
      <c r="S1001"/>
      <c r="U1001"/>
    </row>
    <row r="1002" spans="2:21" x14ac:dyDescent="0.25">
      <c r="B1002"/>
      <c r="C1002"/>
      <c r="F1002"/>
      <c r="G1002"/>
      <c r="H1002"/>
      <c r="I1002"/>
      <c r="J1002"/>
      <c r="K1002"/>
      <c r="L1002"/>
      <c r="M1002"/>
      <c r="N1002"/>
      <c r="O1002"/>
      <c r="P1002"/>
      <c r="Q1002"/>
      <c r="S1002"/>
      <c r="U1002"/>
    </row>
    <row r="1003" spans="2:21" x14ac:dyDescent="0.25">
      <c r="B1003"/>
      <c r="C1003"/>
      <c r="F1003"/>
      <c r="G1003"/>
      <c r="H1003"/>
      <c r="I1003"/>
      <c r="J1003"/>
      <c r="K1003"/>
      <c r="L1003"/>
      <c r="M1003"/>
      <c r="N1003"/>
      <c r="O1003"/>
      <c r="P1003"/>
      <c r="Q1003"/>
      <c r="S1003"/>
      <c r="U1003"/>
    </row>
    <row r="1004" spans="2:21" x14ac:dyDescent="0.25">
      <c r="B1004"/>
      <c r="C1004"/>
      <c r="F1004"/>
      <c r="G1004"/>
      <c r="H1004"/>
      <c r="I1004"/>
      <c r="J1004"/>
      <c r="K1004"/>
      <c r="L1004"/>
      <c r="M1004"/>
      <c r="N1004"/>
      <c r="O1004"/>
      <c r="P1004"/>
      <c r="Q1004"/>
      <c r="S1004"/>
      <c r="U1004"/>
    </row>
    <row r="1005" spans="2:21" x14ac:dyDescent="0.25">
      <c r="B1005"/>
      <c r="C1005"/>
      <c r="F1005"/>
      <c r="G1005"/>
      <c r="H1005"/>
      <c r="I1005"/>
      <c r="J1005"/>
      <c r="K1005"/>
      <c r="L1005"/>
      <c r="M1005"/>
      <c r="N1005"/>
      <c r="O1005"/>
      <c r="P1005"/>
      <c r="Q1005"/>
      <c r="S1005"/>
      <c r="U1005"/>
    </row>
    <row r="1006" spans="2:21" x14ac:dyDescent="0.25">
      <c r="B1006"/>
      <c r="C1006"/>
      <c r="F1006"/>
      <c r="G1006"/>
      <c r="H1006"/>
      <c r="I1006"/>
      <c r="J1006"/>
      <c r="K1006"/>
      <c r="L1006"/>
      <c r="M1006"/>
      <c r="N1006"/>
      <c r="O1006"/>
      <c r="P1006"/>
      <c r="Q1006"/>
      <c r="S1006"/>
      <c r="U1006"/>
    </row>
    <row r="1007" spans="2:21" x14ac:dyDescent="0.25">
      <c r="B1007"/>
      <c r="C1007"/>
      <c r="F1007"/>
      <c r="G1007"/>
      <c r="H1007"/>
      <c r="I1007"/>
      <c r="J1007"/>
      <c r="K1007"/>
      <c r="L1007"/>
      <c r="M1007"/>
      <c r="N1007"/>
      <c r="O1007"/>
      <c r="P1007"/>
      <c r="Q1007"/>
      <c r="S1007"/>
      <c r="U1007"/>
    </row>
    <row r="1008" spans="2:21" x14ac:dyDescent="0.25">
      <c r="B1008"/>
      <c r="C1008"/>
      <c r="F1008"/>
      <c r="G1008"/>
      <c r="H1008"/>
      <c r="I1008"/>
      <c r="J1008"/>
      <c r="K1008"/>
      <c r="L1008"/>
      <c r="M1008"/>
      <c r="N1008"/>
      <c r="O1008"/>
      <c r="P1008"/>
      <c r="Q1008"/>
      <c r="S1008"/>
      <c r="U1008"/>
    </row>
    <row r="1009" spans="2:21" x14ac:dyDescent="0.25">
      <c r="B1009"/>
      <c r="C1009"/>
      <c r="F1009"/>
      <c r="G1009"/>
      <c r="H1009"/>
      <c r="I1009"/>
      <c r="J1009"/>
      <c r="K1009"/>
      <c r="L1009"/>
      <c r="M1009"/>
      <c r="N1009"/>
      <c r="O1009"/>
      <c r="P1009"/>
      <c r="Q1009"/>
      <c r="S1009"/>
      <c r="U1009"/>
    </row>
    <row r="1010" spans="2:21" x14ac:dyDescent="0.25">
      <c r="B1010"/>
      <c r="C1010"/>
      <c r="F1010"/>
      <c r="G1010"/>
      <c r="H1010"/>
      <c r="I1010"/>
      <c r="J1010"/>
      <c r="K1010"/>
      <c r="L1010"/>
      <c r="M1010"/>
      <c r="N1010"/>
      <c r="O1010"/>
      <c r="P1010"/>
      <c r="Q1010"/>
      <c r="S1010"/>
      <c r="U1010"/>
    </row>
    <row r="1011" spans="2:21" x14ac:dyDescent="0.25">
      <c r="B1011"/>
      <c r="C1011"/>
      <c r="F1011"/>
      <c r="G1011"/>
      <c r="H1011"/>
      <c r="I1011"/>
      <c r="J1011"/>
      <c r="K1011"/>
      <c r="L1011"/>
      <c r="M1011"/>
      <c r="N1011"/>
      <c r="O1011"/>
      <c r="P1011"/>
      <c r="Q1011"/>
      <c r="S1011"/>
      <c r="U1011"/>
    </row>
    <row r="1012" spans="2:21" x14ac:dyDescent="0.25">
      <c r="B1012"/>
      <c r="C1012"/>
      <c r="F1012"/>
      <c r="G1012"/>
      <c r="H1012"/>
      <c r="I1012"/>
      <c r="J1012"/>
      <c r="K1012"/>
      <c r="L1012"/>
      <c r="M1012"/>
      <c r="N1012"/>
      <c r="O1012"/>
      <c r="P1012"/>
      <c r="Q1012"/>
      <c r="S1012"/>
      <c r="U1012"/>
    </row>
    <row r="1013" spans="2:21" x14ac:dyDescent="0.25">
      <c r="B1013"/>
      <c r="C1013"/>
      <c r="F1013"/>
      <c r="G1013"/>
      <c r="H1013"/>
      <c r="I1013"/>
      <c r="J1013"/>
      <c r="K1013"/>
      <c r="L1013"/>
      <c r="M1013"/>
      <c r="N1013"/>
      <c r="O1013"/>
      <c r="P1013"/>
      <c r="Q1013"/>
      <c r="S1013"/>
      <c r="U1013"/>
    </row>
    <row r="1014" spans="2:21" x14ac:dyDescent="0.25">
      <c r="B1014"/>
      <c r="C1014"/>
      <c r="F1014"/>
      <c r="G1014"/>
      <c r="H1014"/>
      <c r="I1014"/>
      <c r="J1014"/>
      <c r="K1014"/>
      <c r="L1014"/>
      <c r="M1014"/>
      <c r="N1014"/>
      <c r="O1014"/>
      <c r="P1014"/>
      <c r="Q1014"/>
      <c r="S1014"/>
      <c r="U1014"/>
    </row>
    <row r="1015" spans="2:21" x14ac:dyDescent="0.25">
      <c r="B1015"/>
      <c r="C1015"/>
      <c r="F1015"/>
      <c r="G1015"/>
      <c r="H1015"/>
      <c r="I1015"/>
      <c r="J1015"/>
      <c r="K1015"/>
      <c r="L1015"/>
      <c r="M1015"/>
      <c r="N1015"/>
      <c r="O1015"/>
      <c r="P1015"/>
      <c r="Q1015"/>
      <c r="S1015"/>
      <c r="U1015"/>
    </row>
    <row r="1016" spans="2:21" x14ac:dyDescent="0.25">
      <c r="B1016"/>
      <c r="C1016"/>
      <c r="F1016"/>
      <c r="G1016"/>
      <c r="H1016"/>
      <c r="I1016"/>
      <c r="J1016"/>
      <c r="K1016"/>
      <c r="L1016"/>
      <c r="M1016"/>
      <c r="N1016"/>
      <c r="O1016"/>
      <c r="P1016"/>
      <c r="Q1016"/>
      <c r="S1016"/>
      <c r="U1016"/>
    </row>
    <row r="1017" spans="2:21" x14ac:dyDescent="0.25">
      <c r="B1017"/>
      <c r="C1017"/>
      <c r="F1017"/>
      <c r="G1017"/>
      <c r="H1017"/>
      <c r="I1017"/>
      <c r="J1017"/>
      <c r="K1017"/>
      <c r="L1017"/>
      <c r="M1017"/>
      <c r="N1017"/>
      <c r="O1017"/>
      <c r="P1017"/>
      <c r="Q1017"/>
      <c r="S1017"/>
      <c r="U1017"/>
    </row>
    <row r="1018" spans="2:21" x14ac:dyDescent="0.25">
      <c r="B1018"/>
      <c r="C1018"/>
      <c r="F1018"/>
      <c r="G1018"/>
      <c r="H1018"/>
      <c r="I1018"/>
      <c r="J1018"/>
      <c r="K1018"/>
      <c r="L1018"/>
      <c r="M1018"/>
      <c r="N1018"/>
      <c r="O1018"/>
      <c r="P1018"/>
      <c r="Q1018"/>
      <c r="S1018"/>
      <c r="U1018"/>
    </row>
    <row r="1019" spans="2:21" x14ac:dyDescent="0.25">
      <c r="B1019"/>
      <c r="C1019"/>
      <c r="F1019"/>
      <c r="G1019"/>
      <c r="H1019"/>
      <c r="I1019"/>
      <c r="J1019"/>
      <c r="K1019"/>
      <c r="L1019"/>
      <c r="M1019"/>
      <c r="N1019"/>
      <c r="O1019"/>
      <c r="P1019"/>
      <c r="Q1019"/>
      <c r="S1019"/>
      <c r="U1019"/>
    </row>
    <row r="1020" spans="2:21" x14ac:dyDescent="0.25">
      <c r="B1020"/>
      <c r="C1020"/>
      <c r="F1020"/>
      <c r="G1020"/>
      <c r="H1020"/>
      <c r="I1020"/>
      <c r="J1020"/>
      <c r="K1020"/>
      <c r="L1020"/>
      <c r="M1020"/>
      <c r="N1020"/>
      <c r="O1020"/>
      <c r="P1020"/>
      <c r="Q1020"/>
      <c r="S1020"/>
      <c r="U1020"/>
    </row>
    <row r="1021" spans="2:21" x14ac:dyDescent="0.25">
      <c r="B1021"/>
      <c r="C1021"/>
      <c r="F1021"/>
      <c r="G1021"/>
      <c r="H1021"/>
      <c r="I1021"/>
      <c r="J1021"/>
      <c r="K1021"/>
      <c r="L1021"/>
      <c r="M1021"/>
      <c r="N1021"/>
      <c r="O1021"/>
      <c r="P1021"/>
      <c r="Q1021"/>
      <c r="S1021"/>
      <c r="U1021"/>
    </row>
    <row r="1022" spans="2:21" x14ac:dyDescent="0.25">
      <c r="B1022"/>
      <c r="C1022"/>
      <c r="F1022"/>
      <c r="G1022"/>
      <c r="H1022"/>
      <c r="I1022"/>
      <c r="J1022"/>
      <c r="K1022"/>
      <c r="L1022"/>
      <c r="M1022"/>
      <c r="N1022"/>
      <c r="O1022"/>
      <c r="P1022"/>
      <c r="Q1022"/>
      <c r="S1022"/>
      <c r="U1022"/>
    </row>
    <row r="1023" spans="2:21" x14ac:dyDescent="0.25">
      <c r="B1023"/>
      <c r="C1023"/>
      <c r="F1023"/>
      <c r="G1023"/>
      <c r="H1023"/>
      <c r="I1023"/>
      <c r="J1023"/>
      <c r="K1023"/>
      <c r="L1023"/>
      <c r="M1023"/>
      <c r="N1023"/>
      <c r="O1023"/>
      <c r="P1023"/>
      <c r="Q1023"/>
      <c r="S1023"/>
      <c r="U1023"/>
    </row>
    <row r="1024" spans="2:21" x14ac:dyDescent="0.25">
      <c r="B1024"/>
      <c r="C1024"/>
      <c r="F1024"/>
      <c r="G1024"/>
      <c r="H1024"/>
      <c r="I1024"/>
      <c r="J1024"/>
      <c r="K1024"/>
      <c r="L1024"/>
      <c r="M1024"/>
      <c r="N1024"/>
      <c r="O1024"/>
      <c r="P1024"/>
      <c r="Q1024"/>
      <c r="S1024"/>
      <c r="U1024"/>
    </row>
    <row r="1025" spans="2:21" x14ac:dyDescent="0.25">
      <c r="B1025"/>
      <c r="C1025"/>
      <c r="F1025"/>
      <c r="G1025"/>
      <c r="H1025"/>
      <c r="I1025"/>
      <c r="J1025"/>
      <c r="K1025"/>
      <c r="L1025"/>
      <c r="M1025"/>
      <c r="N1025"/>
      <c r="O1025"/>
      <c r="P1025"/>
      <c r="Q1025"/>
      <c r="S1025"/>
      <c r="U1025"/>
    </row>
    <row r="1026" spans="2:21" x14ac:dyDescent="0.25">
      <c r="B1026"/>
      <c r="C1026"/>
      <c r="F1026"/>
      <c r="G1026"/>
      <c r="H1026"/>
      <c r="I1026"/>
      <c r="J1026"/>
      <c r="K1026"/>
      <c r="L1026"/>
      <c r="M1026"/>
      <c r="N1026"/>
      <c r="O1026"/>
      <c r="P1026"/>
      <c r="Q1026"/>
      <c r="S1026"/>
      <c r="U1026"/>
    </row>
    <row r="1027" spans="2:21" x14ac:dyDescent="0.25">
      <c r="B1027"/>
      <c r="C1027"/>
      <c r="F1027"/>
      <c r="G1027"/>
      <c r="H1027"/>
      <c r="I1027"/>
      <c r="J1027"/>
      <c r="K1027"/>
      <c r="L1027"/>
      <c r="M1027"/>
      <c r="N1027"/>
      <c r="O1027"/>
      <c r="P1027"/>
      <c r="Q1027"/>
      <c r="S1027"/>
      <c r="U1027"/>
    </row>
    <row r="1028" spans="2:21" x14ac:dyDescent="0.25">
      <c r="B1028"/>
      <c r="C1028"/>
      <c r="F1028"/>
      <c r="G1028"/>
      <c r="H1028"/>
      <c r="I1028"/>
      <c r="J1028"/>
      <c r="K1028"/>
      <c r="L1028"/>
      <c r="M1028"/>
      <c r="N1028"/>
      <c r="O1028"/>
      <c r="P1028"/>
      <c r="Q1028"/>
      <c r="S1028"/>
      <c r="U1028"/>
    </row>
    <row r="1029" spans="2:21" x14ac:dyDescent="0.25">
      <c r="B1029"/>
      <c r="C1029"/>
      <c r="F1029"/>
      <c r="G1029"/>
      <c r="H1029"/>
      <c r="I1029"/>
      <c r="J1029"/>
      <c r="K1029"/>
      <c r="L1029"/>
      <c r="M1029"/>
      <c r="N1029"/>
      <c r="O1029"/>
      <c r="P1029"/>
      <c r="Q1029"/>
      <c r="S1029"/>
      <c r="U1029"/>
    </row>
    <row r="1030" spans="2:21" x14ac:dyDescent="0.25">
      <c r="B1030"/>
      <c r="C1030"/>
      <c r="F1030"/>
      <c r="G1030"/>
      <c r="H1030"/>
      <c r="I1030"/>
      <c r="J1030"/>
      <c r="K1030"/>
      <c r="L1030"/>
      <c r="M1030"/>
      <c r="N1030"/>
      <c r="O1030"/>
      <c r="P1030"/>
      <c r="Q1030"/>
      <c r="S1030"/>
      <c r="U1030"/>
    </row>
    <row r="1031" spans="2:21" x14ac:dyDescent="0.25">
      <c r="B1031"/>
      <c r="C1031"/>
      <c r="F1031"/>
      <c r="G1031"/>
      <c r="H1031"/>
      <c r="I1031"/>
      <c r="J1031"/>
      <c r="K1031"/>
      <c r="L1031"/>
      <c r="M1031"/>
      <c r="N1031"/>
      <c r="O1031"/>
      <c r="P1031"/>
      <c r="Q1031"/>
      <c r="S1031"/>
      <c r="U1031"/>
    </row>
    <row r="1032" spans="2:21" x14ac:dyDescent="0.25">
      <c r="B1032"/>
      <c r="C1032"/>
      <c r="F1032"/>
      <c r="G1032"/>
      <c r="H1032"/>
      <c r="I1032"/>
      <c r="J1032"/>
      <c r="K1032"/>
      <c r="L1032"/>
      <c r="M1032"/>
      <c r="N1032"/>
      <c r="O1032"/>
      <c r="P1032"/>
      <c r="Q1032"/>
      <c r="S1032"/>
      <c r="U1032"/>
    </row>
    <row r="1033" spans="2:21" x14ac:dyDescent="0.25">
      <c r="B1033"/>
      <c r="C1033"/>
      <c r="F1033"/>
      <c r="G1033"/>
      <c r="H1033"/>
      <c r="I1033"/>
      <c r="J1033"/>
      <c r="K1033"/>
      <c r="L1033"/>
      <c r="M1033"/>
      <c r="N1033"/>
      <c r="O1033"/>
      <c r="P1033"/>
      <c r="Q1033"/>
      <c r="S1033"/>
      <c r="U1033"/>
    </row>
    <row r="1034" spans="2:21" x14ac:dyDescent="0.25">
      <c r="B1034"/>
      <c r="C1034"/>
      <c r="F1034"/>
      <c r="G1034"/>
      <c r="H1034"/>
      <c r="I1034"/>
      <c r="J1034"/>
      <c r="K1034"/>
      <c r="L1034"/>
      <c r="M1034"/>
      <c r="N1034"/>
      <c r="O1034"/>
      <c r="P1034"/>
      <c r="Q1034"/>
      <c r="S1034"/>
      <c r="U1034"/>
    </row>
    <row r="1035" spans="2:21" x14ac:dyDescent="0.25">
      <c r="B1035"/>
      <c r="C1035"/>
      <c r="F1035"/>
      <c r="G1035"/>
      <c r="H1035"/>
      <c r="I1035"/>
      <c r="J1035"/>
      <c r="K1035"/>
      <c r="L1035"/>
      <c r="M1035"/>
      <c r="N1035"/>
      <c r="O1035"/>
      <c r="P1035"/>
      <c r="Q1035"/>
      <c r="S1035"/>
      <c r="U1035"/>
    </row>
    <row r="1036" spans="2:21" x14ac:dyDescent="0.25">
      <c r="B1036"/>
      <c r="C1036"/>
      <c r="F1036"/>
      <c r="G1036"/>
      <c r="H1036"/>
      <c r="I1036"/>
      <c r="J1036"/>
      <c r="K1036"/>
      <c r="L1036"/>
      <c r="M1036"/>
      <c r="N1036"/>
      <c r="O1036"/>
      <c r="P1036"/>
      <c r="Q1036"/>
      <c r="S1036"/>
      <c r="U1036"/>
    </row>
    <row r="1037" spans="2:21" x14ac:dyDescent="0.25">
      <c r="B1037"/>
      <c r="C1037"/>
      <c r="F1037"/>
      <c r="G1037"/>
      <c r="H1037"/>
      <c r="I1037"/>
      <c r="J1037"/>
      <c r="K1037"/>
      <c r="L1037"/>
      <c r="M1037"/>
      <c r="N1037"/>
      <c r="O1037"/>
      <c r="P1037"/>
      <c r="Q1037"/>
      <c r="S1037"/>
      <c r="U1037"/>
    </row>
    <row r="1038" spans="2:21" x14ac:dyDescent="0.25">
      <c r="B1038"/>
      <c r="C1038"/>
      <c r="F1038"/>
      <c r="G1038"/>
      <c r="H1038"/>
      <c r="I1038"/>
      <c r="J1038"/>
      <c r="K1038"/>
      <c r="L1038"/>
      <c r="M1038"/>
      <c r="N1038"/>
      <c r="O1038"/>
      <c r="P1038"/>
      <c r="Q1038"/>
      <c r="S1038"/>
      <c r="U1038"/>
    </row>
    <row r="1039" spans="2:21" x14ac:dyDescent="0.25">
      <c r="B1039"/>
      <c r="C1039"/>
      <c r="F1039"/>
      <c r="G1039"/>
      <c r="H1039"/>
      <c r="I1039"/>
      <c r="J1039"/>
      <c r="K1039"/>
      <c r="L1039"/>
      <c r="M1039"/>
      <c r="N1039"/>
      <c r="O1039"/>
      <c r="P1039"/>
      <c r="Q1039"/>
      <c r="S1039"/>
      <c r="U1039"/>
    </row>
    <row r="1040" spans="2:21" x14ac:dyDescent="0.25">
      <c r="B1040"/>
      <c r="C1040"/>
      <c r="F1040"/>
      <c r="G1040"/>
      <c r="H1040"/>
      <c r="I1040"/>
      <c r="J1040"/>
      <c r="K1040"/>
      <c r="L1040"/>
      <c r="M1040"/>
      <c r="N1040"/>
      <c r="O1040"/>
      <c r="P1040"/>
      <c r="Q1040"/>
      <c r="S1040"/>
      <c r="U1040"/>
    </row>
    <row r="1041" spans="2:21" x14ac:dyDescent="0.25">
      <c r="B1041"/>
      <c r="C1041"/>
      <c r="F1041"/>
      <c r="G1041"/>
      <c r="H1041"/>
      <c r="I1041"/>
      <c r="J1041"/>
      <c r="K1041"/>
      <c r="L1041"/>
      <c r="M1041"/>
      <c r="N1041"/>
      <c r="O1041"/>
      <c r="P1041"/>
      <c r="Q1041"/>
      <c r="S1041"/>
      <c r="U1041"/>
    </row>
    <row r="1042" spans="2:21" x14ac:dyDescent="0.25">
      <c r="B1042"/>
      <c r="C1042"/>
      <c r="F1042"/>
      <c r="G1042"/>
      <c r="H1042"/>
      <c r="I1042"/>
      <c r="J1042"/>
      <c r="K1042"/>
      <c r="L1042"/>
      <c r="M1042"/>
      <c r="N1042"/>
      <c r="O1042"/>
      <c r="P1042"/>
      <c r="Q1042"/>
      <c r="S1042"/>
      <c r="U1042"/>
    </row>
    <row r="1043" spans="2:21" x14ac:dyDescent="0.25">
      <c r="B1043"/>
      <c r="C1043"/>
      <c r="F1043"/>
      <c r="G1043"/>
      <c r="H1043"/>
      <c r="I1043"/>
      <c r="J1043"/>
      <c r="K1043"/>
      <c r="L1043"/>
      <c r="M1043"/>
      <c r="N1043"/>
      <c r="O1043"/>
      <c r="P1043"/>
      <c r="Q1043"/>
      <c r="S1043"/>
      <c r="U1043"/>
    </row>
    <row r="1044" spans="2:21" x14ac:dyDescent="0.25">
      <c r="B1044"/>
      <c r="C1044"/>
      <c r="F1044"/>
      <c r="G1044"/>
      <c r="H1044"/>
      <c r="I1044"/>
      <c r="J1044"/>
      <c r="K1044"/>
      <c r="L1044"/>
      <c r="M1044"/>
      <c r="N1044"/>
      <c r="O1044"/>
      <c r="P1044"/>
      <c r="Q1044"/>
      <c r="S1044"/>
      <c r="U1044"/>
    </row>
    <row r="1045" spans="2:21" x14ac:dyDescent="0.25">
      <c r="B1045"/>
      <c r="C1045"/>
      <c r="F1045"/>
      <c r="G1045"/>
      <c r="H1045"/>
      <c r="I1045"/>
      <c r="J1045"/>
      <c r="K1045"/>
      <c r="L1045"/>
      <c r="M1045"/>
      <c r="N1045"/>
      <c r="O1045"/>
      <c r="P1045"/>
      <c r="Q1045"/>
      <c r="S1045"/>
      <c r="U1045"/>
    </row>
    <row r="1046" spans="2:21" x14ac:dyDescent="0.25">
      <c r="B1046"/>
      <c r="C1046"/>
      <c r="F1046"/>
      <c r="G1046"/>
      <c r="H1046"/>
      <c r="I1046"/>
      <c r="J1046"/>
      <c r="K1046"/>
      <c r="L1046"/>
      <c r="M1046"/>
      <c r="N1046"/>
      <c r="O1046"/>
      <c r="P1046"/>
      <c r="Q1046"/>
      <c r="S1046"/>
      <c r="U1046"/>
    </row>
    <row r="1047" spans="2:21" x14ac:dyDescent="0.25">
      <c r="B1047"/>
      <c r="C1047"/>
      <c r="F1047"/>
      <c r="G1047"/>
      <c r="H1047"/>
      <c r="I1047"/>
      <c r="J1047"/>
      <c r="K1047"/>
      <c r="L1047"/>
      <c r="M1047"/>
      <c r="N1047"/>
      <c r="O1047"/>
      <c r="P1047"/>
      <c r="Q1047"/>
      <c r="S1047"/>
      <c r="U1047"/>
    </row>
    <row r="1048" spans="2:21" x14ac:dyDescent="0.25">
      <c r="B1048"/>
      <c r="C1048"/>
      <c r="F1048"/>
      <c r="G1048"/>
      <c r="H1048"/>
      <c r="I1048"/>
      <c r="J1048"/>
      <c r="K1048"/>
      <c r="L1048"/>
      <c r="M1048"/>
      <c r="N1048"/>
      <c r="O1048"/>
      <c r="P1048"/>
      <c r="Q1048"/>
      <c r="S1048"/>
      <c r="U1048"/>
    </row>
    <row r="1049" spans="2:21" x14ac:dyDescent="0.25">
      <c r="B1049"/>
      <c r="C1049"/>
      <c r="F1049"/>
      <c r="G1049"/>
      <c r="H1049"/>
      <c r="I1049"/>
      <c r="J1049"/>
      <c r="K1049"/>
      <c r="L1049"/>
      <c r="M1049"/>
      <c r="N1049"/>
      <c r="O1049"/>
      <c r="P1049"/>
      <c r="Q1049"/>
      <c r="S1049"/>
      <c r="U1049"/>
    </row>
    <row r="1050" spans="2:21" x14ac:dyDescent="0.25">
      <c r="B1050"/>
      <c r="C1050"/>
      <c r="F1050"/>
      <c r="G1050"/>
      <c r="H1050"/>
      <c r="I1050"/>
      <c r="J1050"/>
      <c r="K1050"/>
      <c r="L1050"/>
      <c r="M1050"/>
      <c r="N1050"/>
      <c r="O1050"/>
      <c r="P1050"/>
      <c r="Q1050"/>
      <c r="S1050"/>
      <c r="U1050"/>
    </row>
    <row r="1051" spans="2:21" x14ac:dyDescent="0.25">
      <c r="B1051"/>
      <c r="C1051"/>
      <c r="F1051"/>
      <c r="G1051"/>
      <c r="H1051"/>
      <c r="I1051"/>
      <c r="J1051"/>
      <c r="K1051"/>
      <c r="L1051"/>
      <c r="M1051"/>
      <c r="N1051"/>
      <c r="O1051"/>
      <c r="P1051"/>
      <c r="Q1051"/>
      <c r="S1051"/>
      <c r="U1051"/>
    </row>
    <row r="1052" spans="2:21" x14ac:dyDescent="0.25">
      <c r="B1052"/>
      <c r="C1052"/>
      <c r="F1052"/>
      <c r="G1052"/>
      <c r="H1052"/>
      <c r="I1052"/>
      <c r="J1052"/>
      <c r="K1052"/>
      <c r="L1052"/>
      <c r="M1052"/>
      <c r="N1052"/>
      <c r="O1052"/>
      <c r="P1052"/>
      <c r="Q1052"/>
      <c r="S1052"/>
      <c r="U1052"/>
    </row>
    <row r="1053" spans="2:21" x14ac:dyDescent="0.25">
      <c r="B1053"/>
      <c r="C1053"/>
      <c r="F1053"/>
      <c r="G1053"/>
      <c r="H1053"/>
      <c r="I1053"/>
      <c r="J1053"/>
      <c r="K1053"/>
      <c r="L1053"/>
      <c r="M1053"/>
      <c r="N1053"/>
      <c r="O1053"/>
      <c r="P1053"/>
      <c r="Q1053"/>
      <c r="S1053"/>
      <c r="U1053"/>
    </row>
    <row r="1054" spans="2:21" x14ac:dyDescent="0.25">
      <c r="B1054"/>
      <c r="C1054"/>
      <c r="F1054"/>
      <c r="G1054"/>
      <c r="H1054"/>
      <c r="I1054"/>
      <c r="J1054"/>
      <c r="K1054"/>
      <c r="L1054"/>
      <c r="M1054"/>
      <c r="N1054"/>
      <c r="O1054"/>
      <c r="P1054"/>
      <c r="Q1054"/>
      <c r="S1054"/>
      <c r="U1054"/>
    </row>
    <row r="1055" spans="2:21" x14ac:dyDescent="0.25">
      <c r="B1055"/>
      <c r="C1055"/>
      <c r="F1055"/>
      <c r="G1055"/>
      <c r="H1055"/>
      <c r="I1055"/>
      <c r="J1055"/>
      <c r="K1055"/>
      <c r="L1055"/>
      <c r="M1055"/>
      <c r="N1055"/>
      <c r="O1055"/>
      <c r="P1055"/>
      <c r="Q1055"/>
      <c r="S1055"/>
      <c r="U1055"/>
    </row>
    <row r="1056" spans="2:21" x14ac:dyDescent="0.25">
      <c r="B1056"/>
      <c r="C1056"/>
      <c r="F1056"/>
      <c r="G1056"/>
      <c r="H1056"/>
      <c r="I1056"/>
      <c r="J1056"/>
      <c r="K1056"/>
      <c r="L1056"/>
      <c r="M1056"/>
      <c r="N1056"/>
      <c r="O1056"/>
      <c r="P1056"/>
      <c r="Q1056"/>
      <c r="S1056"/>
      <c r="U1056"/>
    </row>
    <row r="1057" spans="2:21" x14ac:dyDescent="0.25">
      <c r="B1057"/>
      <c r="C1057"/>
      <c r="F1057"/>
      <c r="G1057"/>
      <c r="H1057"/>
      <c r="I1057"/>
      <c r="J1057"/>
      <c r="K1057"/>
      <c r="L1057"/>
      <c r="M1057"/>
      <c r="N1057"/>
      <c r="O1057"/>
      <c r="P1057"/>
      <c r="Q1057"/>
      <c r="S1057"/>
      <c r="U1057"/>
    </row>
    <row r="1058" spans="2:21" x14ac:dyDescent="0.25">
      <c r="B1058"/>
      <c r="C1058"/>
      <c r="F1058"/>
      <c r="G1058"/>
      <c r="H1058"/>
      <c r="I1058"/>
      <c r="J1058"/>
      <c r="K1058"/>
      <c r="L1058"/>
      <c r="M1058"/>
      <c r="N1058"/>
      <c r="O1058"/>
      <c r="P1058"/>
      <c r="Q1058"/>
      <c r="S1058"/>
      <c r="U1058"/>
    </row>
    <row r="1059" spans="2:21" x14ac:dyDescent="0.25">
      <c r="B1059"/>
      <c r="C1059"/>
      <c r="F1059"/>
      <c r="G1059"/>
      <c r="H1059"/>
      <c r="I1059"/>
      <c r="J1059"/>
      <c r="K1059"/>
      <c r="L1059"/>
      <c r="M1059"/>
      <c r="N1059"/>
      <c r="O1059"/>
      <c r="P1059"/>
      <c r="Q1059"/>
      <c r="S1059"/>
      <c r="U1059"/>
    </row>
    <row r="1060" spans="2:21" x14ac:dyDescent="0.25">
      <c r="B1060"/>
      <c r="C1060"/>
      <c r="F1060"/>
      <c r="G1060"/>
      <c r="H1060"/>
      <c r="I1060"/>
      <c r="J1060"/>
      <c r="K1060"/>
      <c r="L1060"/>
      <c r="M1060"/>
      <c r="N1060"/>
      <c r="O1060"/>
      <c r="P1060"/>
      <c r="Q1060"/>
      <c r="S1060"/>
      <c r="U1060"/>
    </row>
    <row r="1061" spans="2:21" x14ac:dyDescent="0.25">
      <c r="B1061"/>
      <c r="C1061"/>
      <c r="F1061"/>
      <c r="G1061"/>
      <c r="H1061"/>
      <c r="I1061"/>
      <c r="J1061"/>
      <c r="K1061"/>
      <c r="L1061"/>
      <c r="M1061"/>
      <c r="N1061"/>
      <c r="O1061"/>
      <c r="P1061"/>
      <c r="Q1061"/>
      <c r="S1061"/>
      <c r="U1061"/>
    </row>
    <row r="1062" spans="2:21" x14ac:dyDescent="0.25">
      <c r="B1062"/>
      <c r="C1062"/>
      <c r="F1062"/>
      <c r="G1062"/>
      <c r="H1062"/>
      <c r="I1062"/>
      <c r="J1062"/>
      <c r="K1062"/>
      <c r="L1062"/>
      <c r="M1062"/>
      <c r="N1062"/>
      <c r="O1062"/>
      <c r="P1062"/>
      <c r="Q1062"/>
      <c r="S1062"/>
      <c r="U1062"/>
    </row>
    <row r="1063" spans="2:21" x14ac:dyDescent="0.25">
      <c r="B1063"/>
      <c r="C1063"/>
      <c r="F1063"/>
      <c r="G1063"/>
      <c r="H1063"/>
      <c r="I1063"/>
      <c r="J1063"/>
      <c r="K1063"/>
      <c r="L1063"/>
      <c r="M1063"/>
      <c r="N1063"/>
      <c r="O1063"/>
      <c r="P1063"/>
      <c r="Q1063"/>
      <c r="S1063"/>
      <c r="U1063"/>
    </row>
    <row r="1064" spans="2:21" x14ac:dyDescent="0.25">
      <c r="B1064"/>
      <c r="C1064"/>
      <c r="F1064"/>
      <c r="G1064"/>
      <c r="H1064"/>
      <c r="I1064"/>
      <c r="J1064"/>
      <c r="K1064"/>
      <c r="L1064"/>
      <c r="M1064"/>
      <c r="N1064"/>
      <c r="O1064"/>
      <c r="P1064"/>
      <c r="Q1064"/>
      <c r="S1064"/>
      <c r="U1064"/>
    </row>
    <row r="1065" spans="2:21" x14ac:dyDescent="0.25">
      <c r="B1065"/>
      <c r="C1065"/>
      <c r="F1065"/>
      <c r="G1065"/>
      <c r="H1065"/>
      <c r="I1065"/>
      <c r="J1065"/>
      <c r="K1065"/>
      <c r="L1065"/>
      <c r="M1065"/>
      <c r="N1065"/>
      <c r="O1065"/>
      <c r="P1065"/>
      <c r="Q1065"/>
      <c r="S1065"/>
      <c r="U1065"/>
    </row>
    <row r="1066" spans="2:21" x14ac:dyDescent="0.25">
      <c r="B1066"/>
      <c r="C1066"/>
      <c r="F1066"/>
      <c r="G1066"/>
      <c r="H1066"/>
      <c r="I1066"/>
      <c r="J1066"/>
      <c r="K1066"/>
      <c r="L1066"/>
      <c r="M1066"/>
      <c r="N1066"/>
      <c r="O1066"/>
      <c r="P1066"/>
      <c r="Q1066"/>
      <c r="S1066"/>
      <c r="U1066"/>
    </row>
    <row r="1067" spans="2:21" x14ac:dyDescent="0.25">
      <c r="B1067"/>
      <c r="C1067"/>
      <c r="F1067"/>
      <c r="G1067"/>
      <c r="H1067"/>
      <c r="I1067"/>
      <c r="J1067"/>
      <c r="K1067"/>
      <c r="L1067"/>
      <c r="M1067"/>
      <c r="N1067"/>
      <c r="O1067"/>
      <c r="P1067"/>
      <c r="Q1067"/>
      <c r="S1067"/>
      <c r="U1067"/>
    </row>
    <row r="1068" spans="2:21" x14ac:dyDescent="0.25">
      <c r="B1068"/>
      <c r="C1068"/>
      <c r="F1068"/>
      <c r="G1068"/>
      <c r="H1068"/>
      <c r="I1068"/>
      <c r="J1068"/>
      <c r="K1068"/>
      <c r="L1068"/>
      <c r="M1068"/>
      <c r="N1068"/>
      <c r="O1068"/>
      <c r="P1068"/>
      <c r="Q1068"/>
      <c r="S1068"/>
      <c r="U1068"/>
    </row>
    <row r="1069" spans="2:21" x14ac:dyDescent="0.25">
      <c r="B1069"/>
      <c r="C1069"/>
      <c r="F1069"/>
      <c r="G1069"/>
      <c r="H1069"/>
      <c r="I1069"/>
      <c r="J1069"/>
      <c r="K1069"/>
      <c r="L1069"/>
      <c r="M1069"/>
      <c r="N1069"/>
      <c r="O1069"/>
      <c r="P1069"/>
      <c r="Q1069"/>
      <c r="S1069"/>
      <c r="U1069"/>
    </row>
    <row r="1070" spans="2:21" x14ac:dyDescent="0.25">
      <c r="B1070"/>
      <c r="C1070"/>
      <c r="F1070"/>
      <c r="G1070"/>
      <c r="H1070"/>
      <c r="I1070"/>
      <c r="J1070"/>
      <c r="K1070"/>
      <c r="L1070"/>
      <c r="M1070"/>
      <c r="N1070"/>
      <c r="O1070"/>
      <c r="P1070"/>
      <c r="Q1070"/>
      <c r="S1070"/>
      <c r="U1070"/>
    </row>
    <row r="1071" spans="2:21" x14ac:dyDescent="0.25">
      <c r="B1071"/>
      <c r="C1071"/>
      <c r="F1071"/>
      <c r="G1071"/>
      <c r="H1071"/>
      <c r="I1071"/>
      <c r="J1071"/>
      <c r="K1071"/>
      <c r="L1071"/>
      <c r="M1071"/>
      <c r="N1071"/>
      <c r="O1071"/>
      <c r="P1071"/>
      <c r="Q1071"/>
      <c r="S1071"/>
      <c r="U1071"/>
    </row>
    <row r="1072" spans="2:21" x14ac:dyDescent="0.25">
      <c r="B1072"/>
      <c r="C1072"/>
      <c r="F1072"/>
      <c r="G1072"/>
      <c r="H1072"/>
      <c r="I1072"/>
      <c r="J1072"/>
      <c r="K1072"/>
      <c r="L1072"/>
      <c r="M1072"/>
      <c r="N1072"/>
      <c r="O1072"/>
      <c r="P1072"/>
      <c r="Q1072"/>
      <c r="S1072"/>
      <c r="U1072"/>
    </row>
    <row r="1073" spans="2:21" x14ac:dyDescent="0.25">
      <c r="B1073"/>
      <c r="C1073"/>
      <c r="F1073"/>
      <c r="G1073"/>
      <c r="H1073"/>
      <c r="I1073"/>
      <c r="J1073"/>
      <c r="K1073"/>
      <c r="L1073"/>
      <c r="M1073"/>
      <c r="N1073"/>
      <c r="O1073"/>
      <c r="P1073"/>
      <c r="Q1073"/>
      <c r="S1073"/>
      <c r="U1073"/>
    </row>
    <row r="1074" spans="2:21" x14ac:dyDescent="0.25">
      <c r="B1074"/>
      <c r="C1074"/>
      <c r="F1074"/>
      <c r="G1074"/>
      <c r="H1074"/>
      <c r="I1074"/>
      <c r="J1074"/>
      <c r="K1074"/>
      <c r="L1074"/>
      <c r="M1074"/>
      <c r="N1074"/>
      <c r="O1074"/>
      <c r="P1074"/>
      <c r="Q1074"/>
      <c r="S1074"/>
      <c r="U1074"/>
    </row>
    <row r="1075" spans="2:21" x14ac:dyDescent="0.25">
      <c r="B1075"/>
      <c r="C1075"/>
      <c r="F1075"/>
      <c r="G1075"/>
      <c r="H1075"/>
      <c r="I1075"/>
      <c r="J1075"/>
      <c r="K1075"/>
      <c r="L1075"/>
      <c r="M1075"/>
      <c r="N1075"/>
      <c r="O1075"/>
      <c r="P1075"/>
      <c r="Q1075"/>
      <c r="S1075"/>
      <c r="U1075"/>
    </row>
    <row r="1076" spans="2:21" x14ac:dyDescent="0.25">
      <c r="B1076"/>
      <c r="C1076"/>
      <c r="F1076"/>
      <c r="G1076"/>
      <c r="H1076"/>
      <c r="I1076"/>
      <c r="J1076"/>
      <c r="K1076"/>
      <c r="L1076"/>
      <c r="M1076"/>
      <c r="N1076"/>
      <c r="O1076"/>
      <c r="P1076"/>
      <c r="Q1076"/>
      <c r="S1076"/>
      <c r="U1076"/>
    </row>
    <row r="1077" spans="2:21" x14ac:dyDescent="0.25">
      <c r="B1077"/>
      <c r="C1077"/>
      <c r="F1077"/>
      <c r="G1077"/>
      <c r="H1077"/>
      <c r="I1077"/>
      <c r="J1077"/>
      <c r="K1077"/>
      <c r="L1077"/>
      <c r="M1077"/>
      <c r="N1077"/>
      <c r="O1077"/>
      <c r="P1077"/>
      <c r="Q1077"/>
      <c r="S1077"/>
      <c r="U1077"/>
    </row>
    <row r="1078" spans="2:21" x14ac:dyDescent="0.25">
      <c r="B1078"/>
      <c r="C1078"/>
      <c r="F1078"/>
      <c r="G1078"/>
      <c r="H1078"/>
      <c r="I1078"/>
      <c r="J1078"/>
      <c r="K1078"/>
      <c r="L1078"/>
      <c r="M1078"/>
      <c r="N1078"/>
      <c r="O1078"/>
      <c r="P1078"/>
      <c r="Q1078"/>
      <c r="S1078"/>
      <c r="U1078"/>
    </row>
    <row r="1079" spans="2:21" x14ac:dyDescent="0.25">
      <c r="B1079"/>
      <c r="C1079"/>
      <c r="F1079"/>
      <c r="G1079"/>
      <c r="H1079"/>
      <c r="I1079"/>
      <c r="J1079"/>
      <c r="K1079"/>
      <c r="L1079"/>
      <c r="M1079"/>
      <c r="N1079"/>
      <c r="O1079"/>
      <c r="P1079"/>
      <c r="Q1079"/>
      <c r="S1079"/>
      <c r="U1079"/>
    </row>
    <row r="1080" spans="2:21" x14ac:dyDescent="0.25">
      <c r="B1080"/>
      <c r="C1080"/>
      <c r="F1080"/>
      <c r="G1080"/>
      <c r="H1080"/>
      <c r="I1080"/>
      <c r="J1080"/>
      <c r="K1080"/>
      <c r="L1080"/>
      <c r="M1080"/>
      <c r="N1080"/>
      <c r="O1080"/>
      <c r="P1080"/>
      <c r="Q1080"/>
      <c r="S1080"/>
      <c r="U1080"/>
    </row>
    <row r="1081" spans="2:21" x14ac:dyDescent="0.25">
      <c r="B1081"/>
      <c r="C1081"/>
      <c r="F1081"/>
      <c r="G1081"/>
      <c r="H1081"/>
      <c r="I1081"/>
      <c r="J1081"/>
      <c r="K1081"/>
      <c r="L1081"/>
      <c r="M1081"/>
      <c r="N1081"/>
      <c r="O1081"/>
      <c r="P1081"/>
      <c r="Q1081"/>
      <c r="S1081"/>
      <c r="U1081"/>
    </row>
    <row r="1082" spans="2:21" x14ac:dyDescent="0.25">
      <c r="B1082"/>
      <c r="C1082"/>
      <c r="F1082"/>
      <c r="G1082"/>
      <c r="H1082"/>
      <c r="I1082"/>
      <c r="J1082"/>
      <c r="K1082"/>
      <c r="L1082"/>
      <c r="M1082"/>
      <c r="N1082"/>
      <c r="O1082"/>
      <c r="P1082"/>
      <c r="Q1082"/>
      <c r="S1082"/>
      <c r="U1082"/>
    </row>
    <row r="1083" spans="2:21" x14ac:dyDescent="0.25">
      <c r="B1083"/>
      <c r="C1083"/>
      <c r="F1083"/>
      <c r="G1083"/>
      <c r="H1083"/>
      <c r="I1083"/>
      <c r="J1083"/>
      <c r="K1083"/>
      <c r="L1083"/>
      <c r="M1083"/>
      <c r="N1083"/>
      <c r="O1083"/>
      <c r="P1083"/>
      <c r="Q1083"/>
      <c r="S1083"/>
      <c r="U1083"/>
    </row>
    <row r="1084" spans="2:21" x14ac:dyDescent="0.25">
      <c r="B1084"/>
      <c r="C1084"/>
      <c r="F1084"/>
      <c r="G1084"/>
      <c r="H1084"/>
      <c r="I1084"/>
      <c r="J1084"/>
      <c r="K1084"/>
      <c r="L1084"/>
      <c r="M1084"/>
      <c r="N1084"/>
      <c r="O1084"/>
      <c r="P1084"/>
      <c r="Q1084"/>
      <c r="S1084"/>
      <c r="U1084"/>
    </row>
    <row r="1085" spans="2:21" x14ac:dyDescent="0.25">
      <c r="B1085"/>
      <c r="C1085"/>
      <c r="F1085"/>
      <c r="G1085"/>
      <c r="H1085"/>
      <c r="I1085"/>
      <c r="J1085"/>
      <c r="K1085"/>
      <c r="L1085"/>
      <c r="M1085"/>
      <c r="N1085"/>
      <c r="O1085"/>
      <c r="P1085"/>
      <c r="Q1085"/>
      <c r="S1085"/>
      <c r="U1085"/>
    </row>
    <row r="1086" spans="2:21" x14ac:dyDescent="0.25">
      <c r="B1086"/>
      <c r="C1086"/>
      <c r="F1086"/>
      <c r="G1086"/>
      <c r="H1086"/>
      <c r="I1086"/>
      <c r="J1086"/>
      <c r="K1086"/>
      <c r="L1086"/>
      <c r="M1086"/>
      <c r="N1086"/>
      <c r="O1086"/>
      <c r="P1086"/>
      <c r="Q1086"/>
      <c r="S1086"/>
      <c r="U1086"/>
    </row>
    <row r="1087" spans="2:21" x14ac:dyDescent="0.25">
      <c r="B1087"/>
      <c r="C1087"/>
      <c r="F1087"/>
      <c r="G1087"/>
      <c r="H1087"/>
      <c r="I1087"/>
      <c r="J1087"/>
      <c r="K1087"/>
      <c r="L1087"/>
      <c r="M1087"/>
      <c r="N1087"/>
      <c r="O1087"/>
      <c r="P1087"/>
      <c r="Q1087"/>
      <c r="S1087"/>
      <c r="U1087"/>
    </row>
    <row r="1088" spans="2:21" x14ac:dyDescent="0.25">
      <c r="B1088"/>
      <c r="C1088"/>
      <c r="F1088"/>
      <c r="G1088"/>
      <c r="H1088"/>
      <c r="I1088"/>
      <c r="J1088"/>
      <c r="K1088"/>
      <c r="L1088"/>
      <c r="M1088"/>
      <c r="N1088"/>
      <c r="O1088"/>
      <c r="P1088"/>
      <c r="Q1088"/>
      <c r="S1088"/>
      <c r="U1088"/>
    </row>
    <row r="1089" spans="2:21" x14ac:dyDescent="0.25">
      <c r="B1089"/>
      <c r="C1089"/>
      <c r="F1089"/>
      <c r="G1089"/>
      <c r="H1089"/>
      <c r="I1089"/>
      <c r="J1089"/>
      <c r="K1089"/>
      <c r="L1089"/>
      <c r="M1089"/>
      <c r="N1089"/>
      <c r="O1089"/>
      <c r="P1089"/>
      <c r="Q1089"/>
      <c r="S1089"/>
      <c r="U1089"/>
    </row>
    <row r="1090" spans="2:21" x14ac:dyDescent="0.25">
      <c r="B1090"/>
      <c r="C1090"/>
      <c r="F1090"/>
      <c r="G1090"/>
      <c r="H1090"/>
      <c r="I1090"/>
      <c r="J1090"/>
      <c r="K1090"/>
      <c r="L1090"/>
      <c r="M1090"/>
      <c r="N1090"/>
      <c r="O1090"/>
      <c r="P1090"/>
      <c r="Q1090"/>
      <c r="S1090"/>
      <c r="U1090"/>
    </row>
    <row r="1091" spans="2:21" x14ac:dyDescent="0.25">
      <c r="B1091"/>
      <c r="C1091"/>
      <c r="F1091"/>
      <c r="G1091"/>
      <c r="H1091"/>
      <c r="I1091"/>
      <c r="J1091"/>
      <c r="K1091"/>
      <c r="L1091"/>
      <c r="M1091"/>
      <c r="N1091"/>
      <c r="O1091"/>
      <c r="P1091"/>
      <c r="Q1091"/>
      <c r="S1091"/>
      <c r="U1091"/>
    </row>
    <row r="1092" spans="2:21" x14ac:dyDescent="0.25">
      <c r="B1092"/>
      <c r="C1092"/>
      <c r="F1092"/>
      <c r="G1092"/>
      <c r="H1092"/>
      <c r="I1092"/>
      <c r="J1092"/>
      <c r="K1092"/>
      <c r="L1092"/>
      <c r="M1092"/>
      <c r="N1092"/>
      <c r="O1092"/>
      <c r="P1092"/>
      <c r="Q1092"/>
      <c r="S1092"/>
      <c r="U1092"/>
    </row>
    <row r="1093" spans="2:21" x14ac:dyDescent="0.25">
      <c r="B1093"/>
      <c r="C1093"/>
      <c r="F1093"/>
      <c r="G1093"/>
      <c r="H1093"/>
      <c r="I1093"/>
      <c r="J1093"/>
      <c r="K1093"/>
      <c r="L1093"/>
      <c r="M1093"/>
      <c r="N1093"/>
      <c r="O1093"/>
      <c r="P1093"/>
      <c r="Q1093"/>
      <c r="S1093"/>
      <c r="U1093"/>
    </row>
  </sheetData>
  <autoFilter ref="A2:U748">
    <filterColumn colId="17" showButton="0"/>
  </autoFilter>
  <mergeCells count="4">
    <mergeCell ref="R2:S2"/>
    <mergeCell ref="T2:T3"/>
    <mergeCell ref="R509:S509"/>
    <mergeCell ref="T509:T510"/>
  </mergeCells>
  <phoneticPr fontId="40" type="noConversion"/>
  <conditionalFormatting sqref="D641:D1048576 D1:D639">
    <cfRule type="duplicateValues" dxfId="6" priority="9"/>
  </conditionalFormatting>
  <conditionalFormatting sqref="D640">
    <cfRule type="duplicateValues" dxfId="5" priority="1"/>
  </conditionalFormatting>
  <pageMargins left="0.7" right="0.7" top="0.75" bottom="0.75" header="0.3" footer="0.3"/>
  <pageSetup orientation="portrait" horizont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343"/>
  <sheetViews>
    <sheetView topLeftCell="A284" zoomScale="86" zoomScaleNormal="86" zoomScaleSheetLayoutView="46" workbookViewId="0">
      <selection activeCell="H300" sqref="H300"/>
    </sheetView>
  </sheetViews>
  <sheetFormatPr defaultRowHeight="15" x14ac:dyDescent="0.25"/>
  <cols>
    <col min="1" max="1" width="7.42578125" customWidth="1"/>
    <col min="2" max="2" width="19" customWidth="1"/>
    <col min="3" max="3" width="18.85546875" customWidth="1"/>
    <col min="4" max="4" width="25.140625" customWidth="1"/>
    <col min="5" max="5" width="16.5703125" customWidth="1"/>
    <col min="6" max="6" width="16.42578125" customWidth="1"/>
    <col min="7" max="9" width="12.7109375" customWidth="1"/>
    <col min="10" max="10" width="14.5703125" customWidth="1"/>
    <col min="11" max="11" width="15.28515625" bestFit="1" customWidth="1"/>
    <col min="12" max="12" width="22" bestFit="1" customWidth="1"/>
    <col min="13" max="13" width="13.85546875" customWidth="1"/>
    <col min="14" max="14" width="14.28515625" customWidth="1"/>
    <col min="15" max="15" width="15.28515625" customWidth="1"/>
    <col min="16" max="16" width="16.42578125" customWidth="1"/>
    <col min="17" max="17" width="14" customWidth="1"/>
    <col min="18" max="18" width="15.140625" customWidth="1"/>
  </cols>
  <sheetData>
    <row r="2" spans="1:36" ht="27.75" hidden="1" customHeight="1" x14ac:dyDescent="0.25">
      <c r="A2" s="1008" t="s">
        <v>745</v>
      </c>
      <c r="B2" s="1008"/>
      <c r="C2" s="1008"/>
      <c r="D2" s="1008"/>
      <c r="E2" s="1008"/>
      <c r="F2" s="1008"/>
      <c r="G2" s="1008"/>
      <c r="H2" s="1008"/>
      <c r="I2" s="1008"/>
      <c r="J2" s="1008"/>
      <c r="K2" s="1008"/>
      <c r="N2" s="323" t="s">
        <v>1108</v>
      </c>
    </row>
    <row r="3" spans="1:36" hidden="1" x14ac:dyDescent="0.25">
      <c r="N3" t="s">
        <v>1109</v>
      </c>
      <c r="O3" t="s">
        <v>1110</v>
      </c>
      <c r="P3" t="s">
        <v>1111</v>
      </c>
    </row>
    <row r="4" spans="1:36" hidden="1" x14ac:dyDescent="0.25">
      <c r="A4" s="1009" t="s">
        <v>6</v>
      </c>
      <c r="B4" s="1009" t="s">
        <v>394</v>
      </c>
      <c r="C4" s="1009" t="s">
        <v>395</v>
      </c>
      <c r="D4" s="1010" t="s">
        <v>560</v>
      </c>
      <c r="E4" s="1011"/>
      <c r="F4" s="1011"/>
      <c r="G4" s="1011"/>
      <c r="H4" s="1011"/>
      <c r="I4" s="1011"/>
      <c r="J4" s="1012" t="s">
        <v>561</v>
      </c>
      <c r="K4" s="1014" t="s">
        <v>743</v>
      </c>
      <c r="N4" s="292">
        <v>44323</v>
      </c>
      <c r="O4" s="131">
        <v>20000000</v>
      </c>
      <c r="P4" s="16">
        <f>D27+D30+D33</f>
        <v>20000000</v>
      </c>
      <c r="Q4" s="16">
        <f>O4-P4</f>
        <v>0</v>
      </c>
    </row>
    <row r="5" spans="1:36" hidden="1" x14ac:dyDescent="0.25">
      <c r="A5" s="1009"/>
      <c r="B5" s="1009"/>
      <c r="C5" s="1009"/>
      <c r="D5" s="148">
        <v>44284</v>
      </c>
      <c r="E5" s="148">
        <v>44292</v>
      </c>
      <c r="F5" s="148">
        <v>44295</v>
      </c>
      <c r="G5" s="148">
        <v>44302</v>
      </c>
      <c r="H5" s="148">
        <v>44306</v>
      </c>
      <c r="I5" s="148">
        <v>44321</v>
      </c>
      <c r="J5" s="1013"/>
      <c r="K5" s="1014"/>
      <c r="L5" s="141"/>
      <c r="M5" s="141"/>
      <c r="N5" s="293">
        <v>44335</v>
      </c>
      <c r="O5" s="184">
        <v>20000000</v>
      </c>
      <c r="P5" s="295">
        <f>E33+D36+D39+D42+E53</f>
        <v>20000000</v>
      </c>
      <c r="Q5" s="16">
        <f t="shared" ref="Q5:Q20" si="0">O5-P5</f>
        <v>0</v>
      </c>
      <c r="R5" s="141"/>
      <c r="S5" s="141"/>
      <c r="T5" s="141"/>
      <c r="U5" s="141"/>
      <c r="V5" s="141"/>
      <c r="W5" s="141"/>
      <c r="X5" s="141"/>
      <c r="Y5" s="141"/>
      <c r="Z5" s="141"/>
      <c r="AA5" s="141"/>
      <c r="AB5" s="141"/>
      <c r="AC5" s="141"/>
      <c r="AD5" s="141"/>
      <c r="AE5" s="141"/>
      <c r="AF5" s="141"/>
      <c r="AG5" s="141"/>
      <c r="AH5" s="141"/>
      <c r="AI5" s="141"/>
      <c r="AJ5" s="141"/>
    </row>
    <row r="6" spans="1:36" hidden="1" x14ac:dyDescent="0.25">
      <c r="A6" s="199">
        <v>1</v>
      </c>
      <c r="B6" s="53" t="s">
        <v>385</v>
      </c>
      <c r="C6" s="144">
        <v>159145360</v>
      </c>
      <c r="D6" s="405">
        <v>20000000</v>
      </c>
      <c r="E6" s="405">
        <v>40000000</v>
      </c>
      <c r="F6" s="405">
        <v>30000000</v>
      </c>
      <c r="G6" s="405">
        <v>30000000</v>
      </c>
      <c r="H6" s="405">
        <v>20000000</v>
      </c>
      <c r="I6" s="405">
        <v>17995360</v>
      </c>
      <c r="J6" s="159">
        <v>1150000</v>
      </c>
      <c r="K6" s="3">
        <f>C6-D6-E6-F6-G6-H6-I6-J6</f>
        <v>0</v>
      </c>
      <c r="L6" s="131"/>
      <c r="M6" s="131"/>
      <c r="N6" s="292">
        <v>44337</v>
      </c>
      <c r="O6" s="131">
        <v>100000000</v>
      </c>
      <c r="P6" s="131">
        <f>F53+E56+E59</f>
        <v>100000000</v>
      </c>
      <c r="Q6" s="16">
        <f t="shared" si="0"/>
        <v>0</v>
      </c>
      <c r="R6" s="131"/>
      <c r="S6" s="131"/>
      <c r="T6" s="131"/>
      <c r="U6" s="131"/>
      <c r="V6" s="131"/>
      <c r="W6" s="131"/>
      <c r="X6" s="131"/>
      <c r="Y6" s="131"/>
      <c r="Z6" s="131"/>
      <c r="AA6" s="131"/>
      <c r="AB6" s="131"/>
      <c r="AC6" s="131"/>
      <c r="AD6" s="131"/>
      <c r="AE6" s="131"/>
      <c r="AF6" s="131"/>
      <c r="AG6" s="131"/>
      <c r="AH6" s="131"/>
      <c r="AI6" s="131"/>
      <c r="AJ6" s="131"/>
    </row>
    <row r="7" spans="1:36" hidden="1" x14ac:dyDescent="0.25">
      <c r="A7" s="149"/>
      <c r="B7" s="149"/>
      <c r="C7" s="150"/>
      <c r="D7" s="9"/>
      <c r="E7" s="9"/>
      <c r="F7" s="9"/>
      <c r="G7" s="9"/>
      <c r="H7" s="9"/>
      <c r="I7" s="9"/>
      <c r="J7" s="9"/>
      <c r="K7" s="131"/>
      <c r="L7" s="131"/>
      <c r="M7" s="131"/>
      <c r="N7" s="292">
        <v>44344</v>
      </c>
      <c r="O7" s="131">
        <v>100000000</v>
      </c>
      <c r="P7" s="131">
        <f>F59+E62</f>
        <v>100000000</v>
      </c>
      <c r="Q7" s="16">
        <f t="shared" si="0"/>
        <v>0</v>
      </c>
      <c r="R7" s="131"/>
      <c r="S7" s="131"/>
      <c r="T7" s="131"/>
      <c r="U7" s="131"/>
      <c r="V7" s="131"/>
      <c r="W7" s="131"/>
      <c r="X7" s="131"/>
      <c r="Y7" s="131"/>
      <c r="Z7" s="131"/>
      <c r="AA7" s="131"/>
      <c r="AB7" s="131"/>
      <c r="AC7" s="131"/>
      <c r="AD7" s="131"/>
      <c r="AE7" s="131"/>
      <c r="AF7" s="131"/>
      <c r="AG7" s="131"/>
      <c r="AH7" s="131"/>
      <c r="AI7" s="131"/>
      <c r="AJ7" s="131"/>
    </row>
    <row r="8" spans="1:36" ht="28.5" hidden="1" customHeight="1" x14ac:dyDescent="0.25">
      <c r="A8" s="1010" t="s">
        <v>560</v>
      </c>
      <c r="B8" s="1011"/>
      <c r="C8" s="1015"/>
      <c r="D8" s="148">
        <v>44309</v>
      </c>
      <c r="E8" s="148">
        <v>44315</v>
      </c>
      <c r="F8" s="148">
        <v>44321</v>
      </c>
      <c r="G8" s="151"/>
      <c r="H8" s="151"/>
      <c r="I8" s="151"/>
      <c r="J8" s="160" t="s">
        <v>561</v>
      </c>
      <c r="K8" s="182" t="s">
        <v>743</v>
      </c>
      <c r="L8" s="131"/>
      <c r="M8" s="131"/>
      <c r="N8" s="130">
        <v>44351</v>
      </c>
      <c r="O8" s="131">
        <v>100000000</v>
      </c>
      <c r="P8" s="131">
        <f>F62</f>
        <v>100000000</v>
      </c>
      <c r="Q8" s="16">
        <f t="shared" si="0"/>
        <v>0</v>
      </c>
      <c r="R8" s="131"/>
      <c r="S8" s="131"/>
      <c r="T8" s="131"/>
      <c r="U8" s="131"/>
      <c r="V8" s="131"/>
      <c r="W8" s="131"/>
      <c r="X8" s="131"/>
      <c r="Y8" s="131"/>
      <c r="Z8" s="131"/>
      <c r="AA8" s="131"/>
      <c r="AB8" s="131"/>
      <c r="AC8" s="131"/>
      <c r="AD8" s="131"/>
      <c r="AE8" s="131"/>
      <c r="AF8" s="131"/>
      <c r="AG8" s="131"/>
      <c r="AH8" s="131"/>
      <c r="AI8" s="131"/>
      <c r="AJ8" s="131"/>
    </row>
    <row r="9" spans="1:36" hidden="1" x14ac:dyDescent="0.25">
      <c r="A9" s="199">
        <v>2</v>
      </c>
      <c r="B9" s="53" t="s">
        <v>396</v>
      </c>
      <c r="C9" s="145">
        <v>65000000</v>
      </c>
      <c r="D9" s="405">
        <v>30000000</v>
      </c>
      <c r="E9" s="405">
        <v>10000000</v>
      </c>
      <c r="F9" s="405">
        <v>23980000</v>
      </c>
      <c r="G9" s="405"/>
      <c r="H9" s="405"/>
      <c r="I9" s="405"/>
      <c r="J9" s="159">
        <v>1020000</v>
      </c>
      <c r="K9" s="3">
        <f>C9-D9-E9-F9-G9-H9-I9-J9</f>
        <v>0</v>
      </c>
      <c r="L9" s="131"/>
      <c r="M9" s="131"/>
      <c r="N9" s="130">
        <v>44356</v>
      </c>
      <c r="O9" s="131">
        <v>10000000</v>
      </c>
      <c r="P9" s="131">
        <f>G62</f>
        <v>10000000</v>
      </c>
      <c r="Q9" s="16">
        <f t="shared" si="0"/>
        <v>0</v>
      </c>
      <c r="R9" s="131"/>
      <c r="S9" s="131"/>
      <c r="T9" s="131"/>
      <c r="U9" s="131"/>
      <c r="V9" s="131"/>
      <c r="W9" s="131"/>
      <c r="X9" s="131"/>
      <c r="Y9" s="131"/>
      <c r="Z9" s="131"/>
      <c r="AA9" s="131"/>
      <c r="AB9" s="131"/>
      <c r="AC9" s="131"/>
      <c r="AD9" s="131"/>
      <c r="AE9" s="131"/>
      <c r="AF9" s="131"/>
      <c r="AG9" s="131"/>
      <c r="AH9" s="131"/>
      <c r="AI9" s="131"/>
      <c r="AJ9" s="131"/>
    </row>
    <row r="10" spans="1:36" hidden="1" x14ac:dyDescent="0.25">
      <c r="A10" s="407"/>
      <c r="B10" s="407"/>
      <c r="C10" s="152"/>
      <c r="D10" s="9"/>
      <c r="E10" s="9"/>
      <c r="F10" s="9"/>
      <c r="G10" s="9"/>
      <c r="H10" s="9"/>
      <c r="I10" s="9"/>
      <c r="J10" s="9"/>
      <c r="K10" s="131"/>
      <c r="L10" s="131"/>
      <c r="M10" s="131"/>
      <c r="N10" s="130">
        <v>44358</v>
      </c>
      <c r="O10" s="131">
        <v>20000000</v>
      </c>
      <c r="P10" s="131">
        <f>H62+E68</f>
        <v>20000000</v>
      </c>
      <c r="Q10" s="16">
        <f t="shared" si="0"/>
        <v>0</v>
      </c>
      <c r="R10" s="131"/>
      <c r="S10" s="131"/>
      <c r="T10" s="131"/>
      <c r="U10" s="131"/>
      <c r="V10" s="131"/>
      <c r="W10" s="131"/>
      <c r="X10" s="131"/>
      <c r="Y10" s="131"/>
      <c r="Z10" s="131"/>
      <c r="AA10" s="131"/>
      <c r="AB10" s="131"/>
      <c r="AC10" s="131"/>
      <c r="AD10" s="131"/>
      <c r="AE10" s="131"/>
      <c r="AF10" s="131"/>
      <c r="AG10" s="131"/>
      <c r="AH10" s="131"/>
      <c r="AI10" s="131"/>
      <c r="AJ10" s="131"/>
    </row>
    <row r="11" spans="1:36" ht="30.75" hidden="1" customHeight="1" x14ac:dyDescent="0.25">
      <c r="A11" s="1009" t="s">
        <v>560</v>
      </c>
      <c r="B11" s="1009"/>
      <c r="C11" s="1009"/>
      <c r="D11" s="151" t="s">
        <v>1</v>
      </c>
      <c r="E11" s="153">
        <v>44254</v>
      </c>
      <c r="F11" s="153">
        <v>44260</v>
      </c>
      <c r="G11" s="151"/>
      <c r="H11" s="151"/>
      <c r="I11" s="151"/>
      <c r="J11" s="160" t="s">
        <v>561</v>
      </c>
      <c r="K11" s="182" t="s">
        <v>743</v>
      </c>
      <c r="L11" s="131"/>
      <c r="M11" s="131"/>
      <c r="N11" s="130">
        <v>44365</v>
      </c>
      <c r="O11" s="131">
        <v>50000000</v>
      </c>
      <c r="P11" s="131">
        <f>F68</f>
        <v>50000000</v>
      </c>
      <c r="Q11" s="16">
        <f t="shared" si="0"/>
        <v>0</v>
      </c>
      <c r="R11" s="131"/>
      <c r="S11" s="131"/>
      <c r="T11" s="131"/>
      <c r="U11" s="131"/>
      <c r="V11" s="131"/>
      <c r="W11" s="131"/>
      <c r="X11" s="131"/>
      <c r="Y11" s="131"/>
      <c r="Z11" s="131"/>
      <c r="AA11" s="131"/>
      <c r="AB11" s="131"/>
      <c r="AC11" s="131"/>
      <c r="AD11" s="131"/>
      <c r="AE11" s="131"/>
      <c r="AF11" s="131"/>
      <c r="AG11" s="131"/>
      <c r="AH11" s="131"/>
      <c r="AI11" s="131"/>
      <c r="AJ11" s="131"/>
    </row>
    <row r="12" spans="1:36" hidden="1" x14ac:dyDescent="0.25">
      <c r="A12" s="199">
        <v>3</v>
      </c>
      <c r="B12" s="53" t="s">
        <v>397</v>
      </c>
      <c r="C12" s="144">
        <v>178500000</v>
      </c>
      <c r="D12" s="405">
        <v>90000000</v>
      </c>
      <c r="E12" s="405">
        <v>40000000</v>
      </c>
      <c r="F12" s="405">
        <v>48500000</v>
      </c>
      <c r="G12" s="405"/>
      <c r="H12" s="405"/>
      <c r="I12" s="405"/>
      <c r="J12" s="159"/>
      <c r="K12" s="3">
        <f>C12-D12-E12-F12-G12-H12-I12-J12</f>
        <v>0</v>
      </c>
      <c r="L12" s="131"/>
      <c r="M12" s="131"/>
      <c r="N12" s="130">
        <v>44369</v>
      </c>
      <c r="O12" s="131">
        <v>30000000</v>
      </c>
      <c r="P12" s="131">
        <f>G68+E77+E80+E83+E86</f>
        <v>30000000</v>
      </c>
      <c r="Q12" s="16">
        <f t="shared" si="0"/>
        <v>0</v>
      </c>
      <c r="R12" s="131"/>
      <c r="S12" s="131"/>
      <c r="T12" s="131"/>
      <c r="U12" s="131"/>
      <c r="V12" s="131"/>
      <c r="W12" s="131"/>
      <c r="X12" s="131"/>
      <c r="Y12" s="131"/>
      <c r="Z12" s="131"/>
      <c r="AA12" s="131"/>
      <c r="AB12" s="131"/>
      <c r="AC12" s="131"/>
      <c r="AD12" s="131"/>
      <c r="AE12" s="131"/>
      <c r="AF12" s="131"/>
      <c r="AG12" s="131"/>
      <c r="AH12" s="131"/>
      <c r="AI12" s="131"/>
      <c r="AJ12" s="131"/>
    </row>
    <row r="13" spans="1:36" hidden="1" x14ac:dyDescent="0.25">
      <c r="A13" s="154"/>
      <c r="B13" s="154"/>
      <c r="C13" s="155"/>
      <c r="D13" s="9"/>
      <c r="E13" s="9"/>
      <c r="F13" s="9"/>
      <c r="G13" s="9"/>
      <c r="H13" s="9"/>
      <c r="I13" s="9"/>
      <c r="J13" s="9"/>
      <c r="K13" s="131"/>
      <c r="L13" s="131"/>
      <c r="M13" s="131"/>
      <c r="N13" s="130">
        <v>44372</v>
      </c>
      <c r="O13" s="131">
        <v>30000000</v>
      </c>
      <c r="P13" s="131">
        <f>F86+E89</f>
        <v>30000000</v>
      </c>
      <c r="Q13" s="16">
        <f t="shared" si="0"/>
        <v>0</v>
      </c>
      <c r="R13" s="131"/>
      <c r="S13" s="131"/>
      <c r="T13" s="131"/>
      <c r="U13" s="131"/>
      <c r="V13" s="131"/>
      <c r="W13" s="131"/>
      <c r="X13" s="131"/>
      <c r="Y13" s="131"/>
      <c r="Z13" s="131"/>
      <c r="AA13" s="131"/>
      <c r="AB13" s="131"/>
      <c r="AC13" s="131"/>
      <c r="AD13" s="131"/>
      <c r="AE13" s="131"/>
      <c r="AF13" s="131"/>
      <c r="AG13" s="131"/>
      <c r="AH13" s="131"/>
      <c r="AI13" s="131"/>
      <c r="AJ13" s="131"/>
    </row>
    <row r="14" spans="1:36" ht="27.75" hidden="1" customHeight="1" x14ac:dyDescent="0.25">
      <c r="A14" s="1009" t="s">
        <v>560</v>
      </c>
      <c r="B14" s="1009"/>
      <c r="C14" s="1009"/>
      <c r="D14" s="153">
        <v>44264</v>
      </c>
      <c r="E14" s="153">
        <v>44267</v>
      </c>
      <c r="F14" s="153">
        <v>44274</v>
      </c>
      <c r="G14" s="153">
        <v>44281</v>
      </c>
      <c r="H14" s="153">
        <v>44285</v>
      </c>
      <c r="I14" s="148">
        <v>44321</v>
      </c>
      <c r="J14" s="161" t="s">
        <v>561</v>
      </c>
      <c r="K14" s="182" t="s">
        <v>743</v>
      </c>
      <c r="L14" s="143"/>
      <c r="M14" s="131"/>
      <c r="N14" s="130">
        <v>44379</v>
      </c>
      <c r="O14" s="131">
        <v>10000000</v>
      </c>
      <c r="P14" s="131">
        <f>F89+E92</f>
        <v>10000000</v>
      </c>
      <c r="Q14" s="16">
        <f>O14-P14</f>
        <v>0</v>
      </c>
      <c r="R14" s="131"/>
      <c r="S14" s="131"/>
      <c r="T14" s="131"/>
      <c r="U14" s="131"/>
      <c r="V14" s="131"/>
      <c r="W14" s="131"/>
      <c r="X14" s="131"/>
      <c r="Y14" s="131"/>
      <c r="Z14" s="131"/>
      <c r="AA14" s="131"/>
      <c r="AB14" s="131"/>
      <c r="AC14" s="131"/>
      <c r="AD14" s="131"/>
      <c r="AE14" s="131"/>
      <c r="AF14" s="131"/>
      <c r="AG14" s="131"/>
      <c r="AH14" s="131"/>
      <c r="AI14" s="131"/>
      <c r="AJ14" s="131"/>
    </row>
    <row r="15" spans="1:36" hidden="1" x14ac:dyDescent="0.25">
      <c r="A15" s="199">
        <v>4</v>
      </c>
      <c r="B15" s="43" t="s">
        <v>398</v>
      </c>
      <c r="C15" s="147">
        <v>186166600</v>
      </c>
      <c r="D15" s="13">
        <v>20000000</v>
      </c>
      <c r="E15" s="13">
        <v>50000000</v>
      </c>
      <c r="F15" s="13">
        <v>40000000</v>
      </c>
      <c r="G15" s="13">
        <v>40000000</v>
      </c>
      <c r="H15" s="13">
        <v>30000000</v>
      </c>
      <c r="I15" s="13">
        <v>966600</v>
      </c>
      <c r="J15" s="162">
        <v>5200000</v>
      </c>
      <c r="K15" s="3">
        <f>C15-D15-E15-F15-G15-H15-I15-J15</f>
        <v>0</v>
      </c>
      <c r="L15" s="131"/>
      <c r="M15" s="131"/>
      <c r="N15" s="130">
        <v>44382</v>
      </c>
      <c r="O15" s="131">
        <v>30080700</v>
      </c>
      <c r="P15" s="131">
        <f>F92+E95+E98</f>
        <v>30080700</v>
      </c>
      <c r="Q15" s="16">
        <f t="shared" si="0"/>
        <v>0</v>
      </c>
      <c r="R15" s="131"/>
      <c r="S15" s="131"/>
      <c r="T15" s="131"/>
      <c r="U15" s="131"/>
      <c r="V15" s="131"/>
      <c r="W15" s="131"/>
      <c r="X15" s="131"/>
      <c r="Y15" s="131"/>
      <c r="Z15" s="131"/>
      <c r="AA15" s="131"/>
      <c r="AB15" s="131"/>
      <c r="AC15" s="131"/>
      <c r="AD15" s="131"/>
      <c r="AE15" s="131"/>
      <c r="AF15" s="131"/>
      <c r="AG15" s="131"/>
      <c r="AH15" s="131"/>
      <c r="AI15" s="131"/>
      <c r="AJ15" s="131"/>
    </row>
    <row r="16" spans="1:36" hidden="1" x14ac:dyDescent="0.25">
      <c r="A16" s="154"/>
      <c r="B16" s="156"/>
      <c r="C16" s="157"/>
      <c r="D16" s="146"/>
      <c r="E16" s="146"/>
      <c r="F16" s="146"/>
      <c r="G16" s="146"/>
      <c r="H16" s="146"/>
      <c r="I16" s="146"/>
      <c r="J16" s="146"/>
      <c r="K16" s="131"/>
      <c r="L16" s="131"/>
      <c r="M16" s="131"/>
      <c r="N16" s="297">
        <v>44386</v>
      </c>
      <c r="O16" s="131">
        <v>50000000</v>
      </c>
      <c r="P16" s="131">
        <f>F98+E101+E104+E107+E110+E119</f>
        <v>50000000</v>
      </c>
      <c r="Q16" s="16">
        <f t="shared" si="0"/>
        <v>0</v>
      </c>
      <c r="R16" s="131"/>
      <c r="S16" s="131"/>
      <c r="T16" s="131"/>
      <c r="U16" s="131"/>
      <c r="V16" s="131"/>
      <c r="W16" s="131"/>
      <c r="X16" s="131"/>
      <c r="Y16" s="131"/>
      <c r="Z16" s="131"/>
      <c r="AA16" s="131"/>
      <c r="AB16" s="131"/>
      <c r="AC16" s="131"/>
      <c r="AD16" s="131"/>
      <c r="AE16" s="131"/>
      <c r="AF16" s="131"/>
      <c r="AG16" s="131"/>
      <c r="AH16" s="131"/>
      <c r="AI16" s="131"/>
      <c r="AJ16" s="131"/>
    </row>
    <row r="17" spans="1:36" ht="25.5" hidden="1" customHeight="1" x14ac:dyDescent="0.25">
      <c r="A17" s="1009" t="s">
        <v>560</v>
      </c>
      <c r="B17" s="1009"/>
      <c r="C17" s="1009"/>
      <c r="D17" s="153">
        <v>44316</v>
      </c>
      <c r="E17" s="148">
        <v>44321</v>
      </c>
      <c r="F17" s="158"/>
      <c r="G17" s="158"/>
      <c r="H17" s="158"/>
      <c r="I17" s="158"/>
      <c r="J17" s="160" t="s">
        <v>561</v>
      </c>
      <c r="K17" s="182" t="s">
        <v>743</v>
      </c>
      <c r="L17" s="131"/>
      <c r="M17" s="131"/>
      <c r="N17" s="297">
        <v>44393</v>
      </c>
      <c r="O17" s="131">
        <v>50000000</v>
      </c>
      <c r="P17" s="131">
        <f>F119+E122+E125+F122</f>
        <v>50000000</v>
      </c>
      <c r="Q17" s="16">
        <f t="shared" si="0"/>
        <v>0</v>
      </c>
      <c r="R17" s="131"/>
      <c r="S17" s="131"/>
      <c r="T17" s="131"/>
      <c r="U17" s="131"/>
      <c r="V17" s="131"/>
      <c r="W17" s="131"/>
      <c r="X17" s="131"/>
      <c r="Y17" s="131"/>
      <c r="Z17" s="131"/>
      <c r="AA17" s="131"/>
      <c r="AB17" s="131"/>
      <c r="AC17" s="131"/>
      <c r="AD17" s="131"/>
      <c r="AE17" s="131"/>
      <c r="AF17" s="131"/>
      <c r="AG17" s="131"/>
      <c r="AH17" s="131"/>
      <c r="AI17" s="131"/>
      <c r="AJ17" s="131"/>
    </row>
    <row r="18" spans="1:36" hidden="1" x14ac:dyDescent="0.25">
      <c r="A18" s="2">
        <v>5</v>
      </c>
      <c r="B18" s="132" t="s">
        <v>400</v>
      </c>
      <c r="C18" s="3">
        <v>54326900</v>
      </c>
      <c r="D18" s="3">
        <v>40000000</v>
      </c>
      <c r="E18" s="3">
        <v>14326900</v>
      </c>
      <c r="F18" s="5"/>
      <c r="G18" s="5"/>
      <c r="H18" s="5"/>
      <c r="I18" s="5"/>
      <c r="J18" s="163"/>
      <c r="K18" s="3">
        <f>C18-D18-E18-F18-G18-H18-I18-J18</f>
        <v>0</v>
      </c>
      <c r="N18" s="297">
        <v>44400</v>
      </c>
      <c r="O18" s="131">
        <v>10000000</v>
      </c>
      <c r="P18" s="16">
        <f>F128+E128</f>
        <v>28144000</v>
      </c>
      <c r="Q18" s="16">
        <f t="shared" si="0"/>
        <v>-18144000</v>
      </c>
    </row>
    <row r="19" spans="1:36" hidden="1" x14ac:dyDescent="0.25">
      <c r="C19" s="131"/>
      <c r="D19" s="142"/>
      <c r="E19" s="142"/>
      <c r="Q19" s="16">
        <f t="shared" si="0"/>
        <v>0</v>
      </c>
    </row>
    <row r="20" spans="1:36" ht="31.5" hidden="1" customHeight="1" x14ac:dyDescent="0.25">
      <c r="A20" s="1016" t="s">
        <v>399</v>
      </c>
      <c r="B20" s="1016"/>
      <c r="C20" s="165">
        <f>C6+C9+C12+C15+C18</f>
        <v>643138860</v>
      </c>
      <c r="D20" s="179" t="s">
        <v>744</v>
      </c>
      <c r="I20" s="131"/>
      <c r="Q20" s="16">
        <f t="shared" si="0"/>
        <v>0</v>
      </c>
    </row>
    <row r="21" spans="1:36" hidden="1" x14ac:dyDescent="0.25">
      <c r="I21" s="131"/>
    </row>
    <row r="22" spans="1:36" hidden="1" x14ac:dyDescent="0.25"/>
    <row r="23" spans="1:36" ht="27.75" hidden="1" customHeight="1" x14ac:dyDescent="0.25">
      <c r="A23" s="1008" t="s">
        <v>741</v>
      </c>
      <c r="B23" s="1008"/>
      <c r="C23" s="1008"/>
      <c r="D23" s="1008"/>
      <c r="E23" s="1008"/>
      <c r="F23" s="1008"/>
      <c r="G23" s="1008"/>
      <c r="H23" s="176"/>
      <c r="I23" s="176"/>
      <c r="J23" s="176"/>
    </row>
    <row r="24" spans="1:36" hidden="1" x14ac:dyDescent="0.25"/>
    <row r="25" spans="1:36" hidden="1" x14ac:dyDescent="0.25">
      <c r="A25" s="1009" t="s">
        <v>6</v>
      </c>
      <c r="B25" s="1009" t="s">
        <v>742</v>
      </c>
      <c r="C25" s="1009" t="s">
        <v>395</v>
      </c>
      <c r="D25" s="1009" t="s">
        <v>560</v>
      </c>
      <c r="E25" s="1009"/>
      <c r="F25" s="1009"/>
      <c r="G25" s="1017" t="s">
        <v>743</v>
      </c>
    </row>
    <row r="26" spans="1:36" hidden="1" x14ac:dyDescent="0.25">
      <c r="A26" s="1009"/>
      <c r="B26" s="1009"/>
      <c r="C26" s="1009"/>
      <c r="D26" s="172">
        <v>44323</v>
      </c>
      <c r="E26" s="172"/>
      <c r="F26" s="171"/>
      <c r="G26" s="1018"/>
      <c r="H26" s="141"/>
      <c r="K26" s="141"/>
      <c r="L26" s="141"/>
      <c r="M26" s="141"/>
      <c r="N26" s="141"/>
      <c r="O26" s="141"/>
      <c r="P26" s="141"/>
      <c r="Q26" s="141"/>
      <c r="R26" s="141"/>
      <c r="S26" s="141"/>
      <c r="T26" s="141"/>
      <c r="U26" s="141"/>
      <c r="V26" s="141"/>
      <c r="W26" s="141"/>
      <c r="X26" s="141"/>
      <c r="Y26" s="141"/>
      <c r="Z26" s="141"/>
      <c r="AA26" s="141"/>
      <c r="AB26" s="141"/>
      <c r="AC26" s="141"/>
    </row>
    <row r="27" spans="1:36" hidden="1" x14ac:dyDescent="0.25">
      <c r="A27" s="199">
        <v>1</v>
      </c>
      <c r="B27" s="53" t="s">
        <v>616</v>
      </c>
      <c r="C27" s="144">
        <v>5500000</v>
      </c>
      <c r="D27" s="405">
        <v>5500000</v>
      </c>
      <c r="E27" s="405"/>
      <c r="F27" s="159"/>
      <c r="G27" s="405">
        <f>C27-D27-E27-F27</f>
        <v>0</v>
      </c>
      <c r="H27" s="131"/>
      <c r="K27" s="131"/>
      <c r="L27" s="131"/>
      <c r="M27" s="131"/>
      <c r="N27" s="131"/>
      <c r="O27" s="131"/>
      <c r="P27" s="131"/>
      <c r="Q27" s="131"/>
      <c r="R27" s="131"/>
      <c r="S27" s="131"/>
      <c r="T27" s="131"/>
      <c r="U27" s="131"/>
      <c r="V27" s="131"/>
      <c r="W27" s="131"/>
      <c r="X27" s="131"/>
      <c r="Y27" s="131"/>
      <c r="Z27" s="131"/>
      <c r="AA27" s="131"/>
      <c r="AB27" s="131"/>
      <c r="AC27" s="131"/>
    </row>
    <row r="28" spans="1:36" hidden="1" x14ac:dyDescent="0.25">
      <c r="A28" s="149"/>
      <c r="B28" s="149"/>
      <c r="C28" s="150"/>
      <c r="D28" s="9"/>
      <c r="E28" s="9"/>
      <c r="F28" s="9"/>
      <c r="G28" s="9"/>
      <c r="H28" s="131"/>
      <c r="J28" s="131"/>
      <c r="K28" s="131"/>
      <c r="L28" s="131"/>
      <c r="M28" s="131"/>
      <c r="N28" s="131"/>
      <c r="O28" s="131"/>
      <c r="P28" s="131"/>
      <c r="Q28" s="131"/>
      <c r="R28" s="131"/>
      <c r="S28" s="131"/>
      <c r="T28" s="131"/>
      <c r="U28" s="131"/>
      <c r="V28" s="131"/>
      <c r="W28" s="131"/>
      <c r="X28" s="131"/>
      <c r="Y28" s="131"/>
      <c r="Z28" s="131"/>
      <c r="AA28" s="131"/>
      <c r="AB28" s="131"/>
      <c r="AC28" s="131"/>
    </row>
    <row r="29" spans="1:36" hidden="1" x14ac:dyDescent="0.25">
      <c r="A29" s="1010" t="s">
        <v>560</v>
      </c>
      <c r="B29" s="1011"/>
      <c r="C29" s="1015"/>
      <c r="D29" s="148">
        <v>44323</v>
      </c>
      <c r="E29" s="148"/>
      <c r="F29" s="160"/>
      <c r="G29" s="164" t="s">
        <v>399</v>
      </c>
      <c r="H29" s="131"/>
      <c r="I29" s="131"/>
      <c r="J29" s="131"/>
      <c r="K29" s="131"/>
      <c r="L29" s="131"/>
      <c r="M29" s="131"/>
      <c r="N29" s="131"/>
      <c r="O29" s="131"/>
      <c r="P29" s="131"/>
      <c r="Q29" s="131"/>
      <c r="R29" s="131"/>
      <c r="S29" s="131"/>
      <c r="T29" s="131"/>
      <c r="U29" s="131"/>
      <c r="V29" s="131"/>
      <c r="W29" s="131"/>
      <c r="X29" s="131"/>
      <c r="Y29" s="131"/>
      <c r="Z29" s="131"/>
      <c r="AA29" s="131"/>
      <c r="AB29" s="131"/>
      <c r="AC29" s="131"/>
    </row>
    <row r="30" spans="1:36" hidden="1" x14ac:dyDescent="0.25">
      <c r="A30" s="199">
        <v>2</v>
      </c>
      <c r="B30" s="53" t="s">
        <v>624</v>
      </c>
      <c r="C30" s="145">
        <v>7000000</v>
      </c>
      <c r="D30" s="405">
        <v>7000000</v>
      </c>
      <c r="E30" s="405"/>
      <c r="F30" s="159"/>
      <c r="G30" s="405">
        <f>C30-D30-E30-F30</f>
        <v>0</v>
      </c>
      <c r="H30" s="131"/>
      <c r="I30" s="131"/>
      <c r="J30" s="131"/>
      <c r="K30" s="131"/>
      <c r="L30" s="131"/>
      <c r="M30" s="131"/>
      <c r="N30" s="131"/>
      <c r="O30" s="131"/>
      <c r="P30" s="131"/>
      <c r="Q30" s="131"/>
      <c r="R30" s="131"/>
      <c r="S30" s="131"/>
      <c r="T30" s="131"/>
      <c r="U30" s="131"/>
      <c r="V30" s="131"/>
      <c r="W30" s="131"/>
      <c r="X30" s="131"/>
      <c r="Y30" s="131"/>
      <c r="Z30" s="131"/>
      <c r="AA30" s="131"/>
      <c r="AB30" s="131"/>
      <c r="AC30" s="131"/>
    </row>
    <row r="31" spans="1:36" hidden="1" x14ac:dyDescent="0.25">
      <c r="A31" s="407"/>
      <c r="B31" s="407"/>
      <c r="C31" s="152"/>
      <c r="D31" s="9"/>
      <c r="E31" s="9"/>
      <c r="F31" s="9"/>
      <c r="G31" s="9"/>
      <c r="H31" s="131"/>
      <c r="I31" s="131"/>
      <c r="J31" s="131"/>
      <c r="K31" s="131"/>
      <c r="L31" s="131"/>
      <c r="M31" s="131"/>
      <c r="N31" s="131"/>
      <c r="O31" s="131"/>
      <c r="P31" s="131"/>
      <c r="Q31" s="131"/>
      <c r="R31" s="131"/>
      <c r="S31" s="131"/>
      <c r="T31" s="131"/>
      <c r="U31" s="131"/>
      <c r="V31" s="131"/>
      <c r="W31" s="131"/>
      <c r="X31" s="131"/>
      <c r="Y31" s="131"/>
      <c r="Z31" s="131"/>
      <c r="AA31" s="131"/>
      <c r="AB31" s="131"/>
      <c r="AC31" s="131"/>
    </row>
    <row r="32" spans="1:36" hidden="1" x14ac:dyDescent="0.25">
      <c r="A32" s="1009" t="s">
        <v>560</v>
      </c>
      <c r="B32" s="1009"/>
      <c r="C32" s="1009"/>
      <c r="D32" s="148">
        <v>44323</v>
      </c>
      <c r="E32" s="153">
        <v>44335</v>
      </c>
      <c r="F32" s="160"/>
      <c r="G32" s="164" t="s">
        <v>399</v>
      </c>
      <c r="H32" s="131"/>
      <c r="I32" s="131"/>
      <c r="J32" s="131"/>
      <c r="K32" s="131"/>
      <c r="L32" s="131"/>
      <c r="M32" s="131"/>
      <c r="N32" s="131"/>
      <c r="O32" s="131"/>
      <c r="P32" s="131"/>
      <c r="Q32" s="131"/>
      <c r="R32" s="131"/>
      <c r="S32" s="131"/>
      <c r="T32" s="131"/>
      <c r="U32" s="131"/>
      <c r="V32" s="131"/>
      <c r="W32" s="131"/>
      <c r="X32" s="131"/>
      <c r="Y32" s="131"/>
      <c r="Z32" s="131"/>
      <c r="AA32" s="131"/>
      <c r="AB32" s="131"/>
      <c r="AC32" s="131"/>
    </row>
    <row r="33" spans="1:29" hidden="1" x14ac:dyDescent="0.25">
      <c r="A33" s="199">
        <v>3</v>
      </c>
      <c r="B33" s="133" t="s">
        <v>633</v>
      </c>
      <c r="C33" s="144">
        <v>11000000</v>
      </c>
      <c r="D33" s="405">
        <v>7500000</v>
      </c>
      <c r="E33" s="405">
        <v>3500000</v>
      </c>
      <c r="F33" s="159"/>
      <c r="G33" s="405">
        <f>C33-D33-E33-F33</f>
        <v>0</v>
      </c>
      <c r="H33" s="131"/>
      <c r="I33" s="131"/>
      <c r="J33" s="131"/>
      <c r="K33" s="131"/>
      <c r="L33" s="131"/>
      <c r="M33" s="131"/>
      <c r="N33" s="131"/>
      <c r="O33" s="131"/>
      <c r="P33" s="131"/>
      <c r="Q33" s="131"/>
      <c r="R33" s="131"/>
      <c r="S33" s="131"/>
      <c r="T33" s="131"/>
      <c r="U33" s="131"/>
      <c r="V33" s="131"/>
      <c r="W33" s="131"/>
      <c r="X33" s="131"/>
      <c r="Y33" s="131"/>
      <c r="Z33" s="131"/>
      <c r="AA33" s="131"/>
      <c r="AB33" s="131"/>
      <c r="AC33" s="131"/>
    </row>
    <row r="34" spans="1:29" hidden="1" x14ac:dyDescent="0.25">
      <c r="A34" s="154"/>
      <c r="B34" s="154"/>
      <c r="C34" s="155"/>
      <c r="D34" s="9"/>
      <c r="E34" s="9"/>
      <c r="F34" s="9"/>
      <c r="G34" s="9"/>
      <c r="H34" s="131"/>
      <c r="I34" s="131"/>
      <c r="J34" s="131"/>
      <c r="K34" s="131"/>
      <c r="L34" s="131"/>
      <c r="M34" s="131"/>
      <c r="N34" s="131"/>
      <c r="O34" s="131"/>
      <c r="P34" s="131"/>
      <c r="Q34" s="131"/>
      <c r="R34" s="131"/>
      <c r="S34" s="131"/>
      <c r="T34" s="131"/>
      <c r="U34" s="131"/>
      <c r="V34" s="131"/>
      <c r="W34" s="131"/>
      <c r="X34" s="131"/>
      <c r="Y34" s="131"/>
      <c r="Z34" s="131"/>
      <c r="AA34" s="131"/>
      <c r="AB34" s="131"/>
      <c r="AC34" s="131"/>
    </row>
    <row r="35" spans="1:29" hidden="1" x14ac:dyDescent="0.25">
      <c r="A35" s="1009" t="s">
        <v>560</v>
      </c>
      <c r="B35" s="1009"/>
      <c r="C35" s="1009"/>
      <c r="D35" s="153">
        <v>44335</v>
      </c>
      <c r="E35" s="153"/>
      <c r="F35" s="161"/>
      <c r="G35" s="164" t="s">
        <v>399</v>
      </c>
      <c r="H35" s="143"/>
      <c r="I35" s="143"/>
      <c r="J35" s="131"/>
      <c r="K35" s="131"/>
      <c r="L35" s="131"/>
      <c r="M35" s="131"/>
      <c r="N35" s="131"/>
      <c r="O35" s="131"/>
      <c r="P35" s="131"/>
      <c r="Q35" s="131"/>
      <c r="R35" s="131"/>
      <c r="S35" s="131"/>
      <c r="T35" s="131"/>
      <c r="U35" s="131"/>
      <c r="V35" s="131"/>
      <c r="W35" s="131"/>
      <c r="X35" s="131"/>
      <c r="Y35" s="131"/>
      <c r="Z35" s="131"/>
      <c r="AA35" s="131"/>
      <c r="AB35" s="131"/>
      <c r="AC35" s="131"/>
    </row>
    <row r="36" spans="1:29" hidden="1" x14ac:dyDescent="0.25">
      <c r="A36" s="199">
        <v>4</v>
      </c>
      <c r="B36" s="133" t="s">
        <v>656</v>
      </c>
      <c r="C36" s="147">
        <v>11000000</v>
      </c>
      <c r="D36" s="13">
        <v>11000000</v>
      </c>
      <c r="E36" s="13"/>
      <c r="F36" s="162"/>
      <c r="G36" s="405">
        <f>C36-D36-E36-F36</f>
        <v>0</v>
      </c>
      <c r="H36" s="131"/>
      <c r="I36" s="131"/>
      <c r="J36" s="130"/>
      <c r="K36" s="131"/>
      <c r="L36" s="131"/>
      <c r="M36" s="131"/>
      <c r="N36" s="131"/>
      <c r="O36" s="131"/>
      <c r="P36" s="131"/>
      <c r="Q36" s="131"/>
      <c r="R36" s="131"/>
      <c r="S36" s="131"/>
      <c r="T36" s="131"/>
      <c r="U36" s="131"/>
      <c r="V36" s="131"/>
      <c r="W36" s="131"/>
      <c r="X36" s="131"/>
      <c r="Y36" s="131"/>
      <c r="Z36" s="131"/>
      <c r="AA36" s="131"/>
      <c r="AB36" s="131"/>
      <c r="AC36" s="131"/>
    </row>
    <row r="37" spans="1:29" hidden="1" x14ac:dyDescent="0.25">
      <c r="A37" s="154"/>
      <c r="B37" s="156"/>
      <c r="C37" s="157"/>
      <c r="D37" s="146"/>
      <c r="E37" s="146"/>
      <c r="F37" s="146"/>
      <c r="G37" s="146"/>
      <c r="H37" s="131"/>
      <c r="I37" s="131"/>
      <c r="J37" s="292"/>
      <c r="K37" s="184"/>
      <c r="L37" s="131"/>
      <c r="M37" s="131"/>
      <c r="N37" s="131"/>
      <c r="O37" s="131"/>
      <c r="P37" s="131"/>
      <c r="Q37" s="131"/>
      <c r="R37" s="131"/>
      <c r="S37" s="131"/>
      <c r="T37" s="131"/>
      <c r="U37" s="131"/>
      <c r="V37" s="131"/>
      <c r="W37" s="131"/>
      <c r="X37" s="131"/>
      <c r="Y37" s="131"/>
      <c r="Z37" s="131"/>
      <c r="AA37" s="131"/>
      <c r="AB37" s="131"/>
      <c r="AC37" s="131"/>
    </row>
    <row r="38" spans="1:29" hidden="1" x14ac:dyDescent="0.25">
      <c r="A38" s="1009" t="s">
        <v>560</v>
      </c>
      <c r="B38" s="1009"/>
      <c r="C38" s="1009"/>
      <c r="D38" s="153">
        <v>44335</v>
      </c>
      <c r="E38" s="148"/>
      <c r="F38" s="160"/>
      <c r="G38" s="164" t="s">
        <v>399</v>
      </c>
      <c r="H38" s="131"/>
      <c r="I38" s="131"/>
      <c r="J38" s="293"/>
      <c r="K38" s="131"/>
      <c r="L38" s="131"/>
      <c r="M38" s="131"/>
      <c r="N38" s="131"/>
      <c r="O38" s="131"/>
      <c r="P38" s="131"/>
      <c r="Q38" s="131"/>
      <c r="R38" s="131"/>
      <c r="S38" s="131"/>
      <c r="T38" s="131"/>
      <c r="U38" s="131"/>
      <c r="V38" s="131"/>
      <c r="W38" s="131"/>
      <c r="X38" s="131"/>
      <c r="Y38" s="131"/>
      <c r="Z38" s="131"/>
      <c r="AA38" s="131"/>
      <c r="AB38" s="131"/>
      <c r="AC38" s="131"/>
    </row>
    <row r="39" spans="1:29" hidden="1" x14ac:dyDescent="0.25">
      <c r="A39" s="2">
        <v>5</v>
      </c>
      <c r="B39" s="133" t="s">
        <v>684</v>
      </c>
      <c r="C39" s="3">
        <v>3800000</v>
      </c>
      <c r="D39" s="3">
        <v>3800000</v>
      </c>
      <c r="E39" s="3"/>
      <c r="F39" s="163"/>
      <c r="G39" s="405">
        <f>C39-D39-E39-F39</f>
        <v>0</v>
      </c>
      <c r="J39" s="292"/>
      <c r="K39" s="131"/>
      <c r="L39" s="131"/>
      <c r="M39" s="131"/>
    </row>
    <row r="40" spans="1:29" hidden="1" x14ac:dyDescent="0.25">
      <c r="C40" s="131"/>
      <c r="D40" s="142"/>
      <c r="E40" s="142"/>
      <c r="J40" s="292"/>
      <c r="K40" s="131"/>
      <c r="L40" s="131"/>
      <c r="M40" s="131"/>
    </row>
    <row r="41" spans="1:29" hidden="1" x14ac:dyDescent="0.25">
      <c r="A41" s="1009" t="s">
        <v>560</v>
      </c>
      <c r="B41" s="1009"/>
      <c r="C41" s="1009"/>
      <c r="D41" s="153">
        <v>44335</v>
      </c>
      <c r="E41" s="148"/>
      <c r="F41" s="160"/>
      <c r="G41" s="164" t="s">
        <v>399</v>
      </c>
      <c r="H41" s="131"/>
      <c r="I41" s="131"/>
      <c r="J41" s="130"/>
      <c r="K41" s="131"/>
      <c r="L41" s="131"/>
      <c r="M41" s="131"/>
      <c r="N41" s="131"/>
      <c r="O41" s="131"/>
      <c r="P41" s="131"/>
      <c r="Q41" s="131"/>
      <c r="R41" s="131"/>
      <c r="S41" s="131"/>
      <c r="T41" s="131"/>
      <c r="U41" s="131"/>
      <c r="V41" s="131"/>
      <c r="W41" s="131"/>
      <c r="X41" s="131"/>
      <c r="Y41" s="131"/>
      <c r="Z41" s="131"/>
      <c r="AA41" s="131"/>
      <c r="AB41" s="131"/>
      <c r="AC41" s="131"/>
    </row>
    <row r="42" spans="1:29" hidden="1" x14ac:dyDescent="0.25">
      <c r="A42" s="2">
        <v>6</v>
      </c>
      <c r="B42" s="133" t="s">
        <v>754</v>
      </c>
      <c r="C42" s="3">
        <v>360000</v>
      </c>
      <c r="D42" s="3">
        <v>360000</v>
      </c>
      <c r="E42" s="3"/>
      <c r="F42" s="163"/>
      <c r="G42" s="405">
        <f>C42-D42-E42-F42</f>
        <v>0</v>
      </c>
      <c r="J42" s="130"/>
      <c r="K42" s="131"/>
      <c r="L42" s="16"/>
      <c r="M42" s="131"/>
    </row>
    <row r="43" spans="1:29" hidden="1" x14ac:dyDescent="0.25">
      <c r="C43" s="131"/>
      <c r="D43" s="142"/>
      <c r="E43" s="142"/>
      <c r="J43" s="130"/>
      <c r="K43" s="131"/>
      <c r="L43" s="16"/>
      <c r="M43" s="131"/>
    </row>
    <row r="44" spans="1:29" ht="31.5" hidden="1" customHeight="1" x14ac:dyDescent="0.25">
      <c r="A44" s="1016" t="s">
        <v>399</v>
      </c>
      <c r="B44" s="1016"/>
      <c r="C44" s="165">
        <f>C27+C30+C33+C36+C39+C42</f>
        <v>38660000</v>
      </c>
      <c r="G44" s="178">
        <f>G27+G30+G33+G36+G39+G42</f>
        <v>0</v>
      </c>
      <c r="I44" s="131"/>
      <c r="J44" s="130"/>
      <c r="K44" s="131"/>
      <c r="L44" s="16"/>
      <c r="M44" s="131"/>
    </row>
    <row r="45" spans="1:29" hidden="1" x14ac:dyDescent="0.25">
      <c r="I45" s="131"/>
      <c r="J45" s="130"/>
      <c r="K45" s="131"/>
      <c r="L45" s="16"/>
      <c r="M45" s="131"/>
    </row>
    <row r="46" spans="1:29" hidden="1" x14ac:dyDescent="0.25">
      <c r="I46" s="131"/>
      <c r="J46" s="130"/>
      <c r="K46" s="131"/>
      <c r="L46" s="16"/>
      <c r="M46" s="131"/>
    </row>
    <row r="47" spans="1:29" hidden="1" x14ac:dyDescent="0.25">
      <c r="J47" s="130"/>
      <c r="K47" s="131"/>
      <c r="L47" s="16"/>
      <c r="M47" s="131"/>
    </row>
    <row r="48" spans="1:29" hidden="1" x14ac:dyDescent="0.25"/>
    <row r="49" spans="1:36" ht="27.75" hidden="1" customHeight="1" x14ac:dyDescent="0.25">
      <c r="A49" s="1008" t="s">
        <v>813</v>
      </c>
      <c r="B49" s="1008"/>
      <c r="C49" s="1008"/>
      <c r="D49" s="1008"/>
      <c r="E49" s="1008"/>
      <c r="F49" s="1008"/>
      <c r="G49" s="1008"/>
      <c r="H49" s="1008"/>
      <c r="I49" s="1008"/>
      <c r="J49" s="1008"/>
      <c r="K49" s="1008"/>
      <c r="L49" s="1008"/>
    </row>
    <row r="50" spans="1:36" hidden="1" x14ac:dyDescent="0.25"/>
    <row r="51" spans="1:36" ht="27.75" hidden="1" customHeight="1" x14ac:dyDescent="0.25">
      <c r="A51" s="1009" t="s">
        <v>6</v>
      </c>
      <c r="B51" s="1009" t="s">
        <v>742</v>
      </c>
      <c r="C51" s="1009" t="s">
        <v>394</v>
      </c>
      <c r="D51" s="1009" t="s">
        <v>395</v>
      </c>
      <c r="E51" s="1010" t="s">
        <v>560</v>
      </c>
      <c r="F51" s="1011"/>
      <c r="G51" s="1011"/>
      <c r="H51" s="1011"/>
      <c r="I51" s="1011"/>
      <c r="J51" s="1015"/>
      <c r="K51" s="410"/>
      <c r="L51" s="183" t="s">
        <v>743</v>
      </c>
    </row>
    <row r="52" spans="1:36" hidden="1" x14ac:dyDescent="0.25">
      <c r="A52" s="1009"/>
      <c r="B52" s="1009"/>
      <c r="C52" s="1009"/>
      <c r="D52" s="1009"/>
      <c r="E52" s="148">
        <v>44335</v>
      </c>
      <c r="F52" s="148">
        <v>44337</v>
      </c>
      <c r="G52" s="148"/>
      <c r="H52" s="148"/>
      <c r="I52" s="148"/>
      <c r="J52" s="148"/>
      <c r="K52" s="411"/>
      <c r="L52" s="177"/>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row>
    <row r="53" spans="1:36" hidden="1" x14ac:dyDescent="0.25">
      <c r="A53" s="199">
        <v>1</v>
      </c>
      <c r="B53" s="53" t="s">
        <v>746</v>
      </c>
      <c r="C53" s="5" t="s">
        <v>747</v>
      </c>
      <c r="D53" s="144">
        <v>15431000</v>
      </c>
      <c r="E53" s="144">
        <v>1340000</v>
      </c>
      <c r="F53" s="405">
        <v>14091000</v>
      </c>
      <c r="G53" s="405"/>
      <c r="H53" s="405"/>
      <c r="I53" s="405"/>
      <c r="J53" s="405"/>
      <c r="K53" s="159"/>
      <c r="L53" s="3">
        <f>D53-E53-F53-G53-H53-I53-J53-K53</f>
        <v>0</v>
      </c>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row>
    <row r="54" spans="1:36" hidden="1" x14ac:dyDescent="0.25">
      <c r="A54" s="149"/>
      <c r="B54" s="149"/>
      <c r="D54" s="150"/>
      <c r="E54" s="9"/>
      <c r="F54" s="9"/>
      <c r="G54" s="9"/>
      <c r="H54" s="9"/>
      <c r="I54" s="9"/>
      <c r="J54" s="9"/>
      <c r="K54" s="9"/>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row>
    <row r="55" spans="1:36" ht="28.5" hidden="1" customHeight="1" x14ac:dyDescent="0.25">
      <c r="A55" s="1013" t="s">
        <v>560</v>
      </c>
      <c r="B55" s="1019"/>
      <c r="C55" s="1019"/>
      <c r="D55" s="1020"/>
      <c r="E55" s="148">
        <v>44337</v>
      </c>
      <c r="F55" s="148"/>
      <c r="G55" s="148"/>
      <c r="H55" s="151"/>
      <c r="I55" s="151"/>
      <c r="J55" s="151"/>
      <c r="K55" s="180" t="s">
        <v>750</v>
      </c>
      <c r="L55" s="181" t="s">
        <v>743</v>
      </c>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row>
    <row r="56" spans="1:36" hidden="1" x14ac:dyDescent="0.25">
      <c r="A56" s="199">
        <v>2</v>
      </c>
      <c r="B56" s="53" t="s">
        <v>812</v>
      </c>
      <c r="C56" s="5" t="s">
        <v>747</v>
      </c>
      <c r="D56" s="145">
        <v>30000000</v>
      </c>
      <c r="E56" s="405">
        <v>30000000</v>
      </c>
      <c r="F56" s="405"/>
      <c r="G56" s="405"/>
      <c r="H56" s="405"/>
      <c r="I56" s="405"/>
      <c r="J56" s="405"/>
      <c r="K56" s="159"/>
      <c r="L56" s="3">
        <f>D56-E56-F56-G56-H56-I56-J56-K56</f>
        <v>0</v>
      </c>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row>
    <row r="57" spans="1:36" hidden="1" x14ac:dyDescent="0.25">
      <c r="A57" s="407"/>
      <c r="B57" s="407"/>
      <c r="D57" s="152"/>
      <c r="E57" s="9"/>
      <c r="F57" s="9"/>
      <c r="G57" s="9"/>
      <c r="H57" s="9"/>
      <c r="I57" s="9"/>
      <c r="J57" s="9"/>
      <c r="K57" s="9"/>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row>
    <row r="58" spans="1:36" ht="28.5" hidden="1" customHeight="1" x14ac:dyDescent="0.25">
      <c r="A58" s="1013" t="s">
        <v>560</v>
      </c>
      <c r="B58" s="1019"/>
      <c r="C58" s="1019"/>
      <c r="D58" s="1020"/>
      <c r="E58" s="148">
        <v>44337</v>
      </c>
      <c r="F58" s="148">
        <v>44344</v>
      </c>
      <c r="G58" s="148"/>
      <c r="H58" s="151"/>
      <c r="I58" s="151"/>
      <c r="J58" s="151"/>
      <c r="K58" s="180" t="s">
        <v>750</v>
      </c>
      <c r="L58" s="181" t="s">
        <v>743</v>
      </c>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row>
    <row r="59" spans="1:36" hidden="1" x14ac:dyDescent="0.25">
      <c r="A59" s="199">
        <v>3</v>
      </c>
      <c r="B59" s="53" t="s">
        <v>748</v>
      </c>
      <c r="C59" s="5" t="s">
        <v>749</v>
      </c>
      <c r="D59" s="145">
        <v>84824000</v>
      </c>
      <c r="E59" s="405">
        <v>55909000</v>
      </c>
      <c r="F59" s="405">
        <v>28915000</v>
      </c>
      <c r="G59" s="405"/>
      <c r="H59" s="405"/>
      <c r="I59" s="405"/>
      <c r="J59" s="405"/>
      <c r="K59" s="159"/>
      <c r="L59" s="3">
        <f>D59-E59-F59-G59-H59-I59-J59-K59</f>
        <v>0</v>
      </c>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row>
    <row r="60" spans="1:36" hidden="1" x14ac:dyDescent="0.25">
      <c r="A60" s="407"/>
      <c r="B60" s="407"/>
      <c r="D60" s="152"/>
      <c r="E60" s="9"/>
      <c r="F60" s="9"/>
      <c r="G60" s="9"/>
      <c r="H60" s="9"/>
      <c r="I60" s="9"/>
      <c r="J60" s="9"/>
      <c r="K60" s="9"/>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row>
    <row r="61" spans="1:36" ht="28.5" hidden="1" customHeight="1" x14ac:dyDescent="0.25">
      <c r="A61" s="1013" t="s">
        <v>560</v>
      </c>
      <c r="B61" s="1019"/>
      <c r="C61" s="1019"/>
      <c r="D61" s="1020"/>
      <c r="E61" s="148">
        <v>44344</v>
      </c>
      <c r="F61" s="148">
        <v>44351</v>
      </c>
      <c r="G61" s="148">
        <v>44356</v>
      </c>
      <c r="H61" s="294">
        <v>44358</v>
      </c>
      <c r="I61" s="294"/>
      <c r="J61" s="294"/>
      <c r="K61" s="180" t="s">
        <v>750</v>
      </c>
      <c r="L61" s="181" t="s">
        <v>743</v>
      </c>
      <c r="M61" s="131">
        <f>D62-K62</f>
        <v>192841300</v>
      </c>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row>
    <row r="62" spans="1:36" hidden="1" x14ac:dyDescent="0.25">
      <c r="A62" s="199">
        <v>4</v>
      </c>
      <c r="B62" s="53" t="s">
        <v>814</v>
      </c>
      <c r="C62" s="5" t="s">
        <v>749</v>
      </c>
      <c r="D62" s="145">
        <v>248841300</v>
      </c>
      <c r="E62" s="405">
        <v>71085000</v>
      </c>
      <c r="F62" s="405">
        <v>100000000</v>
      </c>
      <c r="G62" s="405">
        <v>10000000</v>
      </c>
      <c r="H62" s="405">
        <v>11756300</v>
      </c>
      <c r="I62" s="405"/>
      <c r="J62" s="405"/>
      <c r="K62" s="159">
        <v>56000000</v>
      </c>
      <c r="L62" s="3">
        <f>D62-E62-F62-G62-H62-I62-J62-K62</f>
        <v>0</v>
      </c>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row>
    <row r="63" spans="1:36" hidden="1" x14ac:dyDescent="0.25">
      <c r="A63" s="407"/>
      <c r="B63" s="407"/>
      <c r="D63" s="152"/>
      <c r="E63" s="9"/>
      <c r="F63" s="9"/>
      <c r="G63" s="9"/>
      <c r="H63" s="9"/>
      <c r="I63" s="9"/>
      <c r="J63" s="9"/>
      <c r="K63" s="9"/>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row>
    <row r="64" spans="1:36" ht="30.75" hidden="1" customHeight="1" x14ac:dyDescent="0.25">
      <c r="A64" s="1021" t="s">
        <v>560</v>
      </c>
      <c r="B64" s="1022"/>
      <c r="C64" s="1022"/>
      <c r="D64" s="1023"/>
      <c r="E64" s="268"/>
      <c r="F64" s="269"/>
      <c r="G64" s="269"/>
      <c r="H64" s="270"/>
      <c r="I64" s="270"/>
      <c r="J64" s="270"/>
      <c r="K64" s="408"/>
      <c r="L64" s="271" t="s">
        <v>743</v>
      </c>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row>
    <row r="65" spans="1:36" hidden="1" x14ac:dyDescent="0.25">
      <c r="A65" s="263">
        <v>5</v>
      </c>
      <c r="B65" s="266" t="s">
        <v>751</v>
      </c>
      <c r="C65" s="272" t="s">
        <v>752</v>
      </c>
      <c r="D65" s="273"/>
      <c r="E65" s="270"/>
      <c r="F65" s="270"/>
      <c r="G65" s="270"/>
      <c r="H65" s="270"/>
      <c r="I65" s="270"/>
      <c r="J65" s="270"/>
      <c r="K65" s="408"/>
      <c r="L65" s="274">
        <f>D65-E65-F65-G65-H65-I65-J65-K65</f>
        <v>0</v>
      </c>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row>
    <row r="66" spans="1:36" hidden="1" x14ac:dyDescent="0.25">
      <c r="A66" s="154"/>
      <c r="B66" s="154"/>
      <c r="D66" s="155"/>
      <c r="E66" s="9"/>
      <c r="F66" s="9"/>
      <c r="G66" s="9"/>
      <c r="H66" s="9"/>
      <c r="I66" s="9"/>
      <c r="J66" s="9"/>
      <c r="K66" s="9"/>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row>
    <row r="67" spans="1:36" ht="27.75" hidden="1" customHeight="1" x14ac:dyDescent="0.25">
      <c r="A67" s="1024" t="s">
        <v>560</v>
      </c>
      <c r="B67" s="1025"/>
      <c r="C67" s="1025"/>
      <c r="D67" s="1026"/>
      <c r="E67" s="153">
        <v>44358</v>
      </c>
      <c r="F67" s="153">
        <v>44365</v>
      </c>
      <c r="G67" s="153">
        <v>44369</v>
      </c>
      <c r="H67" s="153"/>
      <c r="I67" s="153"/>
      <c r="J67" s="148"/>
      <c r="K67" s="161"/>
      <c r="L67" s="181" t="s">
        <v>743</v>
      </c>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row>
    <row r="68" spans="1:36" hidden="1" x14ac:dyDescent="0.25">
      <c r="A68" s="199">
        <v>6</v>
      </c>
      <c r="B68" s="53" t="s">
        <v>753</v>
      </c>
      <c r="C68" s="5" t="s">
        <v>752</v>
      </c>
      <c r="D68" s="147">
        <v>67324400</v>
      </c>
      <c r="E68" s="13">
        <v>8243700</v>
      </c>
      <c r="F68" s="13">
        <v>50000000</v>
      </c>
      <c r="G68" s="13">
        <v>9080700</v>
      </c>
      <c r="H68" s="13"/>
      <c r="I68" s="13"/>
      <c r="J68" s="13"/>
      <c r="K68" s="162"/>
      <c r="L68" s="3">
        <f>D68-E68-F68-G68-H68-I68-J68-K68</f>
        <v>0</v>
      </c>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row>
    <row r="69" spans="1:36" hidden="1" x14ac:dyDescent="0.25">
      <c r="A69" s="154"/>
      <c r="B69" s="156"/>
      <c r="D69" s="157"/>
      <c r="E69" s="146"/>
      <c r="F69" s="146"/>
      <c r="G69" s="146"/>
      <c r="H69" s="146"/>
      <c r="I69" s="146"/>
      <c r="J69" s="146"/>
      <c r="K69" s="146"/>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row>
    <row r="70" spans="1:36" hidden="1" x14ac:dyDescent="0.25">
      <c r="D70" s="131"/>
      <c r="E70" s="142"/>
      <c r="F70" s="142"/>
    </row>
    <row r="71" spans="1:36" ht="31.5" hidden="1" customHeight="1" x14ac:dyDescent="0.25">
      <c r="A71" s="1016" t="s">
        <v>399</v>
      </c>
      <c r="B71" s="1016"/>
      <c r="C71" s="1016"/>
      <c r="D71" s="165">
        <f>D53+D56+D59+D62+D65+D68</f>
        <v>446420700</v>
      </c>
      <c r="E71" s="179"/>
      <c r="F71" s="16"/>
      <c r="J71" s="131"/>
      <c r="L71" s="178">
        <f>L53+L56+L59+L62+L65+L68</f>
        <v>0</v>
      </c>
      <c r="O71" s="190"/>
    </row>
    <row r="72" spans="1:36" hidden="1" x14ac:dyDescent="0.25"/>
    <row r="73" spans="1:36" ht="27.75" hidden="1" customHeight="1" x14ac:dyDescent="0.25">
      <c r="A73" s="1008" t="s">
        <v>949</v>
      </c>
      <c r="B73" s="1008"/>
      <c r="C73" s="1008"/>
      <c r="D73" s="1008"/>
      <c r="E73" s="1008"/>
      <c r="F73" s="1008"/>
      <c r="G73" s="1008"/>
      <c r="H73" s="1008"/>
      <c r="I73" s="1008"/>
      <c r="J73" s="1008"/>
      <c r="K73" s="1008"/>
      <c r="L73" s="1008"/>
    </row>
    <row r="74" spans="1:36" hidden="1" x14ac:dyDescent="0.25"/>
    <row r="75" spans="1:36" ht="27.75" hidden="1" customHeight="1" x14ac:dyDescent="0.25">
      <c r="A75" s="1009" t="s">
        <v>6</v>
      </c>
      <c r="B75" s="1009" t="s">
        <v>742</v>
      </c>
      <c r="C75" s="1009" t="s">
        <v>394</v>
      </c>
      <c r="D75" s="1009" t="s">
        <v>395</v>
      </c>
      <c r="E75" s="1010" t="s">
        <v>560</v>
      </c>
      <c r="F75" s="1011"/>
      <c r="G75" s="1011"/>
      <c r="H75" s="1011"/>
      <c r="I75" s="1011"/>
      <c r="J75" s="1015"/>
      <c r="K75" s="410"/>
      <c r="L75" s="183" t="s">
        <v>743</v>
      </c>
    </row>
    <row r="76" spans="1:36" hidden="1" x14ac:dyDescent="0.25">
      <c r="A76" s="1009"/>
      <c r="B76" s="1009"/>
      <c r="C76" s="1009"/>
      <c r="D76" s="1009"/>
      <c r="E76" s="153">
        <v>44369</v>
      </c>
      <c r="F76" s="148"/>
      <c r="G76" s="148"/>
      <c r="H76" s="148"/>
      <c r="I76" s="148"/>
      <c r="J76" s="148"/>
      <c r="K76" s="411"/>
      <c r="L76" s="177"/>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row>
    <row r="77" spans="1:36" hidden="1" x14ac:dyDescent="0.25">
      <c r="A77" s="199">
        <v>1</v>
      </c>
      <c r="B77" s="53" t="s">
        <v>795</v>
      </c>
      <c r="C77" s="5" t="s">
        <v>950</v>
      </c>
      <c r="D77" s="144">
        <v>5500000</v>
      </c>
      <c r="E77" s="406">
        <v>5500000</v>
      </c>
      <c r="F77" s="405"/>
      <c r="G77" s="405"/>
      <c r="H77" s="405"/>
      <c r="I77" s="405"/>
      <c r="J77" s="405"/>
      <c r="K77" s="159"/>
      <c r="L77" s="3">
        <f>D77-E77-F77-G77-H77-I77-J77-K77</f>
        <v>0</v>
      </c>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row>
    <row r="78" spans="1:36" hidden="1" x14ac:dyDescent="0.25">
      <c r="A78" s="149"/>
      <c r="B78" s="149"/>
      <c r="D78" s="150"/>
      <c r="E78" s="9"/>
      <c r="F78" s="9"/>
      <c r="G78" s="9"/>
      <c r="H78" s="9"/>
      <c r="I78" s="9"/>
      <c r="J78" s="9"/>
      <c r="K78" s="9"/>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row>
    <row r="79" spans="1:36" ht="28.5" hidden="1" customHeight="1" x14ac:dyDescent="0.25">
      <c r="A79" s="1013" t="s">
        <v>560</v>
      </c>
      <c r="B79" s="1019"/>
      <c r="C79" s="1019"/>
      <c r="D79" s="1020"/>
      <c r="E79" s="153">
        <v>44369</v>
      </c>
      <c r="F79" s="148"/>
      <c r="G79" s="148"/>
      <c r="H79" s="151"/>
      <c r="I79" s="151"/>
      <c r="J79" s="151"/>
      <c r="K79" s="180"/>
      <c r="L79" s="181" t="s">
        <v>743</v>
      </c>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row>
    <row r="80" spans="1:36" hidden="1" x14ac:dyDescent="0.25">
      <c r="A80" s="199">
        <v>2</v>
      </c>
      <c r="B80" s="53" t="s">
        <v>797</v>
      </c>
      <c r="C80" s="5" t="s">
        <v>950</v>
      </c>
      <c r="D80" s="144">
        <v>5500000</v>
      </c>
      <c r="E80" s="406">
        <v>5500000</v>
      </c>
      <c r="F80" s="405"/>
      <c r="G80" s="405"/>
      <c r="H80" s="405"/>
      <c r="I80" s="405"/>
      <c r="J80" s="405"/>
      <c r="K80" s="159"/>
      <c r="L80" s="3">
        <f>D80-E80-F80-G80-H80-I80-J80-K80</f>
        <v>0</v>
      </c>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row>
    <row r="81" spans="1:36" hidden="1" x14ac:dyDescent="0.25">
      <c r="A81" s="407"/>
      <c r="B81" s="407"/>
      <c r="D81" s="152"/>
      <c r="E81" s="9"/>
      <c r="F81" s="9"/>
      <c r="G81" s="9"/>
      <c r="H81" s="9"/>
      <c r="I81" s="9"/>
      <c r="J81" s="9"/>
      <c r="K81" s="9"/>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row>
    <row r="82" spans="1:36" ht="28.5" hidden="1" customHeight="1" x14ac:dyDescent="0.25">
      <c r="A82" s="1013" t="s">
        <v>560</v>
      </c>
      <c r="B82" s="1019"/>
      <c r="C82" s="1019"/>
      <c r="D82" s="1020"/>
      <c r="E82" s="153">
        <v>44369</v>
      </c>
      <c r="F82" s="148"/>
      <c r="G82" s="148"/>
      <c r="H82" s="151"/>
      <c r="I82" s="151"/>
      <c r="J82" s="151"/>
      <c r="K82" s="180"/>
      <c r="L82" s="181" t="s">
        <v>743</v>
      </c>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row>
    <row r="83" spans="1:36" hidden="1" x14ac:dyDescent="0.25">
      <c r="A83" s="199">
        <v>3</v>
      </c>
      <c r="B83" s="53" t="s">
        <v>872</v>
      </c>
      <c r="C83" s="5" t="s">
        <v>950</v>
      </c>
      <c r="D83" s="144">
        <v>5500000</v>
      </c>
      <c r="E83" s="406">
        <v>5500000</v>
      </c>
      <c r="F83" s="405"/>
      <c r="G83" s="405"/>
      <c r="H83" s="405"/>
      <c r="I83" s="405"/>
      <c r="J83" s="405"/>
      <c r="K83" s="159"/>
      <c r="L83" s="3">
        <f>D83-E83-F83-G83-H83-I83-J83-K83</f>
        <v>0</v>
      </c>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row>
    <row r="84" spans="1:36" hidden="1" x14ac:dyDescent="0.25">
      <c r="A84" s="407"/>
      <c r="B84" s="407"/>
      <c r="D84" s="152"/>
      <c r="E84" s="9"/>
      <c r="F84" s="9"/>
      <c r="G84" s="9"/>
      <c r="H84" s="9"/>
      <c r="I84" s="9"/>
      <c r="J84" s="9"/>
      <c r="K84" s="9"/>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row>
    <row r="85" spans="1:36" ht="28.5" hidden="1" customHeight="1" x14ac:dyDescent="0.25">
      <c r="A85" s="1013" t="s">
        <v>560</v>
      </c>
      <c r="B85" s="1019"/>
      <c r="C85" s="1019"/>
      <c r="D85" s="1020"/>
      <c r="E85" s="153">
        <v>44369</v>
      </c>
      <c r="F85" s="148">
        <v>44372</v>
      </c>
      <c r="G85" s="148"/>
      <c r="H85" s="151"/>
      <c r="I85" s="151"/>
      <c r="J85" s="151"/>
      <c r="K85" s="180" t="s">
        <v>1141</v>
      </c>
      <c r="L85" s="181" t="s">
        <v>743</v>
      </c>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row>
    <row r="86" spans="1:36" hidden="1" x14ac:dyDescent="0.25">
      <c r="A86" s="199">
        <v>4</v>
      </c>
      <c r="B86" s="53" t="s">
        <v>934</v>
      </c>
      <c r="C86" s="5" t="s">
        <v>747</v>
      </c>
      <c r="D86" s="145">
        <v>30000000</v>
      </c>
      <c r="E86" s="405">
        <v>4419300</v>
      </c>
      <c r="F86" s="405">
        <v>10580700</v>
      </c>
      <c r="G86" s="405"/>
      <c r="H86" s="405"/>
      <c r="I86" s="405"/>
      <c r="J86" s="405"/>
      <c r="K86" s="159">
        <v>15000000</v>
      </c>
      <c r="L86" s="3">
        <f>D86-E86-F86-G86-H86-I86-J86-K86</f>
        <v>0</v>
      </c>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row>
    <row r="87" spans="1:36" hidden="1" x14ac:dyDescent="0.25">
      <c r="A87" s="407"/>
      <c r="B87" s="407"/>
      <c r="D87" s="152"/>
      <c r="E87" s="9"/>
      <c r="F87" s="9"/>
      <c r="G87" s="9"/>
      <c r="H87" s="9"/>
      <c r="I87" s="9"/>
      <c r="J87" s="9"/>
      <c r="K87" s="9"/>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row>
    <row r="88" spans="1:36" ht="30.75" hidden="1" customHeight="1" x14ac:dyDescent="0.25">
      <c r="A88" s="1024" t="s">
        <v>560</v>
      </c>
      <c r="B88" s="1025"/>
      <c r="C88" s="1025"/>
      <c r="D88" s="1026"/>
      <c r="E88" s="148">
        <v>44372</v>
      </c>
      <c r="F88" s="153">
        <v>44379</v>
      </c>
      <c r="G88" s="153"/>
      <c r="H88" s="151"/>
      <c r="I88" s="151"/>
      <c r="J88" s="151"/>
      <c r="K88" s="160" t="s">
        <v>1141</v>
      </c>
      <c r="L88" s="181" t="s">
        <v>743</v>
      </c>
      <c r="M88" s="131"/>
      <c r="N88" s="131"/>
      <c r="O88" s="131">
        <f>D86+D89+D92+D95+D98</f>
        <v>122561400</v>
      </c>
      <c r="P88" s="131"/>
      <c r="Q88" s="131"/>
      <c r="R88" s="131"/>
      <c r="S88" s="131"/>
      <c r="T88" s="131"/>
      <c r="U88" s="131"/>
      <c r="V88" s="131"/>
      <c r="W88" s="131"/>
      <c r="X88" s="131"/>
      <c r="Y88" s="131"/>
      <c r="Z88" s="131"/>
      <c r="AA88" s="131"/>
      <c r="AB88" s="131"/>
      <c r="AC88" s="131"/>
      <c r="AD88" s="131"/>
      <c r="AE88" s="131"/>
      <c r="AF88" s="131"/>
      <c r="AG88" s="131"/>
      <c r="AH88" s="131"/>
      <c r="AI88" s="131"/>
      <c r="AJ88" s="131"/>
    </row>
    <row r="89" spans="1:36" hidden="1" x14ac:dyDescent="0.25">
      <c r="A89" s="199">
        <v>5</v>
      </c>
      <c r="B89" s="53" t="s">
        <v>935</v>
      </c>
      <c r="C89" s="5" t="s">
        <v>936</v>
      </c>
      <c r="D89" s="144">
        <v>38288000</v>
      </c>
      <c r="E89" s="405">
        <v>19419300</v>
      </c>
      <c r="F89" s="405">
        <v>6038700</v>
      </c>
      <c r="G89" s="405"/>
      <c r="H89" s="405"/>
      <c r="I89" s="405"/>
      <c r="J89" s="405"/>
      <c r="K89" s="159">
        <v>12830000</v>
      </c>
      <c r="L89" s="3">
        <f>D89-E89-F89-G89-H89-I89-J89-K89</f>
        <v>0</v>
      </c>
      <c r="M89" s="131"/>
      <c r="N89" s="131"/>
      <c r="O89" s="131">
        <f>K86+K89+K95+K98</f>
        <v>37830000</v>
      </c>
      <c r="P89" s="131"/>
      <c r="Q89" s="131"/>
      <c r="R89" s="131"/>
      <c r="S89" s="131"/>
      <c r="T89" s="131"/>
      <c r="U89" s="131"/>
      <c r="V89" s="131"/>
      <c r="W89" s="131"/>
      <c r="X89" s="131"/>
      <c r="Y89" s="131"/>
      <c r="Z89" s="131"/>
      <c r="AA89" s="131"/>
      <c r="AB89" s="131"/>
      <c r="AC89" s="131"/>
      <c r="AD89" s="131"/>
      <c r="AE89" s="131"/>
      <c r="AF89" s="131"/>
      <c r="AG89" s="131"/>
      <c r="AH89" s="131"/>
      <c r="AI89" s="131"/>
      <c r="AJ89" s="131"/>
    </row>
    <row r="90" spans="1:36" hidden="1" x14ac:dyDescent="0.25">
      <c r="A90" s="154"/>
      <c r="B90" s="154"/>
      <c r="D90" s="155"/>
      <c r="E90" s="9"/>
      <c r="F90" s="9"/>
      <c r="G90" s="9"/>
      <c r="H90" s="9"/>
      <c r="I90" s="9"/>
      <c r="J90" s="9"/>
      <c r="K90" s="9"/>
      <c r="L90" s="131"/>
      <c r="M90" s="131"/>
      <c r="N90" s="131"/>
      <c r="O90" s="131">
        <f>O88-O89</f>
        <v>84731400</v>
      </c>
      <c r="P90" s="131"/>
      <c r="Q90" s="131"/>
      <c r="R90" s="131"/>
      <c r="S90" s="131"/>
      <c r="T90" s="131"/>
      <c r="U90" s="131"/>
      <c r="V90" s="131"/>
      <c r="W90" s="131"/>
      <c r="X90" s="131"/>
      <c r="Y90" s="131"/>
      <c r="Z90" s="131"/>
      <c r="AA90" s="131"/>
      <c r="AB90" s="131"/>
      <c r="AC90" s="131"/>
      <c r="AD90" s="131"/>
      <c r="AE90" s="131"/>
      <c r="AF90" s="131"/>
      <c r="AG90" s="131"/>
      <c r="AH90" s="131"/>
      <c r="AI90" s="131"/>
      <c r="AJ90" s="131"/>
    </row>
    <row r="91" spans="1:36" ht="27.75" hidden="1" customHeight="1" x14ac:dyDescent="0.25">
      <c r="A91" s="1024" t="s">
        <v>560</v>
      </c>
      <c r="B91" s="1025"/>
      <c r="C91" s="1025"/>
      <c r="D91" s="1026"/>
      <c r="E91" s="153">
        <v>44379</v>
      </c>
      <c r="F91" s="153">
        <v>44382</v>
      </c>
      <c r="G91" s="153"/>
      <c r="H91" s="153"/>
      <c r="I91" s="153"/>
      <c r="J91" s="148"/>
      <c r="K91" s="161"/>
      <c r="L91" s="181" t="s">
        <v>743</v>
      </c>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row>
    <row r="92" spans="1:36" hidden="1" x14ac:dyDescent="0.25">
      <c r="A92" s="199">
        <v>6</v>
      </c>
      <c r="B92" s="53" t="s">
        <v>937</v>
      </c>
      <c r="C92" s="5" t="s">
        <v>938</v>
      </c>
      <c r="D92" s="147">
        <v>12215000</v>
      </c>
      <c r="E92" s="13">
        <v>3961300</v>
      </c>
      <c r="F92" s="13">
        <v>8253700</v>
      </c>
      <c r="G92" s="13"/>
      <c r="H92" s="13"/>
      <c r="I92" s="13"/>
      <c r="J92" s="13"/>
      <c r="K92" s="162"/>
      <c r="L92" s="3">
        <f>D92-E92-F92-G92-H92-I92-J92-K92</f>
        <v>0</v>
      </c>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row>
    <row r="93" spans="1:36" hidden="1" x14ac:dyDescent="0.25">
      <c r="A93" s="154"/>
      <c r="B93" s="156"/>
      <c r="D93" s="157"/>
      <c r="E93" s="146"/>
      <c r="F93" s="146"/>
      <c r="G93" s="146"/>
      <c r="H93" s="146"/>
      <c r="I93" s="146"/>
      <c r="J93" s="146"/>
      <c r="K93" s="146"/>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row>
    <row r="94" spans="1:36" ht="27.75" hidden="1" customHeight="1" x14ac:dyDescent="0.25">
      <c r="A94" s="1024" t="s">
        <v>560</v>
      </c>
      <c r="B94" s="1025"/>
      <c r="C94" s="1025"/>
      <c r="D94" s="1026"/>
      <c r="E94" s="153">
        <v>44382</v>
      </c>
      <c r="F94" s="153"/>
      <c r="G94" s="153"/>
      <c r="H94" s="153"/>
      <c r="I94" s="153"/>
      <c r="J94" s="148"/>
      <c r="K94" s="161" t="s">
        <v>1141</v>
      </c>
      <c r="L94" s="181" t="s">
        <v>743</v>
      </c>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row>
    <row r="95" spans="1:36" hidden="1" x14ac:dyDescent="0.25">
      <c r="A95" s="199">
        <v>7</v>
      </c>
      <c r="B95" s="53" t="s">
        <v>939</v>
      </c>
      <c r="C95" s="5" t="s">
        <v>940</v>
      </c>
      <c r="D95" s="147">
        <v>13542400</v>
      </c>
      <c r="E95" s="13">
        <v>8542400</v>
      </c>
      <c r="F95" s="13"/>
      <c r="G95" s="13"/>
      <c r="H95" s="13"/>
      <c r="I95" s="13"/>
      <c r="J95" s="13"/>
      <c r="K95" s="162">
        <v>5000000</v>
      </c>
      <c r="L95" s="3">
        <f>D95-E95-F95-G95-H95-I95-J95-K95</f>
        <v>0</v>
      </c>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row>
    <row r="96" spans="1:36" hidden="1" x14ac:dyDescent="0.25">
      <c r="A96" s="154"/>
      <c r="B96" s="156"/>
      <c r="D96" s="157"/>
      <c r="E96" s="146"/>
      <c r="F96" s="146"/>
      <c r="G96" s="146"/>
      <c r="H96" s="146"/>
      <c r="I96" s="146"/>
      <c r="J96" s="146"/>
      <c r="K96" s="146"/>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row>
    <row r="97" spans="1:36" ht="27.75" hidden="1" customHeight="1" x14ac:dyDescent="0.25">
      <c r="A97" s="1024" t="s">
        <v>560</v>
      </c>
      <c r="B97" s="1025"/>
      <c r="C97" s="1025"/>
      <c r="D97" s="1026"/>
      <c r="E97" s="153">
        <v>44382</v>
      </c>
      <c r="F97" s="153">
        <v>44386</v>
      </c>
      <c r="G97" s="153"/>
      <c r="H97" s="153"/>
      <c r="I97" s="153"/>
      <c r="J97" s="148"/>
      <c r="K97" s="161" t="s">
        <v>1141</v>
      </c>
      <c r="L97" s="181" t="s">
        <v>743</v>
      </c>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row>
    <row r="98" spans="1:36" hidden="1" x14ac:dyDescent="0.25">
      <c r="A98" s="199">
        <v>8</v>
      </c>
      <c r="B98" s="53" t="s">
        <v>941</v>
      </c>
      <c r="C98" s="5" t="s">
        <v>942</v>
      </c>
      <c r="D98" s="45">
        <v>28516000</v>
      </c>
      <c r="E98" s="13">
        <v>13284600</v>
      </c>
      <c r="F98" s="13">
        <v>10231400</v>
      </c>
      <c r="G98" s="13"/>
      <c r="H98" s="13"/>
      <c r="I98" s="13"/>
      <c r="J98" s="13"/>
      <c r="K98" s="162">
        <v>5000000</v>
      </c>
      <c r="L98" s="3">
        <f>D98-E98-F98-G98-H98-I98-J98-K98</f>
        <v>0</v>
      </c>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row>
    <row r="99" spans="1:36" hidden="1" x14ac:dyDescent="0.25">
      <c r="A99" s="154"/>
      <c r="B99" s="156"/>
      <c r="D99" s="157"/>
      <c r="E99" s="146"/>
      <c r="F99" s="146"/>
      <c r="G99" s="146"/>
      <c r="H99" s="146"/>
      <c r="I99" s="146"/>
      <c r="J99" s="146"/>
      <c r="K99" s="146"/>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row>
    <row r="100" spans="1:36" ht="27.75" hidden="1" customHeight="1" x14ac:dyDescent="0.25">
      <c r="A100" s="1024" t="s">
        <v>560</v>
      </c>
      <c r="B100" s="1025"/>
      <c r="C100" s="1025"/>
      <c r="D100" s="1026"/>
      <c r="E100" s="153">
        <v>44386</v>
      </c>
      <c r="F100" s="153"/>
      <c r="G100" s="153"/>
      <c r="H100" s="153"/>
      <c r="I100" s="153"/>
      <c r="J100" s="148"/>
      <c r="K100" s="161"/>
      <c r="L100" s="181" t="s">
        <v>743</v>
      </c>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row>
    <row r="101" spans="1:36" hidden="1" x14ac:dyDescent="0.25">
      <c r="A101" s="199">
        <v>9</v>
      </c>
      <c r="B101" s="53" t="s">
        <v>943</v>
      </c>
      <c r="C101" s="5" t="s">
        <v>944</v>
      </c>
      <c r="D101" s="45">
        <v>21000000</v>
      </c>
      <c r="E101" s="13">
        <v>21000000</v>
      </c>
      <c r="F101" s="13"/>
      <c r="G101" s="13"/>
      <c r="H101" s="13"/>
      <c r="I101" s="13"/>
      <c r="J101" s="13"/>
      <c r="K101" s="162"/>
      <c r="L101" s="3">
        <f>D101-E101-F101-G101-H101-I101-J101-K101</f>
        <v>0</v>
      </c>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row>
    <row r="102" spans="1:36" hidden="1" x14ac:dyDescent="0.25">
      <c r="A102" s="154"/>
      <c r="B102" s="156"/>
      <c r="D102" s="157"/>
      <c r="E102" s="146"/>
      <c r="F102" s="146"/>
      <c r="G102" s="146"/>
      <c r="H102" s="146"/>
      <c r="I102" s="146"/>
      <c r="J102" s="146"/>
      <c r="K102" s="146"/>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row>
    <row r="103" spans="1:36" ht="27.75" hidden="1" customHeight="1" x14ac:dyDescent="0.25">
      <c r="A103" s="1024" t="s">
        <v>560</v>
      </c>
      <c r="B103" s="1025"/>
      <c r="C103" s="1025"/>
      <c r="D103" s="1026"/>
      <c r="E103" s="153">
        <v>44386</v>
      </c>
      <c r="F103" s="153"/>
      <c r="G103" s="153"/>
      <c r="H103" s="153"/>
      <c r="I103" s="153"/>
      <c r="J103" s="148"/>
      <c r="K103" s="161"/>
      <c r="L103" s="181" t="s">
        <v>743</v>
      </c>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row>
    <row r="104" spans="1:36" hidden="1" x14ac:dyDescent="0.25">
      <c r="A104" s="199">
        <v>10</v>
      </c>
      <c r="B104" s="53" t="s">
        <v>925</v>
      </c>
      <c r="C104" s="5" t="s">
        <v>950</v>
      </c>
      <c r="D104" s="45">
        <v>5500000</v>
      </c>
      <c r="E104" s="13">
        <v>5500000</v>
      </c>
      <c r="F104" s="13"/>
      <c r="G104" s="13"/>
      <c r="H104" s="13"/>
      <c r="I104" s="13"/>
      <c r="J104" s="13"/>
      <c r="K104" s="162"/>
      <c r="L104" s="3">
        <f>D104-E104-F104-G104-H104-I104-J104-K104</f>
        <v>0</v>
      </c>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row>
    <row r="105" spans="1:36" hidden="1" x14ac:dyDescent="0.25">
      <c r="A105" s="154"/>
      <c r="B105" s="156"/>
      <c r="D105" s="157"/>
      <c r="E105" s="146"/>
      <c r="F105" s="146"/>
      <c r="G105" s="146"/>
      <c r="H105" s="146"/>
      <c r="I105" s="146"/>
      <c r="J105" s="146"/>
      <c r="K105" s="146"/>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row>
    <row r="106" spans="1:36" ht="27.75" hidden="1" customHeight="1" x14ac:dyDescent="0.25">
      <c r="A106" s="1024" t="s">
        <v>560</v>
      </c>
      <c r="B106" s="1025"/>
      <c r="C106" s="1025"/>
      <c r="D106" s="1026"/>
      <c r="E106" s="153">
        <v>44386</v>
      </c>
      <c r="F106" s="153"/>
      <c r="G106" s="153"/>
      <c r="H106" s="153"/>
      <c r="I106" s="153"/>
      <c r="J106" s="148"/>
      <c r="K106" s="161"/>
      <c r="L106" s="181" t="s">
        <v>743</v>
      </c>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row>
    <row r="107" spans="1:36" hidden="1" x14ac:dyDescent="0.25">
      <c r="A107" s="199">
        <v>11</v>
      </c>
      <c r="B107" s="53" t="s">
        <v>1014</v>
      </c>
      <c r="C107" s="5" t="s">
        <v>950</v>
      </c>
      <c r="D107" s="45">
        <v>5500000</v>
      </c>
      <c r="E107" s="13">
        <v>5500000</v>
      </c>
      <c r="F107" s="13"/>
      <c r="G107" s="13"/>
      <c r="H107" s="13"/>
      <c r="I107" s="13"/>
      <c r="J107" s="13"/>
      <c r="K107" s="162"/>
      <c r="L107" s="3">
        <f>D107-E107-F107-G107-H107-I107-J107-K107</f>
        <v>0</v>
      </c>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row>
    <row r="108" spans="1:36" hidden="1" x14ac:dyDescent="0.25">
      <c r="D108" s="131"/>
      <c r="E108" s="142"/>
      <c r="F108" s="142"/>
    </row>
    <row r="109" spans="1:36" ht="27.75" hidden="1" customHeight="1" x14ac:dyDescent="0.25">
      <c r="A109" s="1024" t="s">
        <v>560</v>
      </c>
      <c r="B109" s="1025"/>
      <c r="C109" s="1025"/>
      <c r="D109" s="1026"/>
      <c r="E109" s="153">
        <v>44386</v>
      </c>
      <c r="F109" s="153"/>
      <c r="G109" s="153"/>
      <c r="H109" s="153"/>
      <c r="I109" s="153"/>
      <c r="J109" s="148"/>
      <c r="K109" s="161"/>
      <c r="L109" s="181" t="s">
        <v>743</v>
      </c>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row>
    <row r="110" spans="1:36" hidden="1" x14ac:dyDescent="0.25">
      <c r="A110" s="199">
        <v>12</v>
      </c>
      <c r="B110" s="53" t="s">
        <v>1049</v>
      </c>
      <c r="C110" s="5" t="s">
        <v>950</v>
      </c>
      <c r="D110" s="45">
        <v>5500000</v>
      </c>
      <c r="E110" s="13">
        <v>5500000</v>
      </c>
      <c r="F110" s="13"/>
      <c r="G110" s="13"/>
      <c r="H110" s="13"/>
      <c r="I110" s="13"/>
      <c r="J110" s="13"/>
      <c r="K110" s="162"/>
      <c r="L110" s="3">
        <f>D110-E110-F110-G110-H110-I110-J110-K110</f>
        <v>0</v>
      </c>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row>
    <row r="111" spans="1:36" hidden="1" x14ac:dyDescent="0.25">
      <c r="D111" s="131"/>
      <c r="E111" s="142"/>
      <c r="F111" s="142"/>
    </row>
    <row r="112" spans="1:36" ht="31.5" hidden="1" customHeight="1" x14ac:dyDescent="0.25">
      <c r="A112" s="1016" t="s">
        <v>399</v>
      </c>
      <c r="B112" s="1016"/>
      <c r="C112" s="1016"/>
      <c r="D112" s="165">
        <f>D77+D80+D83+D86+D89+D92+D95+D98+D101+D104+D107+D110</f>
        <v>176561400</v>
      </c>
      <c r="E112" s="179"/>
      <c r="F112" s="16"/>
      <c r="J112" s="131"/>
      <c r="L112" s="178">
        <f>L77+L80+L83+L86+L89+L92+L95+L98+L101+L104+L107+L110</f>
        <v>0</v>
      </c>
      <c r="O112" s="190"/>
    </row>
    <row r="113" spans="1:36" hidden="1" x14ac:dyDescent="0.25">
      <c r="D113" s="16"/>
    </row>
    <row r="114" spans="1:36" ht="43.5" hidden="1" customHeight="1" x14ac:dyDescent="0.25">
      <c r="A114" s="1027" t="s">
        <v>1107</v>
      </c>
      <c r="B114" s="1027"/>
      <c r="C114" s="1027"/>
      <c r="D114" s="1027"/>
      <c r="E114" s="1027"/>
      <c r="F114" s="1027"/>
      <c r="G114" s="1027"/>
      <c r="H114" s="1027"/>
      <c r="I114" s="1027"/>
      <c r="J114" s="1027"/>
      <c r="K114" s="1028">
        <f>L71+L112</f>
        <v>0</v>
      </c>
      <c r="L114" s="1028"/>
    </row>
    <row r="115" spans="1:36" hidden="1" x14ac:dyDescent="0.25">
      <c r="D115" s="16"/>
    </row>
    <row r="116" spans="1:36" ht="27.75" hidden="1" customHeight="1" x14ac:dyDescent="0.25">
      <c r="A116" s="1029" t="s">
        <v>1464</v>
      </c>
      <c r="B116" s="1029"/>
      <c r="C116" s="1029"/>
      <c r="D116" s="1029"/>
      <c r="E116" s="1029"/>
      <c r="F116" s="1029"/>
      <c r="G116" s="1029"/>
      <c r="H116" s="1029"/>
      <c r="I116" s="1029"/>
      <c r="J116" s="1029"/>
      <c r="K116" s="1029"/>
      <c r="L116" s="1029"/>
    </row>
    <row r="117" spans="1:36" ht="27.75" hidden="1" customHeight="1" x14ac:dyDescent="0.25">
      <c r="A117" s="1009" t="s">
        <v>6</v>
      </c>
      <c r="B117" s="1009" t="s">
        <v>742</v>
      </c>
      <c r="C117" s="1009" t="s">
        <v>394</v>
      </c>
      <c r="D117" s="1009" t="s">
        <v>395</v>
      </c>
      <c r="E117" s="1010" t="s">
        <v>560</v>
      </c>
      <c r="F117" s="1011"/>
      <c r="G117" s="1011"/>
      <c r="H117" s="1011"/>
      <c r="I117" s="1011"/>
      <c r="J117" s="1015"/>
      <c r="K117" s="410"/>
      <c r="L117" s="409" t="s">
        <v>743</v>
      </c>
      <c r="O117" s="297">
        <v>44386</v>
      </c>
      <c r="P117" s="131">
        <v>50000000</v>
      </c>
      <c r="Q117" s="131">
        <f>F98+E101+E104+E107+E110+E119</f>
        <v>50000000</v>
      </c>
      <c r="R117" s="16">
        <f t="shared" ref="R117:R126" si="1">P117-Q117</f>
        <v>0</v>
      </c>
    </row>
    <row r="118" spans="1:36" hidden="1" x14ac:dyDescent="0.25">
      <c r="A118" s="1009"/>
      <c r="B118" s="1009"/>
      <c r="C118" s="1009"/>
      <c r="D118" s="1009"/>
      <c r="E118" s="153">
        <v>44386</v>
      </c>
      <c r="F118" s="148">
        <v>44393</v>
      </c>
      <c r="G118" s="148"/>
      <c r="H118" s="148"/>
      <c r="I118" s="148"/>
      <c r="J118" s="148"/>
      <c r="K118" s="411"/>
      <c r="L118" s="262"/>
      <c r="M118" s="141"/>
      <c r="N118" s="141"/>
      <c r="O118" s="297">
        <v>44393</v>
      </c>
      <c r="P118" s="131">
        <v>50000000</v>
      </c>
      <c r="Q118" s="131">
        <f>F119+E122+F122+E125</f>
        <v>50000000</v>
      </c>
      <c r="R118" s="16">
        <f t="shared" si="1"/>
        <v>0</v>
      </c>
      <c r="S118" s="141"/>
      <c r="T118" s="141"/>
      <c r="U118" s="141"/>
      <c r="V118" s="141"/>
      <c r="W118" s="141"/>
      <c r="X118" s="141"/>
      <c r="Y118" s="141"/>
      <c r="Z118" s="141"/>
      <c r="AA118" s="141"/>
      <c r="AB118" s="141"/>
      <c r="AC118" s="141"/>
      <c r="AD118" s="141"/>
      <c r="AE118" s="141"/>
      <c r="AF118" s="141"/>
      <c r="AG118" s="141"/>
      <c r="AH118" s="141"/>
      <c r="AI118" s="141"/>
      <c r="AJ118" s="141"/>
    </row>
    <row r="119" spans="1:36" hidden="1" x14ac:dyDescent="0.25">
      <c r="A119" s="199">
        <v>1</v>
      </c>
      <c r="B119" s="53" t="s">
        <v>1302</v>
      </c>
      <c r="C119" s="43" t="s">
        <v>1437</v>
      </c>
      <c r="D119" s="144">
        <v>4822000</v>
      </c>
      <c r="E119" s="406">
        <v>2268600</v>
      </c>
      <c r="F119" s="405">
        <v>2553400</v>
      </c>
      <c r="G119" s="405"/>
      <c r="H119" s="405"/>
      <c r="I119" s="405"/>
      <c r="J119" s="405"/>
      <c r="K119" s="159"/>
      <c r="L119" s="13">
        <f>D119-E119-F119-G119-H119-I119-J119-K119</f>
        <v>0</v>
      </c>
      <c r="M119" s="131"/>
      <c r="N119" s="131"/>
      <c r="O119" s="297">
        <v>44400</v>
      </c>
      <c r="P119" s="131">
        <v>10000000</v>
      </c>
      <c r="Q119" s="16">
        <f>F125+E128</f>
        <v>10000000</v>
      </c>
      <c r="R119" s="16">
        <f t="shared" si="1"/>
        <v>0</v>
      </c>
      <c r="S119" s="131"/>
      <c r="T119" s="131"/>
      <c r="U119" s="131"/>
      <c r="V119" s="131"/>
      <c r="W119" s="131"/>
      <c r="X119" s="131"/>
      <c r="Y119" s="131"/>
      <c r="Z119" s="131"/>
      <c r="AA119" s="131"/>
      <c r="AB119" s="131"/>
      <c r="AC119" s="131"/>
      <c r="AD119" s="131"/>
      <c r="AE119" s="131"/>
      <c r="AF119" s="131"/>
      <c r="AG119" s="131"/>
      <c r="AH119" s="131"/>
      <c r="AI119" s="131"/>
      <c r="AJ119" s="131"/>
    </row>
    <row r="120" spans="1:36" hidden="1" x14ac:dyDescent="0.25">
      <c r="A120" s="149"/>
      <c r="B120" s="149"/>
      <c r="C120" s="170"/>
      <c r="D120" s="150"/>
      <c r="E120" s="9"/>
      <c r="F120" s="9"/>
      <c r="G120" s="9"/>
      <c r="H120" s="9"/>
      <c r="I120" s="9"/>
      <c r="J120" s="9"/>
      <c r="K120" s="9"/>
      <c r="L120" s="146"/>
      <c r="M120" s="131"/>
      <c r="N120" s="131"/>
      <c r="O120" s="143">
        <v>44410</v>
      </c>
      <c r="P120" s="131">
        <v>35000000</v>
      </c>
      <c r="Q120" s="131">
        <f>F128+E131</f>
        <v>35000000</v>
      </c>
      <c r="R120" s="16">
        <f t="shared" si="1"/>
        <v>0</v>
      </c>
      <c r="S120" s="131"/>
      <c r="T120" s="131"/>
      <c r="U120" s="131"/>
      <c r="V120" s="131"/>
      <c r="W120" s="131"/>
      <c r="X120" s="131"/>
      <c r="Y120" s="131"/>
      <c r="Z120" s="131"/>
      <c r="AA120" s="131"/>
      <c r="AB120" s="131"/>
      <c r="AC120" s="131"/>
      <c r="AD120" s="131"/>
      <c r="AE120" s="131"/>
      <c r="AF120" s="131"/>
      <c r="AG120" s="131"/>
      <c r="AH120" s="131"/>
      <c r="AI120" s="131"/>
      <c r="AJ120" s="131"/>
    </row>
    <row r="121" spans="1:36" ht="28.5" hidden="1" customHeight="1" x14ac:dyDescent="0.25">
      <c r="A121" s="412" t="s">
        <v>6</v>
      </c>
      <c r="B121" s="412" t="s">
        <v>742</v>
      </c>
      <c r="C121" s="412" t="s">
        <v>394</v>
      </c>
      <c r="D121" s="412" t="s">
        <v>395</v>
      </c>
      <c r="E121" s="148">
        <v>44393</v>
      </c>
      <c r="F121" s="148">
        <v>44393</v>
      </c>
      <c r="G121" s="260"/>
      <c r="H121" s="260"/>
      <c r="I121" s="260"/>
      <c r="J121" s="260"/>
      <c r="K121" s="180"/>
      <c r="L121" s="182" t="s">
        <v>743</v>
      </c>
      <c r="M121" s="131"/>
      <c r="N121" s="131"/>
      <c r="O121" s="143">
        <v>44411</v>
      </c>
      <c r="P121" s="131">
        <v>10000000</v>
      </c>
      <c r="Q121" s="131">
        <f>F131</f>
        <v>10000000</v>
      </c>
      <c r="R121" s="16">
        <f t="shared" si="1"/>
        <v>0</v>
      </c>
      <c r="S121" s="131"/>
      <c r="T121" s="131"/>
      <c r="U121" s="131"/>
      <c r="V121" s="131"/>
      <c r="W121" s="131"/>
      <c r="X121" s="131"/>
      <c r="Y121" s="131"/>
      <c r="Z121" s="131"/>
      <c r="AA121" s="131"/>
      <c r="AB121" s="131"/>
      <c r="AC121" s="131"/>
      <c r="AD121" s="131"/>
      <c r="AE121" s="131"/>
      <c r="AF121" s="131"/>
      <c r="AG121" s="131"/>
      <c r="AH121" s="131"/>
      <c r="AI121" s="131"/>
      <c r="AJ121" s="131"/>
    </row>
    <row r="122" spans="1:36" hidden="1" x14ac:dyDescent="0.25">
      <c r="A122" s="199">
        <v>2</v>
      </c>
      <c r="B122" s="53" t="s">
        <v>1457</v>
      </c>
      <c r="C122" s="199" t="s">
        <v>1438</v>
      </c>
      <c r="D122" s="144">
        <v>30000000</v>
      </c>
      <c r="E122" s="406">
        <v>29164000</v>
      </c>
      <c r="F122" s="405">
        <v>836000</v>
      </c>
      <c r="G122" s="405"/>
      <c r="H122" s="405"/>
      <c r="I122" s="405"/>
      <c r="J122" s="405"/>
      <c r="K122" s="159"/>
      <c r="L122" s="13">
        <f>D122-E122-F122-G122-H122-I122-J122-K122</f>
        <v>0</v>
      </c>
      <c r="M122" s="131"/>
      <c r="N122" s="131"/>
      <c r="O122" s="143">
        <v>44414</v>
      </c>
      <c r="P122" s="131">
        <v>20000000</v>
      </c>
      <c r="Q122" s="131">
        <f>G131</f>
        <v>20000000</v>
      </c>
      <c r="R122" s="16">
        <f t="shared" si="1"/>
        <v>0</v>
      </c>
      <c r="S122" s="131"/>
      <c r="T122" s="131"/>
      <c r="U122" s="131"/>
      <c r="V122" s="131"/>
      <c r="W122" s="131"/>
      <c r="X122" s="131"/>
      <c r="Y122" s="131"/>
      <c r="Z122" s="131"/>
      <c r="AA122" s="131"/>
      <c r="AB122" s="131"/>
      <c r="AC122" s="131"/>
      <c r="AD122" s="131"/>
      <c r="AE122" s="131"/>
      <c r="AF122" s="131"/>
      <c r="AG122" s="131"/>
      <c r="AH122" s="131"/>
      <c r="AI122" s="131"/>
      <c r="AJ122" s="131"/>
    </row>
    <row r="123" spans="1:36" hidden="1" x14ac:dyDescent="0.25">
      <c r="A123" s="407"/>
      <c r="B123" s="407"/>
      <c r="C123" s="170"/>
      <c r="D123" s="152"/>
      <c r="E123" s="9"/>
      <c r="F123" s="9"/>
      <c r="G123" s="9"/>
      <c r="H123" s="9"/>
      <c r="I123" s="9"/>
      <c r="J123" s="9"/>
      <c r="K123" s="9"/>
      <c r="L123" s="146"/>
      <c r="M123" s="131"/>
      <c r="N123" s="131"/>
      <c r="O123" s="143">
        <v>44418</v>
      </c>
      <c r="P123" s="131">
        <v>25000000</v>
      </c>
      <c r="Q123" s="131">
        <f>H131</f>
        <v>25000000</v>
      </c>
      <c r="R123" s="16">
        <f t="shared" si="1"/>
        <v>0</v>
      </c>
      <c r="S123" s="131"/>
      <c r="T123" s="131"/>
      <c r="U123" s="131"/>
      <c r="V123" s="131"/>
      <c r="W123" s="131"/>
      <c r="X123" s="131"/>
      <c r="Y123" s="131"/>
      <c r="Z123" s="131"/>
      <c r="AA123" s="131"/>
      <c r="AB123" s="131"/>
      <c r="AC123" s="131"/>
      <c r="AD123" s="131"/>
      <c r="AE123" s="131"/>
      <c r="AF123" s="131"/>
      <c r="AG123" s="131"/>
      <c r="AH123" s="131"/>
      <c r="AI123" s="131"/>
      <c r="AJ123" s="131"/>
    </row>
    <row r="124" spans="1:36" ht="28.5" hidden="1" customHeight="1" x14ac:dyDescent="0.25">
      <c r="A124" s="412" t="s">
        <v>6</v>
      </c>
      <c r="B124" s="412" t="s">
        <v>742</v>
      </c>
      <c r="C124" s="412" t="s">
        <v>394</v>
      </c>
      <c r="D124" s="412" t="s">
        <v>395</v>
      </c>
      <c r="E124" s="148">
        <v>44393</v>
      </c>
      <c r="F124" s="324">
        <v>44400</v>
      </c>
      <c r="G124" s="324"/>
      <c r="H124" s="260"/>
      <c r="I124" s="260"/>
      <c r="J124" s="260"/>
      <c r="K124" s="180"/>
      <c r="L124" s="182" t="s">
        <v>743</v>
      </c>
      <c r="M124" s="131"/>
      <c r="N124" s="131"/>
      <c r="O124" s="375">
        <v>44421</v>
      </c>
      <c r="P124" s="131">
        <v>80000000</v>
      </c>
      <c r="Q124" s="131">
        <f>I131+E134</f>
        <v>80000000</v>
      </c>
      <c r="R124" s="16">
        <f t="shared" si="1"/>
        <v>0</v>
      </c>
      <c r="S124" s="131"/>
      <c r="T124" s="131"/>
      <c r="U124" s="131"/>
      <c r="V124" s="131"/>
      <c r="W124" s="131"/>
      <c r="X124" s="131"/>
      <c r="Y124" s="131"/>
      <c r="Z124" s="131"/>
      <c r="AA124" s="131"/>
      <c r="AB124" s="131"/>
      <c r="AC124" s="131"/>
      <c r="AD124" s="131"/>
      <c r="AE124" s="131"/>
      <c r="AF124" s="131"/>
      <c r="AG124" s="131"/>
      <c r="AH124" s="131"/>
      <c r="AI124" s="131"/>
      <c r="AJ124" s="131"/>
    </row>
    <row r="125" spans="1:36" hidden="1" x14ac:dyDescent="0.25">
      <c r="A125" s="199">
        <v>3</v>
      </c>
      <c r="B125" s="53" t="s">
        <v>1458</v>
      </c>
      <c r="C125" s="199" t="s">
        <v>1439</v>
      </c>
      <c r="D125" s="144">
        <v>26334000</v>
      </c>
      <c r="E125" s="406">
        <v>17446600</v>
      </c>
      <c r="F125" s="405">
        <v>8887400</v>
      </c>
      <c r="G125" s="405"/>
      <c r="H125" s="405"/>
      <c r="I125" s="405"/>
      <c r="J125" s="405"/>
      <c r="K125" s="159"/>
      <c r="L125" s="13">
        <f>D125-E125-F125-G125-H125-I125-J125-K125</f>
        <v>0</v>
      </c>
      <c r="M125" s="131"/>
      <c r="N125" s="131"/>
      <c r="O125" s="375">
        <v>44424</v>
      </c>
      <c r="P125" s="131">
        <v>64935900</v>
      </c>
      <c r="Q125" s="131">
        <f>F134+E137+E140</f>
        <v>64935900</v>
      </c>
      <c r="R125" s="16">
        <f t="shared" si="1"/>
        <v>0</v>
      </c>
      <c r="S125" s="131"/>
      <c r="T125" s="131"/>
      <c r="U125" s="131"/>
      <c r="V125" s="131"/>
      <c r="W125" s="131"/>
      <c r="X125" s="131"/>
      <c r="Y125" s="131"/>
      <c r="Z125" s="131"/>
      <c r="AA125" s="131"/>
      <c r="AB125" s="131"/>
      <c r="AC125" s="131"/>
      <c r="AD125" s="131"/>
      <c r="AE125" s="131"/>
      <c r="AF125" s="131"/>
      <c r="AG125" s="131"/>
      <c r="AH125" s="131"/>
      <c r="AI125" s="131"/>
      <c r="AJ125" s="131"/>
    </row>
    <row r="126" spans="1:36" hidden="1" x14ac:dyDescent="0.25">
      <c r="A126" s="407"/>
      <c r="B126" s="407"/>
      <c r="C126" s="170"/>
      <c r="D126" s="152"/>
      <c r="E126" s="9"/>
      <c r="F126" s="9"/>
      <c r="G126" s="9"/>
      <c r="H126" s="9"/>
      <c r="I126" s="9"/>
      <c r="J126" s="9"/>
      <c r="K126" s="9"/>
      <c r="L126" s="146"/>
      <c r="M126" s="131"/>
      <c r="N126" s="131"/>
      <c r="O126" s="375">
        <v>44435</v>
      </c>
      <c r="P126" s="131">
        <v>39150000</v>
      </c>
      <c r="Q126" s="131">
        <f>E143+E146+E149+E152+E155+E158</f>
        <v>39150000</v>
      </c>
      <c r="R126" s="16">
        <f t="shared" si="1"/>
        <v>0</v>
      </c>
      <c r="S126" s="131"/>
      <c r="T126" s="131"/>
      <c r="U126" s="131"/>
      <c r="V126" s="131"/>
      <c r="W126" s="131"/>
      <c r="X126" s="131"/>
      <c r="Y126" s="131"/>
      <c r="Z126" s="131"/>
      <c r="AA126" s="131"/>
      <c r="AB126" s="131"/>
      <c r="AC126" s="131"/>
      <c r="AD126" s="131"/>
      <c r="AE126" s="131"/>
      <c r="AF126" s="131"/>
      <c r="AG126" s="131"/>
      <c r="AH126" s="131"/>
      <c r="AI126" s="131"/>
      <c r="AJ126" s="131"/>
    </row>
    <row r="127" spans="1:36" ht="28.5" hidden="1" customHeight="1" x14ac:dyDescent="0.25">
      <c r="A127" s="412" t="s">
        <v>6</v>
      </c>
      <c r="B127" s="412" t="s">
        <v>742</v>
      </c>
      <c r="C127" s="412" t="s">
        <v>394</v>
      </c>
      <c r="D127" s="412" t="s">
        <v>395</v>
      </c>
      <c r="E127" s="324">
        <v>44400</v>
      </c>
      <c r="F127" s="148">
        <v>44410</v>
      </c>
      <c r="G127" s="324"/>
      <c r="H127" s="260"/>
      <c r="I127" s="260"/>
      <c r="J127" s="260"/>
      <c r="K127" s="180"/>
      <c r="L127" s="182" t="s">
        <v>743</v>
      </c>
      <c r="M127" s="131"/>
      <c r="N127" s="131"/>
      <c r="O127" s="375"/>
      <c r="P127" s="131"/>
      <c r="Q127" s="131"/>
      <c r="R127" s="16"/>
      <c r="S127" s="131"/>
      <c r="T127" s="131"/>
      <c r="U127" s="131"/>
      <c r="V127" s="131"/>
      <c r="W127" s="131"/>
      <c r="X127" s="131"/>
      <c r="Y127" s="131"/>
      <c r="Z127" s="131"/>
      <c r="AA127" s="131"/>
      <c r="AB127" s="131"/>
      <c r="AC127" s="131"/>
      <c r="AD127" s="131"/>
      <c r="AE127" s="131"/>
      <c r="AF127" s="131"/>
      <c r="AG127" s="131"/>
      <c r="AH127" s="131"/>
      <c r="AI127" s="131"/>
      <c r="AJ127" s="131"/>
    </row>
    <row r="128" spans="1:36" hidden="1" x14ac:dyDescent="0.25">
      <c r="A128" s="199">
        <v>4</v>
      </c>
      <c r="B128" s="53" t="s">
        <v>1459</v>
      </c>
      <c r="C128" s="199" t="s">
        <v>1440</v>
      </c>
      <c r="D128" s="145">
        <v>28144000</v>
      </c>
      <c r="E128" s="405">
        <v>1112600</v>
      </c>
      <c r="F128" s="405">
        <v>27031400</v>
      </c>
      <c r="G128" s="405"/>
      <c r="H128" s="405"/>
      <c r="I128" s="405"/>
      <c r="J128" s="405"/>
      <c r="K128" s="159"/>
      <c r="L128" s="13">
        <f>D128-E128-F128-G128-H128-I128-J128-K128</f>
        <v>0</v>
      </c>
      <c r="M128" s="131"/>
      <c r="N128" s="131"/>
      <c r="O128" s="375"/>
      <c r="P128" s="131"/>
      <c r="Q128" s="131"/>
      <c r="R128" s="16"/>
      <c r="S128" s="131"/>
      <c r="T128" s="131"/>
      <c r="U128" s="131"/>
      <c r="V128" s="131"/>
      <c r="W128" s="131"/>
      <c r="X128" s="131"/>
      <c r="Y128" s="131"/>
      <c r="Z128" s="131"/>
      <c r="AA128" s="131"/>
      <c r="AB128" s="131"/>
      <c r="AC128" s="131"/>
      <c r="AD128" s="131"/>
      <c r="AE128" s="131"/>
      <c r="AF128" s="131"/>
      <c r="AG128" s="131"/>
      <c r="AH128" s="131"/>
      <c r="AI128" s="131"/>
      <c r="AJ128" s="131"/>
    </row>
    <row r="129" spans="1:36" hidden="1" x14ac:dyDescent="0.25">
      <c r="A129" s="407"/>
      <c r="B129" s="407"/>
      <c r="C129" s="170"/>
      <c r="D129" s="152"/>
      <c r="E129" s="9"/>
      <c r="F129" s="9"/>
      <c r="G129" s="9"/>
      <c r="H129" s="9"/>
      <c r="I129" s="9"/>
      <c r="J129" s="9"/>
      <c r="K129" s="9"/>
      <c r="L129" s="146"/>
      <c r="M129" s="131"/>
      <c r="N129" s="131"/>
      <c r="O129" s="375"/>
      <c r="P129" s="131"/>
      <c r="Q129" s="131"/>
      <c r="R129" s="16"/>
      <c r="S129" s="131"/>
      <c r="T129" s="131"/>
      <c r="U129" s="131"/>
      <c r="V129" s="131"/>
      <c r="W129" s="131"/>
      <c r="X129" s="131"/>
      <c r="Y129" s="131"/>
      <c r="Z129" s="131"/>
      <c r="AA129" s="131"/>
      <c r="AB129" s="131"/>
      <c r="AC129" s="131"/>
      <c r="AD129" s="131"/>
      <c r="AE129" s="131"/>
      <c r="AF129" s="131"/>
      <c r="AG129" s="131"/>
      <c r="AH129" s="131"/>
      <c r="AI129" s="131"/>
      <c r="AJ129" s="131"/>
    </row>
    <row r="130" spans="1:36" ht="30.75" hidden="1" customHeight="1" x14ac:dyDescent="0.25">
      <c r="A130" s="412" t="s">
        <v>6</v>
      </c>
      <c r="B130" s="412" t="s">
        <v>742</v>
      </c>
      <c r="C130" s="412" t="s">
        <v>394</v>
      </c>
      <c r="D130" s="412" t="s">
        <v>395</v>
      </c>
      <c r="E130" s="148">
        <v>44410</v>
      </c>
      <c r="F130" s="148">
        <v>44411</v>
      </c>
      <c r="G130" s="324">
        <v>44414</v>
      </c>
      <c r="H130" s="324">
        <v>44418</v>
      </c>
      <c r="I130" s="376">
        <v>44421</v>
      </c>
      <c r="J130" s="260"/>
      <c r="K130" s="180"/>
      <c r="L130" s="182" t="s">
        <v>743</v>
      </c>
      <c r="M130" s="131"/>
      <c r="N130" s="131"/>
      <c r="O130" s="375"/>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row>
    <row r="131" spans="1:36" hidden="1" x14ac:dyDescent="0.25">
      <c r="A131" s="199">
        <v>5</v>
      </c>
      <c r="B131" s="53" t="s">
        <v>1460</v>
      </c>
      <c r="C131" s="199" t="s">
        <v>1441</v>
      </c>
      <c r="D131" s="144">
        <v>76997000</v>
      </c>
      <c r="E131" s="405">
        <v>7968600</v>
      </c>
      <c r="F131" s="405">
        <v>10000000</v>
      </c>
      <c r="G131" s="405">
        <v>20000000</v>
      </c>
      <c r="H131" s="405">
        <v>25000000</v>
      </c>
      <c r="I131" s="405">
        <v>14028400</v>
      </c>
      <c r="J131" s="405"/>
      <c r="K131" s="159"/>
      <c r="L131" s="13">
        <f>D131-E131-F131-G131-H131-I131-J131-K131</f>
        <v>0</v>
      </c>
      <c r="M131" s="131"/>
      <c r="N131" s="131"/>
      <c r="O131" s="375"/>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row>
    <row r="132" spans="1:36" hidden="1" x14ac:dyDescent="0.25">
      <c r="A132" s="154"/>
      <c r="B132" s="154"/>
      <c r="C132" s="170"/>
      <c r="D132" s="155"/>
      <c r="E132" s="9"/>
      <c r="F132" s="9"/>
      <c r="G132" s="9"/>
      <c r="H132" s="9"/>
      <c r="I132" s="9"/>
      <c r="J132" s="9"/>
      <c r="K132" s="9"/>
      <c r="L132" s="146"/>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row>
    <row r="133" spans="1:36" ht="27.75" hidden="1" customHeight="1" x14ac:dyDescent="0.25">
      <c r="A133" s="412" t="s">
        <v>6</v>
      </c>
      <c r="B133" s="412" t="s">
        <v>742</v>
      </c>
      <c r="C133" s="412" t="s">
        <v>394</v>
      </c>
      <c r="D133" s="412" t="s">
        <v>395</v>
      </c>
      <c r="E133" s="376">
        <v>44421</v>
      </c>
      <c r="F133" s="148">
        <v>44424</v>
      </c>
      <c r="G133" s="324"/>
      <c r="H133" s="260"/>
      <c r="I133" s="260"/>
      <c r="J133" s="260"/>
      <c r="K133" s="180"/>
      <c r="L133" s="182" t="s">
        <v>743</v>
      </c>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row>
    <row r="134" spans="1:36" hidden="1" x14ac:dyDescent="0.25">
      <c r="A134" s="199">
        <v>6</v>
      </c>
      <c r="B134" s="53" t="s">
        <v>1461</v>
      </c>
      <c r="C134" s="199" t="s">
        <v>1442</v>
      </c>
      <c r="D134" s="147">
        <v>107203000</v>
      </c>
      <c r="E134" s="13">
        <v>65971600</v>
      </c>
      <c r="F134" s="13">
        <v>41231400</v>
      </c>
      <c r="G134" s="13"/>
      <c r="H134" s="13"/>
      <c r="I134" s="13"/>
      <c r="J134" s="13"/>
      <c r="K134" s="162"/>
      <c r="L134" s="13">
        <f>D134-E134-F134-G134-H134-I134-J134-K134</f>
        <v>0</v>
      </c>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row>
    <row r="135" spans="1:36" hidden="1" x14ac:dyDescent="0.25">
      <c r="A135" s="154"/>
      <c r="B135" s="156"/>
      <c r="C135" s="170"/>
      <c r="D135" s="157"/>
      <c r="E135" s="146"/>
      <c r="F135" s="146"/>
      <c r="G135" s="146"/>
      <c r="H135" s="146"/>
      <c r="I135" s="146"/>
      <c r="J135" s="146"/>
      <c r="K135" s="146"/>
      <c r="L135" s="146"/>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row>
    <row r="136" spans="1:36" ht="27.75" hidden="1" customHeight="1" x14ac:dyDescent="0.25">
      <c r="A136" s="412" t="s">
        <v>6</v>
      </c>
      <c r="B136" s="412" t="s">
        <v>742</v>
      </c>
      <c r="C136" s="262" t="s">
        <v>394</v>
      </c>
      <c r="D136" s="412" t="s">
        <v>395</v>
      </c>
      <c r="E136" s="148">
        <v>44424</v>
      </c>
      <c r="F136" s="148"/>
      <c r="G136" s="324"/>
      <c r="H136" s="260"/>
      <c r="I136" s="260"/>
      <c r="J136" s="260"/>
      <c r="K136" s="180"/>
      <c r="L136" s="182" t="s">
        <v>743</v>
      </c>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row>
    <row r="137" spans="1:36" ht="30" hidden="1" x14ac:dyDescent="0.25">
      <c r="A137" s="199">
        <v>7</v>
      </c>
      <c r="B137" s="53" t="s">
        <v>1462</v>
      </c>
      <c r="C137" s="325" t="s">
        <v>1443</v>
      </c>
      <c r="D137" s="147">
        <v>22504500</v>
      </c>
      <c r="E137" s="13">
        <v>22504500</v>
      </c>
      <c r="F137" s="13"/>
      <c r="G137" s="13"/>
      <c r="H137" s="13"/>
      <c r="I137" s="13"/>
      <c r="J137" s="13"/>
      <c r="K137" s="162"/>
      <c r="L137" s="13">
        <f>D137-E137-F137-G137-H137-I137-J137-K137</f>
        <v>0</v>
      </c>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row>
    <row r="138" spans="1:36" hidden="1" x14ac:dyDescent="0.25">
      <c r="A138" s="154"/>
      <c r="B138" s="156"/>
      <c r="C138" s="170"/>
      <c r="D138" s="157"/>
      <c r="E138" s="146"/>
      <c r="F138" s="146"/>
      <c r="G138" s="146"/>
      <c r="H138" s="146"/>
      <c r="I138" s="146"/>
      <c r="J138" s="146"/>
      <c r="K138" s="146"/>
      <c r="L138" s="146"/>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row>
    <row r="139" spans="1:36" ht="27.75" hidden="1" customHeight="1" x14ac:dyDescent="0.25">
      <c r="A139" s="412" t="s">
        <v>6</v>
      </c>
      <c r="B139" s="412" t="s">
        <v>742</v>
      </c>
      <c r="C139" s="262" t="s">
        <v>394</v>
      </c>
      <c r="D139" s="412" t="s">
        <v>395</v>
      </c>
      <c r="E139" s="148">
        <v>44424</v>
      </c>
      <c r="F139" s="148"/>
      <c r="G139" s="324"/>
      <c r="H139" s="260"/>
      <c r="I139" s="260"/>
      <c r="J139" s="260"/>
      <c r="K139" s="180"/>
      <c r="L139" s="182" t="s">
        <v>743</v>
      </c>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row>
    <row r="140" spans="1:36" ht="30" hidden="1" x14ac:dyDescent="0.25">
      <c r="A140" s="199">
        <v>8</v>
      </c>
      <c r="B140" s="53" t="s">
        <v>1463</v>
      </c>
      <c r="C140" s="325" t="s">
        <v>1443</v>
      </c>
      <c r="D140" s="147">
        <v>1200000</v>
      </c>
      <c r="E140" s="13">
        <v>1200000</v>
      </c>
      <c r="F140" s="13"/>
      <c r="G140" s="13"/>
      <c r="H140" s="13"/>
      <c r="I140" s="13"/>
      <c r="J140" s="13"/>
      <c r="K140" s="162"/>
      <c r="L140" s="13">
        <f>D140-E140-F140-G140-H140-I140-J140-K140</f>
        <v>0</v>
      </c>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row>
    <row r="141" spans="1:36" hidden="1" x14ac:dyDescent="0.25">
      <c r="A141" s="154"/>
      <c r="B141" s="156"/>
      <c r="C141" s="170"/>
      <c r="D141" s="157"/>
      <c r="E141" s="146"/>
      <c r="F141" s="146"/>
      <c r="G141" s="146"/>
      <c r="H141" s="146"/>
      <c r="I141" s="146"/>
      <c r="J141" s="146"/>
      <c r="K141" s="146"/>
      <c r="L141" s="146"/>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row>
    <row r="142" spans="1:36" ht="27.75" hidden="1" customHeight="1" x14ac:dyDescent="0.25">
      <c r="A142" s="412" t="s">
        <v>6</v>
      </c>
      <c r="B142" s="412" t="s">
        <v>742</v>
      </c>
      <c r="C142" s="412" t="s">
        <v>394</v>
      </c>
      <c r="D142" s="412" t="s">
        <v>395</v>
      </c>
      <c r="E142" s="324">
        <v>44435</v>
      </c>
      <c r="F142" s="148"/>
      <c r="G142" s="324"/>
      <c r="H142" s="260"/>
      <c r="I142" s="260"/>
      <c r="J142" s="260"/>
      <c r="K142" s="180"/>
      <c r="L142" s="182" t="s">
        <v>743</v>
      </c>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row>
    <row r="143" spans="1:36" hidden="1" x14ac:dyDescent="0.25">
      <c r="A143" s="199">
        <v>9</v>
      </c>
      <c r="B143" s="53" t="s">
        <v>1301</v>
      </c>
      <c r="C143" s="43" t="s">
        <v>950</v>
      </c>
      <c r="D143" s="45">
        <v>3500000</v>
      </c>
      <c r="E143" s="13">
        <v>3500000</v>
      </c>
      <c r="F143" s="13"/>
      <c r="G143" s="13"/>
      <c r="H143" s="13"/>
      <c r="I143" s="13"/>
      <c r="J143" s="13"/>
      <c r="K143" s="162"/>
      <c r="L143" s="13">
        <f>D143-E143-F143-G143-H143-I143-J143-K143</f>
        <v>0</v>
      </c>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row>
    <row r="144" spans="1:36" hidden="1" x14ac:dyDescent="0.25">
      <c r="A144" s="154"/>
      <c r="B144" s="156"/>
      <c r="C144" s="170"/>
      <c r="D144" s="157"/>
      <c r="E144" s="146"/>
      <c r="F144" s="146"/>
      <c r="G144" s="146"/>
      <c r="H144" s="146"/>
      <c r="I144" s="146"/>
      <c r="J144" s="146"/>
      <c r="K144" s="146"/>
      <c r="L144" s="146"/>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row>
    <row r="145" spans="1:36" ht="27.75" hidden="1" customHeight="1" x14ac:dyDescent="0.25">
      <c r="A145" s="412" t="s">
        <v>6</v>
      </c>
      <c r="B145" s="412" t="s">
        <v>742</v>
      </c>
      <c r="C145" s="412" t="s">
        <v>394</v>
      </c>
      <c r="D145" s="412" t="s">
        <v>395</v>
      </c>
      <c r="E145" s="324">
        <v>44435</v>
      </c>
      <c r="F145" s="148"/>
      <c r="G145" s="324"/>
      <c r="H145" s="260"/>
      <c r="I145" s="260"/>
      <c r="J145" s="260"/>
      <c r="K145" s="180"/>
      <c r="L145" s="182" t="s">
        <v>743</v>
      </c>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row>
    <row r="146" spans="1:36" hidden="1" x14ac:dyDescent="0.25">
      <c r="A146" s="199">
        <v>10</v>
      </c>
      <c r="B146" s="53" t="s">
        <v>1362</v>
      </c>
      <c r="C146" s="43" t="s">
        <v>950</v>
      </c>
      <c r="D146" s="45">
        <v>5500000</v>
      </c>
      <c r="E146" s="13">
        <v>5500000</v>
      </c>
      <c r="F146" s="13"/>
      <c r="G146" s="13"/>
      <c r="H146" s="13"/>
      <c r="I146" s="13"/>
      <c r="J146" s="13"/>
      <c r="K146" s="162"/>
      <c r="L146" s="13">
        <f>D146-E146-F146-G146-H146-I146-J146-K146</f>
        <v>0</v>
      </c>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row>
    <row r="147" spans="1:36" hidden="1" x14ac:dyDescent="0.25">
      <c r="A147" s="154"/>
      <c r="B147" s="156"/>
      <c r="C147" s="170"/>
      <c r="D147" s="157"/>
      <c r="E147" s="146"/>
      <c r="F147" s="146"/>
      <c r="G147" s="146"/>
      <c r="H147" s="146"/>
      <c r="I147" s="146"/>
      <c r="J147" s="146"/>
      <c r="K147" s="146"/>
      <c r="L147" s="146"/>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row>
    <row r="148" spans="1:36" ht="27.75" hidden="1" customHeight="1" x14ac:dyDescent="0.25">
      <c r="A148" s="412" t="s">
        <v>6</v>
      </c>
      <c r="B148" s="412" t="s">
        <v>742</v>
      </c>
      <c r="C148" s="412" t="s">
        <v>394</v>
      </c>
      <c r="D148" s="412" t="s">
        <v>395</v>
      </c>
      <c r="E148" s="324">
        <v>44435</v>
      </c>
      <c r="F148" s="148"/>
      <c r="G148" s="324"/>
      <c r="H148" s="260"/>
      <c r="I148" s="260"/>
      <c r="J148" s="260"/>
      <c r="K148" s="180"/>
      <c r="L148" s="182" t="s">
        <v>743</v>
      </c>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row>
    <row r="149" spans="1:36" hidden="1" x14ac:dyDescent="0.25">
      <c r="A149" s="199">
        <v>11</v>
      </c>
      <c r="B149" s="53" t="s">
        <v>1366</v>
      </c>
      <c r="C149" s="43" t="s">
        <v>950</v>
      </c>
      <c r="D149" s="45">
        <v>4000000</v>
      </c>
      <c r="E149" s="13">
        <v>4000000</v>
      </c>
      <c r="F149" s="13"/>
      <c r="G149" s="13"/>
      <c r="H149" s="13"/>
      <c r="I149" s="13"/>
      <c r="J149" s="13"/>
      <c r="K149" s="162"/>
      <c r="L149" s="13">
        <f>D149-E149-F149-G149-H149-I149-J149-K149</f>
        <v>0</v>
      </c>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row>
    <row r="150" spans="1:36" hidden="1" x14ac:dyDescent="0.25">
      <c r="A150" s="154"/>
      <c r="B150" s="156"/>
      <c r="C150" s="170"/>
      <c r="D150" s="157"/>
      <c r="E150" s="146"/>
      <c r="F150" s="146"/>
      <c r="G150" s="146"/>
      <c r="H150" s="146"/>
      <c r="I150" s="146"/>
      <c r="J150" s="146"/>
      <c r="K150" s="146"/>
      <c r="L150" s="146"/>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row>
    <row r="151" spans="1:36" ht="27.75" hidden="1" customHeight="1" x14ac:dyDescent="0.25">
      <c r="A151" s="412" t="s">
        <v>6</v>
      </c>
      <c r="B151" s="412" t="s">
        <v>742</v>
      </c>
      <c r="C151" s="412" t="s">
        <v>394</v>
      </c>
      <c r="D151" s="412" t="s">
        <v>395</v>
      </c>
      <c r="E151" s="324">
        <v>44435</v>
      </c>
      <c r="F151" s="148"/>
      <c r="G151" s="324"/>
      <c r="H151" s="260"/>
      <c r="I151" s="260"/>
      <c r="J151" s="260"/>
      <c r="K151" s="180"/>
      <c r="L151" s="182" t="s">
        <v>743</v>
      </c>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row>
    <row r="152" spans="1:36" hidden="1" x14ac:dyDescent="0.25">
      <c r="A152" s="199">
        <v>12</v>
      </c>
      <c r="B152" s="53" t="s">
        <v>1491</v>
      </c>
      <c r="C152" s="43" t="s">
        <v>950</v>
      </c>
      <c r="D152" s="45">
        <v>11000000</v>
      </c>
      <c r="E152" s="13">
        <v>11000000</v>
      </c>
      <c r="F152" s="13"/>
      <c r="G152" s="13"/>
      <c r="H152" s="13"/>
      <c r="I152" s="13"/>
      <c r="J152" s="13"/>
      <c r="K152" s="162"/>
      <c r="L152" s="13">
        <f>D152-E152-F152-G152-H152-I152-J152-K152</f>
        <v>0</v>
      </c>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row>
    <row r="153" spans="1:36" hidden="1" x14ac:dyDescent="0.25">
      <c r="A153" s="154"/>
      <c r="B153" s="156"/>
      <c r="C153" s="170"/>
      <c r="D153" s="157"/>
      <c r="E153" s="146"/>
      <c r="F153" s="146"/>
      <c r="G153" s="146"/>
      <c r="H153" s="146"/>
      <c r="I153" s="146"/>
      <c r="J153" s="146"/>
      <c r="K153" s="146"/>
      <c r="L153" s="146"/>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row>
    <row r="154" spans="1:36" ht="27.75" hidden="1" customHeight="1" x14ac:dyDescent="0.25">
      <c r="A154" s="412" t="s">
        <v>6</v>
      </c>
      <c r="B154" s="412" t="s">
        <v>742</v>
      </c>
      <c r="C154" s="412" t="s">
        <v>394</v>
      </c>
      <c r="D154" s="412" t="s">
        <v>395</v>
      </c>
      <c r="E154" s="324">
        <v>44435</v>
      </c>
      <c r="F154" s="148"/>
      <c r="G154" s="324"/>
      <c r="H154" s="260"/>
      <c r="I154" s="260"/>
      <c r="J154" s="260"/>
      <c r="K154" s="180"/>
      <c r="L154" s="182" t="s">
        <v>743</v>
      </c>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row>
    <row r="155" spans="1:36" hidden="1" x14ac:dyDescent="0.25">
      <c r="A155" s="199">
        <v>13</v>
      </c>
      <c r="B155" s="53" t="s">
        <v>1645</v>
      </c>
      <c r="C155" s="43" t="s">
        <v>950</v>
      </c>
      <c r="D155" s="45">
        <v>15000000</v>
      </c>
      <c r="E155" s="13">
        <v>15000000</v>
      </c>
      <c r="F155" s="13"/>
      <c r="G155" s="13"/>
      <c r="H155" s="13"/>
      <c r="I155" s="13"/>
      <c r="J155" s="13"/>
      <c r="K155" s="162"/>
      <c r="L155" s="13">
        <f>D155-E155-F155-G155-H155-I155-J155-K155</f>
        <v>0</v>
      </c>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row>
    <row r="156" spans="1:36" hidden="1" x14ac:dyDescent="0.25">
      <c r="A156" s="170"/>
      <c r="B156" s="170"/>
      <c r="C156" s="170"/>
      <c r="D156" s="146"/>
      <c r="E156" s="326"/>
      <c r="F156" s="326"/>
      <c r="G156" s="170"/>
      <c r="H156" s="170"/>
      <c r="I156" s="170"/>
      <c r="J156" s="170"/>
      <c r="K156" s="170"/>
      <c r="L156" s="170"/>
    </row>
    <row r="157" spans="1:36" ht="27.75" hidden="1" customHeight="1" x14ac:dyDescent="0.25">
      <c r="A157" s="412" t="s">
        <v>6</v>
      </c>
      <c r="B157" s="412" t="s">
        <v>742</v>
      </c>
      <c r="C157" s="412" t="s">
        <v>394</v>
      </c>
      <c r="D157" s="412" t="s">
        <v>395</v>
      </c>
      <c r="E157" s="324">
        <v>44435</v>
      </c>
      <c r="F157" s="148"/>
      <c r="G157" s="324"/>
      <c r="H157" s="260"/>
      <c r="I157" s="260"/>
      <c r="J157" s="260"/>
      <c r="K157" s="180"/>
      <c r="L157" s="182" t="s">
        <v>743</v>
      </c>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row>
    <row r="158" spans="1:36" hidden="1" x14ac:dyDescent="0.25">
      <c r="A158" s="199">
        <v>14</v>
      </c>
      <c r="B158" s="53" t="s">
        <v>1828</v>
      </c>
      <c r="C158" s="43" t="s">
        <v>950</v>
      </c>
      <c r="D158" s="45">
        <v>150000</v>
      </c>
      <c r="E158" s="13">
        <v>150000</v>
      </c>
      <c r="F158" s="13"/>
      <c r="G158" s="13"/>
      <c r="H158" s="13"/>
      <c r="I158" s="13"/>
      <c r="J158" s="13"/>
      <c r="K158" s="162"/>
      <c r="L158" s="13">
        <f>D158-E158-F158-G158-H158-I158-J158-K158</f>
        <v>0</v>
      </c>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row>
    <row r="159" spans="1:36" hidden="1" x14ac:dyDescent="0.25">
      <c r="A159" s="170"/>
      <c r="B159" s="170"/>
      <c r="C159" s="170"/>
      <c r="D159" s="146"/>
      <c r="E159" s="326"/>
      <c r="F159" s="326"/>
      <c r="G159" s="170"/>
      <c r="H159" s="170"/>
      <c r="I159" s="170"/>
      <c r="J159" s="170"/>
      <c r="K159" s="170"/>
      <c r="L159" s="170"/>
    </row>
    <row r="160" spans="1:36" ht="31.5" hidden="1" customHeight="1" x14ac:dyDescent="0.25">
      <c r="A160" s="1016" t="s">
        <v>399</v>
      </c>
      <c r="B160" s="1016"/>
      <c r="C160" s="1016"/>
      <c r="D160" s="328">
        <f>D119+D122+D125+D128+D131+D134+D137+D143+D146+D149</f>
        <v>309004500</v>
      </c>
      <c r="E160" s="179"/>
      <c r="F160" s="327"/>
      <c r="G160" s="170"/>
      <c r="H160" s="170"/>
      <c r="I160" s="170"/>
      <c r="J160" s="146"/>
      <c r="K160" s="170"/>
      <c r="L160" s="329">
        <f>L119+L122+L125+L128+L131+L134+L137+L143+L146+L149+L140</f>
        <v>0</v>
      </c>
      <c r="O160" s="190"/>
    </row>
    <row r="161" spans="1:36" hidden="1" x14ac:dyDescent="0.25">
      <c r="A161" s="170"/>
      <c r="B161" s="170"/>
      <c r="C161" s="170"/>
      <c r="D161" s="327"/>
      <c r="E161" s="170"/>
      <c r="F161" s="170"/>
      <c r="G161" s="170"/>
      <c r="H161" s="170"/>
      <c r="I161" s="170"/>
      <c r="J161" s="170"/>
      <c r="K161" s="170"/>
      <c r="L161" s="170"/>
    </row>
    <row r="162" spans="1:36" ht="35.25" hidden="1" customHeight="1" x14ac:dyDescent="0.25">
      <c r="A162" s="1027" t="s">
        <v>1107</v>
      </c>
      <c r="B162" s="1027"/>
      <c r="C162" s="1027"/>
      <c r="D162" s="1027"/>
      <c r="E162" s="1027"/>
      <c r="F162" s="1027"/>
      <c r="G162" s="1027"/>
      <c r="H162" s="1027"/>
      <c r="I162" s="1027"/>
      <c r="J162" s="1027"/>
      <c r="K162" s="1030">
        <f>L114+L160</f>
        <v>0</v>
      </c>
      <c r="L162" s="1030"/>
    </row>
    <row r="163" spans="1:36" ht="35.25" hidden="1" customHeight="1" x14ac:dyDescent="0.25">
      <c r="A163" s="436"/>
      <c r="B163" s="437"/>
      <c r="C163" s="437"/>
      <c r="D163" s="437"/>
      <c r="E163" s="437"/>
      <c r="F163" s="437"/>
      <c r="G163" s="437"/>
      <c r="H163" s="437"/>
      <c r="I163" s="437"/>
      <c r="J163" s="437"/>
      <c r="K163" s="438"/>
      <c r="L163" s="438"/>
    </row>
    <row r="164" spans="1:36" ht="27.75" hidden="1" customHeight="1" x14ac:dyDescent="0.25">
      <c r="A164" s="1029" t="s">
        <v>2675</v>
      </c>
      <c r="B164" s="1029"/>
      <c r="C164" s="1029"/>
      <c r="D164" s="1029"/>
      <c r="E164" s="1029"/>
      <c r="F164" s="1029"/>
      <c r="G164" s="1029"/>
      <c r="H164" s="1029"/>
      <c r="I164" s="1029"/>
      <c r="J164" s="1029"/>
      <c r="K164" s="1029"/>
      <c r="L164" s="1029"/>
    </row>
    <row r="165" spans="1:36" hidden="1" x14ac:dyDescent="0.25"/>
    <row r="166" spans="1:36" ht="27.75" hidden="1" customHeight="1" x14ac:dyDescent="0.25">
      <c r="A166" s="435" t="s">
        <v>6</v>
      </c>
      <c r="B166" s="435" t="s">
        <v>742</v>
      </c>
      <c r="C166" s="435" t="s">
        <v>394</v>
      </c>
      <c r="D166" s="435" t="s">
        <v>395</v>
      </c>
      <c r="E166" s="537">
        <v>44437</v>
      </c>
      <c r="F166" s="608">
        <v>44438</v>
      </c>
      <c r="G166" s="324"/>
      <c r="H166" s="260"/>
      <c r="I166" s="260"/>
      <c r="J166" s="260"/>
      <c r="K166" s="180"/>
      <c r="L166" s="182" t="s">
        <v>743</v>
      </c>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row>
    <row r="167" spans="1:36" hidden="1" x14ac:dyDescent="0.25">
      <c r="A167" s="199">
        <v>15</v>
      </c>
      <c r="B167" s="53" t="s">
        <v>2136</v>
      </c>
      <c r="C167" s="43" t="s">
        <v>2138</v>
      </c>
      <c r="D167" s="45">
        <v>30000000</v>
      </c>
      <c r="E167" s="13">
        <v>10000000</v>
      </c>
      <c r="F167" s="13">
        <v>20000000</v>
      </c>
      <c r="G167" s="13"/>
      <c r="H167" s="13"/>
      <c r="I167" s="13"/>
      <c r="J167" s="13"/>
      <c r="K167" s="162"/>
      <c r="L167" s="13">
        <f>D167-E167-F167-G167-H167-I167-J167-K167</f>
        <v>0</v>
      </c>
      <c r="M167" s="375">
        <v>44437</v>
      </c>
      <c r="N167" s="131">
        <v>10000000</v>
      </c>
      <c r="O167" s="131">
        <f>E167</f>
        <v>10000000</v>
      </c>
      <c r="P167" s="16">
        <f t="shared" ref="P167:P175" si="2">N167-O167</f>
        <v>0</v>
      </c>
      <c r="Q167" s="131"/>
      <c r="R167" s="131"/>
      <c r="S167" s="131"/>
      <c r="T167" s="131"/>
      <c r="U167" s="131"/>
      <c r="V167" s="131"/>
      <c r="W167" s="131"/>
      <c r="X167" s="131"/>
      <c r="Y167" s="131"/>
      <c r="Z167" s="131"/>
      <c r="AA167" s="131"/>
      <c r="AB167" s="131"/>
      <c r="AC167" s="131"/>
      <c r="AD167" s="131"/>
      <c r="AE167" s="131"/>
      <c r="AF167" s="131"/>
      <c r="AG167" s="131"/>
      <c r="AH167" s="131"/>
      <c r="AI167" s="131"/>
      <c r="AJ167" s="131"/>
    </row>
    <row r="168" spans="1:36" hidden="1" x14ac:dyDescent="0.25">
      <c r="M168" s="375">
        <v>44438</v>
      </c>
      <c r="N168" s="131">
        <v>50000000</v>
      </c>
      <c r="O168" s="131">
        <f>F167+E170</f>
        <v>50000000</v>
      </c>
      <c r="P168" s="16">
        <f t="shared" si="2"/>
        <v>0</v>
      </c>
    </row>
    <row r="169" spans="1:36" ht="27.75" hidden="1" customHeight="1" x14ac:dyDescent="0.25">
      <c r="A169" s="435" t="s">
        <v>6</v>
      </c>
      <c r="B169" s="435" t="s">
        <v>742</v>
      </c>
      <c r="C169" s="435" t="s">
        <v>394</v>
      </c>
      <c r="D169" s="435" t="s">
        <v>395</v>
      </c>
      <c r="E169" s="608">
        <v>44438</v>
      </c>
      <c r="F169" s="608">
        <v>44439</v>
      </c>
      <c r="G169" s="537">
        <v>44453</v>
      </c>
      <c r="H169" s="537">
        <v>44463</v>
      </c>
      <c r="I169" s="537">
        <v>44519</v>
      </c>
      <c r="J169" s="260"/>
      <c r="K169" s="180"/>
      <c r="L169" s="182" t="s">
        <v>743</v>
      </c>
      <c r="M169" s="375">
        <v>44439</v>
      </c>
      <c r="N169" s="131">
        <v>50000000</v>
      </c>
      <c r="O169" s="131">
        <f>F170</f>
        <v>50000000</v>
      </c>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row>
    <row r="170" spans="1:36" hidden="1" x14ac:dyDescent="0.25">
      <c r="A170" s="199">
        <v>16</v>
      </c>
      <c r="B170" s="53" t="s">
        <v>2139</v>
      </c>
      <c r="C170" s="43" t="s">
        <v>2140</v>
      </c>
      <c r="D170" s="45">
        <v>140981640</v>
      </c>
      <c r="E170" s="13">
        <v>30000000</v>
      </c>
      <c r="F170" s="13">
        <v>50000000</v>
      </c>
      <c r="G170" s="13">
        <v>50000000</v>
      </c>
      <c r="H170" s="13">
        <v>10000000</v>
      </c>
      <c r="I170" s="13">
        <v>981640</v>
      </c>
      <c r="J170" s="13"/>
      <c r="K170" s="162"/>
      <c r="L170" s="13">
        <f>D170-E170-F170-G170-H170-I170-J170-K170</f>
        <v>0</v>
      </c>
      <c r="M170" s="375">
        <v>44453</v>
      </c>
      <c r="N170" s="131">
        <v>50000000</v>
      </c>
      <c r="O170" s="131">
        <f>G170</f>
        <v>50000000</v>
      </c>
      <c r="P170" s="16">
        <f t="shared" ref="P170" si="3">N170-O170</f>
        <v>0</v>
      </c>
      <c r="Q170" s="131"/>
      <c r="R170" s="131"/>
      <c r="S170" s="131"/>
      <c r="T170" s="131"/>
      <c r="U170" s="131"/>
      <c r="V170" s="131"/>
      <c r="W170" s="131"/>
      <c r="X170" s="131"/>
      <c r="Y170" s="131"/>
      <c r="Z170" s="131"/>
      <c r="AA170" s="131"/>
      <c r="AB170" s="131"/>
      <c r="AC170" s="131"/>
      <c r="AD170" s="131"/>
      <c r="AE170" s="131"/>
      <c r="AF170" s="131"/>
      <c r="AG170" s="131"/>
      <c r="AH170" s="131"/>
      <c r="AI170" s="131"/>
      <c r="AJ170" s="131"/>
    </row>
    <row r="171" spans="1:36" hidden="1" x14ac:dyDescent="0.25">
      <c r="M171" s="375">
        <v>44463</v>
      </c>
      <c r="N171" s="131">
        <v>10000000</v>
      </c>
      <c r="O171" s="131">
        <f>H170</f>
        <v>10000000</v>
      </c>
      <c r="P171" s="131">
        <f t="shared" si="2"/>
        <v>0</v>
      </c>
    </row>
    <row r="172" spans="1:36" ht="27.75" hidden="1" customHeight="1" x14ac:dyDescent="0.25">
      <c r="A172" s="435" t="s">
        <v>6</v>
      </c>
      <c r="B172" s="435" t="s">
        <v>742</v>
      </c>
      <c r="C172" s="435" t="s">
        <v>394</v>
      </c>
      <c r="D172" s="435" t="s">
        <v>395</v>
      </c>
      <c r="E172" s="537">
        <v>44519</v>
      </c>
      <c r="F172" s="148"/>
      <c r="G172" s="324"/>
      <c r="H172" s="260"/>
      <c r="I172" s="260"/>
      <c r="J172" s="260"/>
      <c r="K172" s="180"/>
      <c r="L172" s="182" t="s">
        <v>743</v>
      </c>
      <c r="M172" s="375">
        <v>44519</v>
      </c>
      <c r="N172" s="131">
        <v>50000000</v>
      </c>
      <c r="O172" s="131">
        <f>I170+E173+E176+E179</f>
        <v>50000000</v>
      </c>
      <c r="P172" s="131">
        <f>N172-O172</f>
        <v>0</v>
      </c>
      <c r="Q172" s="131"/>
      <c r="R172" s="131"/>
      <c r="S172" s="131"/>
      <c r="T172" s="131"/>
      <c r="U172" s="131"/>
      <c r="V172" s="131"/>
      <c r="W172" s="131"/>
      <c r="X172" s="131"/>
      <c r="Y172" s="131"/>
      <c r="Z172" s="131"/>
      <c r="AA172" s="131"/>
      <c r="AB172" s="131"/>
      <c r="AC172" s="131"/>
      <c r="AD172" s="131"/>
      <c r="AE172" s="131"/>
      <c r="AF172" s="131"/>
      <c r="AG172" s="131"/>
      <c r="AH172" s="131"/>
      <c r="AI172" s="131"/>
      <c r="AJ172" s="131"/>
    </row>
    <row r="173" spans="1:36" hidden="1" x14ac:dyDescent="0.25">
      <c r="A173" s="199">
        <v>17</v>
      </c>
      <c r="B173" s="53" t="s">
        <v>2151</v>
      </c>
      <c r="C173" s="43" t="s">
        <v>2152</v>
      </c>
      <c r="D173" s="45">
        <v>7907000</v>
      </c>
      <c r="E173" s="13">
        <v>7907000</v>
      </c>
      <c r="F173" s="13"/>
      <c r="G173" s="13"/>
      <c r="H173" s="13"/>
      <c r="I173" s="13"/>
      <c r="J173" s="13"/>
      <c r="K173" s="162"/>
      <c r="L173" s="13">
        <f>D173-E173-F173-G173-H173-I173-J173-K173</f>
        <v>0</v>
      </c>
      <c r="M173" s="375">
        <v>44526</v>
      </c>
      <c r="N173" s="131">
        <v>50000000</v>
      </c>
      <c r="O173" s="131">
        <f>F179+E182</f>
        <v>50000000</v>
      </c>
      <c r="P173" s="131">
        <f t="shared" si="2"/>
        <v>0</v>
      </c>
      <c r="Q173" s="131"/>
      <c r="R173" s="131"/>
      <c r="S173" s="131"/>
      <c r="T173" s="131"/>
      <c r="U173" s="131"/>
      <c r="V173" s="131"/>
      <c r="W173" s="131"/>
      <c r="X173" s="131"/>
      <c r="Y173" s="131"/>
      <c r="Z173" s="131"/>
      <c r="AA173" s="131"/>
      <c r="AB173" s="131"/>
      <c r="AC173" s="131"/>
      <c r="AD173" s="131"/>
      <c r="AE173" s="131"/>
      <c r="AF173" s="131"/>
      <c r="AG173" s="131"/>
      <c r="AH173" s="131"/>
      <c r="AI173" s="131"/>
      <c r="AJ173" s="131"/>
    </row>
    <row r="174" spans="1:36" hidden="1" x14ac:dyDescent="0.25">
      <c r="M174" s="130">
        <v>44533</v>
      </c>
      <c r="N174" s="131">
        <v>50000000</v>
      </c>
      <c r="O174" s="16">
        <f>F182+E185+E188+E191+E194+E197+E200+E203</f>
        <v>50000000</v>
      </c>
      <c r="P174" s="131">
        <f t="shared" si="2"/>
        <v>0</v>
      </c>
    </row>
    <row r="175" spans="1:36" ht="27.75" hidden="1" customHeight="1" x14ac:dyDescent="0.25">
      <c r="A175" s="435" t="s">
        <v>6</v>
      </c>
      <c r="B175" s="435" t="s">
        <v>742</v>
      </c>
      <c r="C175" s="435" t="s">
        <v>394</v>
      </c>
      <c r="D175" s="435" t="s">
        <v>395</v>
      </c>
      <c r="E175" s="537">
        <v>44519</v>
      </c>
      <c r="F175" s="148"/>
      <c r="G175" s="324"/>
      <c r="H175" s="260"/>
      <c r="I175" s="260"/>
      <c r="J175" s="260"/>
      <c r="K175" s="180"/>
      <c r="L175" s="182" t="s">
        <v>743</v>
      </c>
      <c r="M175" s="130">
        <v>44540</v>
      </c>
      <c r="N175" s="131">
        <v>32394240</v>
      </c>
      <c r="O175" s="131">
        <f>F203+E206+E209+E212+E215+E218+E221+E224+E227+E230+E233+E236+E239+E245+E248+E251</f>
        <v>32394240</v>
      </c>
      <c r="P175" s="131">
        <f t="shared" si="2"/>
        <v>0</v>
      </c>
      <c r="Q175" s="131"/>
      <c r="R175" s="131"/>
      <c r="S175" s="131"/>
      <c r="T175" s="131"/>
      <c r="U175" s="131"/>
      <c r="V175" s="131"/>
      <c r="W175" s="131"/>
      <c r="X175" s="131"/>
      <c r="Y175" s="131"/>
      <c r="Z175" s="131"/>
      <c r="AA175" s="131"/>
      <c r="AB175" s="131"/>
      <c r="AC175" s="131"/>
      <c r="AD175" s="131"/>
      <c r="AE175" s="131"/>
      <c r="AF175" s="131"/>
      <c r="AG175" s="131"/>
      <c r="AH175" s="131"/>
      <c r="AI175" s="131"/>
      <c r="AJ175" s="131"/>
    </row>
    <row r="176" spans="1:36" hidden="1" x14ac:dyDescent="0.25">
      <c r="A176" s="199">
        <v>18</v>
      </c>
      <c r="B176" s="53" t="s">
        <v>2154</v>
      </c>
      <c r="C176" s="43" t="s">
        <v>2155</v>
      </c>
      <c r="D176" s="45">
        <v>22275000</v>
      </c>
      <c r="E176" s="13">
        <v>22275000</v>
      </c>
      <c r="F176" s="13"/>
      <c r="G176" s="13"/>
      <c r="H176" s="13"/>
      <c r="I176" s="13"/>
      <c r="J176" s="13"/>
      <c r="K176" s="162"/>
      <c r="L176" s="13">
        <f>D176-E176-F176-G176-H176-I176-J176-K176</f>
        <v>0</v>
      </c>
      <c r="M176" s="375"/>
      <c r="N176" s="131"/>
      <c r="O176" s="131"/>
      <c r="P176" s="16"/>
      <c r="Q176" s="131"/>
      <c r="R176" s="131"/>
      <c r="S176" s="131"/>
      <c r="T176" s="131"/>
      <c r="U176" s="131"/>
      <c r="V176" s="131"/>
      <c r="W176" s="131"/>
      <c r="X176" s="131"/>
      <c r="Y176" s="131"/>
      <c r="Z176" s="131"/>
      <c r="AA176" s="131"/>
      <c r="AB176" s="131"/>
      <c r="AC176" s="131"/>
      <c r="AD176" s="131"/>
      <c r="AE176" s="131"/>
      <c r="AF176" s="131"/>
      <c r="AG176" s="131"/>
      <c r="AH176" s="131"/>
      <c r="AI176" s="131"/>
      <c r="AJ176" s="131"/>
    </row>
    <row r="177" spans="1:36" hidden="1" x14ac:dyDescent="0.25"/>
    <row r="178" spans="1:36" ht="27.75" hidden="1" customHeight="1" x14ac:dyDescent="0.25">
      <c r="A178" s="435" t="s">
        <v>6</v>
      </c>
      <c r="B178" s="435" t="s">
        <v>742</v>
      </c>
      <c r="C178" s="435" t="s">
        <v>394</v>
      </c>
      <c r="D178" s="435" t="s">
        <v>395</v>
      </c>
      <c r="E178" s="537">
        <v>44519</v>
      </c>
      <c r="F178" s="608">
        <v>44526</v>
      </c>
      <c r="G178" s="324"/>
      <c r="H178" s="260"/>
      <c r="I178" s="260"/>
      <c r="J178" s="260"/>
      <c r="K178" s="180"/>
      <c r="L178" s="182" t="s">
        <v>743</v>
      </c>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row>
    <row r="179" spans="1:36" hidden="1" x14ac:dyDescent="0.25">
      <c r="A179" s="199">
        <v>19</v>
      </c>
      <c r="B179" s="53" t="s">
        <v>2157</v>
      </c>
      <c r="C179" s="43" t="s">
        <v>2158</v>
      </c>
      <c r="D179" s="45">
        <v>19557000</v>
      </c>
      <c r="E179" s="13">
        <v>18836360</v>
      </c>
      <c r="F179" s="13">
        <v>720640</v>
      </c>
      <c r="G179" s="13"/>
      <c r="H179" s="13"/>
      <c r="I179" s="13"/>
      <c r="J179" s="13"/>
      <c r="K179" s="162"/>
      <c r="L179" s="13">
        <f>D179-E179-F179-G179-H179-I179-J179-K179</f>
        <v>0</v>
      </c>
      <c r="M179" s="375"/>
      <c r="N179" s="131"/>
      <c r="O179" s="131"/>
      <c r="P179" s="16"/>
      <c r="Q179" s="131"/>
      <c r="R179" s="131"/>
      <c r="S179" s="131"/>
      <c r="T179" s="131"/>
      <c r="U179" s="131"/>
      <c r="V179" s="131"/>
      <c r="W179" s="131"/>
      <c r="X179" s="131"/>
      <c r="Y179" s="131"/>
      <c r="Z179" s="131"/>
      <c r="AA179" s="131"/>
      <c r="AB179" s="131"/>
      <c r="AC179" s="131"/>
      <c r="AD179" s="131"/>
      <c r="AE179" s="131"/>
      <c r="AF179" s="131"/>
      <c r="AG179" s="131"/>
      <c r="AH179" s="131"/>
      <c r="AI179" s="131"/>
      <c r="AJ179" s="131"/>
    </row>
    <row r="180" spans="1:36" hidden="1" x14ac:dyDescent="0.25"/>
    <row r="181" spans="1:36" ht="27.75" hidden="1" customHeight="1" x14ac:dyDescent="0.25">
      <c r="A181" s="435" t="s">
        <v>6</v>
      </c>
      <c r="B181" s="435" t="s">
        <v>742</v>
      </c>
      <c r="C181" s="435" t="s">
        <v>394</v>
      </c>
      <c r="D181" s="435" t="s">
        <v>395</v>
      </c>
      <c r="E181" s="608">
        <v>44526</v>
      </c>
      <c r="F181" s="608">
        <v>44533</v>
      </c>
      <c r="G181" s="324"/>
      <c r="H181" s="260"/>
      <c r="I181" s="260"/>
      <c r="J181" s="260"/>
      <c r="K181" s="180"/>
      <c r="L181" s="182" t="s">
        <v>743</v>
      </c>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row>
    <row r="182" spans="1:36" hidden="1" x14ac:dyDescent="0.25">
      <c r="A182" s="199">
        <v>20</v>
      </c>
      <c r="B182" s="439" t="s">
        <v>2160</v>
      </c>
      <c r="C182" s="43" t="s">
        <v>2161</v>
      </c>
      <c r="D182" s="45">
        <v>55146000</v>
      </c>
      <c r="E182" s="13">
        <v>49279360</v>
      </c>
      <c r="F182" s="13">
        <v>5866640</v>
      </c>
      <c r="G182" s="13"/>
      <c r="H182" s="13"/>
      <c r="I182" s="13"/>
      <c r="J182" s="13"/>
      <c r="K182" s="162"/>
      <c r="L182" s="13">
        <f>D182-E182-F182-G182-H182-I182-J182-K182</f>
        <v>0</v>
      </c>
      <c r="M182" s="375"/>
      <c r="N182" s="131"/>
      <c r="O182" s="131"/>
      <c r="P182" s="16"/>
      <c r="Q182" s="131"/>
      <c r="R182" s="131"/>
      <c r="S182" s="131"/>
      <c r="T182" s="131"/>
      <c r="U182" s="131"/>
      <c r="V182" s="131"/>
      <c r="W182" s="131"/>
      <c r="X182" s="131"/>
      <c r="Y182" s="131"/>
      <c r="Z182" s="131"/>
      <c r="AA182" s="131"/>
      <c r="AB182" s="131"/>
      <c r="AC182" s="131"/>
      <c r="AD182" s="131"/>
      <c r="AE182" s="131"/>
      <c r="AF182" s="131"/>
      <c r="AG182" s="131"/>
      <c r="AH182" s="131"/>
      <c r="AI182" s="131"/>
      <c r="AJ182" s="131"/>
    </row>
    <row r="183" spans="1:36" hidden="1" x14ac:dyDescent="0.25"/>
    <row r="184" spans="1:36" ht="27.75" hidden="1" customHeight="1" x14ac:dyDescent="0.25">
      <c r="A184" s="435" t="s">
        <v>6</v>
      </c>
      <c r="B184" s="435" t="s">
        <v>742</v>
      </c>
      <c r="C184" s="435" t="s">
        <v>394</v>
      </c>
      <c r="D184" s="435" t="s">
        <v>395</v>
      </c>
      <c r="E184" s="608">
        <v>44533</v>
      </c>
      <c r="F184" s="148"/>
      <c r="G184" s="324"/>
      <c r="H184" s="260"/>
      <c r="I184" s="260"/>
      <c r="J184" s="260"/>
      <c r="K184" s="180"/>
      <c r="L184" s="182" t="s">
        <v>743</v>
      </c>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row>
    <row r="185" spans="1:36" hidden="1" x14ac:dyDescent="0.25">
      <c r="A185" s="199">
        <v>21</v>
      </c>
      <c r="B185" s="439" t="s">
        <v>2163</v>
      </c>
      <c r="C185" s="43" t="s">
        <v>2164</v>
      </c>
      <c r="D185" s="45">
        <v>13724000</v>
      </c>
      <c r="E185" s="13">
        <v>13724000</v>
      </c>
      <c r="F185" s="13"/>
      <c r="G185" s="13"/>
      <c r="H185" s="13"/>
      <c r="I185" s="13"/>
      <c r="J185" s="13"/>
      <c r="K185" s="162"/>
      <c r="L185" s="13">
        <f>D185-E185-F185-G185-H185-I185-J185-K185</f>
        <v>0</v>
      </c>
      <c r="M185" s="375"/>
      <c r="N185" s="131"/>
      <c r="O185" s="131"/>
      <c r="P185" s="16"/>
      <c r="Q185" s="131"/>
      <c r="R185" s="131"/>
      <c r="S185" s="131"/>
      <c r="T185" s="131"/>
      <c r="U185" s="131"/>
      <c r="V185" s="131"/>
      <c r="W185" s="131"/>
      <c r="X185" s="131"/>
      <c r="Y185" s="131"/>
      <c r="Z185" s="131"/>
      <c r="AA185" s="131"/>
      <c r="AB185" s="131"/>
      <c r="AC185" s="131"/>
      <c r="AD185" s="131"/>
      <c r="AE185" s="131"/>
      <c r="AF185" s="131"/>
      <c r="AG185" s="131"/>
      <c r="AH185" s="131"/>
      <c r="AI185" s="131"/>
      <c r="AJ185" s="131"/>
    </row>
    <row r="186" spans="1:36" hidden="1" x14ac:dyDescent="0.25"/>
    <row r="187" spans="1:36" ht="27.75" hidden="1" customHeight="1" x14ac:dyDescent="0.25">
      <c r="A187" s="435" t="s">
        <v>6</v>
      </c>
      <c r="B187" s="435" t="s">
        <v>742</v>
      </c>
      <c r="C187" s="435" t="s">
        <v>394</v>
      </c>
      <c r="D187" s="435" t="s">
        <v>395</v>
      </c>
      <c r="E187" s="608">
        <v>44533</v>
      </c>
      <c r="F187" s="148"/>
      <c r="G187" s="324"/>
      <c r="H187" s="260"/>
      <c r="I187" s="260"/>
      <c r="J187" s="260"/>
      <c r="K187" s="180"/>
      <c r="L187" s="182" t="s">
        <v>743</v>
      </c>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row>
    <row r="188" spans="1:36" hidden="1" x14ac:dyDescent="0.25">
      <c r="A188" s="199">
        <v>22</v>
      </c>
      <c r="B188" s="439" t="s">
        <v>2245</v>
      </c>
      <c r="C188" s="43" t="s">
        <v>2140</v>
      </c>
      <c r="D188" s="45">
        <v>10873000</v>
      </c>
      <c r="E188" s="13">
        <v>10873000</v>
      </c>
      <c r="F188" s="13"/>
      <c r="G188" s="13"/>
      <c r="H188" s="13"/>
      <c r="I188" s="13"/>
      <c r="J188" s="13"/>
      <c r="K188" s="162"/>
      <c r="L188" s="13">
        <f>D188-E188-F188-G188-H188-I188-J188-K188</f>
        <v>0</v>
      </c>
      <c r="M188" s="375"/>
      <c r="N188" s="131"/>
      <c r="O188" s="131"/>
      <c r="P188" s="16"/>
      <c r="Q188" s="131"/>
      <c r="R188" s="131"/>
      <c r="S188" s="131"/>
      <c r="T188" s="131"/>
      <c r="U188" s="131"/>
      <c r="V188" s="131"/>
      <c r="W188" s="131"/>
      <c r="X188" s="131"/>
      <c r="Y188" s="131"/>
      <c r="Z188" s="131"/>
      <c r="AA188" s="131"/>
      <c r="AB188" s="131"/>
      <c r="AC188" s="131"/>
      <c r="AD188" s="131"/>
      <c r="AE188" s="131"/>
      <c r="AF188" s="131"/>
      <c r="AG188" s="131"/>
      <c r="AH188" s="131"/>
      <c r="AI188" s="131"/>
      <c r="AJ188" s="131"/>
    </row>
    <row r="189" spans="1:36" hidden="1" x14ac:dyDescent="0.25"/>
    <row r="190" spans="1:36" ht="27.75" hidden="1" customHeight="1" x14ac:dyDescent="0.25">
      <c r="A190" s="435" t="s">
        <v>6</v>
      </c>
      <c r="B190" s="435" t="s">
        <v>742</v>
      </c>
      <c r="C190" s="435" t="s">
        <v>394</v>
      </c>
      <c r="D190" s="435" t="s">
        <v>395</v>
      </c>
      <c r="E190" s="608">
        <v>44533</v>
      </c>
      <c r="F190" s="148"/>
      <c r="G190" s="324"/>
      <c r="H190" s="260"/>
      <c r="I190" s="260"/>
      <c r="J190" s="260"/>
      <c r="K190" s="180"/>
      <c r="L190" s="182" t="s">
        <v>743</v>
      </c>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row>
    <row r="191" spans="1:36" hidden="1" x14ac:dyDescent="0.25">
      <c r="A191" s="199">
        <v>23</v>
      </c>
      <c r="B191" s="439" t="s">
        <v>2247</v>
      </c>
      <c r="C191" s="43" t="s">
        <v>2152</v>
      </c>
      <c r="D191" s="45">
        <v>2012500</v>
      </c>
      <c r="E191" s="13">
        <v>2012500</v>
      </c>
      <c r="F191" s="13"/>
      <c r="G191" s="13"/>
      <c r="H191" s="13"/>
      <c r="I191" s="13"/>
      <c r="J191" s="13"/>
      <c r="K191" s="162"/>
      <c r="L191" s="13">
        <f>D191-E191-F191-G191-H191-I191-J191-K191</f>
        <v>0</v>
      </c>
      <c r="M191" s="375"/>
      <c r="N191" s="131"/>
      <c r="O191" s="131"/>
      <c r="P191" s="16"/>
      <c r="Q191" s="131"/>
      <c r="R191" s="131"/>
      <c r="S191" s="131"/>
      <c r="T191" s="131"/>
      <c r="U191" s="131"/>
      <c r="V191" s="131"/>
      <c r="W191" s="131"/>
      <c r="X191" s="131"/>
      <c r="Y191" s="131"/>
      <c r="Z191" s="131"/>
      <c r="AA191" s="131"/>
      <c r="AB191" s="131"/>
      <c r="AC191" s="131"/>
      <c r="AD191" s="131"/>
      <c r="AE191" s="131"/>
      <c r="AF191" s="131"/>
      <c r="AG191" s="131"/>
      <c r="AH191" s="131"/>
      <c r="AI191" s="131"/>
      <c r="AJ191" s="131"/>
    </row>
    <row r="192" spans="1:36" hidden="1" x14ac:dyDescent="0.25"/>
    <row r="193" spans="1:36" ht="27.75" hidden="1" customHeight="1" x14ac:dyDescent="0.25">
      <c r="A193" s="435" t="s">
        <v>6</v>
      </c>
      <c r="B193" s="435" t="s">
        <v>742</v>
      </c>
      <c r="C193" s="435" t="s">
        <v>394</v>
      </c>
      <c r="D193" s="435" t="s">
        <v>395</v>
      </c>
      <c r="E193" s="608">
        <v>44533</v>
      </c>
      <c r="F193" s="148"/>
      <c r="G193" s="324"/>
      <c r="H193" s="260"/>
      <c r="I193" s="260"/>
      <c r="J193" s="260"/>
      <c r="K193" s="180"/>
      <c r="L193" s="182" t="s">
        <v>743</v>
      </c>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row>
    <row r="194" spans="1:36" hidden="1" x14ac:dyDescent="0.25">
      <c r="A194" s="199">
        <v>24</v>
      </c>
      <c r="B194" s="439" t="s">
        <v>2249</v>
      </c>
      <c r="C194" s="43" t="s">
        <v>2155</v>
      </c>
      <c r="D194" s="45">
        <v>648000</v>
      </c>
      <c r="E194" s="13">
        <v>648000</v>
      </c>
      <c r="F194" s="13"/>
      <c r="G194" s="13"/>
      <c r="H194" s="13"/>
      <c r="I194" s="13"/>
      <c r="J194" s="13"/>
      <c r="K194" s="162"/>
      <c r="L194" s="13">
        <f>D194-E194-F194-G194-H194-I194-J194-K194</f>
        <v>0</v>
      </c>
      <c r="M194" s="375"/>
      <c r="N194" s="131"/>
      <c r="O194" s="131"/>
      <c r="P194" s="16"/>
      <c r="Q194" s="131"/>
      <c r="R194" s="131"/>
      <c r="S194" s="131"/>
      <c r="T194" s="131"/>
      <c r="U194" s="131"/>
      <c r="V194" s="131"/>
      <c r="W194" s="131"/>
      <c r="X194" s="131"/>
      <c r="Y194" s="131"/>
      <c r="Z194" s="131"/>
      <c r="AA194" s="131"/>
      <c r="AB194" s="131"/>
      <c r="AC194" s="131"/>
      <c r="AD194" s="131"/>
      <c r="AE194" s="131"/>
      <c r="AF194" s="131"/>
      <c r="AG194" s="131"/>
      <c r="AH194" s="131"/>
      <c r="AI194" s="131"/>
      <c r="AJ194" s="131"/>
    </row>
    <row r="195" spans="1:36" hidden="1" x14ac:dyDescent="0.25"/>
    <row r="196" spans="1:36" ht="27.75" hidden="1" customHeight="1" x14ac:dyDescent="0.25">
      <c r="A196" s="435" t="s">
        <v>6</v>
      </c>
      <c r="B196" s="435" t="s">
        <v>742</v>
      </c>
      <c r="C196" s="435" t="s">
        <v>394</v>
      </c>
      <c r="D196" s="435" t="s">
        <v>395</v>
      </c>
      <c r="E196" s="608">
        <v>44533</v>
      </c>
      <c r="F196" s="148"/>
      <c r="G196" s="324"/>
      <c r="H196" s="260"/>
      <c r="I196" s="260"/>
      <c r="J196" s="260"/>
      <c r="K196" s="180"/>
      <c r="L196" s="182" t="s">
        <v>743</v>
      </c>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row>
    <row r="197" spans="1:36" hidden="1" x14ac:dyDescent="0.25">
      <c r="A197" s="199">
        <v>25</v>
      </c>
      <c r="B197" s="439" t="s">
        <v>2251</v>
      </c>
      <c r="C197" s="43" t="s">
        <v>2164</v>
      </c>
      <c r="D197" s="45">
        <v>2516000</v>
      </c>
      <c r="E197" s="13">
        <v>2516000</v>
      </c>
      <c r="F197" s="13"/>
      <c r="G197" s="13"/>
      <c r="H197" s="13"/>
      <c r="I197" s="13"/>
      <c r="J197" s="13"/>
      <c r="K197" s="162"/>
      <c r="L197" s="13">
        <f>D197-E197-F197-G197-H197-I197-J197-K197</f>
        <v>0</v>
      </c>
      <c r="M197" s="375"/>
      <c r="N197" s="131"/>
      <c r="O197" s="131"/>
      <c r="P197" s="16"/>
      <c r="Q197" s="131"/>
      <c r="R197" s="131"/>
      <c r="S197" s="131"/>
      <c r="T197" s="131"/>
      <c r="U197" s="131"/>
      <c r="V197" s="131"/>
      <c r="W197" s="131"/>
      <c r="X197" s="131"/>
      <c r="Y197" s="131"/>
      <c r="Z197" s="131"/>
      <c r="AA197" s="131"/>
      <c r="AB197" s="131"/>
      <c r="AC197" s="131"/>
      <c r="AD197" s="131"/>
      <c r="AE197" s="131"/>
      <c r="AF197" s="131"/>
      <c r="AG197" s="131"/>
      <c r="AH197" s="131"/>
      <c r="AI197" s="131"/>
      <c r="AJ197" s="131"/>
    </row>
    <row r="198" spans="1:36" hidden="1" x14ac:dyDescent="0.25"/>
    <row r="199" spans="1:36" ht="27.75" hidden="1" customHeight="1" x14ac:dyDescent="0.25">
      <c r="A199" s="435" t="s">
        <v>6</v>
      </c>
      <c r="B199" s="435" t="s">
        <v>742</v>
      </c>
      <c r="C199" s="435" t="s">
        <v>394</v>
      </c>
      <c r="D199" s="435" t="s">
        <v>395</v>
      </c>
      <c r="E199" s="608">
        <v>44533</v>
      </c>
      <c r="F199" s="148"/>
      <c r="G199" s="324"/>
      <c r="H199" s="260"/>
      <c r="I199" s="260"/>
      <c r="J199" s="260"/>
      <c r="K199" s="180"/>
      <c r="L199" s="182" t="s">
        <v>743</v>
      </c>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row>
    <row r="200" spans="1:36" hidden="1" x14ac:dyDescent="0.25">
      <c r="A200" s="199">
        <v>26</v>
      </c>
      <c r="B200" s="439" t="s">
        <v>2253</v>
      </c>
      <c r="C200" s="43" t="s">
        <v>2158</v>
      </c>
      <c r="D200" s="45">
        <v>4874000</v>
      </c>
      <c r="E200" s="13">
        <v>4874000</v>
      </c>
      <c r="F200" s="13"/>
      <c r="G200" s="13"/>
      <c r="H200" s="13"/>
      <c r="I200" s="13"/>
      <c r="J200" s="13"/>
      <c r="K200" s="162"/>
      <c r="L200" s="13">
        <f>D200-E200-F200-G200-H200-I200-J200-K200</f>
        <v>0</v>
      </c>
      <c r="M200" s="375"/>
      <c r="N200" s="131"/>
      <c r="O200" s="131"/>
      <c r="P200" s="16"/>
      <c r="Q200" s="131"/>
      <c r="R200" s="131"/>
      <c r="S200" s="131"/>
      <c r="T200" s="131"/>
      <c r="U200" s="131"/>
      <c r="V200" s="131"/>
      <c r="W200" s="131"/>
      <c r="X200" s="131"/>
      <c r="Y200" s="131"/>
      <c r="Z200" s="131"/>
      <c r="AA200" s="131"/>
      <c r="AB200" s="131"/>
      <c r="AC200" s="131"/>
      <c r="AD200" s="131"/>
      <c r="AE200" s="131"/>
      <c r="AF200" s="131"/>
      <c r="AG200" s="131"/>
      <c r="AH200" s="131"/>
      <c r="AI200" s="131"/>
      <c r="AJ200" s="131"/>
    </row>
    <row r="201" spans="1:36" hidden="1" x14ac:dyDescent="0.25"/>
    <row r="202" spans="1:36" ht="27.75" hidden="1" customHeight="1" x14ac:dyDescent="0.25">
      <c r="A202" s="435" t="s">
        <v>6</v>
      </c>
      <c r="B202" s="435" t="s">
        <v>742</v>
      </c>
      <c r="C202" s="435" t="s">
        <v>394</v>
      </c>
      <c r="D202" s="435" t="s">
        <v>395</v>
      </c>
      <c r="E202" s="608">
        <v>44533</v>
      </c>
      <c r="F202" s="608">
        <v>44540</v>
      </c>
      <c r="G202" s="324"/>
      <c r="H202" s="260"/>
      <c r="I202" s="260"/>
      <c r="J202" s="260"/>
      <c r="K202" s="180" t="s">
        <v>1141</v>
      </c>
      <c r="L202" s="182" t="s">
        <v>743</v>
      </c>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row>
    <row r="203" spans="1:36" hidden="1" x14ac:dyDescent="0.25">
      <c r="A203" s="199">
        <v>27</v>
      </c>
      <c r="B203" s="439" t="s">
        <v>2255</v>
      </c>
      <c r="C203" s="43" t="s">
        <v>2237</v>
      </c>
      <c r="D203" s="45">
        <v>13584000</v>
      </c>
      <c r="E203" s="13">
        <v>9485860</v>
      </c>
      <c r="F203" s="13">
        <v>98140</v>
      </c>
      <c r="G203" s="13"/>
      <c r="H203" s="13"/>
      <c r="I203" s="13"/>
      <c r="J203" s="13"/>
      <c r="K203" s="162">
        <v>4000000</v>
      </c>
      <c r="L203" s="13">
        <f>D203-E203-F203-G203-H203-I203-J203-K203</f>
        <v>0</v>
      </c>
      <c r="M203" s="375"/>
      <c r="N203" s="131"/>
      <c r="O203" s="131"/>
      <c r="P203" s="16"/>
      <c r="Q203" s="131"/>
      <c r="R203" s="131"/>
      <c r="S203" s="131"/>
      <c r="T203" s="131"/>
      <c r="U203" s="131"/>
      <c r="V203" s="131"/>
      <c r="W203" s="131"/>
      <c r="X203" s="131"/>
      <c r="Y203" s="131"/>
      <c r="Z203" s="131"/>
      <c r="AA203" s="131"/>
      <c r="AB203" s="131"/>
      <c r="AC203" s="131"/>
      <c r="AD203" s="131"/>
      <c r="AE203" s="131"/>
      <c r="AF203" s="131"/>
      <c r="AG203" s="131"/>
      <c r="AH203" s="131"/>
      <c r="AI203" s="131"/>
      <c r="AJ203" s="131"/>
    </row>
    <row r="204" spans="1:36" hidden="1" x14ac:dyDescent="0.25"/>
    <row r="205" spans="1:36" ht="27.75" hidden="1" customHeight="1" x14ac:dyDescent="0.25">
      <c r="A205" s="435" t="s">
        <v>6</v>
      </c>
      <c r="B205" s="435" t="s">
        <v>742</v>
      </c>
      <c r="C205" s="435" t="s">
        <v>394</v>
      </c>
      <c r="D205" s="435" t="s">
        <v>395</v>
      </c>
      <c r="E205" s="608">
        <v>44540</v>
      </c>
      <c r="F205" s="148"/>
      <c r="G205" s="324"/>
      <c r="H205" s="260"/>
      <c r="I205" s="260"/>
      <c r="J205" s="260"/>
      <c r="K205" s="180" t="s">
        <v>1141</v>
      </c>
      <c r="L205" s="182" t="s">
        <v>743</v>
      </c>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c r="AI205" s="131"/>
      <c r="AJ205" s="131"/>
    </row>
    <row r="206" spans="1:36" hidden="1" x14ac:dyDescent="0.25">
      <c r="A206" s="199">
        <v>28</v>
      </c>
      <c r="B206" s="439" t="s">
        <v>2256</v>
      </c>
      <c r="C206" s="43" t="s">
        <v>2257</v>
      </c>
      <c r="D206" s="45">
        <v>7090000</v>
      </c>
      <c r="E206" s="13">
        <v>3590000</v>
      </c>
      <c r="F206" s="13"/>
      <c r="G206" s="13"/>
      <c r="H206" s="13"/>
      <c r="I206" s="13"/>
      <c r="J206" s="13"/>
      <c r="K206" s="162">
        <v>3500000</v>
      </c>
      <c r="L206" s="13">
        <f>D206-E206-F206-G206-H206-I206-J206-K206</f>
        <v>0</v>
      </c>
      <c r="M206" s="375"/>
      <c r="N206" s="131"/>
      <c r="O206" s="131"/>
      <c r="P206" s="16"/>
      <c r="Q206" s="131"/>
      <c r="R206" s="131"/>
      <c r="S206" s="131"/>
      <c r="T206" s="131"/>
      <c r="U206" s="131"/>
      <c r="V206" s="131"/>
      <c r="W206" s="131"/>
      <c r="X206" s="131"/>
      <c r="Y206" s="131"/>
      <c r="Z206" s="131"/>
      <c r="AA206" s="131"/>
      <c r="AB206" s="131"/>
      <c r="AC206" s="131"/>
      <c r="AD206" s="131"/>
      <c r="AE206" s="131"/>
      <c r="AF206" s="131"/>
      <c r="AG206" s="131"/>
      <c r="AH206" s="131"/>
      <c r="AI206" s="131"/>
      <c r="AJ206" s="131"/>
    </row>
    <row r="207" spans="1:36" hidden="1" x14ac:dyDescent="0.25"/>
    <row r="208" spans="1:36" ht="27.75" hidden="1" customHeight="1" x14ac:dyDescent="0.25">
      <c r="A208" s="497" t="s">
        <v>6</v>
      </c>
      <c r="B208" s="497" t="s">
        <v>742</v>
      </c>
      <c r="C208" s="497" t="s">
        <v>394</v>
      </c>
      <c r="D208" s="497" t="s">
        <v>395</v>
      </c>
      <c r="E208" s="608">
        <v>44540</v>
      </c>
      <c r="F208" s="148"/>
      <c r="G208" s="324"/>
      <c r="H208" s="260"/>
      <c r="I208" s="260"/>
      <c r="J208" s="260"/>
      <c r="K208" s="180"/>
      <c r="L208" s="182" t="s">
        <v>743</v>
      </c>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c r="AI208" s="131"/>
      <c r="AJ208" s="131"/>
    </row>
    <row r="209" spans="1:36" hidden="1" x14ac:dyDescent="0.25">
      <c r="A209" s="199">
        <v>29</v>
      </c>
      <c r="B209" s="439" t="s">
        <v>2377</v>
      </c>
      <c r="C209" s="43" t="s">
        <v>2158</v>
      </c>
      <c r="D209" s="45">
        <v>3890000</v>
      </c>
      <c r="E209" s="13">
        <v>3890000</v>
      </c>
      <c r="F209" s="13"/>
      <c r="G209" s="13"/>
      <c r="H209" s="13"/>
      <c r="I209" s="13"/>
      <c r="J209" s="13"/>
      <c r="K209" s="162"/>
      <c r="L209" s="13">
        <f>D209-E209-F209-G209-H209-I209-J209-K209</f>
        <v>0</v>
      </c>
      <c r="M209" s="375"/>
      <c r="N209" s="131"/>
      <c r="O209" s="131"/>
      <c r="P209" s="16"/>
      <c r="Q209" s="131"/>
      <c r="R209" s="131"/>
      <c r="S209" s="131"/>
      <c r="T209" s="131"/>
      <c r="U209" s="131"/>
      <c r="V209" s="131"/>
      <c r="W209" s="131"/>
      <c r="X209" s="131"/>
      <c r="Y209" s="131"/>
      <c r="Z209" s="131"/>
      <c r="AA209" s="131"/>
      <c r="AB209" s="131"/>
      <c r="AC209" s="131"/>
      <c r="AD209" s="131"/>
      <c r="AE209" s="131"/>
      <c r="AF209" s="131"/>
      <c r="AG209" s="131"/>
      <c r="AH209" s="131"/>
      <c r="AI209" s="131"/>
      <c r="AJ209" s="131"/>
    </row>
    <row r="210" spans="1:36" hidden="1" x14ac:dyDescent="0.25"/>
    <row r="211" spans="1:36" ht="27.75" hidden="1" customHeight="1" x14ac:dyDescent="0.25">
      <c r="A211" s="497" t="s">
        <v>6</v>
      </c>
      <c r="B211" s="497" t="s">
        <v>742</v>
      </c>
      <c r="C211" s="497" t="s">
        <v>394</v>
      </c>
      <c r="D211" s="497" t="s">
        <v>395</v>
      </c>
      <c r="E211" s="608">
        <v>44540</v>
      </c>
      <c r="F211" s="148"/>
      <c r="G211" s="324"/>
      <c r="H211" s="260"/>
      <c r="I211" s="260"/>
      <c r="J211" s="260"/>
      <c r="K211" s="180"/>
      <c r="L211" s="182" t="s">
        <v>743</v>
      </c>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c r="AI211" s="131"/>
      <c r="AJ211" s="131"/>
    </row>
    <row r="212" spans="1:36" hidden="1" x14ac:dyDescent="0.25">
      <c r="A212" s="199">
        <v>30</v>
      </c>
      <c r="B212" s="439" t="s">
        <v>2379</v>
      </c>
      <c r="C212" s="43" t="s">
        <v>2164</v>
      </c>
      <c r="D212" s="45">
        <v>9013000</v>
      </c>
      <c r="E212" s="13">
        <v>9013000</v>
      </c>
      <c r="F212" s="13"/>
      <c r="G212" s="13"/>
      <c r="H212" s="13"/>
      <c r="I212" s="13"/>
      <c r="J212" s="13"/>
      <c r="K212" s="162"/>
      <c r="L212" s="13">
        <f>D212-E212-F212-G212-H212-I212-J212-K212</f>
        <v>0</v>
      </c>
      <c r="M212" s="375"/>
      <c r="N212" s="131"/>
      <c r="O212" s="131"/>
      <c r="P212" s="16"/>
      <c r="Q212" s="131"/>
      <c r="R212" s="131"/>
      <c r="S212" s="131"/>
      <c r="T212" s="131"/>
      <c r="U212" s="131"/>
      <c r="V212" s="131"/>
      <c r="W212" s="131"/>
      <c r="X212" s="131"/>
      <c r="Y212" s="131"/>
      <c r="Z212" s="131"/>
      <c r="AA212" s="131"/>
      <c r="AB212" s="131"/>
      <c r="AC212" s="131"/>
      <c r="AD212" s="131"/>
      <c r="AE212" s="131"/>
      <c r="AF212" s="131"/>
      <c r="AG212" s="131"/>
      <c r="AH212" s="131"/>
      <c r="AI212" s="131"/>
      <c r="AJ212" s="131"/>
    </row>
    <row r="213" spans="1:36" hidden="1" x14ac:dyDescent="0.25"/>
    <row r="214" spans="1:36" ht="27.75" hidden="1" customHeight="1" x14ac:dyDescent="0.25">
      <c r="A214" s="497" t="s">
        <v>6</v>
      </c>
      <c r="B214" s="497" t="s">
        <v>742</v>
      </c>
      <c r="C214" s="497" t="s">
        <v>394</v>
      </c>
      <c r="D214" s="497" t="s">
        <v>395</v>
      </c>
      <c r="E214" s="608">
        <v>44540</v>
      </c>
      <c r="F214" s="148"/>
      <c r="G214" s="324"/>
      <c r="H214" s="260"/>
      <c r="I214" s="260"/>
      <c r="J214" s="260"/>
      <c r="K214" s="180" t="s">
        <v>1141</v>
      </c>
      <c r="L214" s="182" t="s">
        <v>743</v>
      </c>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c r="AI214" s="131"/>
      <c r="AJ214" s="131"/>
    </row>
    <row r="215" spans="1:36" hidden="1" x14ac:dyDescent="0.25">
      <c r="A215" s="199">
        <v>31</v>
      </c>
      <c r="B215" s="439" t="s">
        <v>2381</v>
      </c>
      <c r="C215" s="43" t="s">
        <v>2257</v>
      </c>
      <c r="D215" s="45">
        <v>2750000</v>
      </c>
      <c r="E215" s="13">
        <v>1450000</v>
      </c>
      <c r="F215" s="13"/>
      <c r="G215" s="13"/>
      <c r="H215" s="13"/>
      <c r="I215" s="13"/>
      <c r="J215" s="13"/>
      <c r="K215" s="162">
        <v>1300000</v>
      </c>
      <c r="L215" s="13">
        <f>D215-E215-F215-G215-H215-I215-J215-K215</f>
        <v>0</v>
      </c>
      <c r="M215" s="375"/>
      <c r="N215" s="131"/>
      <c r="O215" s="131"/>
      <c r="P215" s="16"/>
      <c r="Q215" s="131"/>
      <c r="R215" s="131"/>
      <c r="S215" s="131"/>
      <c r="T215" s="131"/>
      <c r="U215" s="131"/>
      <c r="V215" s="131"/>
      <c r="W215" s="131"/>
      <c r="X215" s="131"/>
      <c r="Y215" s="131"/>
      <c r="Z215" s="131"/>
      <c r="AA215" s="131"/>
      <c r="AB215" s="131"/>
      <c r="AC215" s="131"/>
      <c r="AD215" s="131"/>
      <c r="AE215" s="131"/>
      <c r="AF215" s="131"/>
      <c r="AG215" s="131"/>
      <c r="AH215" s="131"/>
      <c r="AI215" s="131"/>
      <c r="AJ215" s="131"/>
    </row>
    <row r="216" spans="1:36" hidden="1" x14ac:dyDescent="0.25"/>
    <row r="217" spans="1:36" ht="27.75" hidden="1" customHeight="1" x14ac:dyDescent="0.25">
      <c r="A217" s="497" t="s">
        <v>6</v>
      </c>
      <c r="B217" s="497" t="s">
        <v>742</v>
      </c>
      <c r="C217" s="497" t="s">
        <v>394</v>
      </c>
      <c r="D217" s="497" t="s">
        <v>395</v>
      </c>
      <c r="E217" s="608">
        <v>44540</v>
      </c>
      <c r="F217" s="148"/>
      <c r="G217" s="324"/>
      <c r="H217" s="260"/>
      <c r="I217" s="260"/>
      <c r="J217" s="260"/>
      <c r="K217" s="180" t="s">
        <v>1141</v>
      </c>
      <c r="L217" s="182" t="s">
        <v>743</v>
      </c>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c r="AI217" s="131"/>
      <c r="AJ217" s="131"/>
    </row>
    <row r="218" spans="1:36" hidden="1" x14ac:dyDescent="0.25">
      <c r="A218" s="199">
        <v>32</v>
      </c>
      <c r="B218" s="439" t="s">
        <v>2383</v>
      </c>
      <c r="C218" s="43" t="s">
        <v>2384</v>
      </c>
      <c r="D218" s="45">
        <v>588000</v>
      </c>
      <c r="E218" s="13">
        <v>376000</v>
      </c>
      <c r="F218" s="13"/>
      <c r="G218" s="13"/>
      <c r="H218" s="13"/>
      <c r="I218" s="13"/>
      <c r="J218" s="13"/>
      <c r="K218" s="162">
        <v>212000</v>
      </c>
      <c r="L218" s="13">
        <f>D218-E218-F218-G218-H218-I218-J218-K218</f>
        <v>0</v>
      </c>
      <c r="M218" s="375"/>
      <c r="N218" s="131"/>
      <c r="O218" s="131"/>
      <c r="P218" s="16"/>
      <c r="Q218" s="131"/>
      <c r="R218" s="131"/>
      <c r="S218" s="131"/>
      <c r="T218" s="131"/>
      <c r="U218" s="131"/>
      <c r="V218" s="131"/>
      <c r="W218" s="131"/>
      <c r="X218" s="131"/>
      <c r="Y218" s="131"/>
      <c r="Z218" s="131"/>
      <c r="AA218" s="131"/>
      <c r="AB218" s="131"/>
      <c r="AC218" s="131"/>
      <c r="AD218" s="131"/>
      <c r="AE218" s="131"/>
      <c r="AF218" s="131"/>
      <c r="AG218" s="131"/>
      <c r="AH218" s="131"/>
      <c r="AI218" s="131"/>
      <c r="AJ218" s="131"/>
    </row>
    <row r="219" spans="1:36" hidden="1" x14ac:dyDescent="0.25"/>
    <row r="220" spans="1:36" ht="27.75" hidden="1" customHeight="1" x14ac:dyDescent="0.25">
      <c r="A220" s="497" t="s">
        <v>6</v>
      </c>
      <c r="B220" s="497" t="s">
        <v>742</v>
      </c>
      <c r="C220" s="497" t="s">
        <v>394</v>
      </c>
      <c r="D220" s="497" t="s">
        <v>395</v>
      </c>
      <c r="E220" s="608">
        <v>44540</v>
      </c>
      <c r="F220" s="148"/>
      <c r="G220" s="324"/>
      <c r="H220" s="260"/>
      <c r="I220" s="260"/>
      <c r="J220" s="260"/>
      <c r="K220" s="180"/>
      <c r="L220" s="182" t="s">
        <v>743</v>
      </c>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c r="AI220" s="131"/>
      <c r="AJ220" s="131"/>
    </row>
    <row r="221" spans="1:36" hidden="1" x14ac:dyDescent="0.25">
      <c r="A221" s="199">
        <v>33</v>
      </c>
      <c r="B221" s="439" t="s">
        <v>2322</v>
      </c>
      <c r="C221" s="43" t="s">
        <v>27</v>
      </c>
      <c r="D221" s="45">
        <v>1250000</v>
      </c>
      <c r="E221" s="13">
        <v>1250000</v>
      </c>
      <c r="F221" s="13"/>
      <c r="G221" s="13"/>
      <c r="H221" s="13"/>
      <c r="I221" s="13"/>
      <c r="J221" s="13"/>
      <c r="K221" s="162"/>
      <c r="L221" s="13">
        <f>D221-E221-F221-G221-H221-I221-J221-K221</f>
        <v>0</v>
      </c>
      <c r="M221" s="375"/>
      <c r="N221" s="131"/>
      <c r="O221" s="131"/>
      <c r="P221" s="16"/>
      <c r="Q221" s="131"/>
      <c r="R221" s="131"/>
      <c r="S221" s="131"/>
      <c r="T221" s="131"/>
      <c r="U221" s="131"/>
      <c r="V221" s="131"/>
      <c r="W221" s="131"/>
      <c r="X221" s="131"/>
      <c r="Y221" s="131"/>
      <c r="Z221" s="131"/>
      <c r="AA221" s="131"/>
      <c r="AB221" s="131"/>
      <c r="AC221" s="131"/>
      <c r="AD221" s="131"/>
      <c r="AE221" s="131"/>
      <c r="AF221" s="131"/>
      <c r="AG221" s="131"/>
      <c r="AH221" s="131"/>
      <c r="AI221" s="131"/>
      <c r="AJ221" s="131"/>
    </row>
    <row r="222" spans="1:36" hidden="1" x14ac:dyDescent="0.25"/>
    <row r="223" spans="1:36" ht="27.75" hidden="1" customHeight="1" x14ac:dyDescent="0.25">
      <c r="A223" s="578" t="s">
        <v>6</v>
      </c>
      <c r="B223" s="578" t="s">
        <v>742</v>
      </c>
      <c r="C223" s="578" t="s">
        <v>394</v>
      </c>
      <c r="D223" s="578" t="s">
        <v>395</v>
      </c>
      <c r="E223" s="608">
        <v>44540</v>
      </c>
      <c r="F223" s="148"/>
      <c r="G223" s="324"/>
      <c r="H223" s="260"/>
      <c r="I223" s="260"/>
      <c r="J223" s="260"/>
      <c r="K223" s="180"/>
      <c r="L223" s="182" t="s">
        <v>743</v>
      </c>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c r="AI223" s="131"/>
      <c r="AJ223" s="131"/>
    </row>
    <row r="224" spans="1:36" hidden="1" x14ac:dyDescent="0.25">
      <c r="A224" s="199">
        <v>34</v>
      </c>
      <c r="B224" s="439" t="s">
        <v>2386</v>
      </c>
      <c r="C224" s="43" t="s">
        <v>749</v>
      </c>
      <c r="D224" s="45">
        <v>2520000</v>
      </c>
      <c r="E224" s="13">
        <v>2520000</v>
      </c>
      <c r="F224" s="13"/>
      <c r="G224" s="13"/>
      <c r="H224" s="13"/>
      <c r="I224" s="13"/>
      <c r="J224" s="13"/>
      <c r="K224" s="162"/>
      <c r="L224" s="13">
        <f>D224-E224-F224-G224-H224-I224-J224-K224</f>
        <v>0</v>
      </c>
      <c r="M224" s="375"/>
      <c r="N224" s="131"/>
      <c r="O224" s="131"/>
      <c r="P224" s="16"/>
      <c r="Q224" s="131"/>
      <c r="R224" s="131"/>
      <c r="S224" s="131"/>
      <c r="T224" s="131"/>
      <c r="U224" s="131"/>
      <c r="V224" s="131"/>
      <c r="W224" s="131"/>
      <c r="X224" s="131"/>
      <c r="Y224" s="131"/>
      <c r="Z224" s="131"/>
      <c r="AA224" s="131"/>
      <c r="AB224" s="131"/>
      <c r="AC224" s="131"/>
      <c r="AD224" s="131"/>
      <c r="AE224" s="131"/>
      <c r="AF224" s="131"/>
      <c r="AG224" s="131"/>
      <c r="AH224" s="131"/>
      <c r="AI224" s="131"/>
      <c r="AJ224" s="131"/>
    </row>
    <row r="225" spans="1:36" hidden="1" x14ac:dyDescent="0.25"/>
    <row r="226" spans="1:36" ht="27.75" hidden="1" customHeight="1" x14ac:dyDescent="0.25">
      <c r="A226" s="578" t="s">
        <v>6</v>
      </c>
      <c r="B226" s="578" t="s">
        <v>742</v>
      </c>
      <c r="C226" s="578" t="s">
        <v>394</v>
      </c>
      <c r="D226" s="578" t="s">
        <v>395</v>
      </c>
      <c r="E226" s="608">
        <v>44540</v>
      </c>
      <c r="F226" s="148"/>
      <c r="G226" s="324"/>
      <c r="H226" s="260"/>
      <c r="I226" s="260"/>
      <c r="J226" s="260"/>
      <c r="K226" s="180"/>
      <c r="L226" s="182" t="s">
        <v>743</v>
      </c>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c r="AI226" s="131"/>
      <c r="AJ226" s="131"/>
    </row>
    <row r="227" spans="1:36" hidden="1" x14ac:dyDescent="0.25">
      <c r="A227" s="199">
        <v>35</v>
      </c>
      <c r="B227" s="439" t="s">
        <v>2452</v>
      </c>
      <c r="C227" s="43" t="s">
        <v>2453</v>
      </c>
      <c r="D227" s="45">
        <v>2390000</v>
      </c>
      <c r="E227" s="13">
        <v>2390000</v>
      </c>
      <c r="F227" s="13"/>
      <c r="G227" s="13"/>
      <c r="H227" s="13"/>
      <c r="I227" s="13"/>
      <c r="J227" s="13"/>
      <c r="K227" s="162"/>
      <c r="L227" s="13">
        <f>D227-E227-F227-G227-H227-I227-J227-K227</f>
        <v>0</v>
      </c>
      <c r="M227" s="375"/>
      <c r="N227" s="131"/>
      <c r="O227" s="131"/>
      <c r="P227" s="16"/>
      <c r="Q227" s="131"/>
      <c r="R227" s="131"/>
      <c r="S227" s="131"/>
      <c r="T227" s="131"/>
      <c r="U227" s="131"/>
      <c r="V227" s="131"/>
      <c r="W227" s="131"/>
      <c r="X227" s="131"/>
      <c r="Y227" s="131"/>
      <c r="Z227" s="131"/>
      <c r="AA227" s="131"/>
      <c r="AB227" s="131"/>
      <c r="AC227" s="131"/>
      <c r="AD227" s="131"/>
      <c r="AE227" s="131"/>
      <c r="AF227" s="131"/>
      <c r="AG227" s="131"/>
      <c r="AH227" s="131"/>
      <c r="AI227" s="131"/>
      <c r="AJ227" s="131"/>
    </row>
    <row r="228" spans="1:36" hidden="1" x14ac:dyDescent="0.25"/>
    <row r="229" spans="1:36" ht="27.75" hidden="1" customHeight="1" x14ac:dyDescent="0.25">
      <c r="A229" s="578" t="s">
        <v>6</v>
      </c>
      <c r="B229" s="578" t="s">
        <v>742</v>
      </c>
      <c r="C229" s="578" t="s">
        <v>394</v>
      </c>
      <c r="D229" s="578" t="s">
        <v>395</v>
      </c>
      <c r="E229" s="608">
        <v>44540</v>
      </c>
      <c r="F229" s="148"/>
      <c r="G229" s="324"/>
      <c r="H229" s="260"/>
      <c r="I229" s="260"/>
      <c r="J229" s="260"/>
      <c r="K229" s="180"/>
      <c r="L229" s="182" t="s">
        <v>743</v>
      </c>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c r="AI229" s="131"/>
      <c r="AJ229" s="131"/>
    </row>
    <row r="230" spans="1:36" hidden="1" x14ac:dyDescent="0.25">
      <c r="A230" s="199">
        <v>36</v>
      </c>
      <c r="B230" s="439" t="s">
        <v>2465</v>
      </c>
      <c r="C230" s="43" t="s">
        <v>2453</v>
      </c>
      <c r="D230" s="45">
        <v>3899100</v>
      </c>
      <c r="E230" s="13">
        <v>3899100</v>
      </c>
      <c r="F230" s="13"/>
      <c r="G230" s="13"/>
      <c r="H230" s="13"/>
      <c r="I230" s="13"/>
      <c r="J230" s="13"/>
      <c r="K230" s="162"/>
      <c r="L230" s="13">
        <f>D230-E230-F230-G230-H230-I230-J230-K230</f>
        <v>0</v>
      </c>
      <c r="M230" s="375"/>
      <c r="N230" s="131"/>
      <c r="O230" s="131"/>
      <c r="P230" s="16"/>
      <c r="Q230" s="131"/>
      <c r="R230" s="131"/>
      <c r="S230" s="131"/>
      <c r="T230" s="131"/>
      <c r="U230" s="131"/>
      <c r="V230" s="131"/>
      <c r="W230" s="131"/>
      <c r="X230" s="131"/>
      <c r="Y230" s="131"/>
      <c r="Z230" s="131"/>
      <c r="AA230" s="131"/>
      <c r="AB230" s="131"/>
      <c r="AC230" s="131"/>
      <c r="AD230" s="131"/>
      <c r="AE230" s="131"/>
      <c r="AF230" s="131"/>
      <c r="AG230" s="131"/>
      <c r="AH230" s="131"/>
      <c r="AI230" s="131"/>
      <c r="AJ230" s="131"/>
    </row>
    <row r="231" spans="1:36" hidden="1" x14ac:dyDescent="0.25"/>
    <row r="232" spans="1:36" ht="27.75" hidden="1" customHeight="1" x14ac:dyDescent="0.25">
      <c r="A232" s="578" t="s">
        <v>6</v>
      </c>
      <c r="B232" s="578" t="s">
        <v>742</v>
      </c>
      <c r="C232" s="578" t="s">
        <v>394</v>
      </c>
      <c r="D232" s="578" t="s">
        <v>395</v>
      </c>
      <c r="E232" s="608">
        <v>44540</v>
      </c>
      <c r="F232" s="148"/>
      <c r="G232" s="324"/>
      <c r="H232" s="260"/>
      <c r="I232" s="260"/>
      <c r="J232" s="260"/>
      <c r="K232" s="180"/>
      <c r="L232" s="182" t="s">
        <v>743</v>
      </c>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c r="AI232" s="131"/>
      <c r="AJ232" s="131"/>
    </row>
    <row r="233" spans="1:36" hidden="1" x14ac:dyDescent="0.25">
      <c r="A233" s="199">
        <v>37</v>
      </c>
      <c r="B233" s="439" t="s">
        <v>2467</v>
      </c>
      <c r="C233" s="43" t="s">
        <v>2468</v>
      </c>
      <c r="D233" s="45">
        <v>530000</v>
      </c>
      <c r="E233" s="13">
        <v>530000</v>
      </c>
      <c r="F233" s="13"/>
      <c r="G233" s="13"/>
      <c r="H233" s="13"/>
      <c r="I233" s="13"/>
      <c r="J233" s="13"/>
      <c r="K233" s="162"/>
      <c r="L233" s="13">
        <f>D233-E233-F233-G233-H233-I233-J233-K233</f>
        <v>0</v>
      </c>
      <c r="M233" s="375"/>
      <c r="N233" s="131"/>
      <c r="O233" s="131"/>
      <c r="P233" s="16"/>
      <c r="Q233" s="131"/>
      <c r="R233" s="131"/>
      <c r="S233" s="131"/>
      <c r="T233" s="131"/>
      <c r="U233" s="131"/>
      <c r="V233" s="131"/>
      <c r="W233" s="131"/>
      <c r="X233" s="131"/>
      <c r="Y233" s="131"/>
      <c r="Z233" s="131"/>
      <c r="AA233" s="131"/>
      <c r="AB233" s="131"/>
      <c r="AC233" s="131"/>
      <c r="AD233" s="131"/>
      <c r="AE233" s="131"/>
      <c r="AF233" s="131"/>
      <c r="AG233" s="131"/>
      <c r="AH233" s="131"/>
      <c r="AI233" s="131"/>
      <c r="AJ233" s="131"/>
    </row>
    <row r="234" spans="1:36" hidden="1" x14ac:dyDescent="0.25"/>
    <row r="235" spans="1:36" ht="27.75" hidden="1" customHeight="1" x14ac:dyDescent="0.25">
      <c r="A235" s="578" t="s">
        <v>6</v>
      </c>
      <c r="B235" s="578" t="s">
        <v>742</v>
      </c>
      <c r="C235" s="578" t="s">
        <v>394</v>
      </c>
      <c r="D235" s="578" t="s">
        <v>395</v>
      </c>
      <c r="E235" s="608">
        <v>44540</v>
      </c>
      <c r="F235" s="148"/>
      <c r="G235" s="324"/>
      <c r="H235" s="260"/>
      <c r="I235" s="260"/>
      <c r="J235" s="260"/>
      <c r="K235" s="180"/>
      <c r="L235" s="182" t="s">
        <v>743</v>
      </c>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c r="AI235" s="131"/>
      <c r="AJ235" s="131"/>
    </row>
    <row r="236" spans="1:36" hidden="1" x14ac:dyDescent="0.25">
      <c r="A236" s="199">
        <v>38</v>
      </c>
      <c r="B236" s="439" t="s">
        <v>2666</v>
      </c>
      <c r="C236" s="43" t="s">
        <v>2667</v>
      </c>
      <c r="D236" s="45">
        <v>183000</v>
      </c>
      <c r="E236" s="13">
        <v>183000</v>
      </c>
      <c r="F236" s="13"/>
      <c r="G236" s="13"/>
      <c r="H236" s="13"/>
      <c r="I236" s="13"/>
      <c r="J236" s="13"/>
      <c r="K236" s="162"/>
      <c r="L236" s="13">
        <f>D236-E236-F236-G236-H236-I236-J236-K236</f>
        <v>0</v>
      </c>
      <c r="M236" s="375"/>
      <c r="N236" s="131"/>
      <c r="O236" s="131"/>
      <c r="P236" s="16"/>
      <c r="Q236" s="131"/>
      <c r="R236" s="131"/>
      <c r="S236" s="131"/>
      <c r="T236" s="131"/>
      <c r="U236" s="131"/>
      <c r="V236" s="131"/>
      <c r="W236" s="131"/>
      <c r="X236" s="131"/>
      <c r="Y236" s="131"/>
      <c r="Z236" s="131"/>
      <c r="AA236" s="131"/>
      <c r="AB236" s="131"/>
      <c r="AC236" s="131"/>
      <c r="AD236" s="131"/>
      <c r="AE236" s="131"/>
      <c r="AF236" s="131"/>
      <c r="AG236" s="131"/>
      <c r="AH236" s="131"/>
      <c r="AI236" s="131"/>
      <c r="AJ236" s="131"/>
    </row>
    <row r="237" spans="1:36" hidden="1" x14ac:dyDescent="0.25"/>
    <row r="238" spans="1:36" ht="27.75" hidden="1" customHeight="1" x14ac:dyDescent="0.25">
      <c r="A238" s="578" t="s">
        <v>6</v>
      </c>
      <c r="B238" s="578" t="s">
        <v>742</v>
      </c>
      <c r="C238" s="578" t="s">
        <v>394</v>
      </c>
      <c r="D238" s="578" t="s">
        <v>395</v>
      </c>
      <c r="E238" s="608">
        <v>44540</v>
      </c>
      <c r="F238" s="148"/>
      <c r="G238" s="324"/>
      <c r="H238" s="260"/>
      <c r="I238" s="260"/>
      <c r="J238" s="260"/>
      <c r="K238" s="180"/>
      <c r="L238" s="182" t="s">
        <v>743</v>
      </c>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c r="AI238" s="131"/>
      <c r="AJ238" s="131"/>
    </row>
    <row r="239" spans="1:36" hidden="1" x14ac:dyDescent="0.25">
      <c r="A239" s="199">
        <v>39</v>
      </c>
      <c r="B239" s="439" t="s">
        <v>2664</v>
      </c>
      <c r="C239" s="43" t="s">
        <v>15</v>
      </c>
      <c r="D239" s="45">
        <v>310000</v>
      </c>
      <c r="E239" s="13">
        <v>310000</v>
      </c>
      <c r="F239" s="13"/>
      <c r="G239" s="13"/>
      <c r="H239" s="13"/>
      <c r="I239" s="13"/>
      <c r="J239" s="13"/>
      <c r="K239" s="162"/>
      <c r="L239" s="13">
        <f>D239-E239-F239-G239-H239-I239-J239-K239</f>
        <v>0</v>
      </c>
      <c r="M239" s="375"/>
      <c r="N239" s="131"/>
      <c r="O239" s="131"/>
      <c r="P239" s="16"/>
      <c r="Q239" s="131"/>
      <c r="R239" s="131"/>
      <c r="S239" s="131"/>
      <c r="T239" s="131"/>
      <c r="U239" s="131"/>
      <c r="V239" s="131"/>
      <c r="W239" s="131"/>
      <c r="X239" s="131"/>
      <c r="Y239" s="131"/>
      <c r="Z239" s="131"/>
      <c r="AA239" s="131"/>
      <c r="AB239" s="131"/>
      <c r="AC239" s="131"/>
      <c r="AD239" s="131"/>
      <c r="AE239" s="131"/>
      <c r="AF239" s="131"/>
      <c r="AG239" s="131"/>
      <c r="AH239" s="131"/>
      <c r="AI239" s="131"/>
      <c r="AJ239" s="131"/>
    </row>
    <row r="240" spans="1:36" hidden="1" x14ac:dyDescent="0.25"/>
    <row r="241" spans="1:36" ht="27.75" hidden="1" customHeight="1" x14ac:dyDescent="0.25">
      <c r="A241" s="578" t="s">
        <v>6</v>
      </c>
      <c r="B241" s="578" t="s">
        <v>742</v>
      </c>
      <c r="C241" s="578" t="s">
        <v>394</v>
      </c>
      <c r="D241" s="578" t="s">
        <v>395</v>
      </c>
      <c r="E241" s="324">
        <v>44568</v>
      </c>
      <c r="F241" s="148"/>
      <c r="G241" s="324"/>
      <c r="H241" s="260"/>
      <c r="I241" s="260"/>
      <c r="J241" s="260"/>
      <c r="K241" s="180"/>
      <c r="L241" s="182" t="s">
        <v>743</v>
      </c>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c r="AI241" s="131"/>
      <c r="AJ241" s="131"/>
    </row>
    <row r="242" spans="1:36" hidden="1" x14ac:dyDescent="0.25">
      <c r="A242" s="199">
        <v>40</v>
      </c>
      <c r="B242" s="439" t="s">
        <v>2982</v>
      </c>
      <c r="C242" s="43" t="s">
        <v>2984</v>
      </c>
      <c r="D242" s="45">
        <v>400000</v>
      </c>
      <c r="E242" s="45">
        <v>400000</v>
      </c>
      <c r="F242" s="13"/>
      <c r="G242" s="13"/>
      <c r="H242" s="13"/>
      <c r="I242" s="13"/>
      <c r="J242" s="13"/>
      <c r="K242" s="162"/>
      <c r="L242" s="13">
        <f>D242-E242-F242-G242-H242-I242-J242-K242</f>
        <v>0</v>
      </c>
      <c r="M242" s="375"/>
      <c r="N242" s="131"/>
      <c r="O242" s="131"/>
      <c r="P242" s="16"/>
      <c r="Q242" s="131"/>
      <c r="R242" s="131"/>
      <c r="S242" s="131"/>
      <c r="T242" s="131"/>
      <c r="U242" s="131"/>
      <c r="V242" s="131"/>
      <c r="W242" s="131"/>
      <c r="X242" s="131"/>
      <c r="Y242" s="131"/>
      <c r="Z242" s="131"/>
      <c r="AA242" s="131"/>
      <c r="AB242" s="131"/>
      <c r="AC242" s="131"/>
      <c r="AD242" s="131"/>
      <c r="AE242" s="131"/>
      <c r="AF242" s="131"/>
      <c r="AG242" s="131"/>
      <c r="AH242" s="131"/>
      <c r="AI242" s="131"/>
      <c r="AJ242" s="131"/>
    </row>
    <row r="243" spans="1:36" hidden="1" x14ac:dyDescent="0.25"/>
    <row r="244" spans="1:36" ht="27.75" hidden="1" customHeight="1" x14ac:dyDescent="0.25">
      <c r="A244" s="736" t="s">
        <v>6</v>
      </c>
      <c r="B244" s="736" t="s">
        <v>742</v>
      </c>
      <c r="C244" s="736" t="s">
        <v>394</v>
      </c>
      <c r="D244" s="736" t="s">
        <v>395</v>
      </c>
      <c r="E244" s="608">
        <v>44540</v>
      </c>
      <c r="F244" s="148"/>
      <c r="G244" s="324"/>
      <c r="H244" s="260"/>
      <c r="I244" s="260"/>
      <c r="J244" s="260"/>
      <c r="K244" s="180"/>
      <c r="L244" s="182" t="s">
        <v>743</v>
      </c>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c r="AI244" s="131"/>
      <c r="AJ244" s="131"/>
    </row>
    <row r="245" spans="1:36" hidden="1" x14ac:dyDescent="0.25">
      <c r="A245" s="199">
        <v>40</v>
      </c>
      <c r="B245" s="439" t="s">
        <v>2941</v>
      </c>
      <c r="C245" s="43" t="s">
        <v>2942</v>
      </c>
      <c r="D245" s="45">
        <v>1480000</v>
      </c>
      <c r="E245" s="13">
        <v>1480000</v>
      </c>
      <c r="F245" s="13"/>
      <c r="G245" s="13"/>
      <c r="H245" s="13"/>
      <c r="I245" s="13"/>
      <c r="J245" s="13"/>
      <c r="K245" s="162"/>
      <c r="L245" s="13">
        <f>D245-E245-F245-G245-H245-I245-J245-K245</f>
        <v>0</v>
      </c>
      <c r="M245" s="375"/>
      <c r="N245" s="131"/>
      <c r="O245" s="131"/>
      <c r="P245" s="16"/>
      <c r="Q245" s="131"/>
      <c r="R245" s="131"/>
      <c r="S245" s="131"/>
      <c r="T245" s="131"/>
      <c r="U245" s="131"/>
      <c r="V245" s="131"/>
      <c r="W245" s="131"/>
      <c r="X245" s="131"/>
      <c r="Y245" s="131"/>
      <c r="Z245" s="131"/>
      <c r="AA245" s="131"/>
      <c r="AB245" s="131"/>
      <c r="AC245" s="131"/>
      <c r="AD245" s="131"/>
      <c r="AE245" s="131"/>
      <c r="AF245" s="131"/>
      <c r="AG245" s="131"/>
      <c r="AH245" s="131"/>
      <c r="AI245" s="131"/>
      <c r="AJ245" s="131"/>
    </row>
    <row r="246" spans="1:36" hidden="1" x14ac:dyDescent="0.25"/>
    <row r="247" spans="1:36" ht="27.75" hidden="1" customHeight="1" x14ac:dyDescent="0.25">
      <c r="A247" s="736" t="s">
        <v>6</v>
      </c>
      <c r="B247" s="736" t="s">
        <v>742</v>
      </c>
      <c r="C247" s="736" t="s">
        <v>394</v>
      </c>
      <c r="D247" s="736" t="s">
        <v>395</v>
      </c>
      <c r="E247" s="608">
        <v>44540</v>
      </c>
      <c r="F247" s="148"/>
      <c r="G247" s="324"/>
      <c r="H247" s="260"/>
      <c r="I247" s="260"/>
      <c r="J247" s="260"/>
      <c r="K247" s="180"/>
      <c r="L247" s="182" t="s">
        <v>743</v>
      </c>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c r="AI247" s="131"/>
      <c r="AJ247" s="131"/>
    </row>
    <row r="248" spans="1:36" hidden="1" x14ac:dyDescent="0.25">
      <c r="A248" s="199">
        <v>40</v>
      </c>
      <c r="B248" s="439" t="s">
        <v>2944</v>
      </c>
      <c r="C248" s="43" t="s">
        <v>2946</v>
      </c>
      <c r="D248" s="45">
        <v>230000</v>
      </c>
      <c r="E248" s="13">
        <v>230000</v>
      </c>
      <c r="F248" s="13"/>
      <c r="G248" s="13"/>
      <c r="H248" s="13"/>
      <c r="I248" s="13"/>
      <c r="J248" s="13"/>
      <c r="K248" s="162"/>
      <c r="L248" s="13">
        <f>D248-E248-F248-G248-H248-I248-J248-K248</f>
        <v>0</v>
      </c>
      <c r="M248" s="375"/>
      <c r="N248" s="131"/>
      <c r="O248" s="131"/>
      <c r="P248" s="16"/>
      <c r="Q248" s="131"/>
      <c r="R248" s="131"/>
      <c r="S248" s="131"/>
      <c r="T248" s="131"/>
      <c r="U248" s="131"/>
      <c r="V248" s="131"/>
      <c r="W248" s="131"/>
      <c r="X248" s="131"/>
      <c r="Y248" s="131"/>
      <c r="Z248" s="131"/>
      <c r="AA248" s="131"/>
      <c r="AB248" s="131"/>
      <c r="AC248" s="131"/>
      <c r="AD248" s="131"/>
      <c r="AE248" s="131"/>
      <c r="AF248" s="131"/>
      <c r="AG248" s="131"/>
      <c r="AH248" s="131"/>
      <c r="AI248" s="131"/>
      <c r="AJ248" s="131"/>
    </row>
    <row r="249" spans="1:36" hidden="1" x14ac:dyDescent="0.25"/>
    <row r="250" spans="1:36" ht="27.75" hidden="1" customHeight="1" x14ac:dyDescent="0.25">
      <c r="A250" s="736" t="s">
        <v>6</v>
      </c>
      <c r="B250" s="736" t="s">
        <v>742</v>
      </c>
      <c r="C250" s="736" t="s">
        <v>394</v>
      </c>
      <c r="D250" s="736" t="s">
        <v>395</v>
      </c>
      <c r="E250" s="608">
        <v>44540</v>
      </c>
      <c r="F250" s="148"/>
      <c r="G250" s="324"/>
      <c r="H250" s="260"/>
      <c r="I250" s="260"/>
      <c r="J250" s="260"/>
      <c r="K250" s="180"/>
      <c r="L250" s="182" t="s">
        <v>743</v>
      </c>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c r="AI250" s="131"/>
      <c r="AJ250" s="131"/>
    </row>
    <row r="251" spans="1:36" hidden="1" x14ac:dyDescent="0.25">
      <c r="A251" s="199">
        <v>40</v>
      </c>
      <c r="B251" s="439" t="s">
        <v>2947</v>
      </c>
      <c r="C251" s="43" t="s">
        <v>2948</v>
      </c>
      <c r="D251" s="45">
        <v>1185000</v>
      </c>
      <c r="E251" s="13">
        <v>1185000</v>
      </c>
      <c r="F251" s="13"/>
      <c r="G251" s="13"/>
      <c r="H251" s="13"/>
      <c r="I251" s="13"/>
      <c r="J251" s="13"/>
      <c r="K251" s="162"/>
      <c r="L251" s="13">
        <f>D251-E251-F251-G251-H251-I251-J251-K251</f>
        <v>0</v>
      </c>
      <c r="M251" s="375"/>
      <c r="N251" s="131"/>
      <c r="O251" s="131"/>
      <c r="P251" s="16"/>
      <c r="Q251" s="131"/>
      <c r="R251" s="131"/>
      <c r="S251" s="131"/>
      <c r="T251" s="131"/>
      <c r="U251" s="131"/>
      <c r="V251" s="131"/>
      <c r="W251" s="131"/>
      <c r="X251" s="131"/>
      <c r="Y251" s="131"/>
      <c r="Z251" s="131"/>
      <c r="AA251" s="131"/>
      <c r="AB251" s="131"/>
      <c r="AC251" s="131"/>
      <c r="AD251" s="131"/>
      <c r="AE251" s="131"/>
      <c r="AF251" s="131"/>
      <c r="AG251" s="131"/>
      <c r="AH251" s="131"/>
      <c r="AI251" s="131"/>
      <c r="AJ251" s="131"/>
    </row>
    <row r="252" spans="1:36" hidden="1" x14ac:dyDescent="0.25"/>
    <row r="253" spans="1:36" ht="27.75" hidden="1" customHeight="1" x14ac:dyDescent="0.25">
      <c r="A253" s="736" t="s">
        <v>6</v>
      </c>
      <c r="B253" s="736" t="s">
        <v>742</v>
      </c>
      <c r="C253" s="736" t="s">
        <v>394</v>
      </c>
      <c r="D253" s="736" t="s">
        <v>395</v>
      </c>
      <c r="E253" s="324">
        <v>44568</v>
      </c>
      <c r="F253" s="148"/>
      <c r="G253" s="324"/>
      <c r="H253" s="260"/>
      <c r="I253" s="260"/>
      <c r="J253" s="260"/>
      <c r="K253" s="180"/>
      <c r="L253" s="182" t="s">
        <v>743</v>
      </c>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c r="AI253" s="131"/>
      <c r="AJ253" s="131"/>
    </row>
    <row r="254" spans="1:36" hidden="1" x14ac:dyDescent="0.25">
      <c r="A254" s="199">
        <v>40</v>
      </c>
      <c r="B254" s="439" t="s">
        <v>2953</v>
      </c>
      <c r="C254" s="43" t="s">
        <v>2954</v>
      </c>
      <c r="D254" s="45">
        <v>400000</v>
      </c>
      <c r="E254" s="45">
        <v>400000</v>
      </c>
      <c r="F254" s="13"/>
      <c r="G254" s="13"/>
      <c r="H254" s="13"/>
      <c r="I254" s="13"/>
      <c r="J254" s="13"/>
      <c r="K254" s="162"/>
      <c r="L254" s="13">
        <f>D254-E254-F254-G254-H254-I254-J254-K254</f>
        <v>0</v>
      </c>
      <c r="M254" s="375"/>
      <c r="N254" s="131"/>
      <c r="O254" s="131"/>
      <c r="P254" s="16"/>
      <c r="Q254" s="131"/>
      <c r="R254" s="131"/>
      <c r="S254" s="131"/>
      <c r="T254" s="131"/>
      <c r="U254" s="131"/>
      <c r="V254" s="131"/>
      <c r="W254" s="131"/>
      <c r="X254" s="131"/>
      <c r="Y254" s="131"/>
      <c r="Z254" s="131"/>
      <c r="AA254" s="131"/>
      <c r="AB254" s="131"/>
      <c r="AC254" s="131"/>
      <c r="AD254" s="131"/>
      <c r="AE254" s="131"/>
      <c r="AF254" s="131"/>
      <c r="AG254" s="131"/>
      <c r="AH254" s="131"/>
      <c r="AI254" s="131"/>
      <c r="AJ254" s="131"/>
    </row>
    <row r="255" spans="1:36" hidden="1" x14ac:dyDescent="0.25"/>
    <row r="256" spans="1:36" ht="31.5" hidden="1" customHeight="1" x14ac:dyDescent="0.25">
      <c r="A256" s="1016" t="s">
        <v>399</v>
      </c>
      <c r="B256" s="1016"/>
      <c r="C256" s="1016"/>
      <c r="D256" s="328">
        <f>D167+D170+D173+D176+D179+D182+D185+D191+D194+D197</f>
        <v>294767140</v>
      </c>
      <c r="E256" s="179"/>
      <c r="F256" s="327"/>
      <c r="G256" s="170"/>
      <c r="H256" s="170"/>
      <c r="I256" s="170"/>
      <c r="J256" s="146"/>
      <c r="K256" s="170"/>
      <c r="L256" s="329">
        <f>L167+L170+L173+L176+L179+L182+L185+L188+L191+L194+L197+L200+L203+L206+L209+L212+L215+L218+L221+L224+L227+L230+L233+L236+L239+L242+L245+L248+L251+L254</f>
        <v>0</v>
      </c>
      <c r="O256" s="190"/>
    </row>
    <row r="257" spans="1:36" hidden="1" x14ac:dyDescent="0.25"/>
    <row r="259" spans="1:36" ht="27.75" customHeight="1" x14ac:dyDescent="0.25">
      <c r="A259" s="822" t="s">
        <v>6</v>
      </c>
      <c r="B259" s="822" t="s">
        <v>742</v>
      </c>
      <c r="C259" s="822" t="s">
        <v>394</v>
      </c>
      <c r="D259" s="822" t="s">
        <v>395</v>
      </c>
      <c r="E259" s="324">
        <v>44587</v>
      </c>
      <c r="F259" s="148"/>
      <c r="G259" s="324"/>
      <c r="H259" s="260"/>
      <c r="I259" s="260"/>
      <c r="J259" s="260"/>
      <c r="K259" s="180"/>
      <c r="L259" s="182" t="s">
        <v>743</v>
      </c>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c r="AI259" s="131"/>
      <c r="AJ259" s="131"/>
    </row>
    <row r="260" spans="1:36" x14ac:dyDescent="0.25">
      <c r="A260" s="199">
        <v>1</v>
      </c>
      <c r="B260" s="439" t="s">
        <v>3380</v>
      </c>
      <c r="C260" s="43" t="s">
        <v>136</v>
      </c>
      <c r="D260" s="45">
        <v>4636000</v>
      </c>
      <c r="E260" s="45">
        <v>4636000</v>
      </c>
      <c r="F260" s="13"/>
      <c r="G260" s="13"/>
      <c r="H260" s="13"/>
      <c r="I260" s="13"/>
      <c r="J260" s="13"/>
      <c r="K260" s="162"/>
      <c r="L260" s="13">
        <f>D260-E260-F260-G260-H260-I260-J260-K260</f>
        <v>0</v>
      </c>
      <c r="M260" s="375"/>
      <c r="N260" s="131"/>
      <c r="O260" s="131"/>
      <c r="P260" s="16"/>
      <c r="Q260" s="131"/>
      <c r="R260" s="131"/>
      <c r="S260" s="131"/>
      <c r="T260" s="131"/>
      <c r="U260" s="131"/>
      <c r="V260" s="131"/>
      <c r="W260" s="131"/>
      <c r="X260" s="131"/>
      <c r="Y260" s="131"/>
      <c r="Z260" s="131"/>
      <c r="AA260" s="131"/>
      <c r="AB260" s="131"/>
      <c r="AC260" s="131"/>
      <c r="AD260" s="131"/>
      <c r="AE260" s="131"/>
      <c r="AF260" s="131"/>
      <c r="AG260" s="131"/>
      <c r="AH260" s="131"/>
      <c r="AI260" s="131"/>
      <c r="AJ260" s="131"/>
    </row>
    <row r="262" spans="1:36" ht="27.75" customHeight="1" x14ac:dyDescent="0.25">
      <c r="A262" s="822" t="s">
        <v>6</v>
      </c>
      <c r="B262" s="822" t="s">
        <v>742</v>
      </c>
      <c r="C262" s="822" t="s">
        <v>394</v>
      </c>
      <c r="D262" s="822" t="s">
        <v>395</v>
      </c>
      <c r="E262" s="324">
        <v>44587</v>
      </c>
      <c r="F262" s="148"/>
      <c r="G262" s="324"/>
      <c r="H262" s="260"/>
      <c r="I262" s="260"/>
      <c r="J262" s="260"/>
      <c r="K262" s="180"/>
      <c r="L262" s="182" t="s">
        <v>743</v>
      </c>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c r="AI262" s="131"/>
      <c r="AJ262" s="131"/>
    </row>
    <row r="263" spans="1:36" x14ac:dyDescent="0.25">
      <c r="A263" s="199">
        <v>2</v>
      </c>
      <c r="B263" s="439" t="s">
        <v>3381</v>
      </c>
      <c r="C263" s="43" t="s">
        <v>2984</v>
      </c>
      <c r="D263" s="45">
        <v>3403000</v>
      </c>
      <c r="E263" s="45">
        <v>3403000</v>
      </c>
      <c r="F263" s="13"/>
      <c r="G263" s="13"/>
      <c r="H263" s="13"/>
      <c r="I263" s="13"/>
      <c r="J263" s="13"/>
      <c r="K263" s="162"/>
      <c r="L263" s="13">
        <f>D263-E263-F263-G263-H263-I263-J263-K263</f>
        <v>0</v>
      </c>
      <c r="M263" s="375"/>
      <c r="N263" s="131"/>
      <c r="O263" s="131"/>
      <c r="P263" s="16"/>
      <c r="Q263" s="131"/>
      <c r="R263" s="131"/>
      <c r="S263" s="131"/>
      <c r="T263" s="131"/>
      <c r="U263" s="131"/>
      <c r="V263" s="131"/>
      <c r="W263" s="131"/>
      <c r="X263" s="131"/>
      <c r="Y263" s="131"/>
      <c r="Z263" s="131"/>
      <c r="AA263" s="131"/>
      <c r="AB263" s="131"/>
      <c r="AC263" s="131"/>
      <c r="AD263" s="131"/>
      <c r="AE263" s="131"/>
      <c r="AF263" s="131"/>
      <c r="AG263" s="131"/>
      <c r="AH263" s="131"/>
      <c r="AI263" s="131"/>
      <c r="AJ263" s="131"/>
    </row>
    <row r="265" spans="1:36" ht="27.75" customHeight="1" x14ac:dyDescent="0.25">
      <c r="A265" s="822" t="s">
        <v>6</v>
      </c>
      <c r="B265" s="822" t="s">
        <v>742</v>
      </c>
      <c r="C265" s="822" t="s">
        <v>394</v>
      </c>
      <c r="D265" s="822" t="s">
        <v>395</v>
      </c>
      <c r="E265" s="324">
        <v>44587</v>
      </c>
      <c r="F265" s="148"/>
      <c r="G265" s="324"/>
      <c r="H265" s="260"/>
      <c r="I265" s="260"/>
      <c r="J265" s="260"/>
      <c r="K265" s="180"/>
      <c r="L265" s="182" t="s">
        <v>743</v>
      </c>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c r="AI265" s="131"/>
      <c r="AJ265" s="131"/>
    </row>
    <row r="266" spans="1:36" x14ac:dyDescent="0.25">
      <c r="A266" s="199">
        <v>3</v>
      </c>
      <c r="B266" s="439" t="s">
        <v>3383</v>
      </c>
      <c r="C266" s="43" t="s">
        <v>136</v>
      </c>
      <c r="D266" s="45">
        <v>8345000</v>
      </c>
      <c r="E266" s="45">
        <v>8345000</v>
      </c>
      <c r="F266" s="13"/>
      <c r="G266" s="13"/>
      <c r="H266" s="13"/>
      <c r="I266" s="13"/>
      <c r="J266" s="13"/>
      <c r="K266" s="162"/>
      <c r="L266" s="13">
        <f>D266-E266-F266-G266-H266-I266-J266-K266</f>
        <v>0</v>
      </c>
      <c r="M266" s="375"/>
      <c r="N266" s="131"/>
      <c r="O266" s="131"/>
      <c r="P266" s="16"/>
      <c r="Q266" s="131"/>
      <c r="R266" s="131"/>
      <c r="S266" s="131"/>
      <c r="T266" s="131"/>
      <c r="U266" s="131"/>
      <c r="V266" s="131"/>
      <c r="W266" s="131"/>
      <c r="X266" s="131"/>
      <c r="Y266" s="131"/>
      <c r="Z266" s="131"/>
      <c r="AA266" s="131"/>
      <c r="AB266" s="131"/>
      <c r="AC266" s="131"/>
      <c r="AD266" s="131"/>
      <c r="AE266" s="131"/>
      <c r="AF266" s="131"/>
      <c r="AG266" s="131"/>
      <c r="AH266" s="131"/>
      <c r="AI266" s="131"/>
      <c r="AJ266" s="131"/>
    </row>
    <row r="268" spans="1:36" ht="27.75" customHeight="1" x14ac:dyDescent="0.25">
      <c r="A268" s="822" t="s">
        <v>6</v>
      </c>
      <c r="B268" s="822" t="s">
        <v>742</v>
      </c>
      <c r="C268" s="822" t="s">
        <v>394</v>
      </c>
      <c r="D268" s="822" t="s">
        <v>395</v>
      </c>
      <c r="E268" s="324">
        <v>44587</v>
      </c>
      <c r="F268" s="148"/>
      <c r="G268" s="324"/>
      <c r="H268" s="260"/>
      <c r="I268" s="260"/>
      <c r="J268" s="260"/>
      <c r="K268" s="180"/>
      <c r="L268" s="182" t="s">
        <v>743</v>
      </c>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c r="AI268" s="131"/>
      <c r="AJ268" s="131"/>
    </row>
    <row r="269" spans="1:36" x14ac:dyDescent="0.25">
      <c r="A269" s="199">
        <v>4</v>
      </c>
      <c r="B269" s="439" t="s">
        <v>3416</v>
      </c>
      <c r="C269" s="43" t="s">
        <v>3418</v>
      </c>
      <c r="D269" s="45">
        <v>900000</v>
      </c>
      <c r="E269" s="45">
        <v>900000</v>
      </c>
      <c r="F269" s="13"/>
      <c r="G269" s="13"/>
      <c r="H269" s="13"/>
      <c r="I269" s="13"/>
      <c r="J269" s="13"/>
      <c r="K269" s="162"/>
      <c r="L269" s="13">
        <f>D269-E269-F269-G269-H269-I269-J269-K269</f>
        <v>0</v>
      </c>
      <c r="M269" s="375"/>
      <c r="N269" s="131"/>
      <c r="O269" s="131"/>
      <c r="P269" s="16"/>
      <c r="Q269" s="131"/>
      <c r="R269" s="131"/>
      <c r="S269" s="131"/>
      <c r="T269" s="131"/>
      <c r="U269" s="131"/>
      <c r="V269" s="131"/>
      <c r="W269" s="131"/>
      <c r="X269" s="131"/>
      <c r="Y269" s="131"/>
      <c r="Z269" s="131"/>
      <c r="AA269" s="131"/>
      <c r="AB269" s="131"/>
      <c r="AC269" s="131"/>
      <c r="AD269" s="131"/>
      <c r="AE269" s="131"/>
      <c r="AF269" s="131"/>
      <c r="AG269" s="131"/>
      <c r="AH269" s="131"/>
      <c r="AI269" s="131"/>
      <c r="AJ269" s="131"/>
    </row>
    <row r="271" spans="1:36" ht="27.75" customHeight="1" x14ac:dyDescent="0.25">
      <c r="A271" s="822" t="s">
        <v>6</v>
      </c>
      <c r="B271" s="822" t="s">
        <v>742</v>
      </c>
      <c r="C271" s="822" t="s">
        <v>394</v>
      </c>
      <c r="D271" s="822" t="s">
        <v>395</v>
      </c>
      <c r="E271" s="324">
        <v>44587</v>
      </c>
      <c r="F271" s="148"/>
      <c r="G271" s="324"/>
      <c r="H271" s="260"/>
      <c r="I271" s="260"/>
      <c r="J271" s="260"/>
      <c r="K271" s="180"/>
      <c r="L271" s="182" t="s">
        <v>743</v>
      </c>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c r="AI271" s="131"/>
      <c r="AJ271" s="131"/>
    </row>
    <row r="272" spans="1:36" x14ac:dyDescent="0.25">
      <c r="A272" s="199">
        <v>5</v>
      </c>
      <c r="B272" s="439" t="s">
        <v>3417</v>
      </c>
      <c r="C272" s="43" t="s">
        <v>136</v>
      </c>
      <c r="D272" s="45">
        <v>4759000</v>
      </c>
      <c r="E272" s="45">
        <v>4759000</v>
      </c>
      <c r="F272" s="13"/>
      <c r="G272" s="13"/>
      <c r="H272" s="13"/>
      <c r="I272" s="13"/>
      <c r="J272" s="13"/>
      <c r="K272" s="162"/>
      <c r="L272" s="13">
        <f>D272-E272-F272-G272-H272-I272-J272-K272</f>
        <v>0</v>
      </c>
      <c r="M272" s="375"/>
      <c r="N272" s="131"/>
      <c r="O272" s="131"/>
      <c r="P272" s="16"/>
      <c r="Q272" s="131"/>
      <c r="R272" s="131"/>
      <c r="S272" s="131"/>
      <c r="T272" s="131"/>
      <c r="U272" s="131"/>
      <c r="V272" s="131"/>
      <c r="W272" s="131"/>
      <c r="X272" s="131"/>
      <c r="Y272" s="131"/>
      <c r="Z272" s="131"/>
      <c r="AA272" s="131"/>
      <c r="AB272" s="131"/>
      <c r="AC272" s="131"/>
      <c r="AD272" s="131"/>
      <c r="AE272" s="131"/>
      <c r="AF272" s="131"/>
      <c r="AG272" s="131"/>
      <c r="AH272" s="131"/>
      <c r="AI272" s="131"/>
      <c r="AJ272" s="131"/>
    </row>
    <row r="274" spans="1:36" ht="27.75" customHeight="1" x14ac:dyDescent="0.25">
      <c r="A274" s="822" t="s">
        <v>6</v>
      </c>
      <c r="B274" s="822" t="s">
        <v>742</v>
      </c>
      <c r="C274" s="822" t="s">
        <v>394</v>
      </c>
      <c r="D274" s="822" t="s">
        <v>395</v>
      </c>
      <c r="E274" s="324">
        <v>44587</v>
      </c>
      <c r="F274" s="148"/>
      <c r="G274" s="324"/>
      <c r="H274" s="260"/>
      <c r="I274" s="260"/>
      <c r="J274" s="260"/>
      <c r="K274" s="180"/>
      <c r="L274" s="182" t="s">
        <v>743</v>
      </c>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31"/>
      <c r="AJ274" s="131"/>
    </row>
    <row r="275" spans="1:36" x14ac:dyDescent="0.25">
      <c r="A275" s="199">
        <v>6</v>
      </c>
      <c r="B275" s="439" t="s">
        <v>3419</v>
      </c>
      <c r="C275" s="43" t="s">
        <v>136</v>
      </c>
      <c r="D275" s="45">
        <v>15320000</v>
      </c>
      <c r="E275" s="45">
        <v>15320000</v>
      </c>
      <c r="F275" s="13"/>
      <c r="G275" s="13"/>
      <c r="H275" s="13"/>
      <c r="I275" s="13"/>
      <c r="J275" s="13"/>
      <c r="K275" s="162"/>
      <c r="L275" s="13">
        <f>D275-E275-F275-G275-H275-I275-J275-K275</f>
        <v>0</v>
      </c>
      <c r="M275" s="375"/>
      <c r="N275" s="131"/>
      <c r="O275" s="131"/>
      <c r="P275" s="16"/>
      <c r="Q275" s="131"/>
      <c r="R275" s="131"/>
      <c r="S275" s="131"/>
      <c r="T275" s="131"/>
      <c r="U275" s="131"/>
      <c r="V275" s="131"/>
      <c r="W275" s="131"/>
      <c r="X275" s="131"/>
      <c r="Y275" s="131"/>
      <c r="Z275" s="131"/>
      <c r="AA275" s="131"/>
      <c r="AB275" s="131"/>
      <c r="AC275" s="131"/>
      <c r="AD275" s="131"/>
      <c r="AE275" s="131"/>
      <c r="AF275" s="131"/>
      <c r="AG275" s="131"/>
      <c r="AH275" s="131"/>
      <c r="AI275" s="131"/>
      <c r="AJ275" s="131"/>
    </row>
    <row r="277" spans="1:36" ht="27.75" customHeight="1" x14ac:dyDescent="0.25">
      <c r="A277" s="822" t="s">
        <v>6</v>
      </c>
      <c r="B277" s="822" t="s">
        <v>742</v>
      </c>
      <c r="C277" s="822" t="s">
        <v>394</v>
      </c>
      <c r="D277" s="822" t="s">
        <v>395</v>
      </c>
      <c r="E277" s="324">
        <v>44587</v>
      </c>
      <c r="F277" s="148"/>
      <c r="G277" s="324"/>
      <c r="H277" s="260"/>
      <c r="I277" s="260"/>
      <c r="J277" s="260"/>
      <c r="K277" s="180"/>
      <c r="L277" s="182" t="s">
        <v>743</v>
      </c>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c r="AI277" s="131"/>
      <c r="AJ277" s="131"/>
    </row>
    <row r="278" spans="1:36" x14ac:dyDescent="0.25">
      <c r="A278" s="199">
        <v>7</v>
      </c>
      <c r="B278" s="439" t="s">
        <v>3524</v>
      </c>
      <c r="C278" s="43" t="s">
        <v>136</v>
      </c>
      <c r="D278" s="45">
        <v>6185000</v>
      </c>
      <c r="E278" s="45">
        <v>6185000</v>
      </c>
      <c r="F278" s="13"/>
      <c r="G278" s="13"/>
      <c r="H278" s="13"/>
      <c r="I278" s="13"/>
      <c r="J278" s="13"/>
      <c r="K278" s="162"/>
      <c r="L278" s="13">
        <f>D278-E278-F278-G278-H278-I278-J278-K278</f>
        <v>0</v>
      </c>
      <c r="M278" s="375"/>
      <c r="N278" s="131"/>
      <c r="O278" s="131"/>
      <c r="P278" s="16"/>
      <c r="Q278" s="131"/>
      <c r="R278" s="131"/>
      <c r="S278" s="131"/>
      <c r="T278" s="131"/>
      <c r="U278" s="131"/>
      <c r="V278" s="131"/>
      <c r="W278" s="131"/>
      <c r="X278" s="131"/>
      <c r="Y278" s="131"/>
      <c r="Z278" s="131"/>
      <c r="AA278" s="131"/>
      <c r="AB278" s="131"/>
      <c r="AC278" s="131"/>
      <c r="AD278" s="131"/>
      <c r="AE278" s="131"/>
      <c r="AF278" s="131"/>
      <c r="AG278" s="131"/>
      <c r="AH278" s="131"/>
      <c r="AI278" s="131"/>
      <c r="AJ278" s="131"/>
    </row>
    <row r="280" spans="1:36" ht="27.75" customHeight="1" x14ac:dyDescent="0.25">
      <c r="A280" s="822" t="s">
        <v>6</v>
      </c>
      <c r="B280" s="822" t="s">
        <v>742</v>
      </c>
      <c r="C280" s="822" t="s">
        <v>394</v>
      </c>
      <c r="D280" s="822" t="s">
        <v>395</v>
      </c>
      <c r="E280" s="324">
        <v>44587</v>
      </c>
      <c r="F280" s="148"/>
      <c r="G280" s="324"/>
      <c r="H280" s="260"/>
      <c r="I280" s="260"/>
      <c r="J280" s="260"/>
      <c r="K280" s="180"/>
      <c r="L280" s="182" t="s">
        <v>743</v>
      </c>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c r="AI280" s="131"/>
      <c r="AJ280" s="131"/>
    </row>
    <row r="281" spans="1:36" x14ac:dyDescent="0.25">
      <c r="A281" s="199">
        <v>8</v>
      </c>
      <c r="B281" s="439" t="s">
        <v>3565</v>
      </c>
      <c r="C281" s="43" t="s">
        <v>3762</v>
      </c>
      <c r="D281" s="45">
        <v>3375000</v>
      </c>
      <c r="E281" s="45">
        <v>3375000</v>
      </c>
      <c r="F281" s="13"/>
      <c r="G281" s="13"/>
      <c r="H281" s="13"/>
      <c r="I281" s="13"/>
      <c r="J281" s="13"/>
      <c r="K281" s="162"/>
      <c r="L281" s="13">
        <f>D281-E281-F281-G281-H281-I281-J281-K281</f>
        <v>0</v>
      </c>
      <c r="M281" s="375"/>
      <c r="N281" s="131"/>
      <c r="O281" s="131"/>
      <c r="P281" s="16"/>
      <c r="Q281" s="131"/>
      <c r="R281" s="131"/>
      <c r="S281" s="131"/>
      <c r="T281" s="131"/>
      <c r="U281" s="131"/>
      <c r="V281" s="131"/>
      <c r="W281" s="131"/>
      <c r="X281" s="131"/>
      <c r="Y281" s="131"/>
      <c r="Z281" s="131"/>
      <c r="AA281" s="131"/>
      <c r="AB281" s="131"/>
      <c r="AC281" s="131"/>
      <c r="AD281" s="131"/>
      <c r="AE281" s="131"/>
      <c r="AF281" s="131"/>
      <c r="AG281" s="131"/>
      <c r="AH281" s="131"/>
      <c r="AI281" s="131"/>
      <c r="AJ281" s="131"/>
    </row>
    <row r="282" spans="1:36" x14ac:dyDescent="0.25">
      <c r="F282" s="13"/>
    </row>
    <row r="283" spans="1:36" ht="27.75" customHeight="1" x14ac:dyDescent="0.25">
      <c r="A283" s="822" t="s">
        <v>6</v>
      </c>
      <c r="B283" s="822" t="s">
        <v>742</v>
      </c>
      <c r="C283" s="822" t="s">
        <v>394</v>
      </c>
      <c r="D283" s="822" t="s">
        <v>395</v>
      </c>
      <c r="E283" s="324">
        <v>44587</v>
      </c>
      <c r="F283" s="148">
        <v>44592</v>
      </c>
      <c r="G283" s="324">
        <v>44599</v>
      </c>
      <c r="H283" s="324">
        <v>44617</v>
      </c>
      <c r="I283" s="260"/>
      <c r="J283" s="260"/>
      <c r="K283" s="180"/>
      <c r="L283" s="182" t="s">
        <v>743</v>
      </c>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c r="AI283" s="131"/>
      <c r="AJ283" s="131"/>
    </row>
    <row r="284" spans="1:36" x14ac:dyDescent="0.25">
      <c r="A284" s="199">
        <v>9</v>
      </c>
      <c r="B284" s="439" t="s">
        <v>3780</v>
      </c>
      <c r="C284" s="43" t="s">
        <v>3781</v>
      </c>
      <c r="D284" s="45">
        <v>124838662.5</v>
      </c>
      <c r="E284" s="45">
        <v>3077000</v>
      </c>
      <c r="F284" s="13">
        <v>50000000</v>
      </c>
      <c r="G284" s="13">
        <v>50000000</v>
      </c>
      <c r="H284" s="916">
        <v>21761662.5</v>
      </c>
      <c r="I284" s="13"/>
      <c r="J284" s="13"/>
      <c r="K284" s="162"/>
      <c r="L284" s="13">
        <f>D284-E284-F284-G284-H284-I284-J284-K284</f>
        <v>0</v>
      </c>
      <c r="M284" s="375"/>
      <c r="N284" s="131"/>
      <c r="O284" s="131"/>
      <c r="P284" s="16"/>
      <c r="Q284" s="131"/>
      <c r="R284" s="131"/>
      <c r="S284" s="131"/>
      <c r="T284" s="131"/>
      <c r="U284" s="131"/>
      <c r="V284" s="131"/>
      <c r="W284" s="131"/>
      <c r="X284" s="131"/>
      <c r="Y284" s="131"/>
      <c r="Z284" s="131"/>
      <c r="AA284" s="131"/>
      <c r="AB284" s="131"/>
      <c r="AC284" s="131"/>
      <c r="AD284" s="131"/>
      <c r="AE284" s="131"/>
      <c r="AF284" s="131"/>
      <c r="AG284" s="131"/>
      <c r="AH284" s="131"/>
      <c r="AI284" s="131"/>
      <c r="AJ284" s="131"/>
    </row>
    <row r="285" spans="1:36" x14ac:dyDescent="0.25">
      <c r="F285" s="13"/>
    </row>
    <row r="286" spans="1:36" ht="27.75" customHeight="1" x14ac:dyDescent="0.25">
      <c r="A286" s="912" t="s">
        <v>6</v>
      </c>
      <c r="B286" s="912" t="s">
        <v>742</v>
      </c>
      <c r="C286" s="912" t="s">
        <v>394</v>
      </c>
      <c r="D286" s="912" t="s">
        <v>395</v>
      </c>
      <c r="E286" s="324">
        <v>44617</v>
      </c>
      <c r="F286" s="148">
        <v>44631</v>
      </c>
      <c r="G286" s="324"/>
      <c r="H286" s="260"/>
      <c r="I286" s="260"/>
      <c r="J286" s="260"/>
      <c r="K286" s="180"/>
      <c r="L286" s="182" t="s">
        <v>743</v>
      </c>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c r="AI286" s="131"/>
      <c r="AJ286" s="131"/>
    </row>
    <row r="287" spans="1:36" x14ac:dyDescent="0.25">
      <c r="A287" s="199">
        <v>10</v>
      </c>
      <c r="B287" s="439" t="s">
        <v>3846</v>
      </c>
      <c r="C287" s="43" t="s">
        <v>3781</v>
      </c>
      <c r="D287" s="45">
        <v>49358215</v>
      </c>
      <c r="E287" s="45">
        <v>12265337.5</v>
      </c>
      <c r="F287" s="13">
        <v>37092877.5</v>
      </c>
      <c r="G287" s="13"/>
      <c r="H287" s="13"/>
      <c r="I287" s="13"/>
      <c r="J287" s="13"/>
      <c r="K287" s="162"/>
      <c r="L287" s="13">
        <f>D287-E287-F287-G287-H287-I287-J287-K287</f>
        <v>0</v>
      </c>
      <c r="M287" s="375"/>
      <c r="N287" s="131"/>
      <c r="O287" s="131"/>
      <c r="P287" s="16"/>
      <c r="Q287" s="131"/>
      <c r="R287" s="131"/>
      <c r="S287" s="131"/>
      <c r="T287" s="131"/>
      <c r="U287" s="131"/>
      <c r="V287" s="131"/>
      <c r="W287" s="131"/>
      <c r="X287" s="131"/>
      <c r="Y287" s="131"/>
      <c r="Z287" s="131"/>
      <c r="AA287" s="131"/>
      <c r="AB287" s="131"/>
      <c r="AC287" s="131"/>
      <c r="AD287" s="131"/>
      <c r="AE287" s="131"/>
      <c r="AF287" s="131"/>
      <c r="AG287" s="131"/>
      <c r="AH287" s="131"/>
      <c r="AI287" s="131"/>
      <c r="AJ287" s="131"/>
    </row>
    <row r="288" spans="1:36" x14ac:dyDescent="0.25">
      <c r="F288" s="13"/>
    </row>
    <row r="289" spans="1:36" ht="27.75" customHeight="1" x14ac:dyDescent="0.25">
      <c r="A289" s="912" t="s">
        <v>6</v>
      </c>
      <c r="B289" s="912" t="s">
        <v>742</v>
      </c>
      <c r="C289" s="912" t="s">
        <v>394</v>
      </c>
      <c r="D289" s="912" t="s">
        <v>395</v>
      </c>
      <c r="E289" s="148">
        <v>44631</v>
      </c>
      <c r="F289" s="148">
        <v>44638</v>
      </c>
      <c r="G289" s="324">
        <v>44645</v>
      </c>
      <c r="H289" s="260"/>
      <c r="I289" s="260"/>
      <c r="J289" s="260"/>
      <c r="K289" s="180"/>
      <c r="L289" s="182" t="s">
        <v>743</v>
      </c>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c r="AI289" s="131"/>
      <c r="AJ289" s="131"/>
    </row>
    <row r="290" spans="1:36" x14ac:dyDescent="0.25">
      <c r="A290" s="199">
        <v>11</v>
      </c>
      <c r="B290" s="439" t="s">
        <v>3897</v>
      </c>
      <c r="C290" s="43" t="s">
        <v>3898</v>
      </c>
      <c r="D290" s="45">
        <v>70000000</v>
      </c>
      <c r="E290" s="45">
        <v>12907122.5</v>
      </c>
      <c r="F290" s="13">
        <v>50000000</v>
      </c>
      <c r="G290" s="13">
        <v>7092877.5</v>
      </c>
      <c r="H290" s="13"/>
      <c r="I290" s="13"/>
      <c r="J290" s="13"/>
      <c r="K290" s="162"/>
      <c r="L290" s="13">
        <f>D290-E290-F290-G290-H290-I290-J290-K290</f>
        <v>0</v>
      </c>
      <c r="M290" s="375"/>
      <c r="N290" s="131"/>
      <c r="O290" s="131"/>
      <c r="P290" s="16"/>
      <c r="Q290" s="131"/>
      <c r="R290" s="131"/>
      <c r="S290" s="131"/>
      <c r="T290" s="131"/>
      <c r="U290" s="131"/>
      <c r="V290" s="131"/>
      <c r="W290" s="131"/>
      <c r="X290" s="131"/>
      <c r="Y290" s="131"/>
      <c r="Z290" s="131"/>
      <c r="AA290" s="131"/>
      <c r="AB290" s="131"/>
      <c r="AC290" s="131"/>
      <c r="AD290" s="131"/>
      <c r="AE290" s="131"/>
      <c r="AF290" s="131"/>
      <c r="AG290" s="131"/>
      <c r="AH290" s="131"/>
      <c r="AI290" s="131"/>
      <c r="AJ290" s="131"/>
    </row>
    <row r="291" spans="1:36" x14ac:dyDescent="0.25">
      <c r="F291" s="13"/>
    </row>
    <row r="292" spans="1:36" ht="27.75" customHeight="1" x14ac:dyDescent="0.25">
      <c r="A292" s="912" t="s">
        <v>6</v>
      </c>
      <c r="B292" s="912" t="s">
        <v>742</v>
      </c>
      <c r="C292" s="912" t="s">
        <v>394</v>
      </c>
      <c r="D292" s="912" t="s">
        <v>395</v>
      </c>
      <c r="E292" s="324">
        <v>44645</v>
      </c>
      <c r="F292" s="148"/>
      <c r="G292" s="324"/>
      <c r="H292" s="260"/>
      <c r="I292" s="260"/>
      <c r="J292" s="260"/>
      <c r="K292" s="180"/>
      <c r="L292" s="182" t="s">
        <v>743</v>
      </c>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c r="AI292" s="131"/>
      <c r="AJ292" s="131"/>
    </row>
    <row r="293" spans="1:36" x14ac:dyDescent="0.25">
      <c r="A293" s="199">
        <v>12</v>
      </c>
      <c r="B293" s="439" t="s">
        <v>3921</v>
      </c>
      <c r="C293" s="43" t="s">
        <v>3781</v>
      </c>
      <c r="D293" s="45">
        <v>19330610</v>
      </c>
      <c r="E293" s="45">
        <v>19330610</v>
      </c>
      <c r="F293" s="13"/>
      <c r="G293" s="13"/>
      <c r="H293" s="13"/>
      <c r="I293" s="13"/>
      <c r="J293" s="13"/>
      <c r="K293" s="162"/>
      <c r="L293" s="13">
        <f>D293-E293-F293-G293-H293-I293-J293-K293</f>
        <v>0</v>
      </c>
      <c r="M293" s="375"/>
      <c r="N293" s="131"/>
      <c r="O293" s="131"/>
      <c r="P293" s="16"/>
      <c r="Q293" s="131"/>
      <c r="R293" s="131"/>
      <c r="S293" s="131"/>
      <c r="T293" s="131"/>
      <c r="U293" s="131"/>
      <c r="V293" s="131"/>
      <c r="W293" s="131"/>
      <c r="X293" s="131"/>
      <c r="Y293" s="131"/>
      <c r="Z293" s="131"/>
      <c r="AA293" s="131"/>
      <c r="AB293" s="131"/>
      <c r="AC293" s="131"/>
      <c r="AD293" s="131"/>
      <c r="AE293" s="131"/>
      <c r="AF293" s="131"/>
      <c r="AG293" s="131"/>
      <c r="AH293" s="131"/>
      <c r="AI293" s="131"/>
      <c r="AJ293" s="131"/>
    </row>
    <row r="294" spans="1:36" x14ac:dyDescent="0.25">
      <c r="F294" s="13"/>
    </row>
    <row r="295" spans="1:36" ht="27.75" customHeight="1" x14ac:dyDescent="0.25">
      <c r="A295" s="912" t="s">
        <v>6</v>
      </c>
      <c r="B295" s="912" t="s">
        <v>742</v>
      </c>
      <c r="C295" s="912" t="s">
        <v>394</v>
      </c>
      <c r="D295" s="912" t="s">
        <v>395</v>
      </c>
      <c r="E295" s="324">
        <v>44645</v>
      </c>
      <c r="F295" s="148"/>
      <c r="G295" s="324"/>
      <c r="H295" s="260"/>
      <c r="I295" s="260"/>
      <c r="J295" s="260"/>
      <c r="K295" s="180"/>
      <c r="L295" s="182" t="s">
        <v>743</v>
      </c>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c r="AI295" s="131"/>
      <c r="AJ295" s="131"/>
    </row>
    <row r="296" spans="1:36" x14ac:dyDescent="0.25">
      <c r="A296" s="199">
        <v>13</v>
      </c>
      <c r="B296" s="439" t="s">
        <v>3961</v>
      </c>
      <c r="C296" s="43" t="s">
        <v>3781</v>
      </c>
      <c r="D296" s="45">
        <v>3585980</v>
      </c>
      <c r="E296" s="45">
        <v>3585980</v>
      </c>
      <c r="F296" s="13"/>
      <c r="G296" s="13"/>
      <c r="H296" s="13"/>
      <c r="I296" s="13"/>
      <c r="J296" s="13"/>
      <c r="K296" s="162"/>
      <c r="L296" s="13">
        <f>D296-E296-F296-G296-H296-I296-J296-K296</f>
        <v>0</v>
      </c>
      <c r="M296" s="375"/>
      <c r="N296" s="131"/>
      <c r="O296" s="131"/>
      <c r="P296" s="16"/>
      <c r="Q296" s="131"/>
      <c r="R296" s="131"/>
      <c r="S296" s="131"/>
      <c r="T296" s="131"/>
      <c r="U296" s="131"/>
      <c r="V296" s="131"/>
      <c r="W296" s="131"/>
      <c r="X296" s="131"/>
      <c r="Y296" s="131"/>
      <c r="Z296" s="131"/>
      <c r="AA296" s="131"/>
      <c r="AB296" s="131"/>
      <c r="AC296" s="131"/>
      <c r="AD296" s="131"/>
      <c r="AE296" s="131"/>
      <c r="AF296" s="131"/>
      <c r="AG296" s="131"/>
      <c r="AH296" s="131"/>
      <c r="AI296" s="131"/>
      <c r="AJ296" s="131"/>
    </row>
    <row r="297" spans="1:36" x14ac:dyDescent="0.25">
      <c r="F297" s="13"/>
    </row>
    <row r="298" spans="1:36" ht="27.75" customHeight="1" x14ac:dyDescent="0.25">
      <c r="A298" s="912" t="s">
        <v>6</v>
      </c>
      <c r="B298" s="912" t="s">
        <v>742</v>
      </c>
      <c r="C298" s="912" t="s">
        <v>394</v>
      </c>
      <c r="D298" s="912" t="s">
        <v>395</v>
      </c>
      <c r="E298" s="324">
        <v>44645</v>
      </c>
      <c r="F298" s="148"/>
      <c r="G298" s="324"/>
      <c r="H298" s="260"/>
      <c r="I298" s="260"/>
      <c r="J298" s="260"/>
      <c r="K298" s="180"/>
      <c r="L298" s="182" t="s">
        <v>743</v>
      </c>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c r="AI298" s="131"/>
      <c r="AJ298" s="131"/>
    </row>
    <row r="299" spans="1:36" x14ac:dyDescent="0.25">
      <c r="A299" s="199">
        <v>14</v>
      </c>
      <c r="B299" s="439" t="s">
        <v>4005</v>
      </c>
      <c r="C299" s="43" t="s">
        <v>4006</v>
      </c>
      <c r="D299" s="45">
        <v>21500000</v>
      </c>
      <c r="E299" s="45">
        <v>19990532.5</v>
      </c>
      <c r="F299" s="13"/>
      <c r="G299" s="13"/>
      <c r="H299" s="13"/>
      <c r="I299" s="13"/>
      <c r="J299" s="13"/>
      <c r="K299" s="162"/>
      <c r="L299" s="13">
        <f>D299-E299-F299-G299-H299-I299-J299-K299</f>
        <v>1509467.5</v>
      </c>
      <c r="M299" s="375"/>
      <c r="N299" s="131"/>
      <c r="O299" s="131"/>
      <c r="P299" s="16"/>
      <c r="Q299" s="131"/>
      <c r="R299" s="131"/>
      <c r="S299" s="131"/>
      <c r="T299" s="131"/>
      <c r="U299" s="131"/>
      <c r="V299" s="131"/>
      <c r="W299" s="131"/>
      <c r="X299" s="131"/>
      <c r="Y299" s="131"/>
      <c r="Z299" s="131"/>
      <c r="AA299" s="131"/>
      <c r="AB299" s="131"/>
      <c r="AC299" s="131"/>
      <c r="AD299" s="131"/>
      <c r="AE299" s="131"/>
      <c r="AF299" s="131"/>
      <c r="AG299" s="131"/>
      <c r="AH299" s="131"/>
      <c r="AI299" s="131"/>
      <c r="AJ299" s="131"/>
    </row>
    <row r="300" spans="1:36" x14ac:dyDescent="0.25">
      <c r="F300" s="13"/>
    </row>
    <row r="301" spans="1:36" ht="27.75" customHeight="1" x14ac:dyDescent="0.25">
      <c r="A301" s="912" t="s">
        <v>6</v>
      </c>
      <c r="B301" s="912" t="s">
        <v>742</v>
      </c>
      <c r="C301" s="912" t="s">
        <v>394</v>
      </c>
      <c r="D301" s="912" t="s">
        <v>395</v>
      </c>
      <c r="E301" s="324"/>
      <c r="F301" s="148"/>
      <c r="G301" s="324"/>
      <c r="H301" s="260"/>
      <c r="I301" s="260"/>
      <c r="J301" s="260"/>
      <c r="K301" s="180"/>
      <c r="L301" s="182" t="s">
        <v>743</v>
      </c>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c r="AI301" s="131"/>
      <c r="AJ301" s="131"/>
    </row>
    <row r="302" spans="1:36" x14ac:dyDescent="0.25">
      <c r="A302" s="199">
        <v>15</v>
      </c>
      <c r="B302" s="439" t="s">
        <v>4068</v>
      </c>
      <c r="C302" s="43" t="s">
        <v>4070</v>
      </c>
      <c r="D302" s="45">
        <v>15840000</v>
      </c>
      <c r="E302" s="45"/>
      <c r="F302" s="13"/>
      <c r="G302" s="13"/>
      <c r="H302" s="13"/>
      <c r="I302" s="13"/>
      <c r="J302" s="13"/>
      <c r="K302" s="162"/>
      <c r="L302" s="13">
        <f>D302-E302-F302-G302-H302-I302-J302-K302</f>
        <v>15840000</v>
      </c>
      <c r="M302" s="375"/>
      <c r="N302" s="131"/>
      <c r="O302" s="131"/>
      <c r="P302" s="16"/>
      <c r="Q302" s="131"/>
      <c r="R302" s="131"/>
      <c r="S302" s="131"/>
      <c r="T302" s="131"/>
      <c r="U302" s="131"/>
      <c r="V302" s="131"/>
      <c r="W302" s="131"/>
      <c r="X302" s="131"/>
      <c r="Y302" s="131"/>
      <c r="Z302" s="131"/>
      <c r="AA302" s="131"/>
      <c r="AB302" s="131"/>
      <c r="AC302" s="131"/>
      <c r="AD302" s="131"/>
      <c r="AE302" s="131"/>
      <c r="AF302" s="131"/>
      <c r="AG302" s="131"/>
      <c r="AH302" s="131"/>
      <c r="AI302" s="131"/>
      <c r="AJ302" s="131"/>
    </row>
    <row r="303" spans="1:36" x14ac:dyDescent="0.25">
      <c r="F303" s="13"/>
    </row>
    <row r="304" spans="1:36" ht="27.75" customHeight="1" x14ac:dyDescent="0.25">
      <c r="A304" s="912" t="s">
        <v>6</v>
      </c>
      <c r="B304" s="912" t="s">
        <v>742</v>
      </c>
      <c r="C304" s="912" t="s">
        <v>394</v>
      </c>
      <c r="D304" s="912" t="s">
        <v>395</v>
      </c>
      <c r="E304" s="324"/>
      <c r="F304" s="148"/>
      <c r="G304" s="324"/>
      <c r="H304" s="260"/>
      <c r="I304" s="260"/>
      <c r="J304" s="260"/>
      <c r="K304" s="180"/>
      <c r="L304" s="182" t="s">
        <v>743</v>
      </c>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c r="AI304" s="131"/>
      <c r="AJ304" s="131"/>
    </row>
    <row r="305" spans="1:36" x14ac:dyDescent="0.25">
      <c r="A305" s="199">
        <v>16</v>
      </c>
      <c r="B305" s="439" t="s">
        <v>4102</v>
      </c>
      <c r="C305" s="43" t="s">
        <v>3781</v>
      </c>
      <c r="D305" s="45">
        <v>2749800</v>
      </c>
      <c r="E305" s="45"/>
      <c r="F305" s="13"/>
      <c r="G305" s="13"/>
      <c r="H305" s="13"/>
      <c r="I305" s="13"/>
      <c r="J305" s="13"/>
      <c r="K305" s="162"/>
      <c r="L305" s="13">
        <f>D305-E305-F305-G305-H305-I305-J305-K305</f>
        <v>2749800</v>
      </c>
      <c r="M305" s="375"/>
      <c r="N305" s="131"/>
      <c r="O305" s="131"/>
      <c r="P305" s="16"/>
      <c r="Q305" s="131"/>
      <c r="R305" s="131"/>
      <c r="S305" s="131"/>
      <c r="T305" s="131"/>
      <c r="U305" s="131"/>
      <c r="V305" s="131"/>
      <c r="W305" s="131"/>
      <c r="X305" s="131"/>
      <c r="Y305" s="131"/>
      <c r="Z305" s="131"/>
      <c r="AA305" s="131"/>
      <c r="AB305" s="131"/>
      <c r="AC305" s="131"/>
      <c r="AD305" s="131"/>
      <c r="AE305" s="131"/>
      <c r="AF305" s="131"/>
      <c r="AG305" s="131"/>
      <c r="AH305" s="131"/>
      <c r="AI305" s="131"/>
      <c r="AJ305" s="131"/>
    </row>
    <row r="306" spans="1:36" x14ac:dyDescent="0.25">
      <c r="F306" s="13"/>
    </row>
    <row r="307" spans="1:36" ht="27.75" customHeight="1" x14ac:dyDescent="0.25">
      <c r="A307" s="912" t="s">
        <v>6</v>
      </c>
      <c r="B307" s="912" t="s">
        <v>742</v>
      </c>
      <c r="C307" s="912" t="s">
        <v>394</v>
      </c>
      <c r="D307" s="912" t="s">
        <v>395</v>
      </c>
      <c r="E307" s="324"/>
      <c r="F307" s="148"/>
      <c r="G307" s="324"/>
      <c r="H307" s="260"/>
      <c r="I307" s="260"/>
      <c r="J307" s="260"/>
      <c r="K307" s="180"/>
      <c r="L307" s="182" t="s">
        <v>743</v>
      </c>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c r="AI307" s="131"/>
      <c r="AJ307" s="131"/>
    </row>
    <row r="308" spans="1:36" x14ac:dyDescent="0.25">
      <c r="A308" s="199">
        <v>17</v>
      </c>
      <c r="B308" s="439" t="s">
        <v>4103</v>
      </c>
      <c r="C308" s="43" t="s">
        <v>35</v>
      </c>
      <c r="D308" s="45">
        <v>180000</v>
      </c>
      <c r="E308" s="45"/>
      <c r="F308" s="13"/>
      <c r="G308" s="13"/>
      <c r="H308" s="13"/>
      <c r="I308" s="13"/>
      <c r="J308" s="13"/>
      <c r="K308" s="162"/>
      <c r="L308" s="13">
        <f>D308-E308-F308-G308-H308-I308-J308-K308</f>
        <v>180000</v>
      </c>
      <c r="M308" s="375"/>
      <c r="N308" s="131"/>
      <c r="O308" s="131"/>
      <c r="P308" s="16"/>
      <c r="Q308" s="131"/>
      <c r="R308" s="131"/>
      <c r="S308" s="131"/>
      <c r="T308" s="131"/>
      <c r="U308" s="131"/>
      <c r="V308" s="131"/>
      <c r="W308" s="131"/>
      <c r="X308" s="131"/>
      <c r="Y308" s="131"/>
      <c r="Z308" s="131"/>
      <c r="AA308" s="131"/>
      <c r="AB308" s="131"/>
      <c r="AC308" s="131"/>
      <c r="AD308" s="131"/>
      <c r="AE308" s="131"/>
      <c r="AF308" s="131"/>
      <c r="AG308" s="131"/>
      <c r="AH308" s="131"/>
      <c r="AI308" s="131"/>
      <c r="AJ308" s="131"/>
    </row>
    <row r="309" spans="1:36" x14ac:dyDescent="0.25">
      <c r="F309" s="13"/>
    </row>
    <row r="310" spans="1:36" ht="27.75" customHeight="1" x14ac:dyDescent="0.25">
      <c r="A310" s="912" t="s">
        <v>6</v>
      </c>
      <c r="B310" s="912" t="s">
        <v>742</v>
      </c>
      <c r="C310" s="912" t="s">
        <v>394</v>
      </c>
      <c r="D310" s="912" t="s">
        <v>395</v>
      </c>
      <c r="E310" s="324"/>
      <c r="F310" s="148"/>
      <c r="G310" s="324"/>
      <c r="H310" s="260"/>
      <c r="I310" s="260"/>
      <c r="J310" s="260"/>
      <c r="K310" s="180"/>
      <c r="L310" s="182" t="s">
        <v>743</v>
      </c>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c r="AI310" s="131"/>
      <c r="AJ310" s="131"/>
    </row>
    <row r="311" spans="1:36" x14ac:dyDescent="0.25">
      <c r="A311" s="199">
        <v>19</v>
      </c>
      <c r="B311" s="439" t="s">
        <v>4104</v>
      </c>
      <c r="C311" s="43" t="s">
        <v>4107</v>
      </c>
      <c r="D311" s="45">
        <v>5240000</v>
      </c>
      <c r="E311" s="45"/>
      <c r="F311" s="13"/>
      <c r="G311" s="13"/>
      <c r="H311" s="13"/>
      <c r="I311" s="13"/>
      <c r="J311" s="13"/>
      <c r="K311" s="162"/>
      <c r="L311" s="13">
        <f>D311-E311-F311-G311-H311-I311-J311-K311</f>
        <v>5240000</v>
      </c>
      <c r="M311" s="375"/>
      <c r="N311" s="131"/>
      <c r="O311" s="131"/>
      <c r="P311" s="16"/>
      <c r="Q311" s="131"/>
      <c r="R311" s="131"/>
      <c r="S311" s="131"/>
      <c r="T311" s="131"/>
      <c r="U311" s="131"/>
      <c r="V311" s="131"/>
      <c r="W311" s="131"/>
      <c r="X311" s="131"/>
      <c r="Y311" s="131"/>
      <c r="Z311" s="131"/>
      <c r="AA311" s="131"/>
      <c r="AB311" s="131"/>
      <c r="AC311" s="131"/>
      <c r="AD311" s="131"/>
      <c r="AE311" s="131"/>
      <c r="AF311" s="131"/>
      <c r="AG311" s="131"/>
      <c r="AH311" s="131"/>
      <c r="AI311" s="131"/>
      <c r="AJ311" s="131"/>
    </row>
    <row r="312" spans="1:36" x14ac:dyDescent="0.25">
      <c r="F312" s="13"/>
    </row>
    <row r="313" spans="1:36" ht="27.75" customHeight="1" x14ac:dyDescent="0.25">
      <c r="A313" s="912" t="s">
        <v>6</v>
      </c>
      <c r="B313" s="912" t="s">
        <v>742</v>
      </c>
      <c r="C313" s="912" t="s">
        <v>394</v>
      </c>
      <c r="D313" s="912" t="s">
        <v>395</v>
      </c>
      <c r="E313" s="324"/>
      <c r="F313" s="148"/>
      <c r="G313" s="324"/>
      <c r="H313" s="260"/>
      <c r="I313" s="260"/>
      <c r="J313" s="260"/>
      <c r="K313" s="180"/>
      <c r="L313" s="182" t="s">
        <v>743</v>
      </c>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c r="AI313" s="131"/>
      <c r="AJ313" s="131"/>
    </row>
    <row r="314" spans="1:36" x14ac:dyDescent="0.25">
      <c r="A314" s="199">
        <v>19</v>
      </c>
      <c r="B314" s="439" t="s">
        <v>4224</v>
      </c>
      <c r="C314" s="43" t="s">
        <v>4107</v>
      </c>
      <c r="D314" s="45">
        <v>4530000</v>
      </c>
      <c r="E314" s="45"/>
      <c r="F314" s="13"/>
      <c r="G314" s="13"/>
      <c r="H314" s="13"/>
      <c r="I314" s="13"/>
      <c r="J314" s="13"/>
      <c r="K314" s="162"/>
      <c r="L314" s="13">
        <f>D314-E314-F314-G314-H314-I314-J314-K314</f>
        <v>4530000</v>
      </c>
      <c r="M314" s="375"/>
      <c r="N314" s="131"/>
      <c r="O314" s="131"/>
      <c r="P314" s="16"/>
      <c r="Q314" s="131"/>
      <c r="R314" s="131"/>
      <c r="S314" s="131"/>
      <c r="T314" s="131"/>
      <c r="U314" s="131"/>
      <c r="V314" s="131"/>
      <c r="W314" s="131"/>
      <c r="X314" s="131"/>
      <c r="Y314" s="131"/>
      <c r="Z314" s="131"/>
      <c r="AA314" s="131"/>
      <c r="AB314" s="131"/>
      <c r="AC314" s="131"/>
      <c r="AD314" s="131"/>
      <c r="AE314" s="131"/>
      <c r="AF314" s="131"/>
      <c r="AG314" s="131"/>
      <c r="AH314" s="131"/>
      <c r="AI314" s="131"/>
      <c r="AJ314" s="131"/>
    </row>
    <row r="315" spans="1:36" x14ac:dyDescent="0.25">
      <c r="F315" s="13"/>
    </row>
    <row r="316" spans="1:36" ht="27.75" customHeight="1" x14ac:dyDescent="0.25">
      <c r="A316" s="912" t="s">
        <v>6</v>
      </c>
      <c r="B316" s="912" t="s">
        <v>742</v>
      </c>
      <c r="C316" s="912" t="s">
        <v>394</v>
      </c>
      <c r="D316" s="912" t="s">
        <v>395</v>
      </c>
      <c r="E316" s="324"/>
      <c r="F316" s="148"/>
      <c r="G316" s="324"/>
      <c r="H316" s="260"/>
      <c r="I316" s="260"/>
      <c r="J316" s="260"/>
      <c r="K316" s="180"/>
      <c r="L316" s="182" t="s">
        <v>743</v>
      </c>
      <c r="M316" s="131"/>
      <c r="N316" s="131"/>
      <c r="O316" s="131"/>
      <c r="P316" s="131"/>
      <c r="Q316" s="131"/>
      <c r="R316" s="131"/>
      <c r="S316" s="131"/>
      <c r="T316" s="131"/>
      <c r="U316" s="131"/>
      <c r="V316" s="131"/>
      <c r="W316" s="131"/>
      <c r="X316" s="131"/>
      <c r="Y316" s="131"/>
      <c r="Z316" s="131"/>
      <c r="AA316" s="131"/>
      <c r="AB316" s="131"/>
      <c r="AC316" s="131"/>
      <c r="AD316" s="131"/>
      <c r="AE316" s="131"/>
      <c r="AF316" s="131"/>
      <c r="AG316" s="131"/>
      <c r="AH316" s="131"/>
      <c r="AI316" s="131"/>
      <c r="AJ316" s="131"/>
    </row>
    <row r="317" spans="1:36" x14ac:dyDescent="0.25">
      <c r="A317" s="199">
        <v>20</v>
      </c>
      <c r="B317" s="439" t="s">
        <v>4250</v>
      </c>
      <c r="C317" s="43" t="s">
        <v>4251</v>
      </c>
      <c r="D317" s="45">
        <v>39000000</v>
      </c>
      <c r="E317" s="45"/>
      <c r="F317" s="13"/>
      <c r="G317" s="13"/>
      <c r="H317" s="13"/>
      <c r="I317" s="13"/>
      <c r="J317" s="13"/>
      <c r="K317" s="162"/>
      <c r="L317" s="13">
        <f>D317-E317-F317-G317-H317-I317-J317-K317</f>
        <v>39000000</v>
      </c>
      <c r="M317" s="375"/>
      <c r="N317" s="131"/>
      <c r="O317" s="131"/>
      <c r="P317" s="16"/>
      <c r="Q317" s="131"/>
      <c r="R317" s="131"/>
      <c r="S317" s="131"/>
      <c r="T317" s="131"/>
      <c r="U317" s="131"/>
      <c r="V317" s="131"/>
      <c r="W317" s="131"/>
      <c r="X317" s="131"/>
      <c r="Y317" s="131"/>
      <c r="Z317" s="131"/>
      <c r="AA317" s="131"/>
      <c r="AB317" s="131"/>
      <c r="AC317" s="131"/>
      <c r="AD317" s="131"/>
      <c r="AE317" s="131"/>
      <c r="AF317" s="131"/>
      <c r="AG317" s="131"/>
      <c r="AH317" s="131"/>
      <c r="AI317" s="131"/>
      <c r="AJ317" s="131"/>
    </row>
    <row r="318" spans="1:36" x14ac:dyDescent="0.25">
      <c r="F318" s="13"/>
    </row>
    <row r="319" spans="1:36" ht="27.75" customHeight="1" x14ac:dyDescent="0.25">
      <c r="A319" s="912" t="s">
        <v>6</v>
      </c>
      <c r="B319" s="912" t="s">
        <v>742</v>
      </c>
      <c r="C319" s="912" t="s">
        <v>394</v>
      </c>
      <c r="D319" s="912" t="s">
        <v>395</v>
      </c>
      <c r="E319" s="324"/>
      <c r="F319" s="148"/>
      <c r="G319" s="324"/>
      <c r="H319" s="260"/>
      <c r="I319" s="260"/>
      <c r="J319" s="260"/>
      <c r="K319" s="180"/>
      <c r="L319" s="182" t="s">
        <v>743</v>
      </c>
      <c r="M319" s="131"/>
      <c r="N319" s="131"/>
      <c r="O319" s="131"/>
      <c r="P319" s="131"/>
      <c r="Q319" s="131"/>
      <c r="R319" s="131"/>
      <c r="S319" s="131"/>
      <c r="T319" s="131"/>
      <c r="U319" s="131"/>
      <c r="V319" s="131"/>
      <c r="W319" s="131"/>
      <c r="X319" s="131"/>
      <c r="Y319" s="131"/>
      <c r="Z319" s="131"/>
      <c r="AA319" s="131"/>
      <c r="AB319" s="131"/>
      <c r="AC319" s="131"/>
      <c r="AD319" s="131"/>
      <c r="AE319" s="131"/>
      <c r="AF319" s="131"/>
      <c r="AG319" s="131"/>
      <c r="AH319" s="131"/>
      <c r="AI319" s="131"/>
      <c r="AJ319" s="131"/>
    </row>
    <row r="320" spans="1:36" x14ac:dyDescent="0.25">
      <c r="A320" s="199">
        <v>21</v>
      </c>
      <c r="B320" s="439" t="s">
        <v>4252</v>
      </c>
      <c r="C320" s="43" t="s">
        <v>4254</v>
      </c>
      <c r="D320" s="45">
        <v>10000000</v>
      </c>
      <c r="E320" s="45"/>
      <c r="F320" s="13"/>
      <c r="G320" s="13"/>
      <c r="H320" s="13"/>
      <c r="I320" s="13"/>
      <c r="J320" s="13"/>
      <c r="K320" s="162"/>
      <c r="L320" s="13">
        <f>D320-E320-F320-G320-H320-I320-J320-K320</f>
        <v>10000000</v>
      </c>
      <c r="M320" s="375"/>
      <c r="N320" s="131"/>
      <c r="O320" s="131"/>
      <c r="P320" s="16"/>
      <c r="Q320" s="131"/>
      <c r="R320" s="131"/>
      <c r="S320" s="131"/>
      <c r="T320" s="131"/>
      <c r="U320" s="131"/>
      <c r="V320" s="131"/>
      <c r="W320" s="131"/>
      <c r="X320" s="131"/>
      <c r="Y320" s="131"/>
      <c r="Z320" s="131"/>
      <c r="AA320" s="131"/>
      <c r="AB320" s="131"/>
      <c r="AC320" s="131"/>
      <c r="AD320" s="131"/>
      <c r="AE320" s="131"/>
      <c r="AF320" s="131"/>
      <c r="AG320" s="131"/>
      <c r="AH320" s="131"/>
      <c r="AI320" s="131"/>
      <c r="AJ320" s="131"/>
    </row>
    <row r="321" spans="1:36" x14ac:dyDescent="0.25">
      <c r="F321" s="13"/>
    </row>
    <row r="322" spans="1:36" ht="27.75" customHeight="1" x14ac:dyDescent="0.25">
      <c r="A322" s="912" t="s">
        <v>6</v>
      </c>
      <c r="B322" s="912" t="s">
        <v>742</v>
      </c>
      <c r="C322" s="912" t="s">
        <v>394</v>
      </c>
      <c r="D322" s="912" t="s">
        <v>395</v>
      </c>
      <c r="E322" s="324"/>
      <c r="F322" s="148"/>
      <c r="G322" s="324"/>
      <c r="H322" s="260"/>
      <c r="I322" s="260"/>
      <c r="J322" s="260"/>
      <c r="K322" s="180"/>
      <c r="L322" s="182" t="s">
        <v>743</v>
      </c>
      <c r="M322" s="131"/>
      <c r="N322" s="131"/>
      <c r="O322" s="131"/>
      <c r="P322" s="131"/>
      <c r="Q322" s="131"/>
      <c r="R322" s="131"/>
      <c r="S322" s="131"/>
      <c r="T322" s="131"/>
      <c r="U322" s="131"/>
      <c r="V322" s="131"/>
      <c r="W322" s="131"/>
      <c r="X322" s="131"/>
      <c r="Y322" s="131"/>
      <c r="Z322" s="131"/>
      <c r="AA322" s="131"/>
      <c r="AB322" s="131"/>
      <c r="AC322" s="131"/>
      <c r="AD322" s="131"/>
      <c r="AE322" s="131"/>
      <c r="AF322" s="131"/>
      <c r="AG322" s="131"/>
      <c r="AH322" s="131"/>
      <c r="AI322" s="131"/>
      <c r="AJ322" s="131"/>
    </row>
    <row r="323" spans="1:36" x14ac:dyDescent="0.25">
      <c r="A323" s="199">
        <v>22</v>
      </c>
      <c r="B323" s="439" t="s">
        <v>4330</v>
      </c>
      <c r="C323" s="43" t="s">
        <v>4331</v>
      </c>
      <c r="D323" s="45">
        <v>4510000</v>
      </c>
      <c r="E323" s="45"/>
      <c r="F323" s="13"/>
      <c r="G323" s="13"/>
      <c r="H323" s="13"/>
      <c r="I323" s="13"/>
      <c r="J323" s="13"/>
      <c r="K323" s="162"/>
      <c r="L323" s="13">
        <f>D323-E323-F323-G323-H323-I323-J323-K323</f>
        <v>4510000</v>
      </c>
      <c r="M323" s="375"/>
      <c r="N323" s="131"/>
      <c r="O323" s="131"/>
      <c r="P323" s="16"/>
      <c r="Q323" s="131"/>
      <c r="R323" s="131"/>
      <c r="S323" s="131"/>
      <c r="T323" s="131"/>
      <c r="U323" s="131"/>
      <c r="V323" s="131"/>
      <c r="W323" s="131"/>
      <c r="X323" s="131"/>
      <c r="Y323" s="131"/>
      <c r="Z323" s="131"/>
      <c r="AA323" s="131"/>
      <c r="AB323" s="131"/>
      <c r="AC323" s="131"/>
      <c r="AD323" s="131"/>
      <c r="AE323" s="131"/>
      <c r="AF323" s="131"/>
      <c r="AG323" s="131"/>
      <c r="AH323" s="131"/>
      <c r="AI323" s="131"/>
      <c r="AJ323" s="131"/>
    </row>
    <row r="324" spans="1:36" x14ac:dyDescent="0.25">
      <c r="F324" s="13"/>
    </row>
    <row r="325" spans="1:36" ht="27.75" customHeight="1" x14ac:dyDescent="0.25">
      <c r="A325" s="912" t="s">
        <v>6</v>
      </c>
      <c r="B325" s="912" t="s">
        <v>742</v>
      </c>
      <c r="C325" s="912" t="s">
        <v>394</v>
      </c>
      <c r="D325" s="912" t="s">
        <v>395</v>
      </c>
      <c r="E325" s="324"/>
      <c r="F325" s="148"/>
      <c r="G325" s="324"/>
      <c r="H325" s="260"/>
      <c r="I325" s="260"/>
      <c r="J325" s="260"/>
      <c r="K325" s="180"/>
      <c r="L325" s="182" t="s">
        <v>743</v>
      </c>
      <c r="M325" s="131"/>
      <c r="N325" s="131"/>
      <c r="O325" s="131"/>
      <c r="P325" s="131"/>
      <c r="Q325" s="131"/>
      <c r="R325" s="131"/>
      <c r="S325" s="131"/>
      <c r="T325" s="131"/>
      <c r="U325" s="131"/>
      <c r="V325" s="131"/>
      <c r="W325" s="131"/>
      <c r="X325" s="131"/>
      <c r="Y325" s="131"/>
      <c r="Z325" s="131"/>
      <c r="AA325" s="131"/>
      <c r="AB325" s="131"/>
      <c r="AC325" s="131"/>
      <c r="AD325" s="131"/>
      <c r="AE325" s="131"/>
      <c r="AF325" s="131"/>
      <c r="AG325" s="131"/>
      <c r="AH325" s="131"/>
      <c r="AI325" s="131"/>
      <c r="AJ325" s="131"/>
    </row>
    <row r="326" spans="1:36" x14ac:dyDescent="0.25">
      <c r="A326" s="199">
        <v>23</v>
      </c>
      <c r="B326" s="439" t="s">
        <v>4332</v>
      </c>
      <c r="C326" s="43" t="s">
        <v>4333</v>
      </c>
      <c r="D326" s="45">
        <v>1125000</v>
      </c>
      <c r="E326" s="45"/>
      <c r="F326" s="13"/>
      <c r="G326" s="13"/>
      <c r="H326" s="13"/>
      <c r="I326" s="13"/>
      <c r="J326" s="13"/>
      <c r="K326" s="162"/>
      <c r="L326" s="13">
        <f>D326-E326-F326-G326-H326-I326-J326-K326</f>
        <v>1125000</v>
      </c>
      <c r="M326" s="375"/>
      <c r="N326" s="131"/>
      <c r="O326" s="131"/>
      <c r="P326" s="16"/>
      <c r="Q326" s="131"/>
      <c r="R326" s="131"/>
      <c r="S326" s="131"/>
      <c r="T326" s="131"/>
      <c r="U326" s="131"/>
      <c r="V326" s="131"/>
      <c r="W326" s="131"/>
      <c r="X326" s="131"/>
      <c r="Y326" s="131"/>
      <c r="Z326" s="131"/>
      <c r="AA326" s="131"/>
      <c r="AB326" s="131"/>
      <c r="AC326" s="131"/>
      <c r="AD326" s="131"/>
      <c r="AE326" s="131"/>
      <c r="AF326" s="131"/>
      <c r="AG326" s="131"/>
      <c r="AH326" s="131"/>
      <c r="AI326" s="131"/>
      <c r="AJ326" s="131"/>
    </row>
    <row r="327" spans="1:36" x14ac:dyDescent="0.25">
      <c r="F327" s="13"/>
    </row>
    <row r="328" spans="1:36" ht="27.75" customHeight="1" x14ac:dyDescent="0.25">
      <c r="A328" s="912" t="s">
        <v>6</v>
      </c>
      <c r="B328" s="912" t="s">
        <v>742</v>
      </c>
      <c r="C328" s="912" t="s">
        <v>394</v>
      </c>
      <c r="D328" s="912" t="s">
        <v>395</v>
      </c>
      <c r="E328" s="324"/>
      <c r="F328" s="148"/>
      <c r="G328" s="324"/>
      <c r="H328" s="260"/>
      <c r="I328" s="260"/>
      <c r="J328" s="260"/>
      <c r="K328" s="180"/>
      <c r="L328" s="182" t="s">
        <v>743</v>
      </c>
      <c r="M328" s="131"/>
      <c r="N328" s="131"/>
      <c r="O328" s="131"/>
      <c r="P328" s="131"/>
      <c r="Q328" s="131"/>
      <c r="R328" s="131"/>
      <c r="S328" s="131"/>
      <c r="T328" s="131"/>
      <c r="U328" s="131"/>
      <c r="V328" s="131"/>
      <c r="W328" s="131"/>
      <c r="X328" s="131"/>
      <c r="Y328" s="131"/>
      <c r="Z328" s="131"/>
      <c r="AA328" s="131"/>
      <c r="AB328" s="131"/>
      <c r="AC328" s="131"/>
      <c r="AD328" s="131"/>
      <c r="AE328" s="131"/>
      <c r="AF328" s="131"/>
      <c r="AG328" s="131"/>
      <c r="AH328" s="131"/>
      <c r="AI328" s="131"/>
      <c r="AJ328" s="131"/>
    </row>
    <row r="329" spans="1:36" x14ac:dyDescent="0.25">
      <c r="A329" s="199">
        <v>24</v>
      </c>
      <c r="B329" s="439" t="s">
        <v>4439</v>
      </c>
      <c r="C329" s="43" t="s">
        <v>4441</v>
      </c>
      <c r="D329" s="45">
        <v>6592000</v>
      </c>
      <c r="E329" s="45"/>
      <c r="F329" s="13"/>
      <c r="G329" s="13"/>
      <c r="H329" s="13"/>
      <c r="I329" s="13"/>
      <c r="J329" s="13"/>
      <c r="K329" s="162"/>
      <c r="L329" s="13">
        <f>D329-E329-F329-G329-H329-I329-J329-K329</f>
        <v>6592000</v>
      </c>
      <c r="M329" s="375"/>
      <c r="N329" s="131"/>
      <c r="O329" s="131"/>
      <c r="P329" s="16"/>
      <c r="Q329" s="131"/>
      <c r="R329" s="131"/>
      <c r="S329" s="131"/>
      <c r="T329" s="131"/>
      <c r="U329" s="131"/>
      <c r="V329" s="131"/>
      <c r="W329" s="131"/>
      <c r="X329" s="131"/>
      <c r="Y329" s="131"/>
      <c r="Z329" s="131"/>
      <c r="AA329" s="131"/>
      <c r="AB329" s="131"/>
      <c r="AC329" s="131"/>
      <c r="AD329" s="131"/>
      <c r="AE329" s="131"/>
      <c r="AF329" s="131"/>
      <c r="AG329" s="131"/>
      <c r="AH329" s="131"/>
      <c r="AI329" s="131"/>
      <c r="AJ329" s="131"/>
    </row>
    <row r="330" spans="1:36" x14ac:dyDescent="0.25">
      <c r="F330" s="13"/>
    </row>
    <row r="331" spans="1:36" ht="27.75" customHeight="1" x14ac:dyDescent="0.25">
      <c r="A331" s="912" t="s">
        <v>6</v>
      </c>
      <c r="B331" s="912" t="s">
        <v>742</v>
      </c>
      <c r="C331" s="912" t="s">
        <v>394</v>
      </c>
      <c r="D331" s="912" t="s">
        <v>395</v>
      </c>
      <c r="E331" s="324"/>
      <c r="F331" s="148"/>
      <c r="G331" s="324"/>
      <c r="H331" s="260"/>
      <c r="I331" s="260"/>
      <c r="J331" s="260"/>
      <c r="K331" s="180"/>
      <c r="L331" s="182" t="s">
        <v>743</v>
      </c>
      <c r="M331" s="131"/>
      <c r="N331" s="131"/>
      <c r="O331" s="131"/>
      <c r="P331" s="131"/>
      <c r="Q331" s="131"/>
      <c r="R331" s="131"/>
      <c r="S331" s="131"/>
      <c r="T331" s="131"/>
      <c r="U331" s="131"/>
      <c r="V331" s="131"/>
      <c r="W331" s="131"/>
      <c r="X331" s="131"/>
      <c r="Y331" s="131"/>
      <c r="Z331" s="131"/>
      <c r="AA331" s="131"/>
      <c r="AB331" s="131"/>
      <c r="AC331" s="131"/>
      <c r="AD331" s="131"/>
      <c r="AE331" s="131"/>
      <c r="AF331" s="131"/>
      <c r="AG331" s="131"/>
      <c r="AH331" s="131"/>
      <c r="AI331" s="131"/>
      <c r="AJ331" s="131"/>
    </row>
    <row r="332" spans="1:36" x14ac:dyDescent="0.25">
      <c r="A332" s="199">
        <v>25</v>
      </c>
      <c r="B332" s="439" t="s">
        <v>4664</v>
      </c>
      <c r="C332" s="43" t="s">
        <v>4667</v>
      </c>
      <c r="D332" s="45">
        <v>2728000</v>
      </c>
      <c r="E332" s="45"/>
      <c r="F332" s="13"/>
      <c r="G332" s="13"/>
      <c r="H332" s="13"/>
      <c r="I332" s="13"/>
      <c r="J332" s="13"/>
      <c r="K332" s="162"/>
      <c r="L332" s="13">
        <f>D332-E332-F332-G332-H332-I332-J332-K332</f>
        <v>2728000</v>
      </c>
      <c r="M332" s="375"/>
      <c r="N332" s="131"/>
      <c r="O332" s="131"/>
      <c r="P332" s="16"/>
      <c r="Q332" s="131"/>
      <c r="R332" s="131"/>
      <c r="S332" s="131"/>
      <c r="T332" s="131"/>
      <c r="U332" s="131"/>
      <c r="V332" s="131"/>
      <c r="W332" s="131"/>
      <c r="X332" s="131"/>
      <c r="Y332" s="131"/>
      <c r="Z332" s="131"/>
      <c r="AA332" s="131"/>
      <c r="AB332" s="131"/>
      <c r="AC332" s="131"/>
      <c r="AD332" s="131"/>
      <c r="AE332" s="131"/>
      <c r="AF332" s="131"/>
      <c r="AG332" s="131"/>
      <c r="AH332" s="131"/>
      <c r="AI332" s="131"/>
      <c r="AJ332" s="131"/>
    </row>
    <row r="334" spans="1:36" ht="31.5" customHeight="1" x14ac:dyDescent="0.25">
      <c r="A334" s="1016" t="s">
        <v>399</v>
      </c>
      <c r="B334" s="1016"/>
      <c r="C334" s="1016"/>
      <c r="D334" s="328">
        <f>SUM(D259:D332)</f>
        <v>428031267.5</v>
      </c>
      <c r="E334" s="179"/>
      <c r="F334" s="327"/>
      <c r="G334" s="170"/>
      <c r="H334" s="170"/>
      <c r="I334" s="170"/>
      <c r="J334" s="146"/>
      <c r="K334" s="170"/>
      <c r="L334" s="329">
        <f>SUM(L259:L333)</f>
        <v>94004267.5</v>
      </c>
      <c r="O334" s="190"/>
    </row>
    <row r="337" spans="2:6" x14ac:dyDescent="0.25">
      <c r="B337" t="s">
        <v>3763</v>
      </c>
      <c r="C337" s="130">
        <v>44587</v>
      </c>
      <c r="D337" s="131">
        <v>50000000</v>
      </c>
      <c r="E337" s="16">
        <f>E260+E263+E266+E269+E272+E275+E278+E281+E284</f>
        <v>50000000</v>
      </c>
      <c r="F337" s="16">
        <f>D337-E337</f>
        <v>0</v>
      </c>
    </row>
    <row r="338" spans="2:6" x14ac:dyDescent="0.25">
      <c r="C338" s="130">
        <v>44592</v>
      </c>
      <c r="D338" s="131">
        <v>50000000</v>
      </c>
      <c r="E338" s="16">
        <f>F284</f>
        <v>50000000</v>
      </c>
      <c r="F338" s="16">
        <f>D338-E338</f>
        <v>0</v>
      </c>
    </row>
    <row r="339" spans="2:6" x14ac:dyDescent="0.25">
      <c r="C339" s="130">
        <v>44599</v>
      </c>
      <c r="D339" s="131">
        <v>50000000</v>
      </c>
      <c r="E339" s="16">
        <f>G284</f>
        <v>50000000</v>
      </c>
      <c r="F339" s="16">
        <f t="shared" ref="F339:F343" si="4">D339-E339</f>
        <v>0</v>
      </c>
    </row>
    <row r="340" spans="2:6" x14ac:dyDescent="0.25">
      <c r="C340" s="130">
        <v>44617</v>
      </c>
      <c r="D340" s="131">
        <v>34027000</v>
      </c>
      <c r="E340" s="16">
        <f>H284+E287</f>
        <v>34027000</v>
      </c>
      <c r="F340" s="16">
        <f t="shared" si="4"/>
        <v>0</v>
      </c>
    </row>
    <row r="341" spans="2:6" x14ac:dyDescent="0.25">
      <c r="C341" s="130">
        <v>44631</v>
      </c>
      <c r="D341" s="131">
        <v>50000000</v>
      </c>
      <c r="E341" s="16">
        <f>F287+E290</f>
        <v>50000000</v>
      </c>
      <c r="F341" s="16">
        <f t="shared" si="4"/>
        <v>0</v>
      </c>
    </row>
    <row r="342" spans="2:6" x14ac:dyDescent="0.25">
      <c r="C342" s="130">
        <v>44638</v>
      </c>
      <c r="D342" s="131">
        <v>50000000</v>
      </c>
      <c r="E342" s="16">
        <f>F290</f>
        <v>50000000</v>
      </c>
      <c r="F342" s="16">
        <f t="shared" si="4"/>
        <v>0</v>
      </c>
    </row>
    <row r="343" spans="2:6" x14ac:dyDescent="0.25">
      <c r="C343" s="130">
        <v>44645</v>
      </c>
      <c r="D343" s="131">
        <v>50000000</v>
      </c>
      <c r="E343" s="16">
        <f>G290+E293+E296+E299</f>
        <v>50000000</v>
      </c>
      <c r="F343" s="16">
        <f t="shared" si="4"/>
        <v>0</v>
      </c>
    </row>
  </sheetData>
  <mergeCells count="68">
    <mergeCell ref="A164:L164"/>
    <mergeCell ref="A256:C256"/>
    <mergeCell ref="A334:C334"/>
    <mergeCell ref="A160:C160"/>
    <mergeCell ref="A162:J162"/>
    <mergeCell ref="K162:L162"/>
    <mergeCell ref="A114:J114"/>
    <mergeCell ref="K114:L114"/>
    <mergeCell ref="A116:L116"/>
    <mergeCell ref="A117:A118"/>
    <mergeCell ref="B117:B118"/>
    <mergeCell ref="C117:C118"/>
    <mergeCell ref="D117:D118"/>
    <mergeCell ref="E117:J117"/>
    <mergeCell ref="A112:C112"/>
    <mergeCell ref="A79:D79"/>
    <mergeCell ref="A82:D82"/>
    <mergeCell ref="A85:D85"/>
    <mergeCell ref="A88:D88"/>
    <mergeCell ref="A91:D91"/>
    <mergeCell ref="A94:D94"/>
    <mergeCell ref="A97:D97"/>
    <mergeCell ref="A100:D100"/>
    <mergeCell ref="A103:D103"/>
    <mergeCell ref="A106:D106"/>
    <mergeCell ref="A109:D109"/>
    <mergeCell ref="A73:L73"/>
    <mergeCell ref="A75:A76"/>
    <mergeCell ref="B75:B76"/>
    <mergeCell ref="C75:C76"/>
    <mergeCell ref="D75:D76"/>
    <mergeCell ref="E75:J75"/>
    <mergeCell ref="A71:C71"/>
    <mergeCell ref="A49:L49"/>
    <mergeCell ref="A51:A52"/>
    <mergeCell ref="B51:B52"/>
    <mergeCell ref="C51:C52"/>
    <mergeCell ref="D51:D52"/>
    <mergeCell ref="E51:J51"/>
    <mergeCell ref="A55:D55"/>
    <mergeCell ref="A58:D58"/>
    <mergeCell ref="A61:D61"/>
    <mergeCell ref="A64:D64"/>
    <mergeCell ref="A67:D67"/>
    <mergeCell ref="A32:C32"/>
    <mergeCell ref="A35:C35"/>
    <mergeCell ref="A38:C38"/>
    <mergeCell ref="A41:C41"/>
    <mergeCell ref="A44:B44"/>
    <mergeCell ref="A29:C29"/>
    <mergeCell ref="A8:C8"/>
    <mergeCell ref="A11:C11"/>
    <mergeCell ref="A14:C14"/>
    <mergeCell ref="A17:C17"/>
    <mergeCell ref="A20:B20"/>
    <mergeCell ref="A23:G23"/>
    <mergeCell ref="A25:A26"/>
    <mergeCell ref="B25:B26"/>
    <mergeCell ref="C25:C26"/>
    <mergeCell ref="D25:F25"/>
    <mergeCell ref="G25:G26"/>
    <mergeCell ref="A2:K2"/>
    <mergeCell ref="A4:A5"/>
    <mergeCell ref="B4:B5"/>
    <mergeCell ref="C4:C5"/>
    <mergeCell ref="D4:I4"/>
    <mergeCell ref="J4:J5"/>
    <mergeCell ref="K4:K5"/>
  </mergeCells>
  <printOptions horizontalCentered="1"/>
  <pageMargins left="0" right="0" top="0" bottom="0" header="0.31496062992125984" footer="0.31496062992125984"/>
  <pageSetup paperSize="9" scale="60" orientation="landscape"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36"/>
  <sheetViews>
    <sheetView showGridLines="0" zoomScale="81" zoomScaleNormal="81" workbookViewId="0">
      <selection activeCell="E13" sqref="E13"/>
    </sheetView>
  </sheetViews>
  <sheetFormatPr defaultRowHeight="15" x14ac:dyDescent="0.25"/>
  <cols>
    <col min="1" max="1" width="4.5703125" customWidth="1"/>
    <col min="2" max="2" width="14.28515625" style="8" customWidth="1"/>
    <col min="3" max="3" width="10.7109375" customWidth="1"/>
    <col min="4" max="4" width="36.85546875" customWidth="1"/>
    <col min="5" max="5" width="22.42578125" customWidth="1"/>
    <col min="6" max="6" width="14.5703125" style="9" customWidth="1"/>
    <col min="7" max="7" width="17.85546875" customWidth="1"/>
    <col min="8" max="8" width="13.140625" customWidth="1"/>
    <col min="9" max="9" width="15.28515625" style="11" customWidth="1"/>
    <col min="10" max="10" width="11" style="11" customWidth="1"/>
    <col min="11" max="11" width="10.5703125" style="11" customWidth="1"/>
    <col min="12" max="12" width="12.7109375" style="11" bestFit="1" customWidth="1"/>
    <col min="13" max="13" width="14.42578125" style="11" customWidth="1"/>
    <col min="14" max="14" width="13.7109375" style="11" bestFit="1" customWidth="1"/>
  </cols>
  <sheetData>
    <row r="2" spans="1:14" ht="57" customHeight="1" x14ac:dyDescent="0.25">
      <c r="A2" s="899" t="s">
        <v>6</v>
      </c>
      <c r="B2" s="900" t="s">
        <v>0</v>
      </c>
      <c r="C2" s="899" t="s">
        <v>7</v>
      </c>
      <c r="D2" s="899" t="s">
        <v>8</v>
      </c>
      <c r="E2" s="899" t="s">
        <v>9</v>
      </c>
      <c r="F2" s="901" t="s">
        <v>10</v>
      </c>
      <c r="G2" s="899" t="s">
        <v>11</v>
      </c>
      <c r="H2" s="902" t="s">
        <v>138</v>
      </c>
      <c r="I2" s="896" t="s">
        <v>49</v>
      </c>
      <c r="J2" s="897" t="s">
        <v>185</v>
      </c>
      <c r="K2" s="897" t="s">
        <v>548</v>
      </c>
      <c r="L2" s="897" t="s">
        <v>40</v>
      </c>
      <c r="M2" s="234" t="s">
        <v>2</v>
      </c>
      <c r="N2" s="898" t="s">
        <v>554</v>
      </c>
    </row>
    <row r="3" spans="1:14" ht="36.75" customHeight="1" x14ac:dyDescent="0.25">
      <c r="A3" s="707">
        <v>1</v>
      </c>
      <c r="B3" s="194">
        <v>44386</v>
      </c>
      <c r="C3" s="348" t="s">
        <v>1743</v>
      </c>
      <c r="D3" s="123" t="s">
        <v>1741</v>
      </c>
      <c r="E3" s="71" t="s">
        <v>2508</v>
      </c>
      <c r="F3" s="423">
        <v>6000000</v>
      </c>
      <c r="G3" s="133" t="s">
        <v>2509</v>
      </c>
      <c r="H3" s="79">
        <v>44518</v>
      </c>
      <c r="I3" s="191">
        <f>F3</f>
        <v>6000000</v>
      </c>
      <c r="J3" s="895">
        <f>I3*1%</f>
        <v>60000</v>
      </c>
      <c r="K3" s="895">
        <f>I3*2%</f>
        <v>120000</v>
      </c>
      <c r="L3" s="895"/>
      <c r="M3" s="895">
        <f>I3-K3-L3+J3</f>
        <v>5940000</v>
      </c>
      <c r="N3" s="513">
        <v>44548</v>
      </c>
    </row>
    <row r="4" spans="1:14" ht="36.75" customHeight="1" x14ac:dyDescent="0.25">
      <c r="A4" s="707">
        <f>A3+1</f>
        <v>2</v>
      </c>
      <c r="B4" s="194">
        <v>44386</v>
      </c>
      <c r="C4" s="348" t="s">
        <v>1742</v>
      </c>
      <c r="D4" s="123" t="s">
        <v>1741</v>
      </c>
      <c r="E4" s="71" t="s">
        <v>155</v>
      </c>
      <c r="F4" s="423">
        <v>1900000</v>
      </c>
      <c r="G4" s="133" t="s">
        <v>2833</v>
      </c>
      <c r="H4" s="79">
        <v>44532</v>
      </c>
      <c r="I4" s="191">
        <f t="shared" ref="I4:I8" si="0">F4</f>
        <v>1900000</v>
      </c>
      <c r="J4" s="895">
        <f t="shared" ref="J4:J8" si="1">I4*1%</f>
        <v>19000</v>
      </c>
      <c r="K4" s="895">
        <f t="shared" ref="K4:K8" si="2">I4*2%</f>
        <v>38000</v>
      </c>
      <c r="L4" s="895"/>
      <c r="M4" s="895">
        <f t="shared" ref="M4:M8" si="3">I4-K4-L4+J4</f>
        <v>1881000</v>
      </c>
      <c r="N4" s="513">
        <v>44562</v>
      </c>
    </row>
    <row r="5" spans="1:14" ht="36.75" customHeight="1" x14ac:dyDescent="0.25">
      <c r="A5" s="707">
        <f t="shared" ref="A5:A8" si="4">A4+1</f>
        <v>3</v>
      </c>
      <c r="B5" s="194">
        <v>44446</v>
      </c>
      <c r="C5" s="348"/>
      <c r="D5" s="123" t="s">
        <v>1741</v>
      </c>
      <c r="E5" s="71" t="s">
        <v>2876</v>
      </c>
      <c r="F5" s="423">
        <v>6500000</v>
      </c>
      <c r="G5" s="133" t="s">
        <v>3060</v>
      </c>
      <c r="H5" s="79">
        <v>44543</v>
      </c>
      <c r="I5" s="191">
        <f t="shared" si="0"/>
        <v>6500000</v>
      </c>
      <c r="J5" s="895">
        <f t="shared" si="1"/>
        <v>65000</v>
      </c>
      <c r="K5" s="895">
        <f t="shared" si="2"/>
        <v>130000</v>
      </c>
      <c r="L5" s="895"/>
      <c r="M5" s="895">
        <f t="shared" si="3"/>
        <v>6435000</v>
      </c>
      <c r="N5" s="513">
        <v>44573</v>
      </c>
    </row>
    <row r="6" spans="1:14" ht="36.75" customHeight="1" x14ac:dyDescent="0.25">
      <c r="A6" s="707">
        <f t="shared" si="4"/>
        <v>4</v>
      </c>
      <c r="B6" s="194">
        <v>44482</v>
      </c>
      <c r="C6" s="348" t="s">
        <v>2389</v>
      </c>
      <c r="D6" s="123" t="s">
        <v>1741</v>
      </c>
      <c r="E6" s="71" t="s">
        <v>582</v>
      </c>
      <c r="F6" s="423">
        <v>2800000</v>
      </c>
      <c r="G6" s="133" t="s">
        <v>2388</v>
      </c>
      <c r="H6" s="79">
        <v>44501</v>
      </c>
      <c r="I6" s="191">
        <f t="shared" si="0"/>
        <v>2800000</v>
      </c>
      <c r="J6" s="895">
        <f t="shared" si="1"/>
        <v>28000</v>
      </c>
      <c r="K6" s="895">
        <f t="shared" si="2"/>
        <v>56000</v>
      </c>
      <c r="L6" s="895"/>
      <c r="M6" s="895">
        <f t="shared" si="3"/>
        <v>2772000</v>
      </c>
      <c r="N6" s="513">
        <v>44531</v>
      </c>
    </row>
    <row r="7" spans="1:14" ht="36.75" customHeight="1" x14ac:dyDescent="0.25">
      <c r="A7" s="707">
        <f t="shared" si="4"/>
        <v>5</v>
      </c>
      <c r="B7" s="194">
        <v>44482</v>
      </c>
      <c r="C7" s="348" t="s">
        <v>2458</v>
      </c>
      <c r="D7" s="123" t="s">
        <v>1741</v>
      </c>
      <c r="E7" s="71" t="s">
        <v>2832</v>
      </c>
      <c r="F7" s="423">
        <v>26000000</v>
      </c>
      <c r="G7" s="133" t="s">
        <v>2831</v>
      </c>
      <c r="H7" s="79">
        <v>44532</v>
      </c>
      <c r="I7" s="191">
        <f t="shared" si="0"/>
        <v>26000000</v>
      </c>
      <c r="J7" s="895">
        <f t="shared" si="1"/>
        <v>260000</v>
      </c>
      <c r="K7" s="895">
        <f t="shared" si="2"/>
        <v>520000</v>
      </c>
      <c r="L7" s="895"/>
      <c r="M7" s="895">
        <f t="shared" si="3"/>
        <v>25740000</v>
      </c>
      <c r="N7" s="513">
        <v>44562</v>
      </c>
    </row>
    <row r="8" spans="1:14" ht="27.75" customHeight="1" x14ac:dyDescent="0.25">
      <c r="A8" s="707">
        <f t="shared" si="4"/>
        <v>6</v>
      </c>
      <c r="B8" s="194">
        <v>44590</v>
      </c>
      <c r="C8" s="58">
        <v>404467</v>
      </c>
      <c r="D8" s="123" t="s">
        <v>1741</v>
      </c>
      <c r="E8" s="33" t="s">
        <v>477</v>
      </c>
      <c r="F8" s="423">
        <v>2200000</v>
      </c>
      <c r="G8" s="170" t="s">
        <v>3881</v>
      </c>
      <c r="H8" s="79">
        <v>44609</v>
      </c>
      <c r="I8" s="191">
        <f t="shared" si="0"/>
        <v>2200000</v>
      </c>
      <c r="J8" s="895">
        <f t="shared" si="1"/>
        <v>22000</v>
      </c>
      <c r="K8" s="895">
        <f t="shared" si="2"/>
        <v>44000</v>
      </c>
      <c r="L8" s="895"/>
      <c r="M8" s="895">
        <f t="shared" si="3"/>
        <v>2178000</v>
      </c>
      <c r="N8" s="513">
        <v>44639</v>
      </c>
    </row>
    <row r="9" spans="1:14" ht="38.25" customHeight="1" x14ac:dyDescent="0.25">
      <c r="A9" s="950" t="s">
        <v>788</v>
      </c>
      <c r="B9" s="951"/>
      <c r="C9" s="951"/>
      <c r="D9" s="951"/>
      <c r="E9" s="951"/>
      <c r="F9" s="951"/>
      <c r="G9" s="951"/>
      <c r="H9" s="952"/>
      <c r="I9" s="240">
        <f>SUM(I3:I8)</f>
        <v>45400000</v>
      </c>
      <c r="J9" s="239"/>
      <c r="K9" s="239"/>
      <c r="L9" s="239"/>
      <c r="M9" s="239"/>
      <c r="N9" s="239"/>
    </row>
    <row r="10" spans="1:14" x14ac:dyDescent="0.25">
      <c r="I10"/>
      <c r="J10"/>
      <c r="K10"/>
      <c r="L10"/>
      <c r="M10"/>
      <c r="N10"/>
    </row>
    <row r="11" spans="1:14" x14ac:dyDescent="0.25">
      <c r="I11"/>
      <c r="J11"/>
      <c r="K11"/>
      <c r="L11"/>
      <c r="M11"/>
      <c r="N11"/>
    </row>
    <row r="12" spans="1:14" x14ac:dyDescent="0.25">
      <c r="I12"/>
      <c r="J12"/>
      <c r="K12"/>
      <c r="L12"/>
      <c r="M12"/>
      <c r="N12"/>
    </row>
    <row r="13" spans="1:14" x14ac:dyDescent="0.25">
      <c r="I13"/>
      <c r="J13"/>
      <c r="K13"/>
      <c r="L13"/>
      <c r="M13"/>
      <c r="N13"/>
    </row>
    <row r="14" spans="1:14" x14ac:dyDescent="0.25">
      <c r="I14"/>
      <c r="J14"/>
      <c r="K14"/>
      <c r="L14"/>
      <c r="M14"/>
      <c r="N14"/>
    </row>
    <row r="15" spans="1:14" x14ac:dyDescent="0.25">
      <c r="I15"/>
      <c r="J15"/>
      <c r="K15"/>
      <c r="L15"/>
      <c r="M15"/>
      <c r="N15"/>
    </row>
    <row r="16" spans="1:14" x14ac:dyDescent="0.25">
      <c r="I16"/>
      <c r="J16"/>
      <c r="K16"/>
      <c r="L16"/>
      <c r="M16"/>
      <c r="N16"/>
    </row>
    <row r="17" spans="9:14" x14ac:dyDescent="0.25">
      <c r="I17"/>
      <c r="J17"/>
      <c r="K17"/>
      <c r="L17"/>
      <c r="M17"/>
      <c r="N17"/>
    </row>
    <row r="18" spans="9:14" x14ac:dyDescent="0.25">
      <c r="I18"/>
      <c r="J18"/>
      <c r="K18"/>
      <c r="L18"/>
      <c r="M18"/>
      <c r="N18"/>
    </row>
    <row r="19" spans="9:14" x14ac:dyDescent="0.25">
      <c r="I19"/>
      <c r="J19"/>
      <c r="K19"/>
      <c r="L19"/>
      <c r="M19"/>
      <c r="N19"/>
    </row>
    <row r="20" spans="9:14" x14ac:dyDescent="0.25">
      <c r="I20"/>
      <c r="J20"/>
      <c r="K20"/>
      <c r="L20"/>
      <c r="M20"/>
      <c r="N20"/>
    </row>
    <row r="21" spans="9:14" x14ac:dyDescent="0.25">
      <c r="I21"/>
      <c r="J21"/>
      <c r="K21"/>
      <c r="L21"/>
      <c r="M21"/>
      <c r="N21"/>
    </row>
    <row r="22" spans="9:14" x14ac:dyDescent="0.25">
      <c r="I22"/>
      <c r="J22"/>
      <c r="K22"/>
      <c r="L22"/>
      <c r="M22"/>
      <c r="N22"/>
    </row>
    <row r="23" spans="9:14" x14ac:dyDescent="0.25">
      <c r="I23"/>
      <c r="J23"/>
      <c r="K23"/>
      <c r="L23"/>
      <c r="M23"/>
      <c r="N23"/>
    </row>
    <row r="24" spans="9:14" x14ac:dyDescent="0.25">
      <c r="I24"/>
      <c r="J24"/>
      <c r="K24"/>
      <c r="L24"/>
      <c r="M24"/>
      <c r="N24"/>
    </row>
    <row r="25" spans="9:14" x14ac:dyDescent="0.25">
      <c r="I25"/>
      <c r="J25"/>
      <c r="K25"/>
      <c r="L25"/>
      <c r="M25"/>
      <c r="N25"/>
    </row>
    <row r="26" spans="9:14" x14ac:dyDescent="0.25">
      <c r="I26"/>
      <c r="J26"/>
      <c r="K26"/>
      <c r="L26"/>
      <c r="M26"/>
      <c r="N26"/>
    </row>
    <row r="27" spans="9:14" x14ac:dyDescent="0.25">
      <c r="I27"/>
      <c r="J27"/>
      <c r="K27"/>
      <c r="L27"/>
      <c r="M27"/>
      <c r="N27"/>
    </row>
    <row r="28" spans="9:14" x14ac:dyDescent="0.25">
      <c r="I28"/>
      <c r="J28"/>
      <c r="K28"/>
      <c r="L28"/>
      <c r="M28"/>
      <c r="N28"/>
    </row>
    <row r="29" spans="9:14" x14ac:dyDescent="0.25">
      <c r="I29"/>
      <c r="J29"/>
      <c r="K29"/>
      <c r="L29"/>
      <c r="M29"/>
      <c r="N29"/>
    </row>
    <row r="30" spans="9:14" x14ac:dyDescent="0.25">
      <c r="I30"/>
      <c r="J30"/>
      <c r="K30"/>
      <c r="L30"/>
      <c r="M30"/>
      <c r="N30"/>
    </row>
    <row r="31" spans="9:14" x14ac:dyDescent="0.25">
      <c r="I31"/>
      <c r="J31"/>
      <c r="K31"/>
      <c r="L31"/>
      <c r="M31"/>
      <c r="N31"/>
    </row>
    <row r="32" spans="9:14" x14ac:dyDescent="0.25">
      <c r="I32"/>
      <c r="J32" s="16"/>
      <c r="K32" s="16"/>
      <c r="L32" s="16"/>
      <c r="M32"/>
      <c r="N32"/>
    </row>
    <row r="33" spans="9:14" x14ac:dyDescent="0.25">
      <c r="I33"/>
      <c r="J33"/>
      <c r="K33"/>
      <c r="L33"/>
      <c r="M33"/>
      <c r="N33"/>
    </row>
    <row r="34" spans="9:14" x14ac:dyDescent="0.25">
      <c r="I34"/>
      <c r="J34"/>
      <c r="K34"/>
      <c r="L34"/>
      <c r="M34"/>
      <c r="N34"/>
    </row>
    <row r="35" spans="9:14" x14ac:dyDescent="0.25">
      <c r="I35"/>
      <c r="J35"/>
      <c r="K35"/>
      <c r="L35"/>
      <c r="M35"/>
      <c r="N35"/>
    </row>
    <row r="36" spans="9:14" x14ac:dyDescent="0.25">
      <c r="I36"/>
      <c r="J36"/>
      <c r="K36"/>
      <c r="L36"/>
      <c r="M36"/>
      <c r="N36"/>
    </row>
    <row r="37" spans="9:14" x14ac:dyDescent="0.25">
      <c r="I37"/>
      <c r="J37"/>
      <c r="K37"/>
      <c r="L37"/>
      <c r="M37"/>
      <c r="N37"/>
    </row>
    <row r="38" spans="9:14" x14ac:dyDescent="0.25">
      <c r="I38"/>
      <c r="J38"/>
      <c r="K38"/>
      <c r="L38"/>
      <c r="M38"/>
      <c r="N38"/>
    </row>
    <row r="39" spans="9:14" x14ac:dyDescent="0.25">
      <c r="I39"/>
      <c r="J39"/>
      <c r="K39"/>
      <c r="L39"/>
      <c r="M39"/>
      <c r="N39"/>
    </row>
    <row r="40" spans="9:14" x14ac:dyDescent="0.25">
      <c r="I40"/>
      <c r="J40"/>
      <c r="K40"/>
      <c r="L40"/>
      <c r="M40"/>
      <c r="N40"/>
    </row>
    <row r="41" spans="9:14" x14ac:dyDescent="0.25">
      <c r="I41"/>
      <c r="J41"/>
      <c r="K41"/>
      <c r="L41"/>
      <c r="M41"/>
      <c r="N41"/>
    </row>
    <row r="42" spans="9:14" x14ac:dyDescent="0.25">
      <c r="I42"/>
      <c r="J42"/>
      <c r="K42"/>
      <c r="L42"/>
      <c r="M42"/>
      <c r="N42"/>
    </row>
    <row r="43" spans="9:14" x14ac:dyDescent="0.25">
      <c r="I43"/>
      <c r="J43"/>
      <c r="K43"/>
      <c r="L43"/>
      <c r="M43"/>
      <c r="N43"/>
    </row>
    <row r="44" spans="9:14" x14ac:dyDescent="0.25">
      <c r="I44"/>
      <c r="J44" s="19"/>
      <c r="K44" s="19"/>
      <c r="L44" s="19"/>
      <c r="M44"/>
      <c r="N44"/>
    </row>
    <row r="45" spans="9:14" x14ac:dyDescent="0.25">
      <c r="I45"/>
      <c r="J45" s="19"/>
      <c r="K45" s="19"/>
      <c r="L45" s="19"/>
      <c r="M45"/>
      <c r="N45"/>
    </row>
    <row r="46" spans="9:14" x14ac:dyDescent="0.25">
      <c r="I46"/>
      <c r="J46" s="7"/>
      <c r="K46" s="7"/>
      <c r="L46" s="7"/>
      <c r="M46"/>
      <c r="N46"/>
    </row>
    <row r="47" spans="9:14" x14ac:dyDescent="0.25">
      <c r="I47"/>
      <c r="J47" s="19"/>
      <c r="K47" s="19"/>
      <c r="L47" s="19"/>
      <c r="M47"/>
      <c r="N47"/>
    </row>
    <row r="48" spans="9:14" x14ac:dyDescent="0.25">
      <c r="I48"/>
      <c r="J48" s="19"/>
      <c r="K48" s="19"/>
      <c r="L48" s="19"/>
      <c r="M48"/>
      <c r="N48"/>
    </row>
    <row r="49" spans="9:14" x14ac:dyDescent="0.25">
      <c r="I49"/>
      <c r="J49" s="7"/>
      <c r="K49" s="7"/>
      <c r="L49" s="7"/>
      <c r="M49"/>
      <c r="N49"/>
    </row>
    <row r="50" spans="9:14" x14ac:dyDescent="0.25">
      <c r="I50"/>
      <c r="J50" s="19"/>
      <c r="K50" s="19"/>
      <c r="L50" s="19"/>
      <c r="M50"/>
      <c r="N50"/>
    </row>
    <row r="51" spans="9:14" x14ac:dyDescent="0.25">
      <c r="I51"/>
      <c r="J51" s="19"/>
      <c r="K51" s="19"/>
      <c r="L51" s="19"/>
      <c r="M51"/>
      <c r="N51"/>
    </row>
    <row r="52" spans="9:14" x14ac:dyDescent="0.25">
      <c r="I52"/>
      <c r="J52" s="7"/>
      <c r="K52" s="7"/>
      <c r="L52" s="7"/>
      <c r="M52"/>
      <c r="N52"/>
    </row>
    <row r="53" spans="9:14" x14ac:dyDescent="0.25">
      <c r="I53"/>
      <c r="J53"/>
      <c r="K53"/>
      <c r="L53"/>
      <c r="M53"/>
      <c r="N53"/>
    </row>
    <row r="54" spans="9:14" x14ac:dyDescent="0.25">
      <c r="I54"/>
      <c r="J54"/>
      <c r="K54"/>
      <c r="L54"/>
      <c r="M54"/>
      <c r="N54"/>
    </row>
    <row r="55" spans="9:14" x14ac:dyDescent="0.25">
      <c r="I55"/>
      <c r="J55"/>
      <c r="K55"/>
      <c r="L55"/>
      <c r="M55"/>
      <c r="N55"/>
    </row>
    <row r="56" spans="9:14" x14ac:dyDescent="0.25">
      <c r="I56"/>
      <c r="J56"/>
      <c r="K56"/>
      <c r="L56"/>
      <c r="M56"/>
      <c r="N56"/>
    </row>
    <row r="57" spans="9:14" x14ac:dyDescent="0.25">
      <c r="I57"/>
      <c r="J57"/>
      <c r="K57"/>
      <c r="L57"/>
      <c r="M57"/>
      <c r="N57"/>
    </row>
    <row r="58" spans="9:14" x14ac:dyDescent="0.25">
      <c r="I58"/>
      <c r="J58"/>
      <c r="K58"/>
      <c r="L58"/>
      <c r="M58"/>
      <c r="N58"/>
    </row>
    <row r="59" spans="9:14" x14ac:dyDescent="0.25">
      <c r="I59"/>
      <c r="J59"/>
      <c r="K59"/>
      <c r="L59"/>
      <c r="M59"/>
      <c r="N59"/>
    </row>
    <row r="60" spans="9:14" x14ac:dyDescent="0.25">
      <c r="I60"/>
      <c r="J60"/>
      <c r="K60"/>
      <c r="L60"/>
      <c r="M60"/>
      <c r="N60"/>
    </row>
    <row r="61" spans="9:14" x14ac:dyDescent="0.25">
      <c r="I61"/>
      <c r="J61"/>
      <c r="K61"/>
      <c r="L61"/>
      <c r="M61"/>
      <c r="N61"/>
    </row>
    <row r="62" spans="9:14" x14ac:dyDescent="0.25">
      <c r="I62"/>
      <c r="J62"/>
      <c r="K62"/>
      <c r="L62"/>
      <c r="M62"/>
      <c r="N62"/>
    </row>
    <row r="63" spans="9:14" x14ac:dyDescent="0.25">
      <c r="I63"/>
      <c r="J63"/>
      <c r="K63"/>
      <c r="L63"/>
      <c r="M63"/>
      <c r="N63"/>
    </row>
    <row r="64" spans="9:14" x14ac:dyDescent="0.25">
      <c r="I64"/>
      <c r="J64"/>
      <c r="K64"/>
      <c r="L64"/>
      <c r="M64"/>
      <c r="N64"/>
    </row>
    <row r="65" spans="9:14" x14ac:dyDescent="0.25">
      <c r="I65"/>
      <c r="J65"/>
      <c r="K65"/>
      <c r="L65"/>
      <c r="M65"/>
      <c r="N65"/>
    </row>
    <row r="66" spans="9:14" x14ac:dyDescent="0.25">
      <c r="I66"/>
      <c r="J66"/>
      <c r="K66"/>
      <c r="L66"/>
      <c r="M66"/>
      <c r="N66"/>
    </row>
    <row r="67" spans="9:14" x14ac:dyDescent="0.25">
      <c r="I67"/>
      <c r="J67"/>
      <c r="K67"/>
      <c r="L67"/>
      <c r="M67"/>
      <c r="N67"/>
    </row>
    <row r="68" spans="9:14" x14ac:dyDescent="0.25">
      <c r="I68"/>
      <c r="J68"/>
      <c r="K68"/>
      <c r="L68"/>
      <c r="M68"/>
      <c r="N68"/>
    </row>
    <row r="69" spans="9:14" x14ac:dyDescent="0.25">
      <c r="I69"/>
      <c r="J69"/>
      <c r="K69"/>
      <c r="L69"/>
      <c r="M69"/>
      <c r="N69"/>
    </row>
    <row r="70" spans="9:14" x14ac:dyDescent="0.25">
      <c r="I70"/>
      <c r="J70"/>
      <c r="K70"/>
      <c r="L70"/>
      <c r="M70"/>
      <c r="N70"/>
    </row>
    <row r="71" spans="9:14" x14ac:dyDescent="0.25">
      <c r="I71"/>
      <c r="J71"/>
      <c r="K71"/>
      <c r="L71"/>
      <c r="M71"/>
      <c r="N71"/>
    </row>
    <row r="72" spans="9:14" x14ac:dyDescent="0.25">
      <c r="I72"/>
      <c r="J72"/>
      <c r="K72"/>
      <c r="L72"/>
      <c r="M72"/>
      <c r="N72"/>
    </row>
    <row r="73" spans="9:14" x14ac:dyDescent="0.25">
      <c r="I73"/>
      <c r="J73"/>
      <c r="K73"/>
      <c r="L73"/>
      <c r="M73"/>
      <c r="N73"/>
    </row>
    <row r="74" spans="9:14" x14ac:dyDescent="0.25">
      <c r="I74"/>
      <c r="J74"/>
      <c r="K74"/>
      <c r="L74"/>
      <c r="M74"/>
      <c r="N74"/>
    </row>
    <row r="75" spans="9:14" x14ac:dyDescent="0.25">
      <c r="I75"/>
      <c r="J75"/>
      <c r="K75"/>
      <c r="L75"/>
      <c r="M75"/>
      <c r="N75"/>
    </row>
    <row r="76" spans="9:14" x14ac:dyDescent="0.25">
      <c r="I76"/>
      <c r="J76"/>
      <c r="K76"/>
      <c r="L76"/>
      <c r="M76"/>
      <c r="N76"/>
    </row>
    <row r="77" spans="9:14" x14ac:dyDescent="0.25">
      <c r="I77"/>
      <c r="J77"/>
      <c r="K77"/>
      <c r="L77"/>
      <c r="M77"/>
      <c r="N77"/>
    </row>
    <row r="78" spans="9:14" x14ac:dyDescent="0.25">
      <c r="I78"/>
      <c r="J78"/>
      <c r="K78"/>
      <c r="L78"/>
      <c r="M78"/>
      <c r="N78"/>
    </row>
    <row r="79" spans="9:14" x14ac:dyDescent="0.25">
      <c r="I79"/>
      <c r="J79"/>
      <c r="K79"/>
      <c r="L79"/>
      <c r="M79"/>
      <c r="N79"/>
    </row>
    <row r="80" spans="9:14" x14ac:dyDescent="0.25">
      <c r="I80"/>
      <c r="J80"/>
      <c r="K80"/>
      <c r="L80"/>
      <c r="M80"/>
      <c r="N80"/>
    </row>
    <row r="81" spans="9:14" x14ac:dyDescent="0.25">
      <c r="I81"/>
      <c r="J81"/>
      <c r="K81"/>
      <c r="L81"/>
      <c r="M81"/>
      <c r="N81"/>
    </row>
    <row r="82" spans="9:14" x14ac:dyDescent="0.25">
      <c r="I82"/>
      <c r="J82"/>
      <c r="K82"/>
      <c r="L82"/>
      <c r="M82"/>
      <c r="N82"/>
    </row>
    <row r="83" spans="9:14" x14ac:dyDescent="0.25">
      <c r="I83"/>
      <c r="J83"/>
      <c r="K83"/>
      <c r="L83"/>
      <c r="M83"/>
      <c r="N83"/>
    </row>
    <row r="84" spans="9:14" x14ac:dyDescent="0.25">
      <c r="I84"/>
      <c r="J84"/>
      <c r="K84"/>
      <c r="L84"/>
      <c r="M84"/>
      <c r="N84"/>
    </row>
    <row r="85" spans="9:14" x14ac:dyDescent="0.25">
      <c r="I85"/>
      <c r="J85"/>
      <c r="K85"/>
      <c r="L85"/>
      <c r="M85"/>
      <c r="N85"/>
    </row>
    <row r="86" spans="9:14" x14ac:dyDescent="0.25">
      <c r="I86"/>
      <c r="J86"/>
      <c r="K86"/>
      <c r="L86"/>
      <c r="M86"/>
      <c r="N86"/>
    </row>
    <row r="87" spans="9:14" x14ac:dyDescent="0.25">
      <c r="I87"/>
      <c r="J87"/>
      <c r="K87"/>
      <c r="L87"/>
      <c r="M87"/>
      <c r="N87"/>
    </row>
    <row r="88" spans="9:14" x14ac:dyDescent="0.25">
      <c r="I88"/>
      <c r="J88"/>
      <c r="K88"/>
      <c r="L88"/>
      <c r="M88"/>
      <c r="N88"/>
    </row>
    <row r="89" spans="9:14" x14ac:dyDescent="0.25">
      <c r="I89"/>
      <c r="J89"/>
      <c r="K89"/>
      <c r="L89"/>
      <c r="M89"/>
      <c r="N89"/>
    </row>
    <row r="90" spans="9:14" x14ac:dyDescent="0.25">
      <c r="I90"/>
      <c r="J90"/>
      <c r="K90"/>
      <c r="L90"/>
      <c r="M90"/>
      <c r="N90"/>
    </row>
    <row r="91" spans="9:14" x14ac:dyDescent="0.25">
      <c r="I91"/>
      <c r="J91"/>
      <c r="K91"/>
      <c r="L91"/>
      <c r="M91"/>
      <c r="N91"/>
    </row>
    <row r="92" spans="9:14" x14ac:dyDescent="0.25">
      <c r="I92"/>
      <c r="J92"/>
      <c r="K92"/>
      <c r="L92"/>
      <c r="M92"/>
      <c r="N92"/>
    </row>
    <row r="93" spans="9:14" x14ac:dyDescent="0.25">
      <c r="I93"/>
      <c r="J93"/>
      <c r="K93"/>
      <c r="L93"/>
      <c r="M93"/>
      <c r="N93"/>
    </row>
    <row r="94" spans="9:14" x14ac:dyDescent="0.25">
      <c r="I94"/>
      <c r="J94"/>
      <c r="K94"/>
      <c r="L94"/>
      <c r="M94"/>
      <c r="N94"/>
    </row>
    <row r="95" spans="9:14" x14ac:dyDescent="0.25">
      <c r="I95"/>
      <c r="J95"/>
      <c r="K95"/>
      <c r="L95"/>
      <c r="M95"/>
      <c r="N95"/>
    </row>
    <row r="96" spans="9:14" x14ac:dyDescent="0.25">
      <c r="I96"/>
      <c r="J96"/>
      <c r="K96"/>
      <c r="L96"/>
      <c r="M96"/>
      <c r="N96"/>
    </row>
    <row r="97" spans="9:14" x14ac:dyDescent="0.25">
      <c r="I97"/>
      <c r="J97"/>
      <c r="K97"/>
      <c r="L97"/>
      <c r="M97"/>
      <c r="N97"/>
    </row>
    <row r="98" spans="9:14" x14ac:dyDescent="0.25">
      <c r="I98"/>
      <c r="J98"/>
      <c r="K98"/>
      <c r="L98"/>
      <c r="M98"/>
      <c r="N98"/>
    </row>
    <row r="99" spans="9:14" x14ac:dyDescent="0.25">
      <c r="I99"/>
      <c r="J99"/>
      <c r="K99"/>
      <c r="L99"/>
      <c r="M99"/>
      <c r="N99"/>
    </row>
    <row r="100" spans="9:14" x14ac:dyDescent="0.25">
      <c r="I100"/>
      <c r="J100"/>
      <c r="K100"/>
      <c r="L100"/>
      <c r="M100"/>
      <c r="N100"/>
    </row>
    <row r="101" spans="9:14" x14ac:dyDescent="0.25">
      <c r="I101"/>
      <c r="J101"/>
      <c r="K101"/>
      <c r="L101"/>
      <c r="M101"/>
      <c r="N101"/>
    </row>
    <row r="102" spans="9:14" x14ac:dyDescent="0.25">
      <c r="I102"/>
      <c r="J102"/>
      <c r="K102"/>
      <c r="L102"/>
      <c r="M102"/>
      <c r="N102"/>
    </row>
    <row r="103" spans="9:14" x14ac:dyDescent="0.25">
      <c r="I103"/>
      <c r="J103"/>
      <c r="K103"/>
      <c r="L103"/>
      <c r="M103"/>
      <c r="N103"/>
    </row>
    <row r="104" spans="9:14" x14ac:dyDescent="0.25">
      <c r="I104"/>
      <c r="J104"/>
      <c r="K104"/>
      <c r="L104"/>
      <c r="M104"/>
      <c r="N104"/>
    </row>
    <row r="105" spans="9:14" x14ac:dyDescent="0.25">
      <c r="I105"/>
      <c r="J105"/>
      <c r="K105"/>
      <c r="L105"/>
      <c r="M105"/>
      <c r="N105"/>
    </row>
    <row r="106" spans="9:14" x14ac:dyDescent="0.25">
      <c r="I106"/>
      <c r="J106"/>
      <c r="K106"/>
      <c r="L106"/>
      <c r="M106"/>
      <c r="N106"/>
    </row>
    <row r="107" spans="9:14" x14ac:dyDescent="0.25">
      <c r="I107"/>
      <c r="J107"/>
      <c r="K107"/>
      <c r="L107"/>
      <c r="M107"/>
      <c r="N107"/>
    </row>
    <row r="108" spans="9:14" x14ac:dyDescent="0.25">
      <c r="I108"/>
      <c r="J108"/>
      <c r="K108"/>
      <c r="L108"/>
      <c r="M108"/>
      <c r="N108"/>
    </row>
    <row r="109" spans="9:14" x14ac:dyDescent="0.25">
      <c r="I109"/>
      <c r="J109"/>
      <c r="K109"/>
      <c r="L109"/>
      <c r="M109"/>
      <c r="N109"/>
    </row>
    <row r="110" spans="9:14" x14ac:dyDescent="0.25">
      <c r="I110"/>
      <c r="J110"/>
      <c r="K110"/>
      <c r="L110"/>
      <c r="M110"/>
      <c r="N110"/>
    </row>
    <row r="111" spans="9:14" x14ac:dyDescent="0.25">
      <c r="I111"/>
      <c r="J111"/>
      <c r="K111"/>
      <c r="L111"/>
      <c r="M111"/>
      <c r="N111"/>
    </row>
    <row r="112" spans="9:14" x14ac:dyDescent="0.25">
      <c r="I112"/>
      <c r="J112"/>
      <c r="K112"/>
      <c r="L112"/>
      <c r="M112"/>
      <c r="N112"/>
    </row>
    <row r="113" spans="9:14" x14ac:dyDescent="0.25">
      <c r="I113"/>
      <c r="J113"/>
      <c r="K113"/>
      <c r="L113"/>
      <c r="M113"/>
      <c r="N113"/>
    </row>
    <row r="114" spans="9:14" x14ac:dyDescent="0.25">
      <c r="I114"/>
      <c r="J114"/>
      <c r="K114"/>
      <c r="L114"/>
      <c r="M114"/>
      <c r="N114"/>
    </row>
    <row r="115" spans="9:14" x14ac:dyDescent="0.25">
      <c r="I115"/>
      <c r="J115"/>
      <c r="K115"/>
      <c r="L115"/>
      <c r="M115"/>
      <c r="N115"/>
    </row>
    <row r="116" spans="9:14" x14ac:dyDescent="0.25">
      <c r="I116"/>
      <c r="J116"/>
      <c r="K116"/>
      <c r="L116"/>
      <c r="M116"/>
      <c r="N116"/>
    </row>
    <row r="117" spans="9:14" x14ac:dyDescent="0.25">
      <c r="I117"/>
      <c r="J117"/>
      <c r="K117"/>
      <c r="L117"/>
      <c r="M117"/>
      <c r="N117"/>
    </row>
    <row r="118" spans="9:14" x14ac:dyDescent="0.25">
      <c r="I118"/>
      <c r="J118"/>
      <c r="K118"/>
      <c r="L118"/>
      <c r="M118"/>
      <c r="N118"/>
    </row>
    <row r="119" spans="9:14" x14ac:dyDescent="0.25">
      <c r="I119"/>
      <c r="J119"/>
      <c r="K119"/>
      <c r="L119"/>
      <c r="M119"/>
      <c r="N119"/>
    </row>
    <row r="120" spans="9:14" x14ac:dyDescent="0.25">
      <c r="I120"/>
      <c r="J120"/>
      <c r="K120"/>
      <c r="L120"/>
      <c r="M120"/>
      <c r="N120"/>
    </row>
    <row r="121" spans="9:14" x14ac:dyDescent="0.25">
      <c r="I121"/>
      <c r="J121"/>
      <c r="K121"/>
      <c r="L121"/>
      <c r="M121"/>
      <c r="N121"/>
    </row>
    <row r="122" spans="9:14" x14ac:dyDescent="0.25">
      <c r="I122"/>
      <c r="J122"/>
      <c r="K122"/>
      <c r="L122"/>
      <c r="M122"/>
      <c r="N122"/>
    </row>
    <row r="123" spans="9:14" x14ac:dyDescent="0.25">
      <c r="I123"/>
      <c r="J123"/>
      <c r="K123"/>
      <c r="L123"/>
      <c r="M123"/>
      <c r="N123"/>
    </row>
    <row r="124" spans="9:14" x14ac:dyDescent="0.25">
      <c r="I124"/>
      <c r="J124"/>
      <c r="K124"/>
      <c r="L124"/>
      <c r="M124"/>
      <c r="N124"/>
    </row>
    <row r="125" spans="9:14" x14ac:dyDescent="0.25">
      <c r="I125"/>
      <c r="J125"/>
      <c r="K125"/>
      <c r="L125"/>
      <c r="M125"/>
      <c r="N125"/>
    </row>
    <row r="126" spans="9:14" x14ac:dyDescent="0.25">
      <c r="I126"/>
      <c r="J126"/>
      <c r="K126"/>
      <c r="L126"/>
      <c r="M126"/>
      <c r="N126"/>
    </row>
    <row r="127" spans="9:14" x14ac:dyDescent="0.25">
      <c r="I127"/>
      <c r="J127"/>
      <c r="K127"/>
      <c r="L127"/>
      <c r="M127"/>
      <c r="N127"/>
    </row>
    <row r="128" spans="9:14" x14ac:dyDescent="0.25">
      <c r="I128"/>
      <c r="J128"/>
      <c r="K128"/>
      <c r="L128"/>
      <c r="M128"/>
      <c r="N128"/>
    </row>
    <row r="129" spans="9:14" x14ac:dyDescent="0.25">
      <c r="I129"/>
      <c r="J129"/>
      <c r="K129"/>
      <c r="L129"/>
      <c r="M129"/>
      <c r="N129"/>
    </row>
    <row r="130" spans="9:14" x14ac:dyDescent="0.25">
      <c r="I130"/>
      <c r="J130"/>
      <c r="K130"/>
      <c r="L130"/>
      <c r="M130"/>
      <c r="N130"/>
    </row>
    <row r="131" spans="9:14" x14ac:dyDescent="0.25">
      <c r="I131"/>
      <c r="J131"/>
      <c r="K131"/>
      <c r="L131"/>
      <c r="M131"/>
      <c r="N131"/>
    </row>
    <row r="132" spans="9:14" x14ac:dyDescent="0.25">
      <c r="I132"/>
      <c r="J132"/>
      <c r="K132"/>
      <c r="L132"/>
      <c r="M132"/>
      <c r="N132"/>
    </row>
    <row r="133" spans="9:14" x14ac:dyDescent="0.25">
      <c r="I133"/>
      <c r="J133"/>
      <c r="K133"/>
      <c r="L133"/>
      <c r="M133"/>
      <c r="N133"/>
    </row>
    <row r="134" spans="9:14" x14ac:dyDescent="0.25">
      <c r="I134"/>
      <c r="J134"/>
      <c r="K134"/>
      <c r="L134"/>
      <c r="M134"/>
      <c r="N134"/>
    </row>
    <row r="135" spans="9:14" x14ac:dyDescent="0.25">
      <c r="I135"/>
      <c r="J135"/>
      <c r="K135"/>
      <c r="L135"/>
      <c r="M135"/>
      <c r="N135"/>
    </row>
    <row r="136" spans="9:14" x14ac:dyDescent="0.25">
      <c r="I136"/>
      <c r="J136"/>
      <c r="K136"/>
      <c r="L136"/>
      <c r="M136"/>
      <c r="N136"/>
    </row>
    <row r="137" spans="9:14" x14ac:dyDescent="0.25">
      <c r="I137"/>
      <c r="J137"/>
      <c r="K137"/>
      <c r="L137"/>
      <c r="M137"/>
      <c r="N137"/>
    </row>
    <row r="138" spans="9:14" x14ac:dyDescent="0.25">
      <c r="I138"/>
      <c r="J138"/>
      <c r="K138"/>
      <c r="L138"/>
      <c r="M138"/>
      <c r="N138"/>
    </row>
    <row r="139" spans="9:14" x14ac:dyDescent="0.25">
      <c r="I139"/>
      <c r="J139"/>
      <c r="K139"/>
      <c r="L139"/>
      <c r="M139"/>
      <c r="N139"/>
    </row>
    <row r="140" spans="9:14" x14ac:dyDescent="0.25">
      <c r="I140"/>
      <c r="J140"/>
      <c r="K140"/>
      <c r="L140"/>
      <c r="M140"/>
      <c r="N140"/>
    </row>
    <row r="141" spans="9:14" x14ac:dyDescent="0.25">
      <c r="I141"/>
      <c r="J141"/>
      <c r="K141"/>
      <c r="L141"/>
      <c r="M141"/>
      <c r="N141"/>
    </row>
    <row r="142" spans="9:14" x14ac:dyDescent="0.25">
      <c r="I142"/>
      <c r="J142"/>
      <c r="K142"/>
      <c r="L142"/>
      <c r="M142"/>
      <c r="N142"/>
    </row>
    <row r="143" spans="9:14" x14ac:dyDescent="0.25">
      <c r="I143"/>
      <c r="J143"/>
      <c r="K143"/>
      <c r="L143"/>
      <c r="M143"/>
      <c r="N143"/>
    </row>
    <row r="144" spans="9:14" x14ac:dyDescent="0.25">
      <c r="I144"/>
      <c r="J144"/>
      <c r="K144"/>
      <c r="L144"/>
      <c r="M144"/>
      <c r="N144"/>
    </row>
    <row r="145" spans="9:14" x14ac:dyDescent="0.25">
      <c r="I145"/>
      <c r="J145"/>
      <c r="K145"/>
      <c r="L145"/>
      <c r="M145"/>
      <c r="N145"/>
    </row>
    <row r="146" spans="9:14" x14ac:dyDescent="0.25">
      <c r="I146"/>
      <c r="J146"/>
      <c r="K146"/>
      <c r="L146"/>
      <c r="M146"/>
      <c r="N146"/>
    </row>
    <row r="147" spans="9:14" x14ac:dyDescent="0.25">
      <c r="I147"/>
      <c r="J147"/>
      <c r="K147"/>
      <c r="L147"/>
      <c r="M147"/>
      <c r="N147"/>
    </row>
    <row r="148" spans="9:14" x14ac:dyDescent="0.25">
      <c r="I148"/>
      <c r="J148"/>
      <c r="K148"/>
      <c r="L148"/>
      <c r="M148"/>
      <c r="N148"/>
    </row>
    <row r="149" spans="9:14" x14ac:dyDescent="0.25">
      <c r="I149"/>
      <c r="J149"/>
      <c r="K149"/>
      <c r="L149"/>
      <c r="M149"/>
      <c r="N149"/>
    </row>
    <row r="150" spans="9:14" x14ac:dyDescent="0.25">
      <c r="I150"/>
      <c r="J150"/>
      <c r="K150"/>
      <c r="L150"/>
      <c r="M150"/>
      <c r="N150"/>
    </row>
    <row r="151" spans="9:14" x14ac:dyDescent="0.25">
      <c r="I151"/>
      <c r="J151"/>
      <c r="K151"/>
      <c r="L151"/>
      <c r="M151"/>
      <c r="N151"/>
    </row>
    <row r="152" spans="9:14" x14ac:dyDescent="0.25">
      <c r="I152"/>
      <c r="J152"/>
      <c r="K152"/>
      <c r="L152"/>
      <c r="M152"/>
      <c r="N152"/>
    </row>
    <row r="153" spans="9:14" x14ac:dyDescent="0.25">
      <c r="I153"/>
      <c r="J153"/>
      <c r="K153"/>
      <c r="L153"/>
      <c r="M153"/>
      <c r="N153"/>
    </row>
    <row r="154" spans="9:14" x14ac:dyDescent="0.25">
      <c r="I154"/>
      <c r="J154"/>
      <c r="K154"/>
      <c r="L154"/>
      <c r="M154"/>
      <c r="N154"/>
    </row>
    <row r="155" spans="9:14" x14ac:dyDescent="0.25">
      <c r="I155"/>
      <c r="J155"/>
      <c r="K155"/>
      <c r="L155"/>
      <c r="M155"/>
      <c r="N155"/>
    </row>
    <row r="156" spans="9:14" x14ac:dyDescent="0.25">
      <c r="I156"/>
      <c r="J156"/>
      <c r="K156"/>
      <c r="L156"/>
      <c r="M156"/>
      <c r="N156"/>
    </row>
    <row r="157" spans="9:14" x14ac:dyDescent="0.25">
      <c r="I157"/>
      <c r="J157"/>
      <c r="K157"/>
      <c r="L157"/>
      <c r="M157"/>
      <c r="N157"/>
    </row>
    <row r="158" spans="9:14" x14ac:dyDescent="0.25">
      <c r="I158"/>
      <c r="J158"/>
      <c r="K158"/>
      <c r="L158"/>
      <c r="M158"/>
      <c r="N158"/>
    </row>
    <row r="159" spans="9:14" x14ac:dyDescent="0.25">
      <c r="I159"/>
      <c r="J159"/>
      <c r="K159"/>
      <c r="L159"/>
      <c r="M159"/>
      <c r="N159"/>
    </row>
    <row r="160" spans="9:14" x14ac:dyDescent="0.25">
      <c r="I160"/>
      <c r="J160"/>
      <c r="K160"/>
      <c r="L160"/>
      <c r="M160"/>
      <c r="N160"/>
    </row>
    <row r="161" spans="9:14" x14ac:dyDescent="0.25">
      <c r="I161"/>
      <c r="J161"/>
      <c r="K161"/>
      <c r="L161"/>
      <c r="M161"/>
      <c r="N161"/>
    </row>
    <row r="162" spans="9:14" x14ac:dyDescent="0.25">
      <c r="I162"/>
      <c r="J162"/>
      <c r="K162"/>
      <c r="L162"/>
      <c r="M162"/>
      <c r="N162"/>
    </row>
    <row r="163" spans="9:14" x14ac:dyDescent="0.25">
      <c r="I163"/>
      <c r="J163"/>
      <c r="K163"/>
      <c r="L163"/>
      <c r="M163"/>
      <c r="N163"/>
    </row>
    <row r="164" spans="9:14" x14ac:dyDescent="0.25">
      <c r="I164"/>
      <c r="J164"/>
      <c r="K164"/>
      <c r="L164"/>
      <c r="M164"/>
      <c r="N164"/>
    </row>
    <row r="165" spans="9:14" x14ac:dyDescent="0.25">
      <c r="I165"/>
      <c r="J165"/>
      <c r="K165"/>
      <c r="L165"/>
      <c r="M165"/>
      <c r="N165"/>
    </row>
    <row r="166" spans="9:14" x14ac:dyDescent="0.25">
      <c r="I166"/>
      <c r="J166"/>
      <c r="K166"/>
      <c r="L166"/>
      <c r="M166"/>
      <c r="N166"/>
    </row>
    <row r="167" spans="9:14" x14ac:dyDescent="0.25">
      <c r="I167"/>
      <c r="J167"/>
      <c r="K167"/>
      <c r="L167"/>
      <c r="M167"/>
      <c r="N167"/>
    </row>
    <row r="168" spans="9:14" x14ac:dyDescent="0.25">
      <c r="I168"/>
      <c r="J168"/>
      <c r="K168"/>
      <c r="L168"/>
      <c r="M168"/>
      <c r="N168"/>
    </row>
    <row r="169" spans="9:14" x14ac:dyDescent="0.25">
      <c r="I169"/>
      <c r="J169"/>
      <c r="K169"/>
      <c r="L169"/>
      <c r="M169"/>
      <c r="N169"/>
    </row>
    <row r="170" spans="9:14" x14ac:dyDescent="0.25">
      <c r="I170"/>
      <c r="J170"/>
      <c r="K170"/>
      <c r="L170"/>
      <c r="M170"/>
      <c r="N170"/>
    </row>
    <row r="171" spans="9:14" x14ac:dyDescent="0.25">
      <c r="I171"/>
      <c r="J171"/>
      <c r="K171"/>
      <c r="L171"/>
      <c r="M171"/>
      <c r="N171"/>
    </row>
    <row r="172" spans="9:14" x14ac:dyDescent="0.25">
      <c r="I172"/>
      <c r="J172"/>
      <c r="K172"/>
      <c r="L172"/>
      <c r="M172"/>
      <c r="N172"/>
    </row>
    <row r="173" spans="9:14" x14ac:dyDescent="0.25">
      <c r="I173"/>
      <c r="J173"/>
      <c r="K173"/>
      <c r="L173"/>
      <c r="M173"/>
      <c r="N173"/>
    </row>
    <row r="174" spans="9:14" x14ac:dyDescent="0.25">
      <c r="I174"/>
      <c r="J174"/>
      <c r="K174"/>
      <c r="L174"/>
      <c r="M174"/>
      <c r="N174"/>
    </row>
    <row r="175" spans="9:14" x14ac:dyDescent="0.25">
      <c r="I175"/>
      <c r="J175"/>
      <c r="K175"/>
      <c r="L175"/>
      <c r="M175"/>
      <c r="N175"/>
    </row>
    <row r="176" spans="9:14" x14ac:dyDescent="0.25">
      <c r="I176"/>
      <c r="J176"/>
      <c r="K176"/>
      <c r="L176"/>
      <c r="M176"/>
      <c r="N176"/>
    </row>
    <row r="177" spans="9:14" x14ac:dyDescent="0.25">
      <c r="I177"/>
      <c r="J177"/>
      <c r="K177"/>
      <c r="L177"/>
      <c r="M177"/>
      <c r="N177"/>
    </row>
    <row r="178" spans="9:14" x14ac:dyDescent="0.25">
      <c r="I178"/>
      <c r="J178"/>
      <c r="K178"/>
      <c r="L178"/>
      <c r="M178"/>
      <c r="N178"/>
    </row>
    <row r="179" spans="9:14" x14ac:dyDescent="0.25">
      <c r="I179"/>
      <c r="J179"/>
      <c r="K179"/>
      <c r="L179"/>
      <c r="M179"/>
      <c r="N179"/>
    </row>
    <row r="180" spans="9:14" x14ac:dyDescent="0.25">
      <c r="I180"/>
      <c r="J180"/>
      <c r="K180"/>
      <c r="L180"/>
      <c r="M180"/>
      <c r="N180"/>
    </row>
    <row r="181" spans="9:14" x14ac:dyDescent="0.25">
      <c r="I181"/>
      <c r="J181"/>
      <c r="K181"/>
      <c r="L181"/>
      <c r="M181"/>
      <c r="N181"/>
    </row>
    <row r="182" spans="9:14" x14ac:dyDescent="0.25">
      <c r="I182"/>
      <c r="J182"/>
      <c r="K182"/>
      <c r="L182"/>
      <c r="M182"/>
      <c r="N182"/>
    </row>
    <row r="183" spans="9:14" x14ac:dyDescent="0.25">
      <c r="I183"/>
      <c r="J183"/>
      <c r="K183"/>
      <c r="L183"/>
      <c r="M183"/>
      <c r="N183"/>
    </row>
    <row r="184" spans="9:14" x14ac:dyDescent="0.25">
      <c r="I184"/>
      <c r="J184"/>
      <c r="K184"/>
      <c r="L184"/>
      <c r="M184"/>
      <c r="N184"/>
    </row>
    <row r="185" spans="9:14" x14ac:dyDescent="0.25">
      <c r="I185"/>
      <c r="J185"/>
      <c r="K185"/>
      <c r="L185"/>
      <c r="M185"/>
      <c r="N185"/>
    </row>
    <row r="186" spans="9:14" x14ac:dyDescent="0.25">
      <c r="I186"/>
      <c r="J186"/>
      <c r="K186"/>
      <c r="L186"/>
      <c r="M186"/>
      <c r="N186"/>
    </row>
    <row r="187" spans="9:14" x14ac:dyDescent="0.25">
      <c r="I187"/>
      <c r="J187"/>
      <c r="K187"/>
      <c r="L187"/>
      <c r="M187"/>
      <c r="N187"/>
    </row>
    <row r="188" spans="9:14" x14ac:dyDescent="0.25">
      <c r="I188"/>
      <c r="J188"/>
      <c r="K188"/>
      <c r="L188"/>
      <c r="M188"/>
      <c r="N188"/>
    </row>
    <row r="189" spans="9:14" x14ac:dyDescent="0.25">
      <c r="I189"/>
      <c r="J189"/>
      <c r="K189"/>
      <c r="L189"/>
      <c r="M189"/>
      <c r="N189"/>
    </row>
    <row r="190" spans="9:14" x14ac:dyDescent="0.25">
      <c r="I190"/>
      <c r="J190"/>
      <c r="K190"/>
      <c r="L190"/>
      <c r="M190"/>
      <c r="N190"/>
    </row>
    <row r="191" spans="9:14" x14ac:dyDescent="0.25">
      <c r="I191"/>
      <c r="J191"/>
      <c r="K191"/>
      <c r="L191"/>
      <c r="M191"/>
      <c r="N191"/>
    </row>
    <row r="192" spans="9:14" x14ac:dyDescent="0.25">
      <c r="I192"/>
      <c r="J192"/>
      <c r="K192"/>
      <c r="L192"/>
      <c r="M192"/>
      <c r="N192"/>
    </row>
    <row r="193" spans="9:14" x14ac:dyDescent="0.25">
      <c r="I193"/>
      <c r="J193"/>
      <c r="K193"/>
      <c r="L193"/>
      <c r="M193"/>
      <c r="N193"/>
    </row>
    <row r="194" spans="9:14" x14ac:dyDescent="0.25">
      <c r="I194"/>
      <c r="J194"/>
      <c r="K194"/>
      <c r="L194"/>
      <c r="M194"/>
      <c r="N194"/>
    </row>
    <row r="195" spans="9:14" x14ac:dyDescent="0.25">
      <c r="I195"/>
      <c r="J195"/>
      <c r="K195"/>
      <c r="L195"/>
      <c r="M195"/>
      <c r="N195"/>
    </row>
    <row r="196" spans="9:14" x14ac:dyDescent="0.25">
      <c r="I196"/>
      <c r="J196"/>
      <c r="K196"/>
      <c r="L196"/>
      <c r="M196"/>
      <c r="N196"/>
    </row>
    <row r="197" spans="9:14" x14ac:dyDescent="0.25">
      <c r="I197"/>
      <c r="J197"/>
      <c r="K197"/>
      <c r="L197"/>
      <c r="M197"/>
      <c r="N197"/>
    </row>
    <row r="198" spans="9:14" x14ac:dyDescent="0.25">
      <c r="I198"/>
      <c r="J198"/>
      <c r="K198"/>
      <c r="L198"/>
      <c r="M198"/>
      <c r="N198"/>
    </row>
    <row r="199" spans="9:14" x14ac:dyDescent="0.25">
      <c r="I199"/>
      <c r="J199"/>
      <c r="K199"/>
      <c r="L199"/>
      <c r="M199"/>
      <c r="N199"/>
    </row>
    <row r="200" spans="9:14" x14ac:dyDescent="0.25">
      <c r="I200"/>
      <c r="J200"/>
      <c r="K200"/>
      <c r="L200"/>
      <c r="M200"/>
      <c r="N200"/>
    </row>
    <row r="201" spans="9:14" x14ac:dyDescent="0.25">
      <c r="I201"/>
      <c r="J201"/>
      <c r="K201"/>
      <c r="L201"/>
      <c r="M201"/>
      <c r="N201"/>
    </row>
    <row r="202" spans="9:14" x14ac:dyDescent="0.25">
      <c r="I202"/>
      <c r="J202"/>
      <c r="K202"/>
      <c r="L202"/>
      <c r="M202"/>
      <c r="N202"/>
    </row>
    <row r="203" spans="9:14" x14ac:dyDescent="0.25">
      <c r="I203"/>
      <c r="J203"/>
      <c r="K203"/>
      <c r="L203"/>
      <c r="M203"/>
      <c r="N203"/>
    </row>
    <row r="204" spans="9:14" x14ac:dyDescent="0.25">
      <c r="I204"/>
      <c r="J204"/>
      <c r="K204"/>
      <c r="L204"/>
      <c r="M204"/>
      <c r="N204"/>
    </row>
    <row r="205" spans="9:14" x14ac:dyDescent="0.25">
      <c r="I205"/>
      <c r="J205"/>
      <c r="K205"/>
      <c r="L205"/>
      <c r="M205"/>
      <c r="N205"/>
    </row>
    <row r="206" spans="9:14" x14ac:dyDescent="0.25">
      <c r="I206"/>
      <c r="J206"/>
      <c r="K206"/>
      <c r="L206"/>
      <c r="M206"/>
      <c r="N206"/>
    </row>
    <row r="207" spans="9:14" x14ac:dyDescent="0.25">
      <c r="I207"/>
      <c r="J207"/>
      <c r="K207"/>
      <c r="L207"/>
      <c r="M207"/>
      <c r="N207"/>
    </row>
    <row r="208" spans="9:14" x14ac:dyDescent="0.25">
      <c r="I208"/>
      <c r="J208"/>
      <c r="K208"/>
      <c r="L208"/>
      <c r="M208"/>
      <c r="N208"/>
    </row>
    <row r="209" spans="9:14" x14ac:dyDescent="0.25">
      <c r="I209"/>
      <c r="J209"/>
      <c r="K209"/>
      <c r="L209"/>
      <c r="M209"/>
      <c r="N209"/>
    </row>
    <row r="210" spans="9:14" x14ac:dyDescent="0.25">
      <c r="I210"/>
      <c r="J210"/>
      <c r="K210"/>
      <c r="L210"/>
      <c r="M210"/>
      <c r="N210"/>
    </row>
    <row r="211" spans="9:14" x14ac:dyDescent="0.25">
      <c r="I211"/>
      <c r="J211"/>
      <c r="K211"/>
      <c r="L211"/>
      <c r="M211"/>
      <c r="N211"/>
    </row>
    <row r="212" spans="9:14" x14ac:dyDescent="0.25">
      <c r="I212"/>
      <c r="J212"/>
      <c r="K212"/>
      <c r="L212"/>
      <c r="M212"/>
      <c r="N212"/>
    </row>
    <row r="213" spans="9:14" x14ac:dyDescent="0.25">
      <c r="I213"/>
      <c r="J213"/>
      <c r="K213"/>
      <c r="L213"/>
      <c r="M213"/>
      <c r="N213"/>
    </row>
    <row r="214" spans="9:14" x14ac:dyDescent="0.25">
      <c r="I214"/>
      <c r="J214"/>
      <c r="K214"/>
      <c r="L214"/>
      <c r="M214"/>
      <c r="N214"/>
    </row>
    <row r="215" spans="9:14" x14ac:dyDescent="0.25">
      <c r="I215"/>
      <c r="J215"/>
      <c r="K215"/>
      <c r="L215"/>
      <c r="M215"/>
      <c r="N215"/>
    </row>
    <row r="216" spans="9:14" x14ac:dyDescent="0.25">
      <c r="I216"/>
      <c r="J216"/>
      <c r="K216"/>
      <c r="L216"/>
      <c r="M216"/>
      <c r="N216"/>
    </row>
    <row r="217" spans="9:14" x14ac:dyDescent="0.25">
      <c r="I217"/>
      <c r="J217"/>
      <c r="K217"/>
      <c r="L217"/>
      <c r="M217"/>
      <c r="N217"/>
    </row>
    <row r="218" spans="9:14" x14ac:dyDescent="0.25">
      <c r="I218"/>
      <c r="J218"/>
      <c r="K218"/>
      <c r="L218"/>
      <c r="M218"/>
      <c r="N218"/>
    </row>
    <row r="219" spans="9:14" x14ac:dyDescent="0.25">
      <c r="I219"/>
      <c r="J219"/>
      <c r="K219"/>
      <c r="L219"/>
      <c r="M219"/>
      <c r="N219"/>
    </row>
    <row r="220" spans="9:14" x14ac:dyDescent="0.25">
      <c r="I220"/>
      <c r="J220"/>
      <c r="K220"/>
      <c r="L220"/>
      <c r="M220"/>
      <c r="N220"/>
    </row>
    <row r="221" spans="9:14" x14ac:dyDescent="0.25">
      <c r="I221"/>
      <c r="J221"/>
      <c r="K221"/>
      <c r="L221"/>
      <c r="M221"/>
      <c r="N221"/>
    </row>
    <row r="222" spans="9:14" x14ac:dyDescent="0.25">
      <c r="I222"/>
      <c r="J222"/>
      <c r="K222"/>
      <c r="L222"/>
      <c r="M222"/>
      <c r="N222"/>
    </row>
    <row r="223" spans="9:14" x14ac:dyDescent="0.25">
      <c r="I223"/>
      <c r="J223"/>
      <c r="K223"/>
      <c r="L223"/>
      <c r="M223"/>
      <c r="N223"/>
    </row>
    <row r="224" spans="9:14" x14ac:dyDescent="0.25">
      <c r="I224"/>
      <c r="J224"/>
      <c r="K224"/>
      <c r="L224"/>
      <c r="M224"/>
      <c r="N224"/>
    </row>
    <row r="225" spans="9:14" x14ac:dyDescent="0.25">
      <c r="I225"/>
      <c r="J225"/>
      <c r="K225"/>
      <c r="L225"/>
      <c r="M225"/>
      <c r="N225"/>
    </row>
    <row r="226" spans="9:14" x14ac:dyDescent="0.25">
      <c r="I226"/>
      <c r="J226"/>
      <c r="K226"/>
      <c r="L226"/>
      <c r="M226"/>
      <c r="N226"/>
    </row>
    <row r="227" spans="9:14" x14ac:dyDescent="0.25">
      <c r="I227"/>
      <c r="J227"/>
      <c r="K227"/>
      <c r="L227"/>
      <c r="M227"/>
      <c r="N227"/>
    </row>
    <row r="228" spans="9:14" x14ac:dyDescent="0.25">
      <c r="I228"/>
      <c r="J228"/>
      <c r="K228"/>
      <c r="L228"/>
      <c r="M228"/>
      <c r="N228"/>
    </row>
    <row r="229" spans="9:14" x14ac:dyDescent="0.25">
      <c r="I229"/>
      <c r="J229"/>
      <c r="K229"/>
      <c r="L229"/>
      <c r="M229"/>
      <c r="N229"/>
    </row>
    <row r="230" spans="9:14" x14ac:dyDescent="0.25">
      <c r="I230"/>
      <c r="J230"/>
      <c r="K230"/>
      <c r="L230"/>
      <c r="M230"/>
      <c r="N230"/>
    </row>
    <row r="231" spans="9:14" x14ac:dyDescent="0.25">
      <c r="I231"/>
      <c r="J231"/>
      <c r="K231"/>
      <c r="L231"/>
      <c r="M231"/>
      <c r="N231"/>
    </row>
    <row r="232" spans="9:14" x14ac:dyDescent="0.25">
      <c r="I232"/>
      <c r="J232"/>
      <c r="K232"/>
      <c r="L232"/>
      <c r="M232"/>
      <c r="N232"/>
    </row>
    <row r="233" spans="9:14" x14ac:dyDescent="0.25">
      <c r="I233"/>
      <c r="J233"/>
      <c r="K233"/>
      <c r="L233"/>
      <c r="M233"/>
      <c r="N233"/>
    </row>
    <row r="234" spans="9:14" x14ac:dyDescent="0.25">
      <c r="I234"/>
      <c r="J234"/>
      <c r="K234"/>
      <c r="L234"/>
      <c r="M234"/>
      <c r="N234"/>
    </row>
    <row r="235" spans="9:14" x14ac:dyDescent="0.25">
      <c r="I235"/>
      <c r="J235"/>
      <c r="K235"/>
      <c r="L235"/>
      <c r="M235"/>
      <c r="N235"/>
    </row>
    <row r="236" spans="9:14" x14ac:dyDescent="0.25">
      <c r="I236"/>
      <c r="J236"/>
      <c r="K236"/>
      <c r="L236"/>
      <c r="M236"/>
      <c r="N236"/>
    </row>
    <row r="237" spans="9:14" x14ac:dyDescent="0.25">
      <c r="I237"/>
      <c r="J237"/>
      <c r="K237"/>
      <c r="L237"/>
      <c r="M237"/>
      <c r="N237"/>
    </row>
    <row r="238" spans="9:14" x14ac:dyDescent="0.25">
      <c r="I238"/>
      <c r="J238"/>
      <c r="K238"/>
      <c r="L238"/>
      <c r="M238"/>
      <c r="N238"/>
    </row>
    <row r="239" spans="9:14" x14ac:dyDescent="0.25">
      <c r="I239"/>
      <c r="J239"/>
      <c r="K239"/>
      <c r="L239"/>
      <c r="M239"/>
      <c r="N239"/>
    </row>
    <row r="240" spans="9:14" x14ac:dyDescent="0.25">
      <c r="I240"/>
      <c r="J240"/>
      <c r="K240"/>
      <c r="L240"/>
      <c r="M240"/>
      <c r="N240"/>
    </row>
    <row r="241" spans="9:14" x14ac:dyDescent="0.25">
      <c r="I241"/>
      <c r="J241"/>
      <c r="K241"/>
      <c r="L241"/>
      <c r="M241"/>
      <c r="N241"/>
    </row>
    <row r="242" spans="9:14" x14ac:dyDescent="0.25">
      <c r="I242"/>
      <c r="J242"/>
      <c r="K242"/>
      <c r="L242"/>
      <c r="M242"/>
      <c r="N242"/>
    </row>
    <row r="243" spans="9:14" x14ac:dyDescent="0.25">
      <c r="I243"/>
      <c r="J243"/>
      <c r="K243"/>
      <c r="L243"/>
      <c r="M243"/>
      <c r="N243"/>
    </row>
    <row r="244" spans="9:14" x14ac:dyDescent="0.25">
      <c r="I244"/>
      <c r="J244"/>
      <c r="K244"/>
      <c r="L244"/>
      <c r="M244"/>
      <c r="N244"/>
    </row>
    <row r="245" spans="9:14" x14ac:dyDescent="0.25">
      <c r="I245"/>
      <c r="J245"/>
      <c r="K245"/>
      <c r="L245"/>
      <c r="M245"/>
      <c r="N245"/>
    </row>
    <row r="246" spans="9:14" x14ac:dyDescent="0.25">
      <c r="I246"/>
      <c r="J246"/>
      <c r="K246"/>
      <c r="L246"/>
      <c r="M246"/>
      <c r="N246"/>
    </row>
    <row r="247" spans="9:14" x14ac:dyDescent="0.25">
      <c r="I247"/>
      <c r="J247"/>
      <c r="K247"/>
      <c r="L247"/>
      <c r="M247"/>
      <c r="N247"/>
    </row>
    <row r="248" spans="9:14" x14ac:dyDescent="0.25">
      <c r="I248"/>
      <c r="J248"/>
      <c r="K248"/>
      <c r="L248"/>
      <c r="M248"/>
      <c r="N248"/>
    </row>
    <row r="249" spans="9:14" x14ac:dyDescent="0.25">
      <c r="I249"/>
      <c r="J249"/>
      <c r="K249"/>
      <c r="L249"/>
      <c r="M249"/>
      <c r="N249"/>
    </row>
    <row r="250" spans="9:14" x14ac:dyDescent="0.25">
      <c r="I250"/>
      <c r="J250"/>
      <c r="K250"/>
      <c r="L250"/>
      <c r="M250"/>
      <c r="N250"/>
    </row>
    <row r="251" spans="9:14" x14ac:dyDescent="0.25">
      <c r="I251"/>
      <c r="J251"/>
      <c r="K251"/>
      <c r="L251"/>
      <c r="M251"/>
      <c r="N251"/>
    </row>
    <row r="252" spans="9:14" x14ac:dyDescent="0.25">
      <c r="I252"/>
      <c r="J252"/>
      <c r="K252"/>
      <c r="L252"/>
      <c r="M252"/>
      <c r="N252"/>
    </row>
    <row r="253" spans="9:14" x14ac:dyDescent="0.25">
      <c r="I253"/>
      <c r="J253"/>
      <c r="K253"/>
      <c r="L253"/>
      <c r="M253"/>
      <c r="N253"/>
    </row>
    <row r="254" spans="9:14" x14ac:dyDescent="0.25">
      <c r="I254"/>
      <c r="J254"/>
      <c r="K254"/>
      <c r="L254"/>
      <c r="M254"/>
      <c r="N254"/>
    </row>
    <row r="255" spans="9:14" x14ac:dyDescent="0.25">
      <c r="I255"/>
      <c r="J255"/>
      <c r="K255"/>
      <c r="L255"/>
      <c r="M255"/>
      <c r="N255"/>
    </row>
    <row r="256" spans="9:14" x14ac:dyDescent="0.25">
      <c r="I256"/>
      <c r="J256"/>
      <c r="K256"/>
      <c r="L256"/>
      <c r="M256"/>
      <c r="N256"/>
    </row>
    <row r="257" spans="9:14" x14ac:dyDescent="0.25">
      <c r="I257"/>
      <c r="J257"/>
      <c r="K257"/>
      <c r="L257"/>
      <c r="M257"/>
      <c r="N257"/>
    </row>
    <row r="258" spans="9:14" x14ac:dyDescent="0.25">
      <c r="I258"/>
      <c r="J258"/>
      <c r="K258"/>
      <c r="L258"/>
      <c r="M258"/>
      <c r="N258"/>
    </row>
    <row r="259" spans="9:14" x14ac:dyDescent="0.25">
      <c r="I259"/>
      <c r="J259"/>
      <c r="K259"/>
      <c r="L259"/>
      <c r="M259"/>
      <c r="N259"/>
    </row>
    <row r="260" spans="9:14" x14ac:dyDescent="0.25">
      <c r="I260"/>
      <c r="J260"/>
      <c r="K260"/>
      <c r="L260"/>
      <c r="M260"/>
      <c r="N260"/>
    </row>
    <row r="261" spans="9:14" x14ac:dyDescent="0.25">
      <c r="I261"/>
      <c r="J261"/>
      <c r="K261"/>
      <c r="L261"/>
      <c r="M261"/>
      <c r="N261"/>
    </row>
    <row r="262" spans="9:14" x14ac:dyDescent="0.25">
      <c r="I262"/>
      <c r="J262"/>
      <c r="K262"/>
      <c r="L262"/>
      <c r="M262"/>
      <c r="N262"/>
    </row>
    <row r="263" spans="9:14" x14ac:dyDescent="0.25">
      <c r="I263"/>
      <c r="J263"/>
      <c r="K263"/>
      <c r="L263"/>
      <c r="M263"/>
      <c r="N263"/>
    </row>
    <row r="264" spans="9:14" x14ac:dyDescent="0.25">
      <c r="I264"/>
      <c r="J264"/>
      <c r="K264"/>
      <c r="L264"/>
      <c r="M264"/>
      <c r="N264"/>
    </row>
    <row r="265" spans="9:14" x14ac:dyDescent="0.25">
      <c r="I265"/>
      <c r="J265"/>
      <c r="K265"/>
      <c r="L265"/>
      <c r="M265"/>
      <c r="N265"/>
    </row>
    <row r="266" spans="9:14" x14ac:dyDescent="0.25">
      <c r="I266"/>
      <c r="J266"/>
      <c r="K266"/>
      <c r="L266"/>
      <c r="M266"/>
      <c r="N266"/>
    </row>
    <row r="267" spans="9:14" x14ac:dyDescent="0.25">
      <c r="I267"/>
      <c r="J267"/>
      <c r="K267"/>
      <c r="L267"/>
      <c r="M267"/>
      <c r="N267"/>
    </row>
    <row r="268" spans="9:14" x14ac:dyDescent="0.25">
      <c r="I268"/>
      <c r="J268"/>
      <c r="K268"/>
      <c r="L268"/>
      <c r="M268"/>
      <c r="N268"/>
    </row>
    <row r="269" spans="9:14" x14ac:dyDescent="0.25">
      <c r="I269"/>
      <c r="J269"/>
      <c r="K269"/>
      <c r="L269"/>
      <c r="M269"/>
      <c r="N269"/>
    </row>
    <row r="270" spans="9:14" x14ac:dyDescent="0.25">
      <c r="I270"/>
      <c r="J270"/>
      <c r="K270"/>
      <c r="L270"/>
      <c r="M270"/>
      <c r="N270"/>
    </row>
    <row r="271" spans="9:14" x14ac:dyDescent="0.25">
      <c r="I271"/>
      <c r="J271"/>
      <c r="K271"/>
      <c r="L271"/>
      <c r="M271"/>
      <c r="N271"/>
    </row>
    <row r="272" spans="9:14" x14ac:dyDescent="0.25">
      <c r="I272"/>
      <c r="J272"/>
      <c r="K272"/>
      <c r="L272"/>
      <c r="M272"/>
      <c r="N272"/>
    </row>
    <row r="273" spans="9:14" x14ac:dyDescent="0.25">
      <c r="I273"/>
      <c r="J273"/>
      <c r="K273"/>
      <c r="L273"/>
      <c r="M273"/>
      <c r="N273"/>
    </row>
    <row r="274" spans="9:14" x14ac:dyDescent="0.25">
      <c r="I274"/>
      <c r="J274"/>
      <c r="K274"/>
      <c r="L274"/>
      <c r="M274"/>
      <c r="N274"/>
    </row>
    <row r="275" spans="9:14" x14ac:dyDescent="0.25">
      <c r="I275"/>
      <c r="J275"/>
      <c r="K275"/>
      <c r="L275"/>
      <c r="M275"/>
      <c r="N275"/>
    </row>
    <row r="276" spans="9:14" x14ac:dyDescent="0.25">
      <c r="I276"/>
      <c r="J276"/>
      <c r="K276"/>
      <c r="L276"/>
      <c r="M276"/>
      <c r="N276"/>
    </row>
    <row r="277" spans="9:14" x14ac:dyDescent="0.25">
      <c r="I277"/>
      <c r="J277"/>
      <c r="K277"/>
      <c r="L277"/>
      <c r="M277"/>
      <c r="N277"/>
    </row>
    <row r="278" spans="9:14" x14ac:dyDescent="0.25">
      <c r="I278"/>
      <c r="J278"/>
      <c r="K278"/>
      <c r="L278"/>
      <c r="M278"/>
      <c r="N278"/>
    </row>
    <row r="279" spans="9:14" x14ac:dyDescent="0.25">
      <c r="I279"/>
      <c r="J279"/>
      <c r="K279"/>
      <c r="L279"/>
      <c r="M279"/>
      <c r="N279"/>
    </row>
    <row r="280" spans="9:14" x14ac:dyDescent="0.25">
      <c r="I280"/>
      <c r="J280"/>
      <c r="K280"/>
      <c r="L280"/>
      <c r="M280"/>
      <c r="N280"/>
    </row>
    <row r="281" spans="9:14" x14ac:dyDescent="0.25">
      <c r="I281"/>
      <c r="J281"/>
      <c r="K281"/>
      <c r="L281"/>
      <c r="M281"/>
      <c r="N281"/>
    </row>
    <row r="282" spans="9:14" x14ac:dyDescent="0.25">
      <c r="I282"/>
      <c r="J282"/>
      <c r="K282"/>
      <c r="L282"/>
      <c r="M282"/>
      <c r="N282"/>
    </row>
    <row r="283" spans="9:14" x14ac:dyDescent="0.25">
      <c r="I283"/>
      <c r="J283"/>
      <c r="K283"/>
      <c r="L283"/>
      <c r="M283"/>
      <c r="N283"/>
    </row>
    <row r="284" spans="9:14" x14ac:dyDescent="0.25">
      <c r="I284"/>
      <c r="J284"/>
      <c r="K284"/>
      <c r="L284"/>
      <c r="M284"/>
      <c r="N284"/>
    </row>
    <row r="285" spans="9:14" x14ac:dyDescent="0.25">
      <c r="I285"/>
      <c r="J285"/>
      <c r="K285"/>
      <c r="L285"/>
      <c r="M285"/>
      <c r="N285"/>
    </row>
    <row r="286" spans="9:14" x14ac:dyDescent="0.25">
      <c r="I286"/>
      <c r="J286"/>
      <c r="K286"/>
      <c r="L286"/>
      <c r="M286"/>
      <c r="N286"/>
    </row>
    <row r="287" spans="9:14" x14ac:dyDescent="0.25">
      <c r="I287"/>
      <c r="J287"/>
      <c r="K287"/>
      <c r="L287"/>
      <c r="M287"/>
      <c r="N287"/>
    </row>
    <row r="288" spans="9:14" x14ac:dyDescent="0.25">
      <c r="I288"/>
      <c r="J288"/>
      <c r="K288"/>
      <c r="L288"/>
      <c r="M288"/>
      <c r="N288"/>
    </row>
    <row r="289" spans="9:14" x14ac:dyDescent="0.25">
      <c r="I289"/>
      <c r="J289"/>
      <c r="K289"/>
      <c r="L289"/>
      <c r="M289"/>
      <c r="N289"/>
    </row>
    <row r="290" spans="9:14" x14ac:dyDescent="0.25">
      <c r="I290"/>
      <c r="J290"/>
      <c r="K290"/>
      <c r="L290"/>
      <c r="M290"/>
      <c r="N290"/>
    </row>
    <row r="291" spans="9:14" x14ac:dyDescent="0.25">
      <c r="I291"/>
      <c r="J291"/>
      <c r="K291"/>
      <c r="L291"/>
      <c r="M291"/>
      <c r="N291"/>
    </row>
    <row r="292" spans="9:14" x14ac:dyDescent="0.25">
      <c r="I292"/>
      <c r="J292"/>
      <c r="K292"/>
      <c r="L292"/>
      <c r="M292"/>
      <c r="N292"/>
    </row>
    <row r="293" spans="9:14" x14ac:dyDescent="0.25">
      <c r="I293"/>
      <c r="J293"/>
      <c r="K293"/>
      <c r="L293"/>
      <c r="M293"/>
      <c r="N293"/>
    </row>
    <row r="294" spans="9:14" x14ac:dyDescent="0.25">
      <c r="I294"/>
      <c r="J294"/>
      <c r="K294"/>
      <c r="L294"/>
      <c r="M294"/>
      <c r="N294"/>
    </row>
    <row r="295" spans="9:14" x14ac:dyDescent="0.25">
      <c r="I295"/>
      <c r="J295"/>
      <c r="K295"/>
      <c r="L295"/>
      <c r="M295"/>
      <c r="N295"/>
    </row>
    <row r="296" spans="9:14" x14ac:dyDescent="0.25">
      <c r="I296"/>
      <c r="J296"/>
      <c r="K296"/>
      <c r="L296"/>
      <c r="M296"/>
      <c r="N296"/>
    </row>
    <row r="297" spans="9:14" x14ac:dyDescent="0.25">
      <c r="I297"/>
      <c r="J297"/>
      <c r="K297"/>
      <c r="L297"/>
      <c r="M297"/>
      <c r="N297"/>
    </row>
    <row r="298" spans="9:14" x14ac:dyDescent="0.25">
      <c r="I298"/>
      <c r="J298"/>
      <c r="K298"/>
      <c r="L298"/>
      <c r="M298"/>
      <c r="N298"/>
    </row>
    <row r="299" spans="9:14" x14ac:dyDescent="0.25">
      <c r="I299"/>
      <c r="J299"/>
      <c r="K299"/>
      <c r="L299"/>
      <c r="M299"/>
      <c r="N299"/>
    </row>
    <row r="300" spans="9:14" x14ac:dyDescent="0.25">
      <c r="I300"/>
      <c r="J300"/>
      <c r="K300"/>
      <c r="L300"/>
      <c r="M300"/>
      <c r="N300"/>
    </row>
    <row r="301" spans="9:14" x14ac:dyDescent="0.25">
      <c r="I301"/>
      <c r="J301"/>
      <c r="K301"/>
      <c r="L301"/>
      <c r="M301"/>
      <c r="N301"/>
    </row>
    <row r="302" spans="9:14" x14ac:dyDescent="0.25">
      <c r="I302"/>
      <c r="J302"/>
      <c r="K302"/>
      <c r="L302"/>
      <c r="M302"/>
      <c r="N302"/>
    </row>
    <row r="303" spans="9:14" x14ac:dyDescent="0.25">
      <c r="I303"/>
      <c r="J303"/>
      <c r="K303"/>
      <c r="L303"/>
      <c r="M303"/>
      <c r="N303"/>
    </row>
    <row r="304" spans="9:14" x14ac:dyDescent="0.25">
      <c r="I304"/>
      <c r="J304"/>
      <c r="K304"/>
      <c r="L304"/>
      <c r="M304"/>
      <c r="N304"/>
    </row>
    <row r="305" spans="9:14" x14ac:dyDescent="0.25">
      <c r="I305"/>
      <c r="J305"/>
      <c r="K305"/>
      <c r="L305"/>
      <c r="M305"/>
      <c r="N305"/>
    </row>
    <row r="306" spans="9:14" x14ac:dyDescent="0.25">
      <c r="I306"/>
      <c r="J306"/>
      <c r="K306"/>
      <c r="L306"/>
      <c r="M306"/>
      <c r="N306"/>
    </row>
    <row r="307" spans="9:14" x14ac:dyDescent="0.25">
      <c r="I307"/>
      <c r="J307"/>
      <c r="K307"/>
      <c r="L307"/>
      <c r="M307"/>
      <c r="N307"/>
    </row>
    <row r="308" spans="9:14" x14ac:dyDescent="0.25">
      <c r="I308"/>
      <c r="J308"/>
      <c r="K308"/>
      <c r="L308"/>
      <c r="M308"/>
      <c r="N308"/>
    </row>
    <row r="309" spans="9:14" x14ac:dyDescent="0.25">
      <c r="I309"/>
      <c r="J309"/>
      <c r="K309"/>
      <c r="L309"/>
      <c r="M309"/>
      <c r="N309"/>
    </row>
    <row r="310" spans="9:14" x14ac:dyDescent="0.25">
      <c r="I310"/>
      <c r="J310"/>
      <c r="K310"/>
      <c r="L310"/>
      <c r="M310"/>
      <c r="N310"/>
    </row>
    <row r="311" spans="9:14" x14ac:dyDescent="0.25">
      <c r="I311"/>
      <c r="J311"/>
      <c r="K311"/>
      <c r="L311"/>
      <c r="M311"/>
      <c r="N311"/>
    </row>
    <row r="312" spans="9:14" x14ac:dyDescent="0.25">
      <c r="I312"/>
      <c r="J312"/>
      <c r="K312"/>
      <c r="L312"/>
      <c r="M312"/>
      <c r="N312"/>
    </row>
    <row r="313" spans="9:14" x14ac:dyDescent="0.25">
      <c r="I313"/>
      <c r="J313"/>
      <c r="K313"/>
      <c r="L313"/>
      <c r="M313"/>
      <c r="N313"/>
    </row>
    <row r="314" spans="9:14" x14ac:dyDescent="0.25">
      <c r="I314"/>
      <c r="J314"/>
      <c r="K314"/>
      <c r="L314"/>
      <c r="M314"/>
      <c r="N314"/>
    </row>
    <row r="315" spans="9:14" x14ac:dyDescent="0.25">
      <c r="I315"/>
      <c r="J315"/>
      <c r="K315"/>
      <c r="L315"/>
      <c r="M315"/>
      <c r="N315"/>
    </row>
    <row r="316" spans="9:14" x14ac:dyDescent="0.25">
      <c r="I316"/>
      <c r="J316"/>
      <c r="K316"/>
      <c r="L316"/>
      <c r="M316"/>
      <c r="N316"/>
    </row>
    <row r="317" spans="9:14" x14ac:dyDescent="0.25">
      <c r="I317"/>
      <c r="J317"/>
      <c r="K317"/>
      <c r="L317"/>
      <c r="M317"/>
      <c r="N317"/>
    </row>
    <row r="318" spans="9:14" x14ac:dyDescent="0.25">
      <c r="I318"/>
      <c r="J318"/>
      <c r="K318"/>
      <c r="L318"/>
      <c r="M318"/>
      <c r="N318"/>
    </row>
    <row r="319" spans="9:14" x14ac:dyDescent="0.25">
      <c r="I319"/>
      <c r="J319"/>
      <c r="K319"/>
      <c r="L319"/>
      <c r="M319"/>
      <c r="N319"/>
    </row>
    <row r="320" spans="9:14" x14ac:dyDescent="0.25">
      <c r="I320"/>
      <c r="J320"/>
      <c r="K320"/>
      <c r="L320"/>
      <c r="M320"/>
      <c r="N320"/>
    </row>
    <row r="321" spans="9:14" x14ac:dyDescent="0.25">
      <c r="I321"/>
      <c r="J321"/>
      <c r="K321"/>
      <c r="L321"/>
      <c r="M321"/>
      <c r="N321"/>
    </row>
    <row r="322" spans="9:14" x14ac:dyDescent="0.25">
      <c r="I322"/>
      <c r="J322"/>
      <c r="K322"/>
      <c r="L322"/>
      <c r="M322"/>
      <c r="N322"/>
    </row>
    <row r="323" spans="9:14" x14ac:dyDescent="0.25">
      <c r="I323"/>
      <c r="J323"/>
      <c r="K323"/>
      <c r="L323"/>
      <c r="M323"/>
      <c r="N323"/>
    </row>
    <row r="324" spans="9:14" x14ac:dyDescent="0.25">
      <c r="I324"/>
      <c r="J324"/>
      <c r="K324"/>
      <c r="L324"/>
      <c r="M324"/>
      <c r="N324"/>
    </row>
    <row r="325" spans="9:14" x14ac:dyDescent="0.25">
      <c r="I325"/>
      <c r="J325"/>
      <c r="K325"/>
      <c r="L325"/>
      <c r="M325"/>
      <c r="N325"/>
    </row>
    <row r="326" spans="9:14" x14ac:dyDescent="0.25">
      <c r="I326"/>
      <c r="J326"/>
      <c r="K326"/>
      <c r="L326"/>
      <c r="M326"/>
      <c r="N326"/>
    </row>
    <row r="327" spans="9:14" x14ac:dyDescent="0.25">
      <c r="I327"/>
      <c r="J327"/>
      <c r="K327"/>
      <c r="L327"/>
      <c r="M327"/>
      <c r="N327"/>
    </row>
    <row r="328" spans="9:14" x14ac:dyDescent="0.25">
      <c r="I328"/>
      <c r="J328"/>
      <c r="K328"/>
      <c r="L328"/>
      <c r="M328"/>
      <c r="N328"/>
    </row>
    <row r="329" spans="9:14" x14ac:dyDescent="0.25">
      <c r="I329"/>
      <c r="J329"/>
      <c r="K329"/>
      <c r="L329"/>
      <c r="M329"/>
      <c r="N329"/>
    </row>
    <row r="330" spans="9:14" x14ac:dyDescent="0.25">
      <c r="I330"/>
      <c r="J330"/>
      <c r="K330"/>
      <c r="L330"/>
      <c r="M330"/>
      <c r="N330"/>
    </row>
    <row r="331" spans="9:14" x14ac:dyDescent="0.25">
      <c r="I331"/>
      <c r="J331"/>
      <c r="K331"/>
      <c r="L331"/>
      <c r="M331"/>
      <c r="N331"/>
    </row>
    <row r="332" spans="9:14" x14ac:dyDescent="0.25">
      <c r="I332"/>
      <c r="J332"/>
      <c r="K332"/>
      <c r="L332"/>
      <c r="M332"/>
      <c r="N332"/>
    </row>
    <row r="333" spans="9:14" x14ac:dyDescent="0.25">
      <c r="I333"/>
      <c r="J333"/>
      <c r="K333"/>
      <c r="L333"/>
      <c r="M333"/>
      <c r="N333"/>
    </row>
    <row r="334" spans="9:14" x14ac:dyDescent="0.25">
      <c r="I334"/>
      <c r="J334"/>
      <c r="K334"/>
      <c r="L334"/>
      <c r="M334"/>
      <c r="N334"/>
    </row>
    <row r="335" spans="9:14" x14ac:dyDescent="0.25">
      <c r="I335"/>
      <c r="J335"/>
      <c r="K335"/>
      <c r="L335"/>
      <c r="M335"/>
      <c r="N335"/>
    </row>
    <row r="336" spans="9:14" x14ac:dyDescent="0.25">
      <c r="I336"/>
      <c r="J336"/>
      <c r="K336"/>
      <c r="L336"/>
      <c r="M336"/>
      <c r="N336"/>
    </row>
    <row r="337" spans="9:14" x14ac:dyDescent="0.25">
      <c r="I337"/>
      <c r="J337"/>
      <c r="K337"/>
      <c r="L337"/>
      <c r="M337"/>
      <c r="N337"/>
    </row>
    <row r="338" spans="9:14" x14ac:dyDescent="0.25">
      <c r="I338"/>
      <c r="J338"/>
      <c r="K338"/>
      <c r="L338"/>
      <c r="M338"/>
      <c r="N338"/>
    </row>
    <row r="339" spans="9:14" x14ac:dyDescent="0.25">
      <c r="I339"/>
      <c r="J339"/>
      <c r="K339"/>
      <c r="L339"/>
      <c r="M339"/>
      <c r="N339"/>
    </row>
    <row r="340" spans="9:14" x14ac:dyDescent="0.25">
      <c r="I340"/>
      <c r="J340"/>
      <c r="K340"/>
      <c r="L340"/>
      <c r="M340"/>
      <c r="N340"/>
    </row>
    <row r="341" spans="9:14" x14ac:dyDescent="0.25">
      <c r="I341"/>
      <c r="J341"/>
      <c r="K341"/>
      <c r="L341"/>
      <c r="M341"/>
      <c r="N341"/>
    </row>
    <row r="342" spans="9:14" x14ac:dyDescent="0.25">
      <c r="I342"/>
      <c r="J342"/>
      <c r="K342"/>
      <c r="L342"/>
      <c r="M342"/>
      <c r="N342"/>
    </row>
    <row r="343" spans="9:14" x14ac:dyDescent="0.25">
      <c r="I343"/>
      <c r="J343"/>
      <c r="K343"/>
      <c r="L343"/>
      <c r="M343"/>
      <c r="N343"/>
    </row>
    <row r="344" spans="9:14" x14ac:dyDescent="0.25">
      <c r="I344"/>
      <c r="J344"/>
      <c r="K344"/>
      <c r="L344"/>
      <c r="M344"/>
      <c r="N344"/>
    </row>
    <row r="345" spans="9:14" x14ac:dyDescent="0.25">
      <c r="I345"/>
      <c r="J345"/>
      <c r="K345"/>
      <c r="L345"/>
      <c r="M345"/>
      <c r="N345"/>
    </row>
    <row r="346" spans="9:14" x14ac:dyDescent="0.25">
      <c r="I346"/>
      <c r="J346"/>
      <c r="K346"/>
      <c r="L346"/>
      <c r="M346"/>
      <c r="N346"/>
    </row>
    <row r="347" spans="9:14" x14ac:dyDescent="0.25">
      <c r="I347"/>
      <c r="J347"/>
      <c r="K347"/>
      <c r="L347"/>
      <c r="M347"/>
      <c r="N347"/>
    </row>
    <row r="348" spans="9:14" x14ac:dyDescent="0.25">
      <c r="I348"/>
      <c r="J348"/>
      <c r="K348"/>
      <c r="L348"/>
      <c r="M348"/>
      <c r="N348"/>
    </row>
    <row r="349" spans="9:14" x14ac:dyDescent="0.25">
      <c r="I349"/>
      <c r="J349"/>
      <c r="K349"/>
      <c r="L349"/>
      <c r="M349"/>
      <c r="N349"/>
    </row>
    <row r="350" spans="9:14" x14ac:dyDescent="0.25">
      <c r="I350"/>
      <c r="J350"/>
      <c r="K350"/>
      <c r="L350"/>
      <c r="M350"/>
      <c r="N350"/>
    </row>
    <row r="351" spans="9:14" x14ac:dyDescent="0.25">
      <c r="I351"/>
      <c r="J351"/>
      <c r="K351"/>
      <c r="L351"/>
      <c r="M351"/>
      <c r="N351"/>
    </row>
    <row r="352" spans="9:14" x14ac:dyDescent="0.25">
      <c r="I352"/>
      <c r="J352"/>
      <c r="K352"/>
      <c r="L352"/>
      <c r="M352"/>
      <c r="N352"/>
    </row>
    <row r="353" spans="9:14" x14ac:dyDescent="0.25">
      <c r="I353"/>
      <c r="J353"/>
      <c r="K353"/>
      <c r="L353"/>
      <c r="M353"/>
      <c r="N353"/>
    </row>
    <row r="354" spans="9:14" x14ac:dyDescent="0.25">
      <c r="I354"/>
      <c r="J354"/>
      <c r="K354"/>
      <c r="L354"/>
      <c r="M354"/>
      <c r="N354"/>
    </row>
    <row r="355" spans="9:14" x14ac:dyDescent="0.25">
      <c r="I355"/>
      <c r="J355"/>
      <c r="K355"/>
      <c r="L355"/>
      <c r="M355"/>
      <c r="N355"/>
    </row>
    <row r="356" spans="9:14" x14ac:dyDescent="0.25">
      <c r="I356"/>
      <c r="J356"/>
      <c r="K356"/>
      <c r="L356"/>
      <c r="M356"/>
      <c r="N356"/>
    </row>
    <row r="357" spans="9:14" x14ac:dyDescent="0.25">
      <c r="I357"/>
      <c r="J357"/>
      <c r="K357"/>
      <c r="L357"/>
      <c r="M357"/>
      <c r="N357"/>
    </row>
    <row r="358" spans="9:14" x14ac:dyDescent="0.25">
      <c r="I358"/>
      <c r="J358"/>
      <c r="K358"/>
      <c r="L358"/>
      <c r="M358"/>
      <c r="N358"/>
    </row>
    <row r="359" spans="9:14" x14ac:dyDescent="0.25">
      <c r="I359"/>
      <c r="J359"/>
      <c r="K359"/>
      <c r="L359"/>
      <c r="M359"/>
      <c r="N359"/>
    </row>
    <row r="360" spans="9:14" x14ac:dyDescent="0.25">
      <c r="I360"/>
      <c r="J360"/>
      <c r="K360"/>
      <c r="L360"/>
      <c r="M360"/>
      <c r="N360"/>
    </row>
    <row r="361" spans="9:14" x14ac:dyDescent="0.25">
      <c r="I361"/>
      <c r="J361"/>
      <c r="K361"/>
      <c r="L361"/>
      <c r="M361"/>
      <c r="N361"/>
    </row>
    <row r="362" spans="9:14" x14ac:dyDescent="0.25">
      <c r="I362"/>
      <c r="J362"/>
      <c r="K362"/>
      <c r="L362"/>
      <c r="M362"/>
      <c r="N362"/>
    </row>
    <row r="363" spans="9:14" x14ac:dyDescent="0.25">
      <c r="I363"/>
      <c r="J363"/>
      <c r="K363"/>
      <c r="L363"/>
      <c r="M363"/>
      <c r="N363"/>
    </row>
    <row r="364" spans="9:14" x14ac:dyDescent="0.25">
      <c r="I364"/>
      <c r="J364"/>
      <c r="K364"/>
      <c r="L364"/>
      <c r="M364"/>
      <c r="N364"/>
    </row>
    <row r="365" spans="9:14" x14ac:dyDescent="0.25">
      <c r="I365"/>
      <c r="J365"/>
      <c r="K365"/>
      <c r="L365"/>
      <c r="M365"/>
      <c r="N365"/>
    </row>
    <row r="366" spans="9:14" x14ac:dyDescent="0.25">
      <c r="I366"/>
      <c r="J366"/>
      <c r="K366"/>
      <c r="L366"/>
      <c r="M366"/>
      <c r="N366"/>
    </row>
    <row r="367" spans="9:14" x14ac:dyDescent="0.25">
      <c r="I367"/>
      <c r="J367"/>
      <c r="K367"/>
      <c r="L367"/>
      <c r="M367"/>
      <c r="N367"/>
    </row>
    <row r="368" spans="9:14" x14ac:dyDescent="0.25">
      <c r="I368"/>
      <c r="J368"/>
      <c r="K368"/>
      <c r="L368"/>
      <c r="M368"/>
      <c r="N368"/>
    </row>
    <row r="369" spans="9:14" x14ac:dyDescent="0.25">
      <c r="I369"/>
      <c r="J369"/>
      <c r="K369"/>
      <c r="L369"/>
      <c r="M369"/>
      <c r="N369"/>
    </row>
    <row r="370" spans="9:14" x14ac:dyDescent="0.25">
      <c r="I370"/>
      <c r="J370"/>
      <c r="K370"/>
      <c r="L370"/>
      <c r="M370"/>
      <c r="N370"/>
    </row>
    <row r="371" spans="9:14" x14ac:dyDescent="0.25">
      <c r="I371"/>
      <c r="J371"/>
      <c r="K371"/>
      <c r="L371"/>
      <c r="M371"/>
      <c r="N371"/>
    </row>
    <row r="372" spans="9:14" x14ac:dyDescent="0.25">
      <c r="I372"/>
      <c r="J372"/>
      <c r="K372"/>
      <c r="L372"/>
      <c r="M372"/>
      <c r="N372"/>
    </row>
    <row r="373" spans="9:14" x14ac:dyDescent="0.25">
      <c r="I373"/>
      <c r="J373"/>
      <c r="K373"/>
      <c r="L373"/>
      <c r="M373"/>
      <c r="N373"/>
    </row>
    <row r="374" spans="9:14" x14ac:dyDescent="0.25">
      <c r="I374"/>
      <c r="J374"/>
      <c r="K374"/>
      <c r="L374"/>
      <c r="M374"/>
      <c r="N374"/>
    </row>
    <row r="375" spans="9:14" x14ac:dyDescent="0.25">
      <c r="I375"/>
      <c r="J375"/>
      <c r="K375"/>
      <c r="L375"/>
      <c r="M375"/>
      <c r="N375"/>
    </row>
    <row r="376" spans="9:14" x14ac:dyDescent="0.25">
      <c r="I376"/>
      <c r="J376"/>
      <c r="K376"/>
      <c r="L376"/>
      <c r="M376"/>
      <c r="N376"/>
    </row>
    <row r="377" spans="9:14" x14ac:dyDescent="0.25">
      <c r="I377"/>
      <c r="J377"/>
      <c r="K377"/>
      <c r="L377"/>
      <c r="M377"/>
      <c r="N377"/>
    </row>
    <row r="378" spans="9:14" x14ac:dyDescent="0.25">
      <c r="I378"/>
      <c r="J378"/>
      <c r="K378"/>
      <c r="L378"/>
      <c r="M378"/>
      <c r="N378"/>
    </row>
    <row r="379" spans="9:14" x14ac:dyDescent="0.25">
      <c r="I379"/>
      <c r="J379"/>
      <c r="K379"/>
      <c r="L379"/>
      <c r="M379"/>
      <c r="N379"/>
    </row>
    <row r="380" spans="9:14" x14ac:dyDescent="0.25">
      <c r="J380"/>
      <c r="K380"/>
      <c r="L380"/>
      <c r="M380"/>
      <c r="N380"/>
    </row>
    <row r="381" spans="9:14" x14ac:dyDescent="0.25">
      <c r="J381"/>
      <c r="K381"/>
      <c r="L381"/>
      <c r="M381"/>
      <c r="N381"/>
    </row>
    <row r="382" spans="9:14" x14ac:dyDescent="0.25">
      <c r="J382"/>
      <c r="K382"/>
      <c r="L382"/>
      <c r="M382"/>
      <c r="N382"/>
    </row>
    <row r="383" spans="9:14" x14ac:dyDescent="0.25">
      <c r="J383"/>
      <c r="K383"/>
      <c r="L383"/>
      <c r="M383"/>
      <c r="N383"/>
    </row>
    <row r="384" spans="9:14" x14ac:dyDescent="0.25">
      <c r="J384"/>
      <c r="K384"/>
      <c r="L384"/>
      <c r="M384"/>
      <c r="N384"/>
    </row>
    <row r="385" spans="10:14" x14ac:dyDescent="0.25">
      <c r="J385"/>
      <c r="K385"/>
      <c r="L385"/>
      <c r="M385"/>
      <c r="N385"/>
    </row>
    <row r="386" spans="10:14" x14ac:dyDescent="0.25">
      <c r="J386"/>
      <c r="K386"/>
      <c r="L386"/>
      <c r="M386"/>
      <c r="N386"/>
    </row>
    <row r="387" spans="10:14" x14ac:dyDescent="0.25">
      <c r="J387"/>
      <c r="K387"/>
      <c r="L387"/>
      <c r="M387"/>
      <c r="N387"/>
    </row>
    <row r="388" spans="10:14" x14ac:dyDescent="0.25">
      <c r="J388"/>
      <c r="K388"/>
      <c r="L388"/>
      <c r="M388"/>
      <c r="N388"/>
    </row>
    <row r="389" spans="10:14" x14ac:dyDescent="0.25">
      <c r="J389"/>
      <c r="K389"/>
      <c r="L389"/>
      <c r="M389"/>
      <c r="N389"/>
    </row>
    <row r="390" spans="10:14" x14ac:dyDescent="0.25">
      <c r="J390"/>
      <c r="K390"/>
      <c r="L390"/>
      <c r="M390"/>
      <c r="N390"/>
    </row>
    <row r="391" spans="10:14" x14ac:dyDescent="0.25">
      <c r="J391"/>
      <c r="K391"/>
      <c r="L391"/>
      <c r="M391"/>
      <c r="N391"/>
    </row>
    <row r="392" spans="10:14" x14ac:dyDescent="0.25">
      <c r="J392"/>
      <c r="K392"/>
      <c r="L392"/>
      <c r="M392"/>
      <c r="N392"/>
    </row>
    <row r="393" spans="10:14" x14ac:dyDescent="0.25">
      <c r="J393"/>
      <c r="K393"/>
      <c r="L393"/>
      <c r="M393"/>
      <c r="N393"/>
    </row>
    <row r="394" spans="10:14" x14ac:dyDescent="0.25">
      <c r="J394"/>
      <c r="K394"/>
      <c r="L394"/>
      <c r="M394"/>
      <c r="N394"/>
    </row>
    <row r="395" spans="10:14" x14ac:dyDescent="0.25">
      <c r="J395"/>
      <c r="K395"/>
      <c r="L395"/>
      <c r="M395"/>
      <c r="N395"/>
    </row>
    <row r="396" spans="10:14" x14ac:dyDescent="0.25">
      <c r="J396"/>
      <c r="K396"/>
      <c r="L396"/>
      <c r="M396"/>
      <c r="N396"/>
    </row>
    <row r="397" spans="10:14" x14ac:dyDescent="0.25">
      <c r="J397"/>
      <c r="K397"/>
      <c r="L397"/>
      <c r="M397"/>
      <c r="N397"/>
    </row>
    <row r="398" spans="10:14" x14ac:dyDescent="0.25">
      <c r="J398"/>
      <c r="K398"/>
      <c r="L398"/>
      <c r="M398"/>
      <c r="N398"/>
    </row>
    <row r="399" spans="10:14" x14ac:dyDescent="0.25">
      <c r="J399"/>
      <c r="K399"/>
      <c r="L399"/>
      <c r="M399"/>
      <c r="N399"/>
    </row>
    <row r="400" spans="10:14" x14ac:dyDescent="0.25">
      <c r="J400"/>
      <c r="K400"/>
      <c r="L400"/>
      <c r="M400"/>
      <c r="N400"/>
    </row>
    <row r="401" spans="10:14" x14ac:dyDescent="0.25">
      <c r="J401"/>
      <c r="K401"/>
      <c r="L401"/>
      <c r="M401"/>
      <c r="N401"/>
    </row>
    <row r="402" spans="10:14" x14ac:dyDescent="0.25">
      <c r="J402"/>
      <c r="K402"/>
      <c r="L402"/>
      <c r="M402"/>
      <c r="N402"/>
    </row>
    <row r="403" spans="10:14" x14ac:dyDescent="0.25">
      <c r="J403"/>
      <c r="K403"/>
      <c r="L403"/>
      <c r="M403"/>
      <c r="N403"/>
    </row>
    <row r="404" spans="10:14" x14ac:dyDescent="0.25">
      <c r="J404"/>
      <c r="K404"/>
      <c r="L404"/>
      <c r="M404"/>
      <c r="N404"/>
    </row>
    <row r="405" spans="10:14" x14ac:dyDescent="0.25">
      <c r="J405"/>
      <c r="K405"/>
      <c r="L405"/>
      <c r="M405"/>
      <c r="N405"/>
    </row>
    <row r="406" spans="10:14" x14ac:dyDescent="0.25">
      <c r="J406"/>
      <c r="K406"/>
      <c r="L406"/>
      <c r="M406"/>
      <c r="N406"/>
    </row>
    <row r="407" spans="10:14" x14ac:dyDescent="0.25">
      <c r="J407"/>
      <c r="K407"/>
      <c r="L407"/>
      <c r="M407"/>
      <c r="N407"/>
    </row>
    <row r="408" spans="10:14" x14ac:dyDescent="0.25">
      <c r="J408"/>
      <c r="K408"/>
      <c r="L408"/>
      <c r="M408"/>
      <c r="N408"/>
    </row>
    <row r="409" spans="10:14" x14ac:dyDescent="0.25">
      <c r="J409"/>
      <c r="K409"/>
      <c r="L409"/>
      <c r="M409"/>
      <c r="N409"/>
    </row>
    <row r="410" spans="10:14" x14ac:dyDescent="0.25">
      <c r="J410"/>
      <c r="K410"/>
      <c r="L410"/>
      <c r="M410"/>
      <c r="N410"/>
    </row>
    <row r="411" spans="10:14" x14ac:dyDescent="0.25">
      <c r="J411"/>
      <c r="K411"/>
      <c r="L411"/>
      <c r="M411"/>
      <c r="N411"/>
    </row>
    <row r="412" spans="10:14" x14ac:dyDescent="0.25">
      <c r="J412"/>
      <c r="K412"/>
      <c r="L412"/>
      <c r="M412"/>
      <c r="N412"/>
    </row>
    <row r="413" spans="10:14" x14ac:dyDescent="0.25">
      <c r="J413"/>
      <c r="K413"/>
      <c r="L413"/>
      <c r="M413"/>
      <c r="N413"/>
    </row>
    <row r="414" spans="10:14" x14ac:dyDescent="0.25">
      <c r="J414"/>
      <c r="K414"/>
      <c r="L414"/>
      <c r="M414"/>
      <c r="N414"/>
    </row>
    <row r="415" spans="10:14" x14ac:dyDescent="0.25">
      <c r="J415"/>
      <c r="K415"/>
      <c r="L415"/>
      <c r="M415"/>
      <c r="N415"/>
    </row>
    <row r="416" spans="10:14" x14ac:dyDescent="0.25">
      <c r="J416"/>
      <c r="K416"/>
      <c r="L416"/>
      <c r="M416"/>
      <c r="N416"/>
    </row>
    <row r="417" spans="10:14" x14ac:dyDescent="0.25">
      <c r="J417"/>
      <c r="K417"/>
      <c r="L417"/>
      <c r="M417"/>
      <c r="N417"/>
    </row>
    <row r="418" spans="10:14" x14ac:dyDescent="0.25">
      <c r="J418"/>
      <c r="K418"/>
      <c r="L418"/>
      <c r="M418"/>
      <c r="N418"/>
    </row>
    <row r="419" spans="10:14" x14ac:dyDescent="0.25">
      <c r="J419"/>
      <c r="K419"/>
      <c r="L419"/>
      <c r="M419"/>
      <c r="N419"/>
    </row>
    <row r="420" spans="10:14" x14ac:dyDescent="0.25">
      <c r="J420"/>
      <c r="K420"/>
      <c r="L420"/>
      <c r="M420"/>
      <c r="N420"/>
    </row>
    <row r="421" spans="10:14" x14ac:dyDescent="0.25">
      <c r="J421"/>
      <c r="K421"/>
      <c r="L421"/>
      <c r="M421"/>
      <c r="N421"/>
    </row>
    <row r="422" spans="10:14" x14ac:dyDescent="0.25">
      <c r="J422"/>
      <c r="K422"/>
      <c r="L422"/>
      <c r="M422"/>
      <c r="N422"/>
    </row>
    <row r="423" spans="10:14" x14ac:dyDescent="0.25">
      <c r="J423"/>
      <c r="K423"/>
      <c r="L423"/>
      <c r="M423"/>
      <c r="N423"/>
    </row>
    <row r="424" spans="10:14" x14ac:dyDescent="0.25">
      <c r="J424"/>
      <c r="K424"/>
      <c r="L424"/>
      <c r="M424"/>
      <c r="N424"/>
    </row>
    <row r="425" spans="10:14" x14ac:dyDescent="0.25">
      <c r="J425"/>
      <c r="K425"/>
      <c r="L425"/>
      <c r="M425"/>
      <c r="N425"/>
    </row>
    <row r="426" spans="10:14" x14ac:dyDescent="0.25">
      <c r="J426"/>
      <c r="K426"/>
      <c r="L426"/>
      <c r="M426"/>
      <c r="N426"/>
    </row>
    <row r="427" spans="10:14" x14ac:dyDescent="0.25">
      <c r="J427"/>
      <c r="K427"/>
      <c r="L427"/>
      <c r="M427"/>
      <c r="N427"/>
    </row>
    <row r="428" spans="10:14" x14ac:dyDescent="0.25">
      <c r="J428"/>
      <c r="K428"/>
      <c r="L428"/>
      <c r="M428"/>
      <c r="N428"/>
    </row>
    <row r="429" spans="10:14" x14ac:dyDescent="0.25">
      <c r="J429"/>
      <c r="K429"/>
      <c r="L429"/>
      <c r="M429"/>
      <c r="N429"/>
    </row>
    <row r="430" spans="10:14" x14ac:dyDescent="0.25">
      <c r="J430"/>
      <c r="K430"/>
      <c r="L430"/>
      <c r="M430"/>
      <c r="N430"/>
    </row>
    <row r="431" spans="10:14" x14ac:dyDescent="0.25">
      <c r="J431"/>
      <c r="K431"/>
      <c r="L431"/>
      <c r="M431"/>
      <c r="N431"/>
    </row>
    <row r="432" spans="10:14" x14ac:dyDescent="0.25">
      <c r="J432"/>
      <c r="K432"/>
      <c r="L432"/>
      <c r="M432"/>
      <c r="N432"/>
    </row>
    <row r="433" spans="10:14" x14ac:dyDescent="0.25">
      <c r="J433"/>
      <c r="K433"/>
      <c r="L433"/>
      <c r="M433"/>
      <c r="N433"/>
    </row>
    <row r="434" spans="10:14" x14ac:dyDescent="0.25">
      <c r="J434"/>
      <c r="K434"/>
      <c r="L434"/>
      <c r="M434"/>
      <c r="N434"/>
    </row>
    <row r="435" spans="10:14" x14ac:dyDescent="0.25">
      <c r="J435"/>
      <c r="K435"/>
      <c r="L435"/>
      <c r="M435"/>
      <c r="N435"/>
    </row>
    <row r="436" spans="10:14" x14ac:dyDescent="0.25">
      <c r="J436"/>
      <c r="K436"/>
      <c r="L436"/>
      <c r="M436"/>
      <c r="N436"/>
    </row>
  </sheetData>
  <mergeCells count="1">
    <mergeCell ref="A9:H9"/>
  </mergeCells>
  <printOptions horizontalCentered="1"/>
  <pageMargins left="0" right="0" top="0.39370078740157483" bottom="0" header="0.31496062992125984" footer="0.31496062992125984"/>
  <pageSetup paperSize="9" scale="65" orientation="landscape"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3"/>
  <sheetViews>
    <sheetView showGridLines="0" zoomScale="78" zoomScaleNormal="78" workbookViewId="0">
      <selection activeCell="E32" sqref="E32"/>
    </sheetView>
  </sheetViews>
  <sheetFormatPr defaultRowHeight="15" x14ac:dyDescent="0.25"/>
  <cols>
    <col min="1" max="1" width="5.5703125" customWidth="1"/>
    <col min="2" max="2" width="12.42578125" style="8" customWidth="1"/>
    <col min="3" max="3" width="30.28515625" customWidth="1"/>
    <col min="4" max="4" width="31.140625" customWidth="1"/>
    <col min="5" max="5" width="18.7109375" customWidth="1"/>
    <col min="6" max="6" width="14.5703125" style="9" customWidth="1"/>
    <col min="7" max="7" width="17.85546875" customWidth="1"/>
    <col min="8" max="8" width="13.140625" customWidth="1"/>
    <col min="9" max="9" width="15.140625" style="11" hidden="1" customWidth="1"/>
    <col min="10" max="10" width="13.42578125" style="11" hidden="1" customWidth="1"/>
    <col min="11" max="11" width="13.28515625" style="11" hidden="1" customWidth="1"/>
    <col min="12" max="12" width="18.28515625" style="11" customWidth="1"/>
    <col min="13" max="13" width="14.28515625" style="11" customWidth="1"/>
    <col min="14" max="14" width="12.7109375" style="11" customWidth="1"/>
  </cols>
  <sheetData>
    <row r="1" spans="1:25" ht="39.75" customHeight="1" x14ac:dyDescent="0.25">
      <c r="A1" s="1033" t="s">
        <v>4056</v>
      </c>
      <c r="B1" s="1033"/>
      <c r="C1" s="1033"/>
      <c r="D1" s="1033"/>
      <c r="E1" s="1033"/>
      <c r="F1" s="1033"/>
      <c r="G1" s="1033"/>
      <c r="H1" s="1033"/>
      <c r="I1" s="1033"/>
      <c r="J1" s="1033"/>
      <c r="K1" s="1033"/>
      <c r="L1" s="1033"/>
      <c r="M1" s="1033"/>
      <c r="N1" s="1033"/>
    </row>
    <row r="2" spans="1:25" ht="71.25" customHeight="1" x14ac:dyDescent="0.25">
      <c r="A2" s="252" t="s">
        <v>6</v>
      </c>
      <c r="B2" s="250" t="s">
        <v>0</v>
      </c>
      <c r="C2" s="251" t="s">
        <v>7</v>
      </c>
      <c r="D2" s="252" t="s">
        <v>8</v>
      </c>
      <c r="E2" s="252" t="s">
        <v>9</v>
      </c>
      <c r="F2" s="253" t="s">
        <v>10</v>
      </c>
      <c r="G2" s="252" t="s">
        <v>11</v>
      </c>
      <c r="H2" s="254" t="s">
        <v>138</v>
      </c>
      <c r="I2" s="255" t="s">
        <v>49</v>
      </c>
      <c r="J2" s="256" t="s">
        <v>1</v>
      </c>
      <c r="K2" s="256" t="s">
        <v>40</v>
      </c>
      <c r="L2" s="391" t="s">
        <v>2</v>
      </c>
      <c r="M2" s="258" t="s">
        <v>560</v>
      </c>
      <c r="N2" s="258" t="s">
        <v>374</v>
      </c>
    </row>
    <row r="3" spans="1:25" s="10" customFormat="1" x14ac:dyDescent="0.25">
      <c r="A3" s="55">
        <v>1</v>
      </c>
      <c r="B3" s="79">
        <v>44358</v>
      </c>
      <c r="C3" s="610" t="s">
        <v>1067</v>
      </c>
      <c r="D3" s="33" t="s">
        <v>903</v>
      </c>
      <c r="E3" s="390" t="s">
        <v>462</v>
      </c>
      <c r="F3" s="100">
        <v>350000</v>
      </c>
      <c r="G3" s="55" t="s">
        <v>923</v>
      </c>
      <c r="H3" s="338">
        <v>44363</v>
      </c>
      <c r="I3" s="122">
        <f>F3</f>
        <v>350000</v>
      </c>
      <c r="J3" s="387"/>
      <c r="K3" s="387"/>
      <c r="L3" s="392">
        <f t="shared" ref="L3:L22" si="0">I3-J3-K3</f>
        <v>350000</v>
      </c>
      <c r="M3" s="122"/>
      <c r="N3" s="320">
        <v>44377</v>
      </c>
      <c r="O3"/>
      <c r="P3"/>
      <c r="Q3"/>
      <c r="R3"/>
      <c r="S3"/>
      <c r="T3"/>
      <c r="U3"/>
      <c r="V3"/>
      <c r="W3"/>
      <c r="X3"/>
      <c r="Y3"/>
    </row>
    <row r="4" spans="1:25" s="10" customFormat="1" x14ac:dyDescent="0.25">
      <c r="A4" s="55">
        <v>2</v>
      </c>
      <c r="B4" s="79">
        <v>44361</v>
      </c>
      <c r="C4" s="610" t="s">
        <v>1061</v>
      </c>
      <c r="D4" s="33" t="s">
        <v>903</v>
      </c>
      <c r="E4" s="390" t="s">
        <v>730</v>
      </c>
      <c r="F4" s="100">
        <v>150000</v>
      </c>
      <c r="G4" s="55" t="s">
        <v>902</v>
      </c>
      <c r="H4" s="338">
        <v>44370</v>
      </c>
      <c r="I4" s="122">
        <f t="shared" ref="I4:I22" si="1">F4</f>
        <v>150000</v>
      </c>
      <c r="J4" s="387"/>
      <c r="K4" s="387"/>
      <c r="L4" s="392">
        <f t="shared" si="0"/>
        <v>150000</v>
      </c>
      <c r="M4" s="122"/>
      <c r="N4" s="320">
        <v>44384</v>
      </c>
      <c r="O4"/>
      <c r="P4"/>
      <c r="Q4"/>
      <c r="R4"/>
      <c r="S4"/>
      <c r="T4"/>
      <c r="U4"/>
      <c r="V4"/>
      <c r="W4"/>
      <c r="X4"/>
      <c r="Y4"/>
    </row>
    <row r="5" spans="1:25" s="10" customFormat="1" ht="15.75" x14ac:dyDescent="0.25">
      <c r="A5" s="55">
        <f t="shared" ref="A5:A22" si="2">A4+1</f>
        <v>3</v>
      </c>
      <c r="B5" s="79">
        <v>44382</v>
      </c>
      <c r="C5" s="491" t="s">
        <v>1412</v>
      </c>
      <c r="D5" s="33" t="s">
        <v>903</v>
      </c>
      <c r="E5" s="390" t="s">
        <v>171</v>
      </c>
      <c r="F5" s="388">
        <v>260400</v>
      </c>
      <c r="G5" s="389" t="s">
        <v>898</v>
      </c>
      <c r="H5" s="338">
        <v>44391</v>
      </c>
      <c r="I5" s="122">
        <f t="shared" si="1"/>
        <v>260400</v>
      </c>
      <c r="J5" s="122"/>
      <c r="K5" s="122"/>
      <c r="L5" s="392">
        <f t="shared" si="0"/>
        <v>260400</v>
      </c>
      <c r="M5" s="122"/>
      <c r="N5" s="320">
        <v>44405</v>
      </c>
      <c r="O5"/>
      <c r="P5"/>
      <c r="Q5"/>
      <c r="R5"/>
      <c r="S5"/>
      <c r="T5"/>
      <c r="U5"/>
      <c r="V5"/>
      <c r="W5"/>
      <c r="X5"/>
      <c r="Y5"/>
    </row>
    <row r="6" spans="1:25" s="10" customFormat="1" x14ac:dyDescent="0.25">
      <c r="A6" s="55">
        <f t="shared" si="2"/>
        <v>4</v>
      </c>
      <c r="B6" s="79">
        <v>44398</v>
      </c>
      <c r="C6" s="611" t="s">
        <v>1434</v>
      </c>
      <c r="D6" s="33" t="s">
        <v>903</v>
      </c>
      <c r="E6" s="390" t="s">
        <v>1256</v>
      </c>
      <c r="F6" s="388">
        <v>60000</v>
      </c>
      <c r="G6" s="389" t="s">
        <v>900</v>
      </c>
      <c r="H6" s="338">
        <v>44401</v>
      </c>
      <c r="I6" s="122">
        <f t="shared" si="1"/>
        <v>60000</v>
      </c>
      <c r="J6" s="122"/>
      <c r="K6" s="122"/>
      <c r="L6" s="392">
        <f t="shared" si="0"/>
        <v>60000</v>
      </c>
      <c r="M6" s="122"/>
      <c r="N6" s="320">
        <v>44415</v>
      </c>
      <c r="O6"/>
      <c r="P6"/>
      <c r="Q6"/>
      <c r="R6"/>
      <c r="S6"/>
      <c r="T6"/>
      <c r="U6"/>
      <c r="V6"/>
      <c r="W6"/>
      <c r="X6"/>
      <c r="Y6"/>
    </row>
    <row r="7" spans="1:25" s="10" customFormat="1" ht="15.75" x14ac:dyDescent="0.25">
      <c r="A7" s="55">
        <f t="shared" si="2"/>
        <v>5</v>
      </c>
      <c r="B7" s="470">
        <v>44399</v>
      </c>
      <c r="C7" s="491" t="s">
        <v>1498</v>
      </c>
      <c r="D7" s="33" t="s">
        <v>903</v>
      </c>
      <c r="E7" s="390" t="s">
        <v>462</v>
      </c>
      <c r="F7" s="388">
        <v>100000</v>
      </c>
      <c r="G7" s="389" t="s">
        <v>1486</v>
      </c>
      <c r="H7" s="338">
        <v>44408</v>
      </c>
      <c r="I7" s="122">
        <f t="shared" si="1"/>
        <v>100000</v>
      </c>
      <c r="J7" s="122"/>
      <c r="K7" s="122"/>
      <c r="L7" s="392">
        <f t="shared" si="0"/>
        <v>100000</v>
      </c>
      <c r="M7" s="122"/>
      <c r="N7" s="320">
        <v>44422</v>
      </c>
      <c r="O7"/>
      <c r="P7"/>
      <c r="Q7"/>
      <c r="R7"/>
      <c r="S7"/>
      <c r="T7"/>
      <c r="U7"/>
      <c r="V7"/>
      <c r="W7"/>
      <c r="X7"/>
      <c r="Y7"/>
    </row>
    <row r="8" spans="1:25" s="10" customFormat="1" x14ac:dyDescent="0.25">
      <c r="A8" s="55">
        <f t="shared" si="2"/>
        <v>6</v>
      </c>
      <c r="B8" s="56">
        <v>44403</v>
      </c>
      <c r="C8" s="126" t="s">
        <v>1501</v>
      </c>
      <c r="D8" s="33" t="s">
        <v>903</v>
      </c>
      <c r="E8" s="390" t="s">
        <v>1502</v>
      </c>
      <c r="F8" s="100">
        <v>75000</v>
      </c>
      <c r="G8" s="55" t="s">
        <v>890</v>
      </c>
      <c r="H8" s="338">
        <v>44408</v>
      </c>
      <c r="I8" s="122">
        <f t="shared" si="1"/>
        <v>75000</v>
      </c>
      <c r="J8" s="387"/>
      <c r="K8" s="387"/>
      <c r="L8" s="392">
        <f t="shared" si="0"/>
        <v>75000</v>
      </c>
      <c r="M8" s="122"/>
      <c r="N8" s="320">
        <v>44422</v>
      </c>
      <c r="O8"/>
      <c r="P8"/>
      <c r="Q8"/>
      <c r="R8"/>
      <c r="S8"/>
      <c r="T8"/>
      <c r="U8"/>
      <c r="V8"/>
      <c r="W8"/>
      <c r="X8"/>
      <c r="Y8"/>
    </row>
    <row r="9" spans="1:25" s="10" customFormat="1" x14ac:dyDescent="0.25">
      <c r="A9" s="55">
        <f t="shared" si="2"/>
        <v>7</v>
      </c>
      <c r="B9" s="56">
        <v>44401</v>
      </c>
      <c r="C9" s="612" t="s">
        <v>1549</v>
      </c>
      <c r="D9" s="33" t="s">
        <v>903</v>
      </c>
      <c r="E9" s="390" t="s">
        <v>171</v>
      </c>
      <c r="F9" s="100">
        <v>65000</v>
      </c>
      <c r="G9" s="55" t="s">
        <v>892</v>
      </c>
      <c r="H9" s="338">
        <v>44410</v>
      </c>
      <c r="I9" s="122">
        <f t="shared" si="1"/>
        <v>65000</v>
      </c>
      <c r="J9" s="387"/>
      <c r="K9" s="387"/>
      <c r="L9" s="392">
        <f t="shared" si="0"/>
        <v>65000</v>
      </c>
      <c r="M9" s="122"/>
      <c r="N9" s="320">
        <v>44424</v>
      </c>
      <c r="O9"/>
      <c r="P9"/>
      <c r="Q9"/>
      <c r="R9"/>
      <c r="S9"/>
      <c r="T9"/>
      <c r="U9"/>
      <c r="V9"/>
      <c r="W9"/>
      <c r="X9"/>
      <c r="Y9"/>
    </row>
    <row r="10" spans="1:25" s="10" customFormat="1" x14ac:dyDescent="0.25">
      <c r="A10" s="55">
        <f t="shared" si="2"/>
        <v>8</v>
      </c>
      <c r="B10" s="56">
        <v>44400</v>
      </c>
      <c r="C10" s="612" t="s">
        <v>1553</v>
      </c>
      <c r="D10" s="33" t="s">
        <v>903</v>
      </c>
      <c r="E10" s="390" t="s">
        <v>1369</v>
      </c>
      <c r="F10" s="100">
        <v>260000</v>
      </c>
      <c r="G10" s="55" t="s">
        <v>896</v>
      </c>
      <c r="H10" s="338">
        <v>44410</v>
      </c>
      <c r="I10" s="122">
        <f t="shared" si="1"/>
        <v>260000</v>
      </c>
      <c r="J10" s="387"/>
      <c r="K10" s="387"/>
      <c r="L10" s="392">
        <f t="shared" si="0"/>
        <v>260000</v>
      </c>
      <c r="M10" s="122"/>
      <c r="N10" s="320">
        <v>44424</v>
      </c>
      <c r="O10"/>
      <c r="P10"/>
      <c r="Q10"/>
      <c r="R10"/>
      <c r="S10"/>
      <c r="T10"/>
      <c r="U10"/>
      <c r="V10"/>
      <c r="W10"/>
      <c r="X10"/>
      <c r="Y10"/>
    </row>
    <row r="11" spans="1:25" s="10" customFormat="1" x14ac:dyDescent="0.25">
      <c r="A11" s="55">
        <f t="shared" si="2"/>
        <v>9</v>
      </c>
      <c r="B11" s="470">
        <v>44408</v>
      </c>
      <c r="C11" s="612" t="s">
        <v>1563</v>
      </c>
      <c r="D11" s="33" t="s">
        <v>903</v>
      </c>
      <c r="E11" s="390" t="s">
        <v>1190</v>
      </c>
      <c r="F11" s="100">
        <v>100000</v>
      </c>
      <c r="G11" s="55" t="s">
        <v>887</v>
      </c>
      <c r="H11" s="338">
        <v>44414</v>
      </c>
      <c r="I11" s="122">
        <f t="shared" si="1"/>
        <v>100000</v>
      </c>
      <c r="J11" s="387"/>
      <c r="K11" s="387"/>
      <c r="L11" s="392">
        <f t="shared" si="0"/>
        <v>100000</v>
      </c>
      <c r="M11" s="122"/>
      <c r="N11" s="320">
        <v>44428</v>
      </c>
      <c r="O11"/>
      <c r="P11"/>
      <c r="Q11"/>
      <c r="R11"/>
      <c r="S11"/>
      <c r="T11"/>
      <c r="U11"/>
      <c r="V11"/>
      <c r="W11"/>
      <c r="X11"/>
      <c r="Y11"/>
    </row>
    <row r="12" spans="1:25" s="10" customFormat="1" ht="15.75" x14ac:dyDescent="0.25">
      <c r="A12" s="55">
        <f t="shared" si="2"/>
        <v>10</v>
      </c>
      <c r="B12" s="56">
        <v>44406</v>
      </c>
      <c r="C12" s="491" t="s">
        <v>1581</v>
      </c>
      <c r="D12" s="33" t="s">
        <v>903</v>
      </c>
      <c r="E12" s="390" t="s">
        <v>1502</v>
      </c>
      <c r="F12" s="100">
        <v>200000</v>
      </c>
      <c r="G12" s="55" t="s">
        <v>995</v>
      </c>
      <c r="H12" s="338">
        <v>44414</v>
      </c>
      <c r="I12" s="122">
        <f t="shared" si="1"/>
        <v>200000</v>
      </c>
      <c r="J12" s="387"/>
      <c r="K12" s="387"/>
      <c r="L12" s="392">
        <f t="shared" si="0"/>
        <v>200000</v>
      </c>
      <c r="M12" s="320"/>
      <c r="N12" s="320">
        <v>44428</v>
      </c>
      <c r="O12"/>
      <c r="P12"/>
      <c r="Q12"/>
      <c r="R12"/>
      <c r="S12"/>
      <c r="T12"/>
      <c r="U12"/>
      <c r="V12"/>
      <c r="W12"/>
      <c r="X12"/>
      <c r="Y12"/>
    </row>
    <row r="13" spans="1:25" s="10" customFormat="1" ht="15.75" x14ac:dyDescent="0.25">
      <c r="A13" s="55">
        <f t="shared" si="2"/>
        <v>11</v>
      </c>
      <c r="B13" s="56">
        <v>44406</v>
      </c>
      <c r="C13" s="491" t="s">
        <v>1584</v>
      </c>
      <c r="D13" s="33" t="s">
        <v>903</v>
      </c>
      <c r="E13" s="390" t="s">
        <v>1502</v>
      </c>
      <c r="F13" s="100">
        <v>75000</v>
      </c>
      <c r="G13" s="55" t="s">
        <v>1021</v>
      </c>
      <c r="H13" s="338">
        <v>44414</v>
      </c>
      <c r="I13" s="122">
        <f t="shared" si="1"/>
        <v>75000</v>
      </c>
      <c r="J13" s="387"/>
      <c r="K13" s="387"/>
      <c r="L13" s="392">
        <f t="shared" si="0"/>
        <v>75000</v>
      </c>
      <c r="M13" s="122"/>
      <c r="N13" s="320">
        <v>44428</v>
      </c>
      <c r="O13"/>
      <c r="P13"/>
      <c r="Q13"/>
      <c r="R13"/>
      <c r="S13"/>
      <c r="T13"/>
      <c r="U13"/>
      <c r="V13"/>
      <c r="W13"/>
      <c r="X13"/>
      <c r="Y13"/>
    </row>
    <row r="14" spans="1:25" s="10" customFormat="1" ht="15.75" x14ac:dyDescent="0.25">
      <c r="A14" s="55">
        <f t="shared" si="2"/>
        <v>12</v>
      </c>
      <c r="B14" s="56">
        <v>44406</v>
      </c>
      <c r="C14" s="491" t="s">
        <v>1610</v>
      </c>
      <c r="D14" s="33" t="s">
        <v>903</v>
      </c>
      <c r="E14" s="390" t="s">
        <v>1502</v>
      </c>
      <c r="F14" s="100">
        <v>75000</v>
      </c>
      <c r="G14" s="55" t="s">
        <v>1046</v>
      </c>
      <c r="H14" s="338">
        <v>44414</v>
      </c>
      <c r="I14" s="122">
        <f t="shared" si="1"/>
        <v>75000</v>
      </c>
      <c r="J14" s="387"/>
      <c r="K14" s="387"/>
      <c r="L14" s="392">
        <f t="shared" si="0"/>
        <v>75000</v>
      </c>
      <c r="M14" s="122"/>
      <c r="N14" s="320">
        <v>44428</v>
      </c>
      <c r="O14"/>
      <c r="P14"/>
      <c r="Q14"/>
      <c r="R14"/>
      <c r="S14"/>
      <c r="T14"/>
      <c r="U14"/>
      <c r="V14"/>
      <c r="W14"/>
      <c r="X14"/>
      <c r="Y14"/>
    </row>
    <row r="15" spans="1:25" s="10" customFormat="1" ht="15.75" x14ac:dyDescent="0.25">
      <c r="A15" s="55">
        <f t="shared" si="2"/>
        <v>13</v>
      </c>
      <c r="B15" s="56">
        <v>44407</v>
      </c>
      <c r="C15" s="491" t="s">
        <v>1613</v>
      </c>
      <c r="D15" s="33" t="s">
        <v>903</v>
      </c>
      <c r="E15" s="390" t="s">
        <v>467</v>
      </c>
      <c r="F15" s="100">
        <v>200000</v>
      </c>
      <c r="G15" s="55" t="s">
        <v>1047</v>
      </c>
      <c r="H15" s="338">
        <v>44414</v>
      </c>
      <c r="I15" s="122">
        <f t="shared" si="1"/>
        <v>200000</v>
      </c>
      <c r="J15" s="387"/>
      <c r="K15" s="387"/>
      <c r="L15" s="392">
        <f t="shared" si="0"/>
        <v>200000</v>
      </c>
      <c r="M15" s="122"/>
      <c r="N15" s="320">
        <v>44428</v>
      </c>
      <c r="O15"/>
      <c r="P15"/>
      <c r="Q15"/>
      <c r="R15"/>
      <c r="S15"/>
      <c r="T15"/>
      <c r="U15"/>
      <c r="V15"/>
      <c r="W15"/>
      <c r="X15"/>
      <c r="Y15"/>
    </row>
    <row r="16" spans="1:25" s="10" customFormat="1" ht="15.75" x14ac:dyDescent="0.25">
      <c r="A16" s="55">
        <f t="shared" si="2"/>
        <v>14</v>
      </c>
      <c r="B16" s="56">
        <v>44410</v>
      </c>
      <c r="C16" s="491" t="s">
        <v>1627</v>
      </c>
      <c r="D16" s="33" t="s">
        <v>903</v>
      </c>
      <c r="E16" s="390" t="s">
        <v>582</v>
      </c>
      <c r="F16" s="100">
        <v>211000</v>
      </c>
      <c r="G16" s="55" t="s">
        <v>1048</v>
      </c>
      <c r="H16" s="338">
        <v>44417</v>
      </c>
      <c r="I16" s="122">
        <f t="shared" si="1"/>
        <v>211000</v>
      </c>
      <c r="J16" s="387"/>
      <c r="K16" s="387"/>
      <c r="L16" s="392">
        <f t="shared" si="0"/>
        <v>211000</v>
      </c>
      <c r="M16" s="122"/>
      <c r="N16" s="320">
        <v>44431</v>
      </c>
      <c r="O16"/>
      <c r="P16"/>
      <c r="Q16"/>
      <c r="R16"/>
      <c r="S16"/>
      <c r="T16"/>
      <c r="U16"/>
      <c r="V16"/>
      <c r="W16"/>
      <c r="X16"/>
      <c r="Y16"/>
    </row>
    <row r="17" spans="1:25" s="10" customFormat="1" ht="15.75" x14ac:dyDescent="0.25">
      <c r="A17" s="55">
        <f t="shared" si="2"/>
        <v>15</v>
      </c>
      <c r="B17" s="56">
        <v>44412</v>
      </c>
      <c r="C17" s="491" t="s">
        <v>1785</v>
      </c>
      <c r="D17" s="33" t="s">
        <v>903</v>
      </c>
      <c r="E17" s="390" t="s">
        <v>1786</v>
      </c>
      <c r="F17" s="100">
        <v>176400</v>
      </c>
      <c r="G17" s="55" t="s">
        <v>1289</v>
      </c>
      <c r="H17" s="338">
        <v>44427</v>
      </c>
      <c r="I17" s="122">
        <f t="shared" si="1"/>
        <v>176400</v>
      </c>
      <c r="J17" s="387"/>
      <c r="K17" s="387"/>
      <c r="L17" s="392">
        <f t="shared" si="0"/>
        <v>176400</v>
      </c>
      <c r="M17" s="122"/>
      <c r="N17" s="320">
        <v>44441</v>
      </c>
      <c r="O17"/>
      <c r="P17"/>
      <c r="Q17"/>
      <c r="R17"/>
      <c r="S17"/>
      <c r="T17"/>
      <c r="U17"/>
      <c r="V17"/>
      <c r="W17"/>
      <c r="X17"/>
      <c r="Y17"/>
    </row>
    <row r="18" spans="1:25" s="10" customFormat="1" ht="15.75" x14ac:dyDescent="0.25">
      <c r="A18" s="55">
        <f t="shared" si="2"/>
        <v>16</v>
      </c>
      <c r="B18" s="56" t="s">
        <v>1956</v>
      </c>
      <c r="C18" s="491" t="s">
        <v>1955</v>
      </c>
      <c r="D18" s="33" t="s">
        <v>903</v>
      </c>
      <c r="E18" s="390" t="s">
        <v>1953</v>
      </c>
      <c r="F18" s="100">
        <v>120000</v>
      </c>
      <c r="G18" s="55" t="s">
        <v>1303</v>
      </c>
      <c r="H18" s="338">
        <v>44466</v>
      </c>
      <c r="I18" s="122">
        <f t="shared" si="1"/>
        <v>120000</v>
      </c>
      <c r="J18" s="387"/>
      <c r="K18" s="387"/>
      <c r="L18" s="392">
        <f t="shared" si="0"/>
        <v>120000</v>
      </c>
      <c r="M18" s="241"/>
      <c r="N18" s="320">
        <v>44480</v>
      </c>
      <c r="O18"/>
      <c r="P18"/>
      <c r="Q18"/>
      <c r="R18"/>
      <c r="S18"/>
      <c r="T18"/>
      <c r="U18"/>
      <c r="V18"/>
      <c r="W18"/>
      <c r="X18"/>
      <c r="Y18"/>
    </row>
    <row r="19" spans="1:25" s="10" customFormat="1" ht="15.75" x14ac:dyDescent="0.25">
      <c r="A19" s="55">
        <f t="shared" si="2"/>
        <v>17</v>
      </c>
      <c r="B19" s="56">
        <v>44471</v>
      </c>
      <c r="C19" s="491" t="s">
        <v>2098</v>
      </c>
      <c r="D19" s="33" t="s">
        <v>903</v>
      </c>
      <c r="E19" s="390" t="s">
        <v>30</v>
      </c>
      <c r="F19" s="100">
        <v>350000</v>
      </c>
      <c r="G19" s="55" t="s">
        <v>1304</v>
      </c>
      <c r="H19" s="338">
        <v>44477</v>
      </c>
      <c r="I19" s="122">
        <f t="shared" si="1"/>
        <v>350000</v>
      </c>
      <c r="J19" s="387"/>
      <c r="K19" s="387"/>
      <c r="L19" s="392">
        <f t="shared" si="0"/>
        <v>350000</v>
      </c>
      <c r="M19" s="122"/>
      <c r="N19" s="320">
        <v>44491</v>
      </c>
      <c r="O19"/>
      <c r="P19"/>
      <c r="Q19"/>
      <c r="R19"/>
      <c r="S19"/>
      <c r="T19"/>
      <c r="U19"/>
      <c r="V19"/>
      <c r="W19"/>
      <c r="X19"/>
      <c r="Y19"/>
    </row>
    <row r="20" spans="1:25" s="10" customFormat="1" ht="15.75" x14ac:dyDescent="0.25">
      <c r="A20" s="55">
        <f t="shared" si="2"/>
        <v>18</v>
      </c>
      <c r="B20" s="470">
        <v>44484</v>
      </c>
      <c r="C20" s="491" t="s">
        <v>2242</v>
      </c>
      <c r="D20" s="33" t="s">
        <v>903</v>
      </c>
      <c r="E20" s="390" t="s">
        <v>2243</v>
      </c>
      <c r="F20" s="100">
        <v>80000</v>
      </c>
      <c r="G20" s="55" t="s">
        <v>1339</v>
      </c>
      <c r="H20" s="338">
        <v>44492</v>
      </c>
      <c r="I20" s="122">
        <f t="shared" si="1"/>
        <v>80000</v>
      </c>
      <c r="J20" s="387"/>
      <c r="K20" s="387"/>
      <c r="L20" s="392">
        <f t="shared" si="0"/>
        <v>80000</v>
      </c>
      <c r="M20" s="122"/>
      <c r="N20" s="320">
        <v>44506</v>
      </c>
      <c r="O20"/>
      <c r="P20"/>
      <c r="Q20"/>
      <c r="R20"/>
      <c r="S20"/>
      <c r="T20"/>
      <c r="U20"/>
      <c r="V20"/>
      <c r="W20"/>
      <c r="X20"/>
      <c r="Y20"/>
    </row>
    <row r="21" spans="1:25" s="10" customFormat="1" ht="15.75" x14ac:dyDescent="0.25">
      <c r="A21" s="55">
        <f t="shared" si="2"/>
        <v>19</v>
      </c>
      <c r="B21" s="56">
        <v>44548</v>
      </c>
      <c r="C21" s="491" t="s">
        <v>3221</v>
      </c>
      <c r="D21" s="33" t="s">
        <v>903</v>
      </c>
      <c r="E21" s="390" t="s">
        <v>500</v>
      </c>
      <c r="F21" s="100">
        <v>924800</v>
      </c>
      <c r="G21" s="55" t="s">
        <v>1340</v>
      </c>
      <c r="H21" s="338">
        <v>44560</v>
      </c>
      <c r="I21" s="122">
        <f t="shared" si="1"/>
        <v>924800</v>
      </c>
      <c r="J21" s="387"/>
      <c r="K21" s="387"/>
      <c r="L21" s="392">
        <f t="shared" si="0"/>
        <v>924800</v>
      </c>
      <c r="M21" s="122"/>
      <c r="N21" s="320">
        <v>44574</v>
      </c>
      <c r="O21"/>
      <c r="P21"/>
      <c r="Q21"/>
      <c r="R21"/>
      <c r="S21"/>
      <c r="T21"/>
      <c r="U21"/>
      <c r="V21"/>
      <c r="W21"/>
      <c r="X21"/>
      <c r="Y21"/>
    </row>
    <row r="22" spans="1:25" s="10" customFormat="1" ht="15.75" x14ac:dyDescent="0.25">
      <c r="A22" s="55">
        <f t="shared" si="2"/>
        <v>20</v>
      </c>
      <c r="B22" s="79">
        <v>44559</v>
      </c>
      <c r="C22" s="491" t="s">
        <v>3284</v>
      </c>
      <c r="D22" s="33" t="s">
        <v>903</v>
      </c>
      <c r="E22" s="390" t="s">
        <v>3404</v>
      </c>
      <c r="F22" s="100">
        <v>300000</v>
      </c>
      <c r="G22" s="55" t="s">
        <v>1341</v>
      </c>
      <c r="H22" s="338">
        <v>44575</v>
      </c>
      <c r="I22" s="122">
        <f t="shared" si="1"/>
        <v>300000</v>
      </c>
      <c r="J22" s="387"/>
      <c r="K22" s="387"/>
      <c r="L22" s="392">
        <f t="shared" si="0"/>
        <v>300000</v>
      </c>
      <c r="M22" s="122"/>
      <c r="N22" s="320">
        <v>44589</v>
      </c>
      <c r="O22"/>
      <c r="P22"/>
      <c r="Q22"/>
      <c r="R22"/>
      <c r="S22"/>
      <c r="T22"/>
      <c r="U22"/>
      <c r="V22"/>
      <c r="W22"/>
      <c r="X22"/>
      <c r="Y22"/>
    </row>
    <row r="23" spans="1:25" s="10" customFormat="1" ht="32.25" customHeight="1" x14ac:dyDescent="0.25">
      <c r="A23" s="1031" t="s">
        <v>399</v>
      </c>
      <c r="B23" s="1032"/>
      <c r="C23" s="1032"/>
      <c r="D23" s="1032"/>
      <c r="E23" s="1032"/>
      <c r="F23" s="1032"/>
      <c r="G23" s="1032"/>
      <c r="H23" s="1032"/>
      <c r="I23" s="65">
        <f>SUM(I3:I22)</f>
        <v>4132600</v>
      </c>
      <c r="J23" s="65">
        <f>SUM(J3:J22)</f>
        <v>0</v>
      </c>
      <c r="K23" s="65">
        <f>SUM(K3:K22)</f>
        <v>0</v>
      </c>
      <c r="L23" s="65">
        <f>SUM(L3:L22)</f>
        <v>4132600</v>
      </c>
      <c r="M23" s="65"/>
      <c r="N23" s="65"/>
      <c r="O23"/>
      <c r="P23"/>
      <c r="Q23"/>
      <c r="R23"/>
      <c r="S23"/>
      <c r="T23"/>
      <c r="U23"/>
      <c r="V23"/>
      <c r="W23"/>
      <c r="X23"/>
      <c r="Y23"/>
    </row>
    <row r="24" spans="1:25" x14ac:dyDescent="0.25">
      <c r="A24" s="40"/>
      <c r="B24" s="41"/>
      <c r="C24" s="7"/>
      <c r="D24" s="7"/>
      <c r="E24" s="7"/>
      <c r="F24" s="42"/>
      <c r="G24" s="7"/>
      <c r="H24" s="7"/>
      <c r="I24"/>
      <c r="J24"/>
      <c r="K24"/>
      <c r="L24"/>
      <c r="M24"/>
      <c r="N24"/>
    </row>
    <row r="25" spans="1:25" x14ac:dyDescent="0.25">
      <c r="A25" s="40"/>
      <c r="B25" s="41"/>
      <c r="C25" s="7"/>
      <c r="D25" s="7"/>
      <c r="E25" s="7"/>
      <c r="F25" s="42"/>
      <c r="G25" s="7"/>
      <c r="H25" s="7"/>
      <c r="I25"/>
      <c r="J25"/>
      <c r="K25"/>
      <c r="L25"/>
      <c r="M25"/>
      <c r="N25"/>
    </row>
    <row r="26" spans="1:25" x14ac:dyDescent="0.25">
      <c r="A26" s="40"/>
      <c r="B26" s="41"/>
      <c r="C26" s="7"/>
      <c r="D26" s="7"/>
      <c r="E26" s="7"/>
      <c r="F26" s="42"/>
      <c r="G26" s="7"/>
      <c r="H26" s="7"/>
      <c r="I26"/>
      <c r="J26"/>
      <c r="K26"/>
      <c r="L26" s="16"/>
      <c r="M26" s="16"/>
      <c r="N26" s="16"/>
    </row>
    <row r="27" spans="1:25" x14ac:dyDescent="0.25">
      <c r="A27" s="40"/>
      <c r="B27" s="41"/>
      <c r="C27" s="7"/>
      <c r="D27" s="7"/>
      <c r="E27" s="7"/>
      <c r="F27" s="42"/>
      <c r="G27" s="7"/>
      <c r="H27" s="7"/>
      <c r="I27"/>
      <c r="J27"/>
      <c r="K27"/>
      <c r="L27"/>
      <c r="M27"/>
      <c r="N27"/>
    </row>
    <row r="28" spans="1:25" x14ac:dyDescent="0.25">
      <c r="A28" s="40"/>
      <c r="B28" s="41"/>
      <c r="C28" s="7"/>
      <c r="D28" s="7"/>
      <c r="E28" s="7"/>
      <c r="F28" s="42"/>
      <c r="G28" s="7"/>
      <c r="H28" s="7"/>
      <c r="I28"/>
      <c r="J28"/>
      <c r="K28"/>
      <c r="L28"/>
      <c r="M28"/>
      <c r="N28"/>
    </row>
    <row r="29" spans="1:25" x14ac:dyDescent="0.25">
      <c r="A29" s="40"/>
      <c r="B29" s="41"/>
      <c r="C29" s="7"/>
      <c r="D29" s="7"/>
      <c r="E29" s="7"/>
      <c r="F29" s="42"/>
      <c r="G29" s="7"/>
      <c r="H29" s="7"/>
      <c r="I29"/>
      <c r="J29"/>
      <c r="K29"/>
      <c r="L29"/>
      <c r="M29"/>
      <c r="N29"/>
    </row>
    <row r="30" spans="1:25" x14ac:dyDescent="0.25">
      <c r="A30" s="40"/>
      <c r="B30" s="41"/>
      <c r="C30" s="7"/>
      <c r="D30" s="7"/>
      <c r="E30" s="7"/>
      <c r="F30" s="42"/>
      <c r="G30" s="7"/>
      <c r="H30" s="7"/>
      <c r="I30"/>
      <c r="J30"/>
      <c r="K30"/>
      <c r="L30"/>
      <c r="M30"/>
      <c r="N30"/>
    </row>
    <row r="31" spans="1:25" x14ac:dyDescent="0.25">
      <c r="A31" s="40"/>
      <c r="B31" s="41"/>
      <c r="C31" s="7"/>
      <c r="D31" s="7"/>
      <c r="E31" s="7"/>
      <c r="F31" s="42"/>
      <c r="G31" s="7"/>
      <c r="H31" s="7"/>
      <c r="I31"/>
      <c r="J31"/>
      <c r="K31"/>
      <c r="L31"/>
      <c r="M31"/>
      <c r="N31"/>
    </row>
    <row r="32" spans="1:25" x14ac:dyDescent="0.25">
      <c r="A32" s="40"/>
      <c r="B32" s="41"/>
      <c r="C32" s="7"/>
      <c r="D32" s="7"/>
      <c r="E32" s="7"/>
      <c r="F32" s="42"/>
      <c r="G32" s="7"/>
      <c r="H32" s="7"/>
      <c r="I32"/>
      <c r="J32"/>
      <c r="K32"/>
      <c r="L32"/>
      <c r="M32"/>
      <c r="N32"/>
    </row>
    <row r="33" spans="1:14" x14ac:dyDescent="0.25">
      <c r="A33" s="40"/>
      <c r="B33" s="41"/>
      <c r="C33" s="7"/>
      <c r="D33" s="7"/>
      <c r="E33" s="7"/>
      <c r="F33" s="42"/>
      <c r="G33" s="7"/>
      <c r="H33" s="7"/>
      <c r="I33"/>
      <c r="J33"/>
      <c r="K33"/>
      <c r="L33"/>
      <c r="M33"/>
      <c r="N33"/>
    </row>
    <row r="34" spans="1:14" x14ac:dyDescent="0.25">
      <c r="A34" s="40"/>
      <c r="B34" s="41"/>
      <c r="C34" s="7"/>
      <c r="D34" s="7"/>
      <c r="E34" s="7"/>
      <c r="F34" s="42"/>
      <c r="G34" s="7"/>
      <c r="H34" s="7"/>
      <c r="I34"/>
      <c r="J34"/>
      <c r="K34"/>
      <c r="L34"/>
      <c r="M34"/>
      <c r="N34"/>
    </row>
    <row r="35" spans="1:14" x14ac:dyDescent="0.25">
      <c r="A35" s="40"/>
      <c r="B35" s="41"/>
      <c r="C35" s="7"/>
      <c r="D35" s="7"/>
      <c r="E35" s="7"/>
      <c r="F35" s="42"/>
      <c r="G35" s="7"/>
      <c r="H35" s="7"/>
      <c r="I35"/>
      <c r="J35"/>
      <c r="K35"/>
      <c r="L35"/>
      <c r="M35"/>
      <c r="N35"/>
    </row>
    <row r="36" spans="1:14" x14ac:dyDescent="0.25">
      <c r="A36" s="40"/>
      <c r="B36" s="41"/>
      <c r="C36" s="7"/>
      <c r="D36" s="7"/>
      <c r="E36" s="7"/>
      <c r="F36" s="42"/>
      <c r="G36" s="7"/>
      <c r="H36" s="7"/>
      <c r="I36"/>
      <c r="J36"/>
      <c r="K36"/>
      <c r="L36"/>
      <c r="M36"/>
      <c r="N36"/>
    </row>
    <row r="37" spans="1:14" x14ac:dyDescent="0.25">
      <c r="A37" s="40"/>
      <c r="B37" s="41"/>
      <c r="C37" s="7"/>
      <c r="D37" s="7"/>
      <c r="E37" s="7"/>
      <c r="F37" s="42"/>
      <c r="G37" s="7"/>
      <c r="H37" s="7"/>
      <c r="I37"/>
      <c r="J37"/>
      <c r="K37"/>
      <c r="L37"/>
      <c r="M37"/>
      <c r="N37"/>
    </row>
    <row r="38" spans="1:14" x14ac:dyDescent="0.25">
      <c r="A38" s="40"/>
      <c r="B38" s="41"/>
      <c r="C38" s="7"/>
      <c r="D38" s="7"/>
      <c r="E38" s="7"/>
      <c r="F38" s="42"/>
      <c r="G38" s="7"/>
      <c r="H38" s="7"/>
      <c r="I38"/>
      <c r="J38"/>
      <c r="K38"/>
      <c r="L38"/>
      <c r="M38"/>
      <c r="N38"/>
    </row>
    <row r="39" spans="1:14" x14ac:dyDescent="0.25">
      <c r="A39" s="40"/>
      <c r="B39" s="41"/>
      <c r="C39" s="7"/>
      <c r="D39" s="7"/>
      <c r="E39" s="7"/>
      <c r="F39" s="42"/>
      <c r="G39" s="7"/>
      <c r="H39" s="7"/>
      <c r="I39"/>
      <c r="J39"/>
      <c r="K39"/>
      <c r="L39"/>
      <c r="M39"/>
      <c r="N39"/>
    </row>
    <row r="40" spans="1:14" x14ac:dyDescent="0.25">
      <c r="A40" s="40"/>
      <c r="B40" s="41"/>
      <c r="C40" s="7"/>
      <c r="D40" s="7"/>
      <c r="E40" s="7"/>
      <c r="F40" s="42"/>
      <c r="G40" s="7"/>
      <c r="H40" s="7"/>
      <c r="I40"/>
      <c r="J40"/>
      <c r="K40"/>
      <c r="L40"/>
      <c r="M40"/>
      <c r="N40"/>
    </row>
    <row r="41" spans="1:14" x14ac:dyDescent="0.25">
      <c r="A41" s="40"/>
      <c r="B41" s="41"/>
      <c r="C41" s="7"/>
      <c r="D41" s="7"/>
      <c r="E41" s="7"/>
      <c r="F41" s="42"/>
      <c r="G41" s="7"/>
      <c r="H41" s="7"/>
      <c r="I41"/>
      <c r="J41"/>
      <c r="K41"/>
      <c r="L41"/>
      <c r="M41"/>
      <c r="N41"/>
    </row>
    <row r="42" spans="1:14" x14ac:dyDescent="0.25">
      <c r="A42" s="40"/>
      <c r="B42" s="41"/>
      <c r="C42" s="7"/>
      <c r="D42" s="7"/>
      <c r="E42" s="7"/>
      <c r="F42" s="42"/>
      <c r="G42" s="7"/>
      <c r="H42" s="7"/>
      <c r="I42"/>
      <c r="J42"/>
      <c r="K42"/>
      <c r="L42"/>
      <c r="M42"/>
      <c r="N42"/>
    </row>
    <row r="43" spans="1:14" x14ac:dyDescent="0.25">
      <c r="A43" s="40"/>
      <c r="B43" s="41"/>
      <c r="C43" s="7"/>
      <c r="D43" s="7"/>
      <c r="E43" s="7"/>
      <c r="F43" s="42"/>
      <c r="G43" s="7"/>
      <c r="H43" s="7"/>
      <c r="I43"/>
      <c r="J43"/>
      <c r="K43"/>
      <c r="L43"/>
      <c r="M43"/>
      <c r="N43"/>
    </row>
    <row r="44" spans="1:14" x14ac:dyDescent="0.25">
      <c r="A44" s="40"/>
      <c r="B44" s="41"/>
      <c r="C44" s="7"/>
      <c r="D44" s="7"/>
      <c r="E44" s="7"/>
      <c r="F44" s="42"/>
      <c r="G44" s="7"/>
      <c r="H44" s="7"/>
      <c r="I44"/>
      <c r="J44"/>
      <c r="K44"/>
      <c r="L44"/>
      <c r="M44"/>
      <c r="N44"/>
    </row>
    <row r="45" spans="1:14" x14ac:dyDescent="0.25">
      <c r="A45" s="40"/>
      <c r="B45" s="41"/>
      <c r="C45" s="7"/>
      <c r="D45" s="7"/>
      <c r="E45" s="7"/>
      <c r="F45" s="42"/>
      <c r="G45" s="7"/>
      <c r="H45" s="7"/>
      <c r="I45"/>
      <c r="J45"/>
      <c r="K45"/>
      <c r="L45"/>
      <c r="M45"/>
      <c r="N45"/>
    </row>
    <row r="46" spans="1:14" x14ac:dyDescent="0.25">
      <c r="A46" s="40"/>
      <c r="B46" s="41"/>
      <c r="C46" s="7"/>
      <c r="D46" s="7"/>
      <c r="E46" s="7"/>
      <c r="F46" s="42"/>
      <c r="G46" s="7"/>
      <c r="H46" s="7"/>
      <c r="I46"/>
      <c r="J46"/>
      <c r="K46"/>
      <c r="L46"/>
      <c r="M46"/>
      <c r="N46"/>
    </row>
    <row r="47" spans="1:14" x14ac:dyDescent="0.25">
      <c r="A47" s="40"/>
      <c r="B47" s="41"/>
      <c r="C47" s="7"/>
      <c r="D47" s="7"/>
      <c r="E47" s="7"/>
      <c r="F47" s="42"/>
      <c r="G47" s="7"/>
      <c r="H47" s="7"/>
      <c r="I47"/>
      <c r="J47"/>
      <c r="K47"/>
      <c r="L47"/>
      <c r="M47"/>
      <c r="N47"/>
    </row>
    <row r="48" spans="1:14" x14ac:dyDescent="0.25">
      <c r="A48" s="40"/>
      <c r="B48" s="41"/>
      <c r="C48" s="7"/>
      <c r="D48" s="7"/>
      <c r="E48" s="7"/>
      <c r="F48" s="42"/>
      <c r="G48" s="7"/>
      <c r="H48" s="7"/>
      <c r="I48"/>
      <c r="J48"/>
      <c r="K48"/>
      <c r="L48"/>
      <c r="M48"/>
      <c r="N48"/>
    </row>
    <row r="49" spans="1:14" x14ac:dyDescent="0.25">
      <c r="A49" s="40"/>
      <c r="B49" s="41"/>
      <c r="C49" s="7"/>
      <c r="D49" s="7"/>
      <c r="E49" s="7"/>
      <c r="F49" s="42"/>
      <c r="G49" s="7"/>
      <c r="H49" s="7"/>
      <c r="I49"/>
      <c r="J49"/>
      <c r="K49"/>
      <c r="L49"/>
      <c r="M49"/>
      <c r="N49"/>
    </row>
    <row r="50" spans="1:14" x14ac:dyDescent="0.25">
      <c r="A50" s="40"/>
      <c r="B50" s="41"/>
      <c r="C50" s="7"/>
      <c r="D50" s="7"/>
      <c r="E50" s="7"/>
      <c r="F50" s="42"/>
      <c r="G50" s="7"/>
      <c r="H50" s="7"/>
      <c r="I50"/>
      <c r="J50"/>
      <c r="K50"/>
      <c r="L50"/>
      <c r="M50"/>
      <c r="N50"/>
    </row>
    <row r="51" spans="1:14" x14ac:dyDescent="0.25">
      <c r="A51" s="40"/>
      <c r="B51" s="41"/>
      <c r="C51" s="7"/>
      <c r="D51" s="7"/>
      <c r="E51" s="7"/>
      <c r="F51" s="42"/>
      <c r="G51" s="7"/>
      <c r="H51" s="7"/>
      <c r="I51"/>
      <c r="J51"/>
      <c r="K51"/>
      <c r="L51"/>
      <c r="M51"/>
      <c r="N51"/>
    </row>
    <row r="52" spans="1:14" x14ac:dyDescent="0.25">
      <c r="A52" s="40"/>
      <c r="B52" s="41"/>
      <c r="C52" s="7"/>
      <c r="D52" s="7"/>
      <c r="E52" s="7"/>
      <c r="F52" s="42"/>
      <c r="G52" s="7"/>
      <c r="H52" s="7"/>
      <c r="I52"/>
      <c r="J52"/>
      <c r="K52"/>
      <c r="L52"/>
      <c r="M52"/>
      <c r="N52"/>
    </row>
    <row r="53" spans="1:14" x14ac:dyDescent="0.25">
      <c r="A53" s="40"/>
      <c r="B53" s="41"/>
      <c r="C53" s="7"/>
      <c r="D53" s="7"/>
      <c r="E53" s="7"/>
      <c r="F53" s="42"/>
      <c r="G53" s="7"/>
      <c r="H53" s="7"/>
      <c r="I53"/>
      <c r="J53"/>
      <c r="K53"/>
      <c r="L53"/>
      <c r="M53"/>
      <c r="N53"/>
    </row>
    <row r="54" spans="1:14" x14ac:dyDescent="0.25">
      <c r="A54" s="40"/>
      <c r="B54" s="41"/>
      <c r="C54" s="7"/>
      <c r="D54" s="7"/>
      <c r="E54" s="7"/>
      <c r="F54" s="42"/>
      <c r="G54" s="7"/>
      <c r="H54" s="7"/>
      <c r="I54"/>
      <c r="J54"/>
      <c r="K54"/>
      <c r="L54"/>
      <c r="M54"/>
      <c r="N54"/>
    </row>
    <row r="55" spans="1:14" x14ac:dyDescent="0.25">
      <c r="A55" s="40"/>
      <c r="B55" s="41"/>
      <c r="C55" s="7"/>
      <c r="D55" s="7"/>
      <c r="E55" s="7"/>
      <c r="F55" s="42"/>
      <c r="G55" s="7"/>
      <c r="H55" s="7"/>
      <c r="I55"/>
      <c r="J55"/>
      <c r="K55"/>
      <c r="L55"/>
      <c r="M55"/>
      <c r="N55"/>
    </row>
    <row r="56" spans="1:14" x14ac:dyDescent="0.25">
      <c r="A56" s="40"/>
      <c r="B56" s="41"/>
      <c r="C56" s="7"/>
      <c r="D56" s="7"/>
      <c r="E56" s="7"/>
      <c r="F56" s="42"/>
      <c r="G56" s="7"/>
      <c r="H56" s="7"/>
      <c r="I56"/>
      <c r="J56"/>
      <c r="K56"/>
      <c r="L56"/>
      <c r="M56"/>
      <c r="N56"/>
    </row>
    <row r="57" spans="1:14" x14ac:dyDescent="0.25">
      <c r="A57" s="40"/>
      <c r="B57" s="41"/>
      <c r="C57" s="7"/>
      <c r="D57" s="7"/>
      <c r="E57" s="7"/>
      <c r="F57" s="42"/>
      <c r="G57" s="7"/>
      <c r="H57" s="7"/>
      <c r="I57"/>
      <c r="J57"/>
      <c r="K57"/>
      <c r="L57"/>
      <c r="M57"/>
      <c r="N57"/>
    </row>
    <row r="58" spans="1:14" x14ac:dyDescent="0.25">
      <c r="A58" s="40"/>
      <c r="B58" s="41"/>
      <c r="C58" s="7"/>
      <c r="D58" s="7"/>
      <c r="E58" s="7"/>
      <c r="F58" s="42"/>
      <c r="G58" s="7"/>
      <c r="H58" s="7"/>
      <c r="I58"/>
      <c r="J58"/>
      <c r="K58"/>
      <c r="L58"/>
      <c r="M58"/>
      <c r="N58"/>
    </row>
    <row r="59" spans="1:14" x14ac:dyDescent="0.25">
      <c r="A59" s="40"/>
      <c r="B59" s="41"/>
      <c r="C59" s="7"/>
      <c r="D59" s="7"/>
      <c r="E59" s="7"/>
      <c r="F59" s="42"/>
      <c r="G59" s="7"/>
      <c r="H59" s="7"/>
      <c r="I59"/>
      <c r="J59"/>
      <c r="K59"/>
      <c r="L59"/>
      <c r="M59"/>
      <c r="N59"/>
    </row>
    <row r="60" spans="1:14" x14ac:dyDescent="0.25">
      <c r="A60" s="40"/>
      <c r="B60" s="41"/>
      <c r="C60" s="7"/>
      <c r="D60" s="7"/>
      <c r="E60" s="7"/>
      <c r="F60" s="42"/>
      <c r="G60" s="7"/>
      <c r="H60" s="7"/>
      <c r="I60"/>
      <c r="J60"/>
      <c r="K60"/>
      <c r="L60"/>
      <c r="M60"/>
      <c r="N60"/>
    </row>
    <row r="61" spans="1:14" x14ac:dyDescent="0.25">
      <c r="A61" s="40"/>
      <c r="B61" s="41"/>
      <c r="C61" s="7"/>
      <c r="D61" s="7"/>
      <c r="E61" s="7"/>
      <c r="F61" s="42"/>
      <c r="G61" s="7"/>
      <c r="H61" s="7"/>
      <c r="I61"/>
      <c r="J61"/>
      <c r="K61"/>
      <c r="L61"/>
      <c r="M61"/>
      <c r="N61"/>
    </row>
    <row r="62" spans="1:14" x14ac:dyDescent="0.25">
      <c r="A62" s="40"/>
      <c r="B62" s="41"/>
      <c r="C62" s="7"/>
      <c r="D62" s="7"/>
      <c r="E62" s="7"/>
      <c r="F62" s="42"/>
      <c r="G62" s="7"/>
      <c r="H62" s="7"/>
      <c r="I62"/>
      <c r="J62"/>
      <c r="K62"/>
      <c r="L62"/>
      <c r="M62"/>
      <c r="N62"/>
    </row>
    <row r="63" spans="1:14" x14ac:dyDescent="0.25">
      <c r="A63" s="40"/>
      <c r="B63" s="41"/>
      <c r="C63" s="7"/>
      <c r="D63" s="7"/>
      <c r="E63" s="7"/>
      <c r="F63" s="42"/>
      <c r="G63" s="7"/>
      <c r="H63" s="7"/>
      <c r="I63"/>
      <c r="J63"/>
      <c r="K63"/>
      <c r="L63"/>
      <c r="M63"/>
      <c r="N63"/>
    </row>
    <row r="64" spans="1:14" x14ac:dyDescent="0.25">
      <c r="A64" s="40"/>
      <c r="B64" s="41"/>
      <c r="C64" s="7"/>
      <c r="D64" s="7"/>
      <c r="E64" s="7"/>
      <c r="F64" s="42"/>
      <c r="G64" s="7"/>
      <c r="H64" s="7"/>
      <c r="I64"/>
      <c r="J64"/>
      <c r="K64"/>
      <c r="L64"/>
      <c r="M64"/>
      <c r="N64"/>
    </row>
    <row r="65" spans="1:14" x14ac:dyDescent="0.25">
      <c r="A65" s="40"/>
      <c r="B65" s="41"/>
      <c r="C65" s="7"/>
      <c r="D65" s="7"/>
      <c r="E65" s="7"/>
      <c r="F65" s="42"/>
      <c r="G65" s="7"/>
      <c r="H65" s="7"/>
      <c r="I65"/>
      <c r="J65"/>
      <c r="K65"/>
      <c r="L65"/>
      <c r="M65"/>
      <c r="N65"/>
    </row>
    <row r="66" spans="1:14" x14ac:dyDescent="0.25">
      <c r="A66" s="40"/>
      <c r="B66" s="41"/>
      <c r="C66" s="7"/>
      <c r="D66" s="7"/>
      <c r="E66" s="7"/>
      <c r="F66" s="42"/>
      <c r="G66" s="7"/>
      <c r="H66" s="7"/>
      <c r="I66"/>
      <c r="J66"/>
      <c r="K66"/>
      <c r="L66"/>
      <c r="M66"/>
      <c r="N66"/>
    </row>
    <row r="67" spans="1:14" x14ac:dyDescent="0.25">
      <c r="A67" s="40"/>
      <c r="B67" s="41"/>
      <c r="C67" s="7"/>
      <c r="D67" s="7"/>
      <c r="E67" s="7"/>
      <c r="F67" s="42"/>
      <c r="G67" s="7"/>
      <c r="H67" s="7"/>
      <c r="I67"/>
      <c r="J67"/>
      <c r="K67"/>
      <c r="L67"/>
      <c r="M67"/>
      <c r="N67"/>
    </row>
    <row r="68" spans="1:14" x14ac:dyDescent="0.25">
      <c r="A68" s="40"/>
      <c r="B68" s="41"/>
      <c r="C68" s="7"/>
      <c r="D68" s="7"/>
      <c r="E68" s="7"/>
      <c r="F68" s="42"/>
      <c r="G68" s="7"/>
      <c r="H68" s="7"/>
      <c r="I68"/>
      <c r="J68"/>
      <c r="K68"/>
      <c r="L68"/>
      <c r="M68"/>
      <c r="N68"/>
    </row>
    <row r="69" spans="1:14" x14ac:dyDescent="0.25">
      <c r="A69" s="40"/>
      <c r="B69" s="41"/>
      <c r="C69" s="7"/>
      <c r="D69" s="7"/>
      <c r="E69" s="7"/>
      <c r="F69" s="42"/>
      <c r="G69" s="7"/>
      <c r="H69" s="7"/>
      <c r="I69"/>
      <c r="J69"/>
      <c r="K69"/>
      <c r="L69"/>
      <c r="M69"/>
      <c r="N69"/>
    </row>
    <row r="70" spans="1:14" x14ac:dyDescent="0.25">
      <c r="A70" s="40"/>
      <c r="B70" s="41"/>
      <c r="C70" s="7"/>
      <c r="D70" s="7"/>
      <c r="E70" s="7"/>
      <c r="F70" s="42"/>
      <c r="G70" s="7"/>
      <c r="H70" s="7"/>
      <c r="I70"/>
      <c r="J70"/>
      <c r="K70"/>
      <c r="L70"/>
      <c r="M70"/>
      <c r="N70"/>
    </row>
    <row r="71" spans="1:14" x14ac:dyDescent="0.25">
      <c r="A71" s="40"/>
      <c r="B71" s="41"/>
      <c r="C71" s="7"/>
      <c r="D71" s="7"/>
      <c r="E71" s="7"/>
      <c r="F71" s="42"/>
      <c r="G71" s="7"/>
      <c r="H71" s="7"/>
      <c r="I71"/>
      <c r="J71"/>
      <c r="K71"/>
      <c r="L71"/>
      <c r="M71"/>
      <c r="N71"/>
    </row>
    <row r="72" spans="1:14" x14ac:dyDescent="0.25">
      <c r="A72" s="40"/>
      <c r="B72" s="41"/>
      <c r="C72" s="7"/>
      <c r="D72" s="7"/>
      <c r="E72" s="7"/>
      <c r="F72" s="42"/>
      <c r="G72" s="7"/>
      <c r="H72" s="7"/>
      <c r="I72"/>
      <c r="J72"/>
      <c r="K72"/>
      <c r="L72"/>
      <c r="M72"/>
      <c r="N72"/>
    </row>
    <row r="73" spans="1:14" x14ac:dyDescent="0.25">
      <c r="A73" s="40"/>
      <c r="B73" s="41"/>
      <c r="C73" s="7"/>
      <c r="D73" s="7"/>
      <c r="E73" s="7"/>
      <c r="F73" s="42"/>
      <c r="G73" s="7"/>
      <c r="H73" s="7"/>
      <c r="I73"/>
      <c r="J73"/>
      <c r="K73"/>
      <c r="L73"/>
      <c r="M73"/>
      <c r="N73"/>
    </row>
    <row r="74" spans="1:14" x14ac:dyDescent="0.25">
      <c r="A74" s="40"/>
      <c r="B74" s="41"/>
      <c r="C74" s="7"/>
      <c r="D74" s="7"/>
      <c r="E74" s="7"/>
      <c r="F74" s="42"/>
      <c r="G74" s="7"/>
      <c r="H74" s="7"/>
      <c r="I74"/>
      <c r="J74"/>
      <c r="K74"/>
      <c r="L74"/>
      <c r="M74"/>
      <c r="N74"/>
    </row>
    <row r="75" spans="1:14" x14ac:dyDescent="0.25">
      <c r="A75" s="40"/>
      <c r="B75" s="41"/>
      <c r="C75" s="7"/>
      <c r="D75" s="7"/>
      <c r="E75" s="7"/>
      <c r="F75" s="42"/>
      <c r="G75" s="7"/>
      <c r="H75" s="7"/>
      <c r="I75"/>
      <c r="J75"/>
      <c r="K75"/>
      <c r="L75"/>
      <c r="M75"/>
      <c r="N75"/>
    </row>
    <row r="76" spans="1:14" x14ac:dyDescent="0.25">
      <c r="A76" s="40"/>
      <c r="B76" s="41"/>
      <c r="C76" s="7"/>
      <c r="D76" s="7"/>
      <c r="E76" s="7"/>
      <c r="F76" s="42"/>
      <c r="G76" s="7"/>
      <c r="H76" s="7"/>
      <c r="I76"/>
      <c r="J76"/>
      <c r="K76"/>
      <c r="L76"/>
      <c r="M76"/>
      <c r="N76"/>
    </row>
    <row r="77" spans="1:14" x14ac:dyDescent="0.25">
      <c r="A77" s="40"/>
      <c r="B77" s="41"/>
      <c r="C77" s="7"/>
      <c r="D77" s="7"/>
      <c r="E77" s="7"/>
      <c r="F77" s="42"/>
      <c r="G77" s="7"/>
      <c r="H77" s="7"/>
      <c r="I77"/>
      <c r="J77"/>
      <c r="K77"/>
      <c r="L77"/>
      <c r="M77"/>
      <c r="N77"/>
    </row>
    <row r="78" spans="1:14" x14ac:dyDescent="0.25">
      <c r="A78" s="40"/>
      <c r="B78" s="41"/>
      <c r="C78" s="7"/>
      <c r="D78" s="7"/>
      <c r="E78" s="7"/>
      <c r="F78" s="42"/>
      <c r="G78" s="7"/>
      <c r="H78" s="7"/>
      <c r="I78"/>
      <c r="J78"/>
      <c r="K78"/>
      <c r="L78"/>
      <c r="M78"/>
      <c r="N78"/>
    </row>
    <row r="79" spans="1:14" x14ac:dyDescent="0.25">
      <c r="A79" s="40"/>
      <c r="B79" s="41"/>
      <c r="C79" s="7"/>
      <c r="D79" s="7"/>
      <c r="E79" s="7"/>
      <c r="F79" s="42"/>
      <c r="G79" s="7"/>
      <c r="H79" s="7"/>
      <c r="I79"/>
      <c r="J79"/>
      <c r="K79"/>
      <c r="L79"/>
      <c r="M79"/>
      <c r="N79"/>
    </row>
    <row r="80" spans="1:14" x14ac:dyDescent="0.25">
      <c r="A80" s="40"/>
      <c r="B80" s="41"/>
      <c r="C80" s="7"/>
      <c r="D80" s="7"/>
      <c r="E80" s="7"/>
      <c r="F80" s="42"/>
      <c r="G80" s="7"/>
      <c r="H80" s="7"/>
      <c r="I80"/>
      <c r="J80"/>
      <c r="K80"/>
      <c r="L80"/>
      <c r="M80"/>
      <c r="N80"/>
    </row>
    <row r="81" spans="1:14" x14ac:dyDescent="0.25">
      <c r="A81" s="40"/>
      <c r="B81" s="41"/>
      <c r="C81" s="7"/>
      <c r="D81" s="7"/>
      <c r="E81" s="7"/>
      <c r="F81" s="42"/>
      <c r="G81" s="7"/>
      <c r="H81" s="7"/>
      <c r="I81"/>
      <c r="J81"/>
      <c r="K81"/>
      <c r="L81"/>
      <c r="M81"/>
      <c r="N81"/>
    </row>
    <row r="82" spans="1:14" x14ac:dyDescent="0.25">
      <c r="A82" s="40"/>
      <c r="B82" s="41"/>
      <c r="C82" s="7"/>
      <c r="D82" s="7"/>
      <c r="E82" s="7"/>
      <c r="F82" s="42"/>
      <c r="G82" s="7"/>
      <c r="H82" s="7"/>
      <c r="I82"/>
      <c r="J82"/>
      <c r="K82"/>
      <c r="L82"/>
      <c r="M82"/>
      <c r="N82"/>
    </row>
    <row r="83" spans="1:14" x14ac:dyDescent="0.25">
      <c r="A83" s="40"/>
      <c r="B83" s="41"/>
      <c r="C83" s="7"/>
      <c r="D83" s="7"/>
      <c r="E83" s="7"/>
      <c r="F83" s="42"/>
      <c r="G83" s="7"/>
      <c r="H83" s="7"/>
      <c r="I83"/>
      <c r="J83"/>
      <c r="K83"/>
      <c r="L83"/>
      <c r="M83"/>
      <c r="N83"/>
    </row>
    <row r="84" spans="1:14" x14ac:dyDescent="0.25">
      <c r="A84" s="40"/>
      <c r="B84" s="41"/>
      <c r="C84" s="7"/>
      <c r="D84" s="7"/>
      <c r="E84" s="7"/>
      <c r="F84" s="42"/>
      <c r="G84" s="7"/>
      <c r="H84" s="7"/>
      <c r="I84"/>
      <c r="J84"/>
      <c r="K84"/>
      <c r="L84"/>
      <c r="M84"/>
      <c r="N84"/>
    </row>
    <row r="85" spans="1:14" x14ac:dyDescent="0.25">
      <c r="A85" s="40"/>
      <c r="B85" s="41"/>
      <c r="C85" s="7"/>
      <c r="D85" s="7"/>
      <c r="E85" s="7"/>
      <c r="F85" s="42"/>
      <c r="G85" s="7"/>
      <c r="H85" s="7"/>
      <c r="I85"/>
      <c r="J85"/>
      <c r="K85"/>
      <c r="L85"/>
      <c r="M85"/>
      <c r="N85"/>
    </row>
    <row r="86" spans="1:14" x14ac:dyDescent="0.25">
      <c r="A86" s="40"/>
      <c r="B86" s="41"/>
      <c r="C86" s="7"/>
      <c r="D86" s="7"/>
      <c r="E86" s="7"/>
      <c r="F86" s="42"/>
      <c r="G86" s="7"/>
      <c r="H86" s="7"/>
      <c r="I86"/>
      <c r="J86"/>
      <c r="K86"/>
      <c r="L86"/>
      <c r="M86"/>
      <c r="N86"/>
    </row>
    <row r="87" spans="1:14" x14ac:dyDescent="0.25">
      <c r="A87" s="40"/>
      <c r="B87" s="41"/>
      <c r="C87" s="7"/>
      <c r="D87" s="7"/>
      <c r="E87" s="7"/>
      <c r="F87" s="42"/>
      <c r="G87" s="7"/>
      <c r="H87" s="7"/>
      <c r="I87"/>
      <c r="J87"/>
      <c r="K87"/>
      <c r="L87"/>
      <c r="M87"/>
      <c r="N87"/>
    </row>
    <row r="88" spans="1:14" x14ac:dyDescent="0.25">
      <c r="A88" s="40"/>
      <c r="B88" s="41"/>
      <c r="C88" s="7"/>
      <c r="D88" s="7"/>
      <c r="E88" s="7"/>
      <c r="F88" s="42"/>
      <c r="G88" s="7"/>
      <c r="H88" s="7"/>
      <c r="I88"/>
      <c r="J88"/>
      <c r="K88"/>
      <c r="L88"/>
      <c r="M88"/>
      <c r="N88"/>
    </row>
    <row r="89" spans="1:14" x14ac:dyDescent="0.25">
      <c r="A89" s="40"/>
      <c r="B89" s="41"/>
      <c r="C89" s="7"/>
      <c r="D89" s="7"/>
      <c r="E89" s="7"/>
      <c r="F89" s="42"/>
      <c r="G89" s="7"/>
      <c r="H89" s="7"/>
      <c r="I89"/>
      <c r="J89"/>
      <c r="K89"/>
      <c r="L89"/>
      <c r="M89"/>
      <c r="N89"/>
    </row>
    <row r="90" spans="1:14" x14ac:dyDescent="0.25">
      <c r="A90" s="40"/>
      <c r="B90" s="41"/>
      <c r="C90" s="7"/>
      <c r="D90" s="7"/>
      <c r="E90" s="7"/>
      <c r="F90" s="42"/>
      <c r="G90" s="7"/>
      <c r="H90" s="7"/>
      <c r="I90"/>
      <c r="J90"/>
      <c r="K90"/>
      <c r="L90"/>
      <c r="M90"/>
      <c r="N90"/>
    </row>
    <row r="91" spans="1:14" x14ac:dyDescent="0.25">
      <c r="A91" s="40"/>
      <c r="B91" s="41"/>
      <c r="C91" s="7"/>
      <c r="D91" s="7"/>
      <c r="E91" s="7"/>
      <c r="F91" s="42"/>
      <c r="G91" s="7"/>
      <c r="H91" s="7"/>
      <c r="I91"/>
      <c r="J91"/>
      <c r="K91"/>
      <c r="L91"/>
      <c r="M91"/>
      <c r="N91"/>
    </row>
    <row r="92" spans="1:14" x14ac:dyDescent="0.25">
      <c r="A92" s="40"/>
      <c r="B92" s="41"/>
      <c r="C92" s="7"/>
      <c r="D92" s="7"/>
      <c r="E92" s="7"/>
      <c r="F92" s="42"/>
      <c r="G92" s="7"/>
      <c r="H92" s="7"/>
      <c r="I92"/>
      <c r="J92"/>
      <c r="K92"/>
      <c r="L92"/>
      <c r="M92"/>
      <c r="N92"/>
    </row>
    <row r="93" spans="1:14" x14ac:dyDescent="0.25">
      <c r="A93" s="40"/>
      <c r="B93" s="41"/>
      <c r="C93" s="7"/>
      <c r="D93" s="7"/>
      <c r="E93" s="7"/>
      <c r="F93" s="42"/>
      <c r="G93" s="7"/>
      <c r="H93" s="7"/>
      <c r="I93"/>
      <c r="J93"/>
      <c r="K93"/>
      <c r="L93"/>
      <c r="M93"/>
      <c r="N93"/>
    </row>
    <row r="94" spans="1:14" x14ac:dyDescent="0.25">
      <c r="A94" s="40"/>
      <c r="B94" s="41"/>
      <c r="C94" s="7"/>
      <c r="D94" s="7"/>
      <c r="E94" s="7"/>
      <c r="F94" s="42"/>
      <c r="G94" s="7"/>
      <c r="H94" s="7"/>
      <c r="I94"/>
      <c r="J94"/>
      <c r="K94"/>
      <c r="L94"/>
      <c r="M94"/>
      <c r="N94"/>
    </row>
    <row r="95" spans="1:14" x14ac:dyDescent="0.25">
      <c r="A95" s="40"/>
      <c r="B95" s="41"/>
      <c r="C95" s="7"/>
      <c r="D95" s="7"/>
      <c r="E95" s="7"/>
      <c r="F95" s="42"/>
      <c r="G95" s="7"/>
      <c r="H95" s="7"/>
      <c r="I95"/>
      <c r="J95"/>
      <c r="K95"/>
      <c r="L95"/>
      <c r="M95"/>
      <c r="N95"/>
    </row>
    <row r="96" spans="1:14" x14ac:dyDescent="0.25">
      <c r="A96" s="40"/>
      <c r="B96" s="41"/>
      <c r="C96" s="7"/>
      <c r="D96" s="7"/>
      <c r="E96" s="7"/>
      <c r="F96" s="42"/>
      <c r="G96" s="7"/>
      <c r="H96" s="7"/>
      <c r="I96"/>
      <c r="J96"/>
      <c r="K96"/>
      <c r="L96"/>
      <c r="M96"/>
      <c r="N96"/>
    </row>
    <row r="97" spans="1:14" x14ac:dyDescent="0.25">
      <c r="A97" s="40"/>
      <c r="B97" s="41"/>
      <c r="C97" s="7"/>
      <c r="D97" s="7"/>
      <c r="E97" s="7"/>
      <c r="F97" s="42"/>
      <c r="G97" s="7"/>
      <c r="H97" s="7"/>
      <c r="I97"/>
      <c r="J97"/>
      <c r="K97"/>
      <c r="L97"/>
      <c r="M97"/>
      <c r="N97"/>
    </row>
    <row r="98" spans="1:14" x14ac:dyDescent="0.25">
      <c r="A98" s="40"/>
      <c r="B98" s="41"/>
      <c r="C98" s="7"/>
      <c r="D98" s="7"/>
      <c r="E98" s="7"/>
      <c r="F98" s="42"/>
      <c r="G98" s="7"/>
      <c r="H98" s="7"/>
      <c r="I98"/>
      <c r="J98"/>
      <c r="K98"/>
      <c r="L98"/>
      <c r="M98"/>
      <c r="N98"/>
    </row>
    <row r="99" spans="1:14" x14ac:dyDescent="0.25">
      <c r="A99" s="40"/>
      <c r="B99" s="41"/>
      <c r="C99" s="7"/>
      <c r="D99" s="7"/>
      <c r="E99" s="7"/>
      <c r="F99" s="42"/>
      <c r="G99" s="7"/>
      <c r="H99" s="7"/>
      <c r="I99"/>
      <c r="J99"/>
      <c r="K99"/>
      <c r="L99"/>
      <c r="M99"/>
      <c r="N99"/>
    </row>
    <row r="100" spans="1:14" x14ac:dyDescent="0.25">
      <c r="A100" s="40"/>
      <c r="B100" s="41"/>
      <c r="C100" s="7"/>
      <c r="D100" s="7"/>
      <c r="E100" s="7"/>
      <c r="F100" s="42"/>
      <c r="G100" s="7"/>
      <c r="H100" s="7"/>
      <c r="I100"/>
      <c r="J100"/>
      <c r="K100"/>
      <c r="L100"/>
      <c r="M100"/>
      <c r="N100"/>
    </row>
    <row r="101" spans="1:14" x14ac:dyDescent="0.25">
      <c r="A101" s="40"/>
      <c r="B101" s="41"/>
      <c r="C101" s="7"/>
      <c r="D101" s="7"/>
      <c r="E101" s="7"/>
      <c r="F101" s="42"/>
      <c r="G101" s="7"/>
      <c r="H101" s="7"/>
      <c r="I101"/>
      <c r="J101"/>
      <c r="K101"/>
      <c r="L101"/>
      <c r="M101"/>
      <c r="N101"/>
    </row>
    <row r="102" spans="1:14" x14ac:dyDescent="0.25">
      <c r="A102" s="40"/>
      <c r="B102" s="41"/>
      <c r="C102" s="7"/>
      <c r="D102" s="7"/>
      <c r="E102" s="7"/>
      <c r="F102" s="42"/>
      <c r="G102" s="7"/>
      <c r="H102" s="7"/>
      <c r="I102"/>
      <c r="J102"/>
      <c r="K102"/>
      <c r="L102"/>
      <c r="M102"/>
      <c r="N102"/>
    </row>
    <row r="103" spans="1:14" x14ac:dyDescent="0.25">
      <c r="A103" s="40"/>
      <c r="B103" s="41"/>
      <c r="C103" s="7"/>
      <c r="D103" s="7"/>
      <c r="E103" s="7"/>
      <c r="F103" s="42"/>
      <c r="G103" s="7"/>
      <c r="H103" s="7"/>
      <c r="I103"/>
      <c r="J103"/>
      <c r="K103"/>
      <c r="L103"/>
      <c r="M103"/>
      <c r="N103"/>
    </row>
    <row r="104" spans="1:14" x14ac:dyDescent="0.25">
      <c r="A104" s="40"/>
      <c r="B104" s="41"/>
      <c r="C104" s="7"/>
      <c r="D104" s="7"/>
      <c r="E104" s="7"/>
      <c r="F104" s="42"/>
      <c r="G104" s="7"/>
      <c r="H104" s="7"/>
      <c r="I104"/>
      <c r="J104"/>
      <c r="K104"/>
      <c r="L104"/>
      <c r="M104"/>
      <c r="N104"/>
    </row>
    <row r="105" spans="1:14" x14ac:dyDescent="0.25">
      <c r="A105" s="40"/>
      <c r="B105" s="41"/>
      <c r="C105" s="7"/>
      <c r="D105" s="7"/>
      <c r="E105" s="7"/>
      <c r="F105" s="42"/>
      <c r="G105" s="7"/>
      <c r="H105" s="7"/>
      <c r="I105"/>
      <c r="J105"/>
      <c r="K105"/>
      <c r="L105"/>
      <c r="M105"/>
      <c r="N105"/>
    </row>
    <row r="106" spans="1:14" x14ac:dyDescent="0.25">
      <c r="C106" t="s">
        <v>42</v>
      </c>
      <c r="E106" s="17" t="e">
        <f>SUM(#REF!)</f>
        <v>#REF!</v>
      </c>
      <c r="I106"/>
      <c r="J106"/>
      <c r="K106"/>
      <c r="L106"/>
      <c r="M106"/>
      <c r="N106"/>
    </row>
    <row r="107" spans="1:14" x14ac:dyDescent="0.25">
      <c r="I107"/>
      <c r="J107"/>
      <c r="K107"/>
      <c r="L107"/>
      <c r="M107"/>
      <c r="N107"/>
    </row>
    <row r="108" spans="1:14" x14ac:dyDescent="0.25">
      <c r="I108"/>
      <c r="J108"/>
      <c r="K108"/>
      <c r="L108"/>
      <c r="M108"/>
      <c r="N108"/>
    </row>
    <row r="109" spans="1:14" x14ac:dyDescent="0.25">
      <c r="C109" t="s">
        <v>36</v>
      </c>
      <c r="F109" s="9">
        <f>SUM(F3:F23)</f>
        <v>4132600</v>
      </c>
      <c r="I109"/>
      <c r="J109" s="16"/>
      <c r="K109" s="16"/>
      <c r="L109"/>
      <c r="M109"/>
      <c r="N109"/>
    </row>
    <row r="110" spans="1:14" x14ac:dyDescent="0.25">
      <c r="C110" t="s">
        <v>37</v>
      </c>
      <c r="F110" s="15">
        <f>[2]Phapros!H379</f>
        <v>299675900</v>
      </c>
      <c r="I110"/>
      <c r="J110"/>
      <c r="K110"/>
      <c r="L110"/>
      <c r="M110"/>
      <c r="N110"/>
    </row>
    <row r="111" spans="1:14" x14ac:dyDescent="0.25">
      <c r="D111" t="s">
        <v>43</v>
      </c>
      <c r="F111" s="14">
        <f>F109+F110</f>
        <v>303808500</v>
      </c>
      <c r="I111"/>
      <c r="J111"/>
      <c r="K111"/>
      <c r="L111"/>
      <c r="M111"/>
      <c r="N111"/>
    </row>
    <row r="112" spans="1:14" ht="11.25" customHeight="1" x14ac:dyDescent="0.25">
      <c r="F112" s="14"/>
      <c r="I112"/>
      <c r="J112"/>
      <c r="K112"/>
      <c r="L112"/>
      <c r="M112"/>
      <c r="N112"/>
    </row>
    <row r="113" spans="3:14" x14ac:dyDescent="0.25">
      <c r="C113" t="s">
        <v>38</v>
      </c>
      <c r="I113"/>
      <c r="J113"/>
      <c r="K113"/>
      <c r="L113"/>
      <c r="M113"/>
      <c r="N113"/>
    </row>
    <row r="114" spans="3:14" x14ac:dyDescent="0.25">
      <c r="C114" t="s">
        <v>44</v>
      </c>
      <c r="E114" s="9">
        <v>220186527</v>
      </c>
      <c r="I114"/>
      <c r="J114"/>
      <c r="K114"/>
      <c r="L114"/>
      <c r="M114"/>
      <c r="N114"/>
    </row>
    <row r="115" spans="3:14" x14ac:dyDescent="0.25">
      <c r="C115" t="s">
        <v>45</v>
      </c>
      <c r="E115" s="15">
        <v>452400140</v>
      </c>
      <c r="I115"/>
      <c r="J115"/>
      <c r="K115"/>
      <c r="L115"/>
      <c r="M115"/>
      <c r="N115"/>
    </row>
    <row r="116" spans="3:14" ht="15.75" x14ac:dyDescent="0.25">
      <c r="C116" t="s">
        <v>46</v>
      </c>
      <c r="F116" s="18">
        <f>E114+E115</f>
        <v>672586667</v>
      </c>
      <c r="I116"/>
      <c r="J116"/>
      <c r="K116"/>
      <c r="L116"/>
      <c r="M116"/>
      <c r="N116"/>
    </row>
    <row r="117" spans="3:14" ht="15.75" x14ac:dyDescent="0.25">
      <c r="D117" s="1" t="s">
        <v>39</v>
      </c>
      <c r="F117" s="9">
        <f>F111-F116</f>
        <v>-368778167</v>
      </c>
      <c r="I117"/>
      <c r="J117"/>
      <c r="K117"/>
      <c r="L117"/>
      <c r="M117"/>
      <c r="N117"/>
    </row>
    <row r="118" spans="3:14" x14ac:dyDescent="0.25">
      <c r="I118"/>
      <c r="J118"/>
      <c r="K118"/>
      <c r="L118"/>
      <c r="M118"/>
      <c r="N118"/>
    </row>
    <row r="119" spans="3:14" x14ac:dyDescent="0.25">
      <c r="I119"/>
      <c r="J119"/>
      <c r="K119"/>
      <c r="L119"/>
      <c r="M119"/>
      <c r="N119"/>
    </row>
    <row r="120" spans="3:14" x14ac:dyDescent="0.25">
      <c r="I120"/>
      <c r="J120"/>
      <c r="K120"/>
      <c r="L120"/>
      <c r="M120"/>
      <c r="N120"/>
    </row>
    <row r="121" spans="3:14" x14ac:dyDescent="0.25">
      <c r="I121"/>
      <c r="J121" s="19"/>
      <c r="K121" s="19"/>
      <c r="L121"/>
      <c r="M121"/>
      <c r="N121"/>
    </row>
    <row r="122" spans="3:14" x14ac:dyDescent="0.25">
      <c r="I122"/>
      <c r="J122" s="19"/>
      <c r="K122" s="19"/>
      <c r="L122"/>
      <c r="M122"/>
      <c r="N122"/>
    </row>
    <row r="123" spans="3:14" x14ac:dyDescent="0.25">
      <c r="I123"/>
      <c r="J123" s="7"/>
      <c r="K123" s="7"/>
      <c r="L123"/>
      <c r="M123"/>
      <c r="N123"/>
    </row>
    <row r="124" spans="3:14" x14ac:dyDescent="0.25">
      <c r="I124"/>
      <c r="J124" s="19"/>
      <c r="K124" s="19"/>
      <c r="L124"/>
      <c r="M124"/>
      <c r="N124"/>
    </row>
    <row r="125" spans="3:14" x14ac:dyDescent="0.25">
      <c r="I125"/>
      <c r="J125" s="19"/>
      <c r="K125" s="19"/>
      <c r="L125"/>
      <c r="M125"/>
      <c r="N125"/>
    </row>
    <row r="126" spans="3:14" x14ac:dyDescent="0.25">
      <c r="I126"/>
      <c r="J126" s="7"/>
      <c r="K126" s="7"/>
      <c r="L126"/>
      <c r="M126"/>
      <c r="N126"/>
    </row>
    <row r="127" spans="3:14" x14ac:dyDescent="0.25">
      <c r="I127"/>
      <c r="J127" s="19"/>
      <c r="K127" s="19"/>
      <c r="L127"/>
      <c r="M127"/>
      <c r="N127"/>
    </row>
    <row r="128" spans="3:14" x14ac:dyDescent="0.25">
      <c r="I128"/>
      <c r="J128" s="19"/>
      <c r="K128" s="19"/>
      <c r="L128"/>
      <c r="M128"/>
      <c r="N128"/>
    </row>
    <row r="129" spans="9:14" x14ac:dyDescent="0.25">
      <c r="I129"/>
      <c r="J129" s="7"/>
      <c r="K129" s="7"/>
      <c r="L129"/>
      <c r="M129"/>
      <c r="N129"/>
    </row>
    <row r="130" spans="9:14" x14ac:dyDescent="0.25">
      <c r="I130"/>
      <c r="J130"/>
      <c r="K130"/>
      <c r="L130"/>
      <c r="M130"/>
      <c r="N130"/>
    </row>
    <row r="131" spans="9:14" x14ac:dyDescent="0.25">
      <c r="I131"/>
      <c r="J131"/>
      <c r="K131"/>
      <c r="L131"/>
      <c r="M131"/>
      <c r="N131"/>
    </row>
    <row r="132" spans="9:14" x14ac:dyDescent="0.25">
      <c r="I132"/>
      <c r="J132"/>
      <c r="K132"/>
      <c r="L132"/>
      <c r="M132"/>
      <c r="N132"/>
    </row>
    <row r="133" spans="9:14" x14ac:dyDescent="0.25">
      <c r="I133"/>
      <c r="J133"/>
      <c r="K133"/>
      <c r="L133"/>
      <c r="M133"/>
      <c r="N133"/>
    </row>
    <row r="134" spans="9:14" x14ac:dyDescent="0.25">
      <c r="I134"/>
      <c r="J134"/>
      <c r="K134"/>
      <c r="L134"/>
      <c r="M134"/>
      <c r="N134"/>
    </row>
    <row r="135" spans="9:14" x14ac:dyDescent="0.25">
      <c r="I135"/>
      <c r="J135"/>
      <c r="K135"/>
      <c r="L135"/>
      <c r="M135"/>
      <c r="N135"/>
    </row>
    <row r="136" spans="9:14" x14ac:dyDescent="0.25">
      <c r="I136"/>
      <c r="J136"/>
      <c r="K136"/>
      <c r="L136"/>
      <c r="M136"/>
      <c r="N136"/>
    </row>
    <row r="137" spans="9:14" x14ac:dyDescent="0.25">
      <c r="I137"/>
      <c r="J137"/>
      <c r="K137"/>
      <c r="L137"/>
      <c r="M137"/>
      <c r="N137"/>
    </row>
    <row r="138" spans="9:14" x14ac:dyDescent="0.25">
      <c r="I138"/>
      <c r="J138"/>
      <c r="K138"/>
      <c r="L138"/>
      <c r="M138"/>
      <c r="N138"/>
    </row>
    <row r="139" spans="9:14" x14ac:dyDescent="0.25">
      <c r="I139"/>
      <c r="J139"/>
      <c r="K139"/>
      <c r="L139"/>
      <c r="M139"/>
      <c r="N139"/>
    </row>
    <row r="140" spans="9:14" x14ac:dyDescent="0.25">
      <c r="I140"/>
      <c r="J140"/>
      <c r="K140"/>
      <c r="L140"/>
      <c r="M140"/>
      <c r="N140"/>
    </row>
    <row r="141" spans="9:14" x14ac:dyDescent="0.25">
      <c r="I141"/>
      <c r="J141"/>
      <c r="K141"/>
      <c r="L141"/>
      <c r="M141"/>
      <c r="N141"/>
    </row>
    <row r="142" spans="9:14" x14ac:dyDescent="0.25">
      <c r="I142"/>
      <c r="J142"/>
      <c r="K142"/>
      <c r="L142"/>
      <c r="M142"/>
      <c r="N142"/>
    </row>
    <row r="143" spans="9:14" x14ac:dyDescent="0.25">
      <c r="I143"/>
      <c r="J143"/>
      <c r="K143"/>
      <c r="L143"/>
      <c r="M143"/>
      <c r="N143"/>
    </row>
    <row r="144" spans="9:14" x14ac:dyDescent="0.25">
      <c r="I144"/>
      <c r="J144"/>
      <c r="K144"/>
      <c r="L144"/>
      <c r="M144"/>
      <c r="N144"/>
    </row>
    <row r="145" spans="9:14" x14ac:dyDescent="0.25">
      <c r="I145"/>
      <c r="J145"/>
      <c r="K145"/>
      <c r="L145"/>
      <c r="M145"/>
      <c r="N145"/>
    </row>
    <row r="146" spans="9:14" x14ac:dyDescent="0.25">
      <c r="I146"/>
      <c r="J146"/>
      <c r="K146"/>
      <c r="L146"/>
      <c r="M146"/>
      <c r="N146"/>
    </row>
    <row r="147" spans="9:14" x14ac:dyDescent="0.25">
      <c r="I147"/>
      <c r="J147"/>
      <c r="K147"/>
      <c r="L147"/>
      <c r="M147"/>
      <c r="N147"/>
    </row>
    <row r="148" spans="9:14" x14ac:dyDescent="0.25">
      <c r="I148"/>
      <c r="J148"/>
      <c r="K148"/>
      <c r="L148"/>
      <c r="M148"/>
      <c r="N148"/>
    </row>
    <row r="149" spans="9:14" x14ac:dyDescent="0.25">
      <c r="I149"/>
      <c r="J149"/>
      <c r="K149"/>
      <c r="L149"/>
      <c r="M149"/>
      <c r="N149"/>
    </row>
    <row r="150" spans="9:14" x14ac:dyDescent="0.25">
      <c r="I150"/>
      <c r="J150"/>
      <c r="K150"/>
      <c r="L150"/>
      <c r="M150"/>
      <c r="N150"/>
    </row>
    <row r="151" spans="9:14" x14ac:dyDescent="0.25">
      <c r="I151"/>
      <c r="J151"/>
      <c r="K151"/>
      <c r="L151"/>
      <c r="M151"/>
      <c r="N151"/>
    </row>
    <row r="152" spans="9:14" x14ac:dyDescent="0.25">
      <c r="I152"/>
      <c r="J152"/>
      <c r="K152"/>
      <c r="L152"/>
      <c r="M152"/>
      <c r="N152"/>
    </row>
    <row r="153" spans="9:14" x14ac:dyDescent="0.25">
      <c r="I153"/>
      <c r="J153"/>
      <c r="K153"/>
      <c r="L153"/>
      <c r="M153"/>
      <c r="N153"/>
    </row>
    <row r="154" spans="9:14" x14ac:dyDescent="0.25">
      <c r="I154"/>
      <c r="J154"/>
      <c r="K154"/>
      <c r="L154"/>
      <c r="M154"/>
      <c r="N154"/>
    </row>
    <row r="155" spans="9:14" x14ac:dyDescent="0.25">
      <c r="I155"/>
      <c r="J155"/>
      <c r="K155"/>
      <c r="L155"/>
      <c r="M155"/>
      <c r="N155"/>
    </row>
    <row r="156" spans="9:14" x14ac:dyDescent="0.25">
      <c r="I156"/>
      <c r="J156"/>
      <c r="K156"/>
      <c r="L156"/>
      <c r="M156"/>
      <c r="N156"/>
    </row>
    <row r="157" spans="9:14" x14ac:dyDescent="0.25">
      <c r="I157"/>
      <c r="J157"/>
      <c r="K157"/>
      <c r="L157"/>
      <c r="M157"/>
      <c r="N157"/>
    </row>
    <row r="158" spans="9:14" x14ac:dyDescent="0.25">
      <c r="I158"/>
      <c r="J158"/>
      <c r="K158"/>
      <c r="L158"/>
      <c r="M158"/>
      <c r="N158"/>
    </row>
    <row r="159" spans="9:14" x14ac:dyDescent="0.25">
      <c r="I159"/>
      <c r="J159"/>
      <c r="K159"/>
      <c r="L159"/>
      <c r="M159"/>
      <c r="N159"/>
    </row>
    <row r="160" spans="9:14" x14ac:dyDescent="0.25">
      <c r="I160"/>
      <c r="J160"/>
      <c r="K160"/>
      <c r="L160"/>
      <c r="M160"/>
      <c r="N160"/>
    </row>
    <row r="161" spans="9:14" x14ac:dyDescent="0.25">
      <c r="I161"/>
      <c r="J161"/>
      <c r="K161"/>
      <c r="L161"/>
      <c r="M161"/>
      <c r="N161"/>
    </row>
    <row r="162" spans="9:14" x14ac:dyDescent="0.25">
      <c r="I162"/>
      <c r="J162"/>
      <c r="K162"/>
      <c r="L162"/>
      <c r="M162"/>
      <c r="N162"/>
    </row>
    <row r="163" spans="9:14" x14ac:dyDescent="0.25">
      <c r="I163"/>
      <c r="J163"/>
      <c r="K163"/>
      <c r="L163"/>
      <c r="M163"/>
      <c r="N163"/>
    </row>
    <row r="164" spans="9:14" x14ac:dyDescent="0.25">
      <c r="I164"/>
      <c r="J164"/>
      <c r="K164"/>
      <c r="L164"/>
      <c r="M164"/>
      <c r="N164"/>
    </row>
    <row r="165" spans="9:14" x14ac:dyDescent="0.25">
      <c r="I165"/>
      <c r="J165"/>
      <c r="K165"/>
      <c r="L165"/>
      <c r="M165"/>
      <c r="N165"/>
    </row>
    <row r="166" spans="9:14" x14ac:dyDescent="0.25">
      <c r="I166"/>
      <c r="J166"/>
      <c r="K166"/>
      <c r="L166"/>
      <c r="M166"/>
      <c r="N166"/>
    </row>
    <row r="167" spans="9:14" x14ac:dyDescent="0.25">
      <c r="I167"/>
      <c r="J167"/>
      <c r="K167"/>
      <c r="L167"/>
      <c r="M167"/>
      <c r="N167"/>
    </row>
    <row r="168" spans="9:14" x14ac:dyDescent="0.25">
      <c r="I168"/>
      <c r="J168"/>
      <c r="K168"/>
      <c r="L168"/>
      <c r="M168"/>
      <c r="N168"/>
    </row>
    <row r="169" spans="9:14" x14ac:dyDescent="0.25">
      <c r="I169"/>
      <c r="J169"/>
      <c r="K169"/>
      <c r="L169"/>
      <c r="M169"/>
      <c r="N169"/>
    </row>
    <row r="170" spans="9:14" x14ac:dyDescent="0.25">
      <c r="I170"/>
      <c r="J170"/>
      <c r="K170"/>
      <c r="L170"/>
      <c r="M170"/>
      <c r="N170"/>
    </row>
    <row r="171" spans="9:14" x14ac:dyDescent="0.25">
      <c r="I171"/>
      <c r="J171"/>
      <c r="K171"/>
      <c r="L171"/>
      <c r="M171"/>
      <c r="N171"/>
    </row>
    <row r="172" spans="9:14" x14ac:dyDescent="0.25">
      <c r="I172"/>
      <c r="J172"/>
      <c r="K172"/>
      <c r="L172"/>
      <c r="M172"/>
      <c r="N172"/>
    </row>
    <row r="173" spans="9:14" x14ac:dyDescent="0.25">
      <c r="I173"/>
      <c r="J173"/>
      <c r="K173"/>
      <c r="L173"/>
      <c r="M173"/>
      <c r="N173"/>
    </row>
    <row r="174" spans="9:14" x14ac:dyDescent="0.25">
      <c r="I174"/>
      <c r="J174"/>
      <c r="K174"/>
      <c r="L174"/>
      <c r="M174"/>
      <c r="N174"/>
    </row>
    <row r="175" spans="9:14" x14ac:dyDescent="0.25">
      <c r="I175"/>
      <c r="J175"/>
      <c r="K175"/>
      <c r="L175"/>
      <c r="M175"/>
      <c r="N175"/>
    </row>
    <row r="176" spans="9:14" x14ac:dyDescent="0.25">
      <c r="I176"/>
      <c r="J176"/>
      <c r="K176"/>
      <c r="L176"/>
      <c r="M176"/>
      <c r="N176"/>
    </row>
    <row r="177" spans="9:14" x14ac:dyDescent="0.25">
      <c r="I177"/>
      <c r="J177"/>
      <c r="K177"/>
      <c r="L177"/>
      <c r="M177"/>
      <c r="N177"/>
    </row>
    <row r="178" spans="9:14" x14ac:dyDescent="0.25">
      <c r="I178"/>
      <c r="J178"/>
      <c r="K178"/>
      <c r="L178"/>
      <c r="M178"/>
      <c r="N178"/>
    </row>
    <row r="179" spans="9:14" x14ac:dyDescent="0.25">
      <c r="I179"/>
      <c r="J179"/>
      <c r="K179"/>
      <c r="L179"/>
      <c r="M179"/>
      <c r="N179"/>
    </row>
    <row r="180" spans="9:14" x14ac:dyDescent="0.25">
      <c r="I180"/>
      <c r="J180"/>
      <c r="K180"/>
      <c r="L180"/>
      <c r="M180"/>
      <c r="N180"/>
    </row>
    <row r="181" spans="9:14" x14ac:dyDescent="0.25">
      <c r="I181"/>
      <c r="J181"/>
      <c r="K181"/>
      <c r="L181"/>
      <c r="M181"/>
      <c r="N181"/>
    </row>
    <row r="182" spans="9:14" x14ac:dyDescent="0.25">
      <c r="I182"/>
      <c r="J182"/>
      <c r="K182"/>
      <c r="L182"/>
      <c r="M182"/>
      <c r="N182"/>
    </row>
    <row r="183" spans="9:14" x14ac:dyDescent="0.25">
      <c r="I183"/>
      <c r="J183"/>
      <c r="K183"/>
      <c r="L183"/>
      <c r="M183"/>
      <c r="N183"/>
    </row>
    <row r="184" spans="9:14" x14ac:dyDescent="0.25">
      <c r="I184"/>
      <c r="J184"/>
      <c r="K184"/>
      <c r="L184"/>
      <c r="M184"/>
      <c r="N184"/>
    </row>
    <row r="185" spans="9:14" x14ac:dyDescent="0.25">
      <c r="I185"/>
      <c r="J185"/>
      <c r="K185"/>
      <c r="L185"/>
      <c r="M185"/>
      <c r="N185"/>
    </row>
    <row r="186" spans="9:14" x14ac:dyDescent="0.25">
      <c r="I186"/>
      <c r="J186"/>
      <c r="K186"/>
      <c r="L186"/>
      <c r="M186"/>
      <c r="N186"/>
    </row>
    <row r="187" spans="9:14" x14ac:dyDescent="0.25">
      <c r="I187"/>
      <c r="J187"/>
      <c r="K187"/>
      <c r="L187"/>
      <c r="M187"/>
      <c r="N187"/>
    </row>
    <row r="188" spans="9:14" x14ac:dyDescent="0.25">
      <c r="I188"/>
      <c r="J188"/>
      <c r="K188"/>
      <c r="L188"/>
      <c r="M188"/>
      <c r="N188"/>
    </row>
    <row r="189" spans="9:14" x14ac:dyDescent="0.25">
      <c r="I189"/>
      <c r="J189"/>
      <c r="K189"/>
      <c r="L189"/>
      <c r="M189"/>
      <c r="N189"/>
    </row>
    <row r="190" spans="9:14" x14ac:dyDescent="0.25">
      <c r="I190"/>
      <c r="J190"/>
      <c r="K190"/>
      <c r="L190"/>
      <c r="M190"/>
      <c r="N190"/>
    </row>
    <row r="191" spans="9:14" x14ac:dyDescent="0.25">
      <c r="I191"/>
      <c r="J191"/>
      <c r="K191"/>
      <c r="L191"/>
      <c r="M191"/>
      <c r="N191"/>
    </row>
    <row r="192" spans="9:14" x14ac:dyDescent="0.25">
      <c r="I192"/>
      <c r="J192"/>
      <c r="K192"/>
      <c r="L192"/>
      <c r="M192"/>
      <c r="N192"/>
    </row>
    <row r="193" spans="9:14" x14ac:dyDescent="0.25">
      <c r="I193"/>
      <c r="J193"/>
      <c r="K193"/>
      <c r="L193"/>
      <c r="M193"/>
      <c r="N193"/>
    </row>
    <row r="194" spans="9:14" x14ac:dyDescent="0.25">
      <c r="I194"/>
      <c r="J194"/>
      <c r="K194"/>
      <c r="L194"/>
      <c r="M194"/>
      <c r="N194"/>
    </row>
    <row r="195" spans="9:14" x14ac:dyDescent="0.25">
      <c r="I195"/>
      <c r="J195"/>
      <c r="K195"/>
      <c r="L195"/>
      <c r="M195"/>
      <c r="N195"/>
    </row>
    <row r="196" spans="9:14" x14ac:dyDescent="0.25">
      <c r="I196"/>
      <c r="J196"/>
      <c r="K196"/>
      <c r="L196"/>
      <c r="M196"/>
      <c r="N196"/>
    </row>
    <row r="197" spans="9:14" x14ac:dyDescent="0.25">
      <c r="I197"/>
      <c r="J197"/>
      <c r="K197"/>
      <c r="L197"/>
      <c r="M197"/>
      <c r="N197"/>
    </row>
    <row r="198" spans="9:14" x14ac:dyDescent="0.25">
      <c r="I198"/>
      <c r="J198"/>
      <c r="K198"/>
      <c r="L198"/>
      <c r="M198"/>
      <c r="N198"/>
    </row>
    <row r="199" spans="9:14" x14ac:dyDescent="0.25">
      <c r="I199"/>
      <c r="J199"/>
      <c r="K199"/>
      <c r="L199"/>
      <c r="M199"/>
      <c r="N199"/>
    </row>
    <row r="200" spans="9:14" x14ac:dyDescent="0.25">
      <c r="I200"/>
      <c r="J200"/>
      <c r="K200"/>
      <c r="L200"/>
      <c r="M200"/>
      <c r="N200"/>
    </row>
    <row r="201" spans="9:14" x14ac:dyDescent="0.25">
      <c r="I201"/>
      <c r="J201"/>
      <c r="K201"/>
      <c r="L201"/>
      <c r="M201"/>
      <c r="N201"/>
    </row>
    <row r="202" spans="9:14" x14ac:dyDescent="0.25">
      <c r="I202"/>
      <c r="J202"/>
      <c r="K202"/>
      <c r="L202"/>
      <c r="M202"/>
      <c r="N202"/>
    </row>
    <row r="203" spans="9:14" x14ac:dyDescent="0.25">
      <c r="I203"/>
      <c r="J203"/>
      <c r="K203"/>
      <c r="L203"/>
      <c r="M203"/>
      <c r="N203"/>
    </row>
    <row r="204" spans="9:14" x14ac:dyDescent="0.25">
      <c r="I204"/>
      <c r="J204"/>
      <c r="K204"/>
      <c r="L204"/>
      <c r="M204"/>
      <c r="N204"/>
    </row>
    <row r="205" spans="9:14" x14ac:dyDescent="0.25">
      <c r="I205"/>
      <c r="J205"/>
      <c r="K205"/>
      <c r="L205"/>
      <c r="M205"/>
      <c r="N205"/>
    </row>
    <row r="206" spans="9:14" x14ac:dyDescent="0.25">
      <c r="I206"/>
      <c r="J206"/>
      <c r="K206"/>
      <c r="L206"/>
      <c r="M206"/>
      <c r="N206"/>
    </row>
    <row r="207" spans="9:14" x14ac:dyDescent="0.25">
      <c r="I207"/>
      <c r="J207"/>
      <c r="K207"/>
      <c r="L207"/>
      <c r="M207"/>
      <c r="N207"/>
    </row>
    <row r="208" spans="9:14" x14ac:dyDescent="0.25">
      <c r="I208"/>
      <c r="J208"/>
      <c r="K208"/>
      <c r="L208"/>
      <c r="M208"/>
      <c r="N208"/>
    </row>
    <row r="209" spans="9:14" x14ac:dyDescent="0.25">
      <c r="I209"/>
      <c r="J209"/>
      <c r="K209"/>
      <c r="L209"/>
      <c r="M209"/>
      <c r="N209"/>
    </row>
    <row r="210" spans="9:14" x14ac:dyDescent="0.25">
      <c r="I210"/>
      <c r="J210"/>
      <c r="K210"/>
      <c r="L210"/>
      <c r="M210"/>
      <c r="N210"/>
    </row>
    <row r="211" spans="9:14" x14ac:dyDescent="0.25">
      <c r="I211"/>
      <c r="J211"/>
      <c r="K211"/>
      <c r="L211"/>
      <c r="M211"/>
      <c r="N211"/>
    </row>
    <row r="212" spans="9:14" x14ac:dyDescent="0.25">
      <c r="I212"/>
      <c r="J212"/>
      <c r="K212"/>
      <c r="L212"/>
      <c r="M212"/>
      <c r="N212"/>
    </row>
    <row r="213" spans="9:14" x14ac:dyDescent="0.25">
      <c r="I213"/>
      <c r="J213"/>
      <c r="K213"/>
      <c r="L213"/>
      <c r="M213"/>
      <c r="N213"/>
    </row>
    <row r="214" spans="9:14" x14ac:dyDescent="0.25">
      <c r="I214"/>
      <c r="J214"/>
      <c r="K214"/>
      <c r="L214"/>
      <c r="M214"/>
      <c r="N214"/>
    </row>
    <row r="215" spans="9:14" x14ac:dyDescent="0.25">
      <c r="I215"/>
      <c r="J215"/>
      <c r="K215"/>
      <c r="L215"/>
      <c r="M215"/>
      <c r="N215"/>
    </row>
    <row r="216" spans="9:14" x14ac:dyDescent="0.25">
      <c r="I216"/>
      <c r="J216"/>
      <c r="K216"/>
      <c r="L216"/>
      <c r="M216"/>
      <c r="N216"/>
    </row>
    <row r="217" spans="9:14" x14ac:dyDescent="0.25">
      <c r="I217"/>
      <c r="J217"/>
      <c r="K217"/>
      <c r="L217"/>
      <c r="M217"/>
      <c r="N217"/>
    </row>
    <row r="218" spans="9:14" x14ac:dyDescent="0.25">
      <c r="I218"/>
      <c r="J218"/>
      <c r="K218"/>
      <c r="L218"/>
      <c r="M218"/>
      <c r="N218"/>
    </row>
    <row r="219" spans="9:14" x14ac:dyDescent="0.25">
      <c r="I219"/>
      <c r="J219"/>
      <c r="K219"/>
      <c r="L219"/>
      <c r="M219"/>
      <c r="N219"/>
    </row>
    <row r="220" spans="9:14" x14ac:dyDescent="0.25">
      <c r="I220"/>
      <c r="J220"/>
      <c r="K220"/>
      <c r="L220"/>
      <c r="M220"/>
      <c r="N220"/>
    </row>
    <row r="221" spans="9:14" x14ac:dyDescent="0.25">
      <c r="I221"/>
      <c r="J221"/>
      <c r="K221"/>
      <c r="L221"/>
      <c r="M221"/>
      <c r="N221"/>
    </row>
    <row r="222" spans="9:14" x14ac:dyDescent="0.25">
      <c r="I222"/>
      <c r="J222"/>
      <c r="K222"/>
      <c r="L222"/>
      <c r="M222"/>
      <c r="N222"/>
    </row>
    <row r="223" spans="9:14" x14ac:dyDescent="0.25">
      <c r="I223"/>
      <c r="J223"/>
      <c r="K223"/>
      <c r="L223"/>
      <c r="M223"/>
      <c r="N223"/>
    </row>
    <row r="224" spans="9:14" x14ac:dyDescent="0.25">
      <c r="I224"/>
      <c r="J224"/>
      <c r="K224"/>
      <c r="L224"/>
      <c r="M224"/>
      <c r="N224"/>
    </row>
    <row r="225" spans="9:14" x14ac:dyDescent="0.25">
      <c r="I225"/>
      <c r="J225"/>
      <c r="K225"/>
      <c r="L225"/>
      <c r="M225"/>
      <c r="N225"/>
    </row>
    <row r="226" spans="9:14" x14ac:dyDescent="0.25">
      <c r="I226"/>
      <c r="J226"/>
      <c r="K226"/>
      <c r="L226"/>
      <c r="M226"/>
      <c r="N226"/>
    </row>
    <row r="227" spans="9:14" x14ac:dyDescent="0.25">
      <c r="I227"/>
      <c r="J227"/>
      <c r="K227"/>
      <c r="L227"/>
      <c r="M227"/>
      <c r="N227"/>
    </row>
    <row r="228" spans="9:14" x14ac:dyDescent="0.25">
      <c r="I228"/>
      <c r="J228"/>
      <c r="K228"/>
      <c r="L228"/>
      <c r="M228"/>
      <c r="N228"/>
    </row>
    <row r="229" spans="9:14" x14ac:dyDescent="0.25">
      <c r="I229"/>
      <c r="J229"/>
      <c r="K229"/>
      <c r="L229"/>
      <c r="M229"/>
      <c r="N229"/>
    </row>
    <row r="230" spans="9:14" x14ac:dyDescent="0.25">
      <c r="I230"/>
      <c r="J230"/>
      <c r="K230"/>
      <c r="L230"/>
      <c r="M230"/>
      <c r="N230"/>
    </row>
    <row r="231" spans="9:14" x14ac:dyDescent="0.25">
      <c r="I231"/>
      <c r="J231"/>
      <c r="K231"/>
      <c r="L231"/>
      <c r="M231"/>
      <c r="N231"/>
    </row>
    <row r="232" spans="9:14" x14ac:dyDescent="0.25">
      <c r="I232"/>
      <c r="J232"/>
      <c r="K232"/>
      <c r="L232"/>
      <c r="M232"/>
      <c r="N232"/>
    </row>
    <row r="233" spans="9:14" x14ac:dyDescent="0.25">
      <c r="I233"/>
      <c r="J233"/>
      <c r="K233"/>
      <c r="L233"/>
      <c r="M233"/>
      <c r="N233"/>
    </row>
    <row r="234" spans="9:14" x14ac:dyDescent="0.25">
      <c r="I234"/>
      <c r="J234"/>
      <c r="K234"/>
      <c r="L234"/>
      <c r="M234"/>
      <c r="N234"/>
    </row>
    <row r="235" spans="9:14" x14ac:dyDescent="0.25">
      <c r="I235"/>
      <c r="J235"/>
      <c r="K235"/>
      <c r="L235"/>
      <c r="M235"/>
      <c r="N235"/>
    </row>
    <row r="236" spans="9:14" x14ac:dyDescent="0.25">
      <c r="I236"/>
      <c r="J236"/>
      <c r="K236"/>
      <c r="L236"/>
      <c r="M236"/>
      <c r="N236"/>
    </row>
    <row r="237" spans="9:14" x14ac:dyDescent="0.25">
      <c r="I237"/>
      <c r="J237"/>
      <c r="K237"/>
      <c r="L237"/>
      <c r="M237"/>
      <c r="N237"/>
    </row>
    <row r="238" spans="9:14" x14ac:dyDescent="0.25">
      <c r="I238"/>
      <c r="J238"/>
      <c r="K238"/>
      <c r="L238"/>
      <c r="M238"/>
      <c r="N238"/>
    </row>
    <row r="239" spans="9:14" x14ac:dyDescent="0.25">
      <c r="I239"/>
      <c r="J239"/>
      <c r="K239"/>
      <c r="L239"/>
      <c r="M239"/>
      <c r="N239"/>
    </row>
    <row r="240" spans="9:14" x14ac:dyDescent="0.25">
      <c r="I240"/>
      <c r="J240"/>
      <c r="K240"/>
      <c r="L240"/>
      <c r="M240"/>
      <c r="N240"/>
    </row>
    <row r="241" spans="9:14" x14ac:dyDescent="0.25">
      <c r="I241"/>
      <c r="J241"/>
      <c r="K241"/>
      <c r="L241"/>
      <c r="M241"/>
      <c r="N241"/>
    </row>
    <row r="242" spans="9:14" x14ac:dyDescent="0.25">
      <c r="I242"/>
      <c r="J242"/>
      <c r="K242"/>
      <c r="L242"/>
      <c r="M242"/>
      <c r="N242"/>
    </row>
    <row r="243" spans="9:14" x14ac:dyDescent="0.25">
      <c r="I243"/>
      <c r="J243"/>
      <c r="K243"/>
      <c r="L243"/>
      <c r="M243"/>
      <c r="N243"/>
    </row>
    <row r="244" spans="9:14" x14ac:dyDescent="0.25">
      <c r="I244"/>
      <c r="J244"/>
      <c r="K244"/>
      <c r="L244"/>
      <c r="M244"/>
      <c r="N244"/>
    </row>
    <row r="245" spans="9:14" x14ac:dyDescent="0.25">
      <c r="I245"/>
      <c r="J245"/>
      <c r="K245"/>
      <c r="L245"/>
      <c r="M245"/>
      <c r="N245"/>
    </row>
    <row r="246" spans="9:14" x14ac:dyDescent="0.25">
      <c r="I246"/>
      <c r="J246"/>
      <c r="K246"/>
      <c r="L246"/>
      <c r="M246"/>
      <c r="N246"/>
    </row>
    <row r="247" spans="9:14" x14ac:dyDescent="0.25">
      <c r="I247"/>
      <c r="J247"/>
      <c r="K247"/>
      <c r="L247"/>
      <c r="M247"/>
      <c r="N247"/>
    </row>
    <row r="248" spans="9:14" x14ac:dyDescent="0.25">
      <c r="I248"/>
      <c r="J248"/>
      <c r="K248"/>
      <c r="L248"/>
      <c r="M248"/>
      <c r="N248"/>
    </row>
    <row r="249" spans="9:14" x14ac:dyDescent="0.25">
      <c r="I249"/>
      <c r="J249"/>
      <c r="K249"/>
      <c r="L249"/>
      <c r="M249"/>
      <c r="N249"/>
    </row>
    <row r="250" spans="9:14" x14ac:dyDescent="0.25">
      <c r="I250"/>
      <c r="J250"/>
      <c r="K250"/>
      <c r="L250"/>
      <c r="M250"/>
      <c r="N250"/>
    </row>
    <row r="251" spans="9:14" x14ac:dyDescent="0.25">
      <c r="I251"/>
      <c r="J251"/>
      <c r="K251"/>
      <c r="L251"/>
      <c r="M251"/>
      <c r="N251"/>
    </row>
    <row r="252" spans="9:14" x14ac:dyDescent="0.25">
      <c r="I252"/>
      <c r="J252"/>
      <c r="K252"/>
      <c r="L252"/>
      <c r="M252"/>
      <c r="N252"/>
    </row>
    <row r="253" spans="9:14" x14ac:dyDescent="0.25">
      <c r="I253"/>
      <c r="J253"/>
      <c r="K253"/>
      <c r="L253"/>
      <c r="M253"/>
      <c r="N253"/>
    </row>
    <row r="254" spans="9:14" x14ac:dyDescent="0.25">
      <c r="I254"/>
      <c r="J254"/>
      <c r="K254"/>
      <c r="L254"/>
      <c r="M254"/>
      <c r="N254"/>
    </row>
    <row r="255" spans="9:14" x14ac:dyDescent="0.25">
      <c r="I255"/>
      <c r="J255"/>
      <c r="K255"/>
      <c r="L255"/>
      <c r="M255"/>
      <c r="N255"/>
    </row>
    <row r="256" spans="9:14" x14ac:dyDescent="0.25">
      <c r="I256"/>
      <c r="J256"/>
      <c r="K256"/>
      <c r="L256"/>
      <c r="M256"/>
      <c r="N256"/>
    </row>
    <row r="257" spans="9:14" x14ac:dyDescent="0.25">
      <c r="I257"/>
      <c r="J257"/>
      <c r="K257"/>
      <c r="L257"/>
      <c r="M257"/>
      <c r="N257"/>
    </row>
    <row r="258" spans="9:14" x14ac:dyDescent="0.25">
      <c r="I258"/>
      <c r="J258"/>
      <c r="K258"/>
      <c r="L258"/>
      <c r="M258"/>
      <c r="N258"/>
    </row>
    <row r="259" spans="9:14" x14ac:dyDescent="0.25">
      <c r="I259"/>
      <c r="J259"/>
      <c r="K259"/>
      <c r="L259"/>
      <c r="M259"/>
      <c r="N259"/>
    </row>
    <row r="260" spans="9:14" x14ac:dyDescent="0.25">
      <c r="I260"/>
      <c r="J260"/>
      <c r="K260"/>
      <c r="L260"/>
      <c r="M260"/>
      <c r="N260"/>
    </row>
    <row r="261" spans="9:14" x14ac:dyDescent="0.25">
      <c r="I261"/>
      <c r="J261"/>
      <c r="K261"/>
      <c r="L261"/>
      <c r="M261"/>
      <c r="N261"/>
    </row>
    <row r="262" spans="9:14" x14ac:dyDescent="0.25">
      <c r="I262"/>
      <c r="J262"/>
      <c r="K262"/>
      <c r="L262"/>
      <c r="M262"/>
      <c r="N262"/>
    </row>
    <row r="263" spans="9:14" x14ac:dyDescent="0.25">
      <c r="I263"/>
      <c r="J263"/>
      <c r="K263"/>
      <c r="L263"/>
      <c r="M263"/>
      <c r="N263"/>
    </row>
    <row r="264" spans="9:14" x14ac:dyDescent="0.25">
      <c r="I264"/>
      <c r="J264"/>
      <c r="K264"/>
      <c r="L264"/>
      <c r="M264"/>
      <c r="N264"/>
    </row>
    <row r="265" spans="9:14" x14ac:dyDescent="0.25">
      <c r="I265"/>
      <c r="J265"/>
      <c r="K265"/>
      <c r="L265"/>
      <c r="M265"/>
      <c r="N265"/>
    </row>
    <row r="266" spans="9:14" x14ac:dyDescent="0.25">
      <c r="I266"/>
      <c r="J266"/>
      <c r="K266"/>
      <c r="L266"/>
      <c r="M266"/>
      <c r="N266"/>
    </row>
    <row r="267" spans="9:14" x14ac:dyDescent="0.25">
      <c r="I267"/>
      <c r="J267"/>
      <c r="K267"/>
      <c r="L267"/>
      <c r="M267"/>
      <c r="N267"/>
    </row>
    <row r="268" spans="9:14" x14ac:dyDescent="0.25">
      <c r="I268"/>
      <c r="J268"/>
      <c r="K268"/>
      <c r="L268"/>
      <c r="M268"/>
      <c r="N268"/>
    </row>
    <row r="269" spans="9:14" x14ac:dyDescent="0.25">
      <c r="I269"/>
      <c r="J269"/>
      <c r="K269"/>
      <c r="L269"/>
      <c r="M269"/>
      <c r="N269"/>
    </row>
    <row r="270" spans="9:14" x14ac:dyDescent="0.25">
      <c r="I270"/>
      <c r="J270"/>
      <c r="K270"/>
      <c r="L270"/>
      <c r="M270"/>
      <c r="N270"/>
    </row>
    <row r="271" spans="9:14" x14ac:dyDescent="0.25">
      <c r="I271"/>
      <c r="J271"/>
      <c r="K271"/>
      <c r="L271"/>
      <c r="M271"/>
      <c r="N271"/>
    </row>
    <row r="272" spans="9:14" x14ac:dyDescent="0.25">
      <c r="I272"/>
      <c r="J272"/>
      <c r="K272"/>
      <c r="L272"/>
      <c r="M272"/>
      <c r="N272"/>
    </row>
    <row r="273" spans="9:14" x14ac:dyDescent="0.25">
      <c r="I273"/>
      <c r="J273"/>
      <c r="K273"/>
      <c r="L273"/>
      <c r="M273"/>
      <c r="N273"/>
    </row>
    <row r="274" spans="9:14" x14ac:dyDescent="0.25">
      <c r="I274"/>
      <c r="J274"/>
      <c r="K274"/>
      <c r="L274"/>
      <c r="M274"/>
      <c r="N274"/>
    </row>
    <row r="275" spans="9:14" x14ac:dyDescent="0.25">
      <c r="I275"/>
      <c r="J275"/>
      <c r="K275"/>
      <c r="L275"/>
      <c r="M275"/>
      <c r="N275"/>
    </row>
    <row r="276" spans="9:14" x14ac:dyDescent="0.25">
      <c r="I276"/>
      <c r="J276"/>
      <c r="K276"/>
      <c r="L276"/>
      <c r="M276"/>
      <c r="N276"/>
    </row>
    <row r="277" spans="9:14" x14ac:dyDescent="0.25">
      <c r="I277"/>
      <c r="J277"/>
      <c r="K277"/>
      <c r="L277"/>
      <c r="M277"/>
      <c r="N277"/>
    </row>
    <row r="278" spans="9:14" x14ac:dyDescent="0.25">
      <c r="I278"/>
      <c r="J278"/>
      <c r="K278"/>
      <c r="L278"/>
      <c r="M278"/>
      <c r="N278"/>
    </row>
    <row r="279" spans="9:14" x14ac:dyDescent="0.25">
      <c r="I279"/>
      <c r="J279"/>
      <c r="K279"/>
      <c r="L279"/>
      <c r="M279"/>
      <c r="N279"/>
    </row>
    <row r="280" spans="9:14" x14ac:dyDescent="0.25">
      <c r="I280"/>
      <c r="J280"/>
      <c r="K280"/>
      <c r="L280"/>
      <c r="M280"/>
      <c r="N280"/>
    </row>
    <row r="281" spans="9:14" x14ac:dyDescent="0.25">
      <c r="I281"/>
      <c r="J281"/>
      <c r="K281"/>
      <c r="L281"/>
      <c r="M281"/>
      <c r="N281"/>
    </row>
    <row r="282" spans="9:14" x14ac:dyDescent="0.25">
      <c r="I282"/>
      <c r="J282"/>
      <c r="K282"/>
      <c r="L282"/>
      <c r="M282"/>
      <c r="N282"/>
    </row>
    <row r="283" spans="9:14" x14ac:dyDescent="0.25">
      <c r="I283"/>
      <c r="J283"/>
      <c r="K283"/>
      <c r="L283"/>
      <c r="M283"/>
      <c r="N283"/>
    </row>
    <row r="284" spans="9:14" x14ac:dyDescent="0.25">
      <c r="I284"/>
      <c r="J284"/>
      <c r="K284"/>
      <c r="L284"/>
      <c r="M284"/>
      <c r="N284"/>
    </row>
    <row r="285" spans="9:14" x14ac:dyDescent="0.25">
      <c r="I285"/>
      <c r="J285"/>
      <c r="K285"/>
      <c r="L285"/>
      <c r="M285"/>
      <c r="N285"/>
    </row>
    <row r="286" spans="9:14" x14ac:dyDescent="0.25">
      <c r="I286"/>
      <c r="J286"/>
      <c r="K286"/>
      <c r="L286"/>
      <c r="M286"/>
      <c r="N286"/>
    </row>
    <row r="287" spans="9:14" x14ac:dyDescent="0.25">
      <c r="I287"/>
      <c r="J287"/>
      <c r="K287"/>
      <c r="L287"/>
      <c r="M287"/>
      <c r="N287"/>
    </row>
    <row r="288" spans="9:14" x14ac:dyDescent="0.25">
      <c r="I288"/>
      <c r="J288"/>
      <c r="K288"/>
      <c r="L288"/>
      <c r="M288"/>
      <c r="N288"/>
    </row>
    <row r="289" spans="9:14" x14ac:dyDescent="0.25">
      <c r="I289"/>
      <c r="J289"/>
      <c r="K289"/>
      <c r="L289"/>
      <c r="M289"/>
      <c r="N289"/>
    </row>
    <row r="290" spans="9:14" x14ac:dyDescent="0.25">
      <c r="I290"/>
      <c r="J290"/>
      <c r="K290"/>
      <c r="L290"/>
      <c r="M290"/>
      <c r="N290"/>
    </row>
    <row r="291" spans="9:14" x14ac:dyDescent="0.25">
      <c r="I291"/>
      <c r="J291"/>
      <c r="K291"/>
      <c r="L291"/>
      <c r="M291"/>
      <c r="N291"/>
    </row>
    <row r="292" spans="9:14" x14ac:dyDescent="0.25">
      <c r="I292"/>
      <c r="J292"/>
      <c r="K292"/>
      <c r="L292"/>
      <c r="M292"/>
      <c r="N292"/>
    </row>
    <row r="293" spans="9:14" x14ac:dyDescent="0.25">
      <c r="I293"/>
      <c r="J293"/>
      <c r="K293"/>
      <c r="L293"/>
      <c r="M293"/>
      <c r="N293"/>
    </row>
    <row r="294" spans="9:14" x14ac:dyDescent="0.25">
      <c r="I294"/>
      <c r="J294"/>
      <c r="K294"/>
      <c r="L294"/>
      <c r="M294"/>
      <c r="N294"/>
    </row>
    <row r="295" spans="9:14" x14ac:dyDescent="0.25">
      <c r="I295"/>
      <c r="J295"/>
      <c r="K295"/>
      <c r="L295"/>
      <c r="M295"/>
      <c r="N295"/>
    </row>
    <row r="296" spans="9:14" x14ac:dyDescent="0.25">
      <c r="I296"/>
      <c r="J296"/>
      <c r="K296"/>
      <c r="L296"/>
      <c r="M296"/>
      <c r="N296"/>
    </row>
    <row r="297" spans="9:14" x14ac:dyDescent="0.25">
      <c r="I297"/>
      <c r="J297"/>
      <c r="K297"/>
      <c r="L297"/>
      <c r="M297"/>
      <c r="N297"/>
    </row>
    <row r="298" spans="9:14" x14ac:dyDescent="0.25">
      <c r="I298"/>
      <c r="J298"/>
      <c r="K298"/>
      <c r="L298"/>
      <c r="M298"/>
      <c r="N298"/>
    </row>
    <row r="299" spans="9:14" x14ac:dyDescent="0.25">
      <c r="I299"/>
      <c r="J299"/>
      <c r="K299"/>
      <c r="L299"/>
      <c r="M299"/>
      <c r="N299"/>
    </row>
    <row r="300" spans="9:14" x14ac:dyDescent="0.25">
      <c r="I300"/>
      <c r="J300"/>
      <c r="K300"/>
      <c r="L300"/>
      <c r="M300"/>
      <c r="N300"/>
    </row>
    <row r="301" spans="9:14" x14ac:dyDescent="0.25">
      <c r="I301"/>
      <c r="J301"/>
      <c r="K301"/>
      <c r="L301"/>
      <c r="M301"/>
      <c r="N301"/>
    </row>
    <row r="302" spans="9:14" x14ac:dyDescent="0.25">
      <c r="I302"/>
      <c r="J302"/>
      <c r="K302"/>
      <c r="L302"/>
      <c r="M302"/>
      <c r="N302"/>
    </row>
    <row r="303" spans="9:14" x14ac:dyDescent="0.25">
      <c r="I303"/>
      <c r="J303"/>
      <c r="K303"/>
      <c r="L303"/>
      <c r="M303"/>
      <c r="N303"/>
    </row>
    <row r="304" spans="9:14" x14ac:dyDescent="0.25">
      <c r="I304"/>
      <c r="J304"/>
      <c r="K304"/>
      <c r="L304"/>
      <c r="M304"/>
      <c r="N304"/>
    </row>
    <row r="305" spans="9:14" x14ac:dyDescent="0.25">
      <c r="I305"/>
      <c r="J305"/>
      <c r="K305"/>
      <c r="L305"/>
      <c r="M305"/>
      <c r="N305"/>
    </row>
    <row r="306" spans="9:14" x14ac:dyDescent="0.25">
      <c r="I306"/>
      <c r="J306"/>
      <c r="K306"/>
      <c r="L306"/>
      <c r="M306"/>
      <c r="N306"/>
    </row>
    <row r="307" spans="9:14" x14ac:dyDescent="0.25">
      <c r="I307"/>
      <c r="J307"/>
      <c r="K307"/>
      <c r="L307"/>
      <c r="M307"/>
      <c r="N307"/>
    </row>
    <row r="308" spans="9:14" x14ac:dyDescent="0.25">
      <c r="I308"/>
      <c r="J308"/>
      <c r="K308"/>
      <c r="L308"/>
      <c r="M308"/>
      <c r="N308"/>
    </row>
    <row r="309" spans="9:14" x14ac:dyDescent="0.25">
      <c r="I309"/>
      <c r="J309"/>
      <c r="K309"/>
      <c r="L309"/>
      <c r="M309"/>
      <c r="N309"/>
    </row>
    <row r="310" spans="9:14" x14ac:dyDescent="0.25">
      <c r="I310"/>
      <c r="J310"/>
      <c r="K310"/>
      <c r="L310"/>
      <c r="M310"/>
      <c r="N310"/>
    </row>
    <row r="311" spans="9:14" x14ac:dyDescent="0.25">
      <c r="I311"/>
      <c r="J311"/>
      <c r="K311"/>
      <c r="L311"/>
      <c r="M311"/>
      <c r="N311"/>
    </row>
    <row r="312" spans="9:14" x14ac:dyDescent="0.25">
      <c r="I312"/>
      <c r="J312"/>
      <c r="K312"/>
      <c r="L312"/>
      <c r="M312"/>
      <c r="N312"/>
    </row>
    <row r="313" spans="9:14" x14ac:dyDescent="0.25">
      <c r="I313"/>
      <c r="J313"/>
      <c r="K313"/>
      <c r="L313"/>
      <c r="M313"/>
      <c r="N313"/>
    </row>
    <row r="314" spans="9:14" x14ac:dyDescent="0.25">
      <c r="I314"/>
      <c r="J314"/>
      <c r="K314"/>
      <c r="L314"/>
      <c r="M314"/>
      <c r="N314"/>
    </row>
    <row r="315" spans="9:14" x14ac:dyDescent="0.25">
      <c r="I315"/>
      <c r="J315"/>
      <c r="K315"/>
      <c r="L315"/>
      <c r="M315"/>
      <c r="N315"/>
    </row>
    <row r="316" spans="9:14" x14ac:dyDescent="0.25">
      <c r="I316"/>
      <c r="J316"/>
      <c r="K316"/>
      <c r="L316"/>
      <c r="M316"/>
      <c r="N316"/>
    </row>
    <row r="317" spans="9:14" x14ac:dyDescent="0.25">
      <c r="I317"/>
      <c r="J317"/>
      <c r="K317"/>
      <c r="L317"/>
      <c r="M317"/>
      <c r="N317"/>
    </row>
    <row r="318" spans="9:14" x14ac:dyDescent="0.25">
      <c r="I318"/>
      <c r="J318"/>
      <c r="K318"/>
      <c r="L318"/>
      <c r="M318"/>
      <c r="N318"/>
    </row>
    <row r="319" spans="9:14" x14ac:dyDescent="0.25">
      <c r="I319"/>
      <c r="J319"/>
      <c r="K319"/>
      <c r="L319"/>
      <c r="M319"/>
      <c r="N319"/>
    </row>
    <row r="320" spans="9:14" x14ac:dyDescent="0.25">
      <c r="I320"/>
      <c r="J320"/>
      <c r="K320"/>
      <c r="L320"/>
      <c r="M320"/>
      <c r="N320"/>
    </row>
    <row r="321" spans="9:14" x14ac:dyDescent="0.25">
      <c r="I321"/>
      <c r="J321"/>
      <c r="K321"/>
      <c r="L321"/>
      <c r="M321"/>
      <c r="N321"/>
    </row>
    <row r="322" spans="9:14" x14ac:dyDescent="0.25">
      <c r="I322"/>
      <c r="J322"/>
      <c r="K322"/>
      <c r="L322"/>
      <c r="M322"/>
      <c r="N322"/>
    </row>
    <row r="323" spans="9:14" x14ac:dyDescent="0.25">
      <c r="I323"/>
      <c r="J323"/>
      <c r="K323"/>
      <c r="L323"/>
      <c r="M323"/>
      <c r="N323"/>
    </row>
    <row r="324" spans="9:14" x14ac:dyDescent="0.25">
      <c r="I324"/>
      <c r="J324"/>
      <c r="K324"/>
      <c r="L324"/>
      <c r="M324"/>
      <c r="N324"/>
    </row>
    <row r="325" spans="9:14" x14ac:dyDescent="0.25">
      <c r="I325"/>
      <c r="J325"/>
      <c r="K325"/>
      <c r="L325"/>
      <c r="M325"/>
      <c r="N325"/>
    </row>
    <row r="326" spans="9:14" x14ac:dyDescent="0.25">
      <c r="I326"/>
      <c r="J326"/>
      <c r="K326"/>
      <c r="L326"/>
      <c r="M326"/>
      <c r="N326"/>
    </row>
    <row r="327" spans="9:14" x14ac:dyDescent="0.25">
      <c r="I327"/>
      <c r="J327"/>
      <c r="K327"/>
      <c r="L327"/>
      <c r="M327"/>
      <c r="N327"/>
    </row>
    <row r="328" spans="9:14" x14ac:dyDescent="0.25">
      <c r="I328"/>
      <c r="J328"/>
      <c r="K328"/>
      <c r="L328"/>
      <c r="M328"/>
      <c r="N328"/>
    </row>
    <row r="329" spans="9:14" x14ac:dyDescent="0.25">
      <c r="I329"/>
      <c r="J329"/>
      <c r="K329"/>
      <c r="L329"/>
      <c r="M329"/>
      <c r="N329"/>
    </row>
    <row r="330" spans="9:14" x14ac:dyDescent="0.25">
      <c r="I330"/>
      <c r="J330"/>
      <c r="K330"/>
      <c r="L330"/>
      <c r="M330"/>
      <c r="N330"/>
    </row>
    <row r="331" spans="9:14" x14ac:dyDescent="0.25">
      <c r="I331"/>
      <c r="J331"/>
      <c r="K331"/>
      <c r="L331"/>
      <c r="M331"/>
      <c r="N331"/>
    </row>
    <row r="332" spans="9:14" x14ac:dyDescent="0.25">
      <c r="I332"/>
      <c r="J332"/>
      <c r="K332"/>
      <c r="L332"/>
      <c r="M332"/>
      <c r="N332"/>
    </row>
    <row r="333" spans="9:14" x14ac:dyDescent="0.25">
      <c r="I333"/>
      <c r="J333"/>
      <c r="K333"/>
      <c r="L333"/>
      <c r="M333"/>
      <c r="N333"/>
    </row>
    <row r="334" spans="9:14" x14ac:dyDescent="0.25">
      <c r="I334"/>
      <c r="J334"/>
      <c r="K334"/>
      <c r="L334"/>
      <c r="M334"/>
      <c r="N334"/>
    </row>
    <row r="335" spans="9:14" x14ac:dyDescent="0.25">
      <c r="I335"/>
      <c r="J335"/>
      <c r="K335"/>
      <c r="L335"/>
      <c r="M335"/>
      <c r="N335"/>
    </row>
    <row r="336" spans="9:14" x14ac:dyDescent="0.25">
      <c r="I336"/>
      <c r="J336"/>
      <c r="K336"/>
      <c r="L336"/>
      <c r="M336"/>
      <c r="N336"/>
    </row>
    <row r="337" spans="9:14" x14ac:dyDescent="0.25">
      <c r="I337"/>
      <c r="J337"/>
      <c r="K337"/>
      <c r="L337"/>
      <c r="M337"/>
      <c r="N337"/>
    </row>
    <row r="338" spans="9:14" x14ac:dyDescent="0.25">
      <c r="I338"/>
      <c r="J338"/>
      <c r="K338"/>
      <c r="L338"/>
      <c r="M338"/>
      <c r="N338"/>
    </row>
    <row r="339" spans="9:14" x14ac:dyDescent="0.25">
      <c r="I339"/>
      <c r="J339"/>
      <c r="K339"/>
      <c r="L339"/>
      <c r="M339"/>
      <c r="N339"/>
    </row>
    <row r="340" spans="9:14" x14ac:dyDescent="0.25">
      <c r="I340"/>
      <c r="J340"/>
      <c r="K340"/>
      <c r="L340"/>
      <c r="M340"/>
      <c r="N340"/>
    </row>
    <row r="341" spans="9:14" x14ac:dyDescent="0.25">
      <c r="I341"/>
      <c r="J341"/>
      <c r="K341"/>
      <c r="L341"/>
      <c r="M341"/>
      <c r="N341"/>
    </row>
    <row r="342" spans="9:14" x14ac:dyDescent="0.25">
      <c r="I342"/>
      <c r="J342"/>
      <c r="K342"/>
      <c r="L342"/>
      <c r="M342"/>
      <c r="N342"/>
    </row>
    <row r="343" spans="9:14" x14ac:dyDescent="0.25">
      <c r="I343"/>
      <c r="J343"/>
      <c r="K343"/>
      <c r="L343"/>
      <c r="M343"/>
      <c r="N343"/>
    </row>
    <row r="344" spans="9:14" x14ac:dyDescent="0.25">
      <c r="I344"/>
      <c r="J344"/>
      <c r="K344"/>
      <c r="L344"/>
      <c r="M344"/>
      <c r="N344"/>
    </row>
    <row r="345" spans="9:14" x14ac:dyDescent="0.25">
      <c r="I345"/>
      <c r="J345"/>
      <c r="K345"/>
      <c r="L345"/>
      <c r="M345"/>
      <c r="N345"/>
    </row>
    <row r="346" spans="9:14" x14ac:dyDescent="0.25">
      <c r="I346"/>
      <c r="J346"/>
      <c r="K346"/>
      <c r="L346"/>
      <c r="M346"/>
      <c r="N346"/>
    </row>
    <row r="347" spans="9:14" x14ac:dyDescent="0.25">
      <c r="I347"/>
      <c r="J347"/>
      <c r="K347"/>
      <c r="L347"/>
      <c r="M347"/>
      <c r="N347"/>
    </row>
    <row r="348" spans="9:14" x14ac:dyDescent="0.25">
      <c r="I348"/>
      <c r="J348"/>
      <c r="K348"/>
      <c r="L348"/>
      <c r="M348"/>
      <c r="N348"/>
    </row>
    <row r="349" spans="9:14" x14ac:dyDescent="0.25">
      <c r="I349"/>
      <c r="J349"/>
      <c r="K349"/>
      <c r="L349"/>
      <c r="M349"/>
      <c r="N349"/>
    </row>
    <row r="350" spans="9:14" x14ac:dyDescent="0.25">
      <c r="I350"/>
      <c r="J350"/>
      <c r="K350"/>
      <c r="L350"/>
      <c r="M350"/>
      <c r="N350"/>
    </row>
    <row r="351" spans="9:14" x14ac:dyDescent="0.25">
      <c r="I351"/>
      <c r="J351"/>
      <c r="K351"/>
      <c r="L351"/>
      <c r="M351"/>
      <c r="N351"/>
    </row>
    <row r="352" spans="9:14" x14ac:dyDescent="0.25">
      <c r="I352"/>
      <c r="J352"/>
      <c r="K352"/>
      <c r="L352"/>
      <c r="M352"/>
      <c r="N352"/>
    </row>
    <row r="353" spans="9:14" x14ac:dyDescent="0.25">
      <c r="I353"/>
      <c r="J353"/>
      <c r="K353"/>
      <c r="L353"/>
      <c r="M353"/>
      <c r="N353"/>
    </row>
    <row r="354" spans="9:14" x14ac:dyDescent="0.25">
      <c r="I354"/>
      <c r="J354"/>
      <c r="K354"/>
      <c r="L354"/>
      <c r="M354"/>
      <c r="N354"/>
    </row>
    <row r="355" spans="9:14" x14ac:dyDescent="0.25">
      <c r="I355"/>
      <c r="J355"/>
      <c r="K355"/>
      <c r="L355"/>
      <c r="M355"/>
      <c r="N355"/>
    </row>
    <row r="356" spans="9:14" x14ac:dyDescent="0.25">
      <c r="I356"/>
      <c r="J356"/>
      <c r="K356"/>
      <c r="L356"/>
      <c r="M356"/>
      <c r="N356"/>
    </row>
    <row r="357" spans="9:14" x14ac:dyDescent="0.25">
      <c r="I357"/>
      <c r="J357"/>
      <c r="K357"/>
      <c r="L357"/>
      <c r="M357"/>
      <c r="N357"/>
    </row>
    <row r="358" spans="9:14" x14ac:dyDescent="0.25">
      <c r="I358"/>
      <c r="J358"/>
      <c r="K358"/>
      <c r="L358"/>
      <c r="M358"/>
      <c r="N358"/>
    </row>
    <row r="359" spans="9:14" x14ac:dyDescent="0.25">
      <c r="I359"/>
      <c r="J359"/>
      <c r="K359"/>
      <c r="L359"/>
      <c r="M359"/>
      <c r="N359"/>
    </row>
    <row r="360" spans="9:14" x14ac:dyDescent="0.25">
      <c r="I360"/>
      <c r="J360"/>
      <c r="K360"/>
      <c r="L360"/>
      <c r="M360"/>
      <c r="N360"/>
    </row>
    <row r="361" spans="9:14" x14ac:dyDescent="0.25">
      <c r="I361"/>
      <c r="J361"/>
      <c r="K361"/>
      <c r="L361"/>
      <c r="M361"/>
      <c r="N361"/>
    </row>
    <row r="362" spans="9:14" x14ac:dyDescent="0.25">
      <c r="I362"/>
      <c r="J362"/>
      <c r="K362"/>
      <c r="L362"/>
      <c r="M362"/>
      <c r="N362"/>
    </row>
    <row r="363" spans="9:14" x14ac:dyDescent="0.25">
      <c r="I363"/>
      <c r="J363"/>
      <c r="K363"/>
      <c r="L363"/>
      <c r="M363"/>
      <c r="N363"/>
    </row>
    <row r="364" spans="9:14" x14ac:dyDescent="0.25">
      <c r="I364"/>
      <c r="J364"/>
      <c r="K364"/>
      <c r="L364"/>
      <c r="M364"/>
      <c r="N364"/>
    </row>
    <row r="365" spans="9:14" x14ac:dyDescent="0.25">
      <c r="I365"/>
      <c r="J365"/>
      <c r="K365"/>
      <c r="L365"/>
      <c r="M365"/>
      <c r="N365"/>
    </row>
    <row r="366" spans="9:14" x14ac:dyDescent="0.25">
      <c r="I366"/>
      <c r="J366"/>
      <c r="K366"/>
      <c r="L366"/>
      <c r="M366"/>
      <c r="N366"/>
    </row>
    <row r="367" spans="9:14" x14ac:dyDescent="0.25">
      <c r="I367"/>
      <c r="J367"/>
      <c r="K367"/>
      <c r="L367"/>
      <c r="M367"/>
      <c r="N367"/>
    </row>
    <row r="368" spans="9:14" x14ac:dyDescent="0.25">
      <c r="I368"/>
      <c r="J368"/>
      <c r="K368"/>
      <c r="L368"/>
      <c r="M368"/>
      <c r="N368"/>
    </row>
    <row r="369" spans="9:14" x14ac:dyDescent="0.25">
      <c r="I369"/>
      <c r="J369"/>
      <c r="K369"/>
      <c r="L369"/>
      <c r="M369"/>
      <c r="N369"/>
    </row>
    <row r="370" spans="9:14" x14ac:dyDescent="0.25">
      <c r="I370"/>
      <c r="J370"/>
      <c r="K370"/>
      <c r="L370"/>
      <c r="M370"/>
      <c r="N370"/>
    </row>
    <row r="371" spans="9:14" x14ac:dyDescent="0.25">
      <c r="I371"/>
      <c r="J371"/>
      <c r="K371"/>
      <c r="L371"/>
      <c r="M371"/>
      <c r="N371"/>
    </row>
    <row r="372" spans="9:14" x14ac:dyDescent="0.25">
      <c r="I372"/>
      <c r="J372"/>
      <c r="K372"/>
      <c r="L372"/>
      <c r="M372"/>
      <c r="N372"/>
    </row>
    <row r="373" spans="9:14" x14ac:dyDescent="0.25">
      <c r="I373"/>
      <c r="J373"/>
      <c r="K373"/>
      <c r="L373"/>
      <c r="M373"/>
      <c r="N373"/>
    </row>
    <row r="374" spans="9:14" x14ac:dyDescent="0.25">
      <c r="I374"/>
      <c r="J374"/>
      <c r="K374"/>
      <c r="L374"/>
      <c r="M374"/>
      <c r="N374"/>
    </row>
    <row r="375" spans="9:14" x14ac:dyDescent="0.25">
      <c r="I375"/>
      <c r="J375"/>
      <c r="K375"/>
      <c r="L375"/>
      <c r="M375"/>
      <c r="N375"/>
    </row>
    <row r="376" spans="9:14" x14ac:dyDescent="0.25">
      <c r="I376"/>
      <c r="J376"/>
      <c r="K376"/>
      <c r="L376"/>
      <c r="M376"/>
      <c r="N376"/>
    </row>
    <row r="377" spans="9:14" x14ac:dyDescent="0.25">
      <c r="I377"/>
      <c r="J377"/>
      <c r="K377"/>
      <c r="L377"/>
      <c r="M377"/>
      <c r="N377"/>
    </row>
    <row r="378" spans="9:14" x14ac:dyDescent="0.25">
      <c r="I378"/>
      <c r="J378"/>
      <c r="K378"/>
      <c r="L378"/>
      <c r="M378"/>
      <c r="N378"/>
    </row>
    <row r="379" spans="9:14" x14ac:dyDescent="0.25">
      <c r="I379"/>
      <c r="J379"/>
      <c r="K379"/>
      <c r="L379"/>
      <c r="M379"/>
      <c r="N379"/>
    </row>
    <row r="380" spans="9:14" x14ac:dyDescent="0.25">
      <c r="I380"/>
      <c r="J380"/>
      <c r="K380"/>
      <c r="L380"/>
      <c r="M380"/>
      <c r="N380"/>
    </row>
    <row r="381" spans="9:14" x14ac:dyDescent="0.25">
      <c r="I381"/>
      <c r="J381"/>
      <c r="K381"/>
      <c r="L381"/>
      <c r="M381"/>
      <c r="N381"/>
    </row>
    <row r="382" spans="9:14" x14ac:dyDescent="0.25">
      <c r="I382"/>
      <c r="J382"/>
      <c r="K382"/>
      <c r="L382"/>
      <c r="M382"/>
      <c r="N382"/>
    </row>
    <row r="383" spans="9:14" x14ac:dyDescent="0.25">
      <c r="I383"/>
      <c r="J383"/>
      <c r="K383"/>
      <c r="L383"/>
      <c r="M383"/>
      <c r="N383"/>
    </row>
    <row r="384" spans="9:14" x14ac:dyDescent="0.25">
      <c r="I384"/>
      <c r="J384"/>
      <c r="K384"/>
      <c r="L384"/>
      <c r="M384"/>
      <c r="N384"/>
    </row>
    <row r="385" spans="9:14" x14ac:dyDescent="0.25">
      <c r="I385"/>
      <c r="J385"/>
      <c r="K385"/>
      <c r="L385"/>
      <c r="M385"/>
      <c r="N385"/>
    </row>
    <row r="386" spans="9:14" x14ac:dyDescent="0.25">
      <c r="I386"/>
      <c r="J386"/>
      <c r="K386"/>
      <c r="L386"/>
      <c r="M386"/>
      <c r="N386"/>
    </row>
    <row r="387" spans="9:14" x14ac:dyDescent="0.25">
      <c r="I387"/>
      <c r="J387"/>
      <c r="K387"/>
      <c r="L387"/>
      <c r="M387"/>
      <c r="N387"/>
    </row>
    <row r="388" spans="9:14" x14ac:dyDescent="0.25">
      <c r="I388"/>
      <c r="J388"/>
      <c r="K388"/>
      <c r="L388"/>
      <c r="M388"/>
      <c r="N388"/>
    </row>
    <row r="389" spans="9:14" x14ac:dyDescent="0.25">
      <c r="I389"/>
      <c r="J389"/>
      <c r="K389"/>
      <c r="L389"/>
      <c r="M389"/>
      <c r="N389"/>
    </row>
    <row r="390" spans="9:14" x14ac:dyDescent="0.25">
      <c r="I390"/>
      <c r="J390"/>
      <c r="K390"/>
      <c r="L390"/>
      <c r="M390"/>
      <c r="N390"/>
    </row>
    <row r="391" spans="9:14" x14ac:dyDescent="0.25">
      <c r="I391"/>
      <c r="J391"/>
      <c r="K391"/>
      <c r="L391"/>
      <c r="M391"/>
      <c r="N391"/>
    </row>
    <row r="392" spans="9:14" x14ac:dyDescent="0.25">
      <c r="I392"/>
      <c r="J392"/>
      <c r="K392"/>
      <c r="L392"/>
      <c r="M392"/>
      <c r="N392"/>
    </row>
    <row r="393" spans="9:14" x14ac:dyDescent="0.25">
      <c r="I393"/>
      <c r="J393"/>
      <c r="K393"/>
      <c r="L393"/>
      <c r="M393"/>
      <c r="N393"/>
    </row>
    <row r="394" spans="9:14" x14ac:dyDescent="0.25">
      <c r="I394"/>
      <c r="J394"/>
      <c r="K394"/>
      <c r="L394"/>
      <c r="M394"/>
      <c r="N394"/>
    </row>
    <row r="395" spans="9:14" x14ac:dyDescent="0.25">
      <c r="I395"/>
      <c r="J395"/>
      <c r="K395"/>
      <c r="L395"/>
      <c r="M395"/>
      <c r="N395"/>
    </row>
    <row r="396" spans="9:14" x14ac:dyDescent="0.25">
      <c r="I396"/>
      <c r="J396"/>
      <c r="K396"/>
      <c r="L396"/>
      <c r="M396"/>
      <c r="N396"/>
    </row>
    <row r="397" spans="9:14" x14ac:dyDescent="0.25">
      <c r="I397"/>
      <c r="J397"/>
      <c r="K397"/>
      <c r="L397"/>
      <c r="M397"/>
      <c r="N397"/>
    </row>
    <row r="398" spans="9:14" x14ac:dyDescent="0.25">
      <c r="I398"/>
      <c r="J398"/>
      <c r="K398"/>
      <c r="L398"/>
      <c r="M398"/>
      <c r="N398"/>
    </row>
    <row r="399" spans="9:14" x14ac:dyDescent="0.25">
      <c r="I399"/>
      <c r="J399"/>
      <c r="K399"/>
      <c r="L399"/>
      <c r="M399"/>
      <c r="N399"/>
    </row>
    <row r="400" spans="9:14" x14ac:dyDescent="0.25">
      <c r="I400"/>
      <c r="J400"/>
      <c r="K400"/>
      <c r="L400"/>
      <c r="M400"/>
      <c r="N400"/>
    </row>
    <row r="401" spans="9:14" x14ac:dyDescent="0.25">
      <c r="I401"/>
      <c r="J401"/>
      <c r="K401"/>
      <c r="L401"/>
      <c r="M401"/>
      <c r="N401"/>
    </row>
    <row r="402" spans="9:14" x14ac:dyDescent="0.25">
      <c r="I402"/>
      <c r="J402"/>
      <c r="K402"/>
      <c r="L402"/>
      <c r="M402"/>
      <c r="N402"/>
    </row>
    <row r="403" spans="9:14" x14ac:dyDescent="0.25">
      <c r="I403"/>
      <c r="J403"/>
      <c r="K403"/>
      <c r="L403"/>
      <c r="M403"/>
      <c r="N403"/>
    </row>
    <row r="404" spans="9:14" x14ac:dyDescent="0.25">
      <c r="I404"/>
      <c r="J404"/>
      <c r="K404"/>
      <c r="L404"/>
      <c r="M404"/>
      <c r="N404"/>
    </row>
    <row r="405" spans="9:14" x14ac:dyDescent="0.25">
      <c r="I405"/>
      <c r="J405"/>
      <c r="K405"/>
      <c r="L405"/>
      <c r="M405"/>
      <c r="N405"/>
    </row>
    <row r="406" spans="9:14" x14ac:dyDescent="0.25">
      <c r="I406"/>
      <c r="J406"/>
      <c r="K406"/>
      <c r="L406"/>
      <c r="M406"/>
      <c r="N406"/>
    </row>
    <row r="407" spans="9:14" x14ac:dyDescent="0.25">
      <c r="I407"/>
      <c r="J407"/>
      <c r="K407"/>
      <c r="L407"/>
      <c r="M407"/>
      <c r="N407"/>
    </row>
    <row r="408" spans="9:14" x14ac:dyDescent="0.25">
      <c r="I408"/>
      <c r="J408"/>
      <c r="K408"/>
      <c r="L408"/>
      <c r="M408"/>
      <c r="N408"/>
    </row>
    <row r="409" spans="9:14" x14ac:dyDescent="0.25">
      <c r="I409"/>
      <c r="J409"/>
      <c r="K409"/>
      <c r="L409"/>
      <c r="M409"/>
      <c r="N409"/>
    </row>
    <row r="410" spans="9:14" x14ac:dyDescent="0.25">
      <c r="I410"/>
      <c r="J410"/>
      <c r="K410"/>
      <c r="L410"/>
      <c r="M410"/>
      <c r="N410"/>
    </row>
    <row r="411" spans="9:14" x14ac:dyDescent="0.25">
      <c r="I411"/>
      <c r="J411"/>
      <c r="K411"/>
      <c r="L411"/>
      <c r="M411"/>
      <c r="N411"/>
    </row>
    <row r="412" spans="9:14" x14ac:dyDescent="0.25">
      <c r="I412"/>
      <c r="J412"/>
      <c r="K412"/>
      <c r="L412"/>
      <c r="M412"/>
      <c r="N412"/>
    </row>
    <row r="413" spans="9:14" x14ac:dyDescent="0.25">
      <c r="I413"/>
      <c r="J413"/>
      <c r="K413"/>
      <c r="L413"/>
      <c r="M413"/>
      <c r="N413"/>
    </row>
    <row r="414" spans="9:14" x14ac:dyDescent="0.25">
      <c r="I414"/>
      <c r="J414"/>
      <c r="K414"/>
      <c r="L414"/>
      <c r="M414"/>
      <c r="N414"/>
    </row>
    <row r="415" spans="9:14" x14ac:dyDescent="0.25">
      <c r="I415"/>
      <c r="J415"/>
      <c r="K415"/>
      <c r="L415"/>
      <c r="M415"/>
      <c r="N415"/>
    </row>
    <row r="416" spans="9:14" x14ac:dyDescent="0.25">
      <c r="I416"/>
      <c r="J416"/>
      <c r="K416"/>
      <c r="L416"/>
      <c r="M416"/>
      <c r="N416"/>
    </row>
    <row r="417" spans="9:14" x14ac:dyDescent="0.25">
      <c r="I417"/>
      <c r="J417"/>
      <c r="K417"/>
      <c r="L417"/>
      <c r="M417"/>
      <c r="N417"/>
    </row>
    <row r="418" spans="9:14" x14ac:dyDescent="0.25">
      <c r="I418"/>
      <c r="J418"/>
      <c r="K418"/>
      <c r="L418"/>
      <c r="M418"/>
      <c r="N418"/>
    </row>
    <row r="419" spans="9:14" x14ac:dyDescent="0.25">
      <c r="I419"/>
      <c r="J419"/>
      <c r="K419"/>
      <c r="L419"/>
      <c r="M419"/>
      <c r="N419"/>
    </row>
    <row r="420" spans="9:14" x14ac:dyDescent="0.25">
      <c r="I420"/>
      <c r="J420"/>
      <c r="K420"/>
      <c r="L420"/>
      <c r="M420"/>
      <c r="N420"/>
    </row>
    <row r="421" spans="9:14" x14ac:dyDescent="0.25">
      <c r="I421"/>
      <c r="J421"/>
      <c r="K421"/>
      <c r="L421"/>
      <c r="M421"/>
      <c r="N421"/>
    </row>
    <row r="422" spans="9:14" x14ac:dyDescent="0.25">
      <c r="I422"/>
      <c r="J422"/>
      <c r="K422"/>
      <c r="L422"/>
      <c r="M422"/>
      <c r="N422"/>
    </row>
    <row r="423" spans="9:14" x14ac:dyDescent="0.25">
      <c r="I423"/>
      <c r="J423"/>
      <c r="K423"/>
      <c r="L423"/>
      <c r="M423"/>
      <c r="N423"/>
    </row>
    <row r="424" spans="9:14" x14ac:dyDescent="0.25">
      <c r="I424"/>
      <c r="J424"/>
      <c r="K424"/>
      <c r="L424"/>
      <c r="M424"/>
      <c r="N424"/>
    </row>
    <row r="425" spans="9:14" x14ac:dyDescent="0.25">
      <c r="I425"/>
      <c r="J425"/>
      <c r="K425"/>
      <c r="L425"/>
      <c r="M425"/>
      <c r="N425"/>
    </row>
    <row r="426" spans="9:14" x14ac:dyDescent="0.25">
      <c r="I426"/>
      <c r="J426"/>
      <c r="K426"/>
      <c r="L426"/>
      <c r="M426"/>
      <c r="N426"/>
    </row>
    <row r="427" spans="9:14" x14ac:dyDescent="0.25">
      <c r="I427"/>
      <c r="J427"/>
      <c r="K427"/>
      <c r="L427"/>
      <c r="M427"/>
      <c r="N427"/>
    </row>
    <row r="428" spans="9:14" x14ac:dyDescent="0.25">
      <c r="I428"/>
      <c r="J428"/>
      <c r="K428"/>
      <c r="L428"/>
      <c r="M428"/>
      <c r="N428"/>
    </row>
    <row r="429" spans="9:14" x14ac:dyDescent="0.25">
      <c r="I429"/>
      <c r="J429"/>
      <c r="K429"/>
      <c r="L429"/>
      <c r="M429"/>
      <c r="N429"/>
    </row>
    <row r="430" spans="9:14" x14ac:dyDescent="0.25">
      <c r="I430"/>
      <c r="J430"/>
      <c r="K430"/>
      <c r="L430"/>
      <c r="M430"/>
      <c r="N430"/>
    </row>
    <row r="431" spans="9:14" x14ac:dyDescent="0.25">
      <c r="I431"/>
      <c r="J431"/>
      <c r="K431"/>
      <c r="L431"/>
      <c r="M431"/>
      <c r="N431"/>
    </row>
    <row r="432" spans="9:14" x14ac:dyDescent="0.25">
      <c r="I432"/>
      <c r="J432"/>
      <c r="K432"/>
      <c r="L432"/>
      <c r="M432"/>
      <c r="N432"/>
    </row>
    <row r="433" spans="9:14" x14ac:dyDescent="0.25">
      <c r="I433"/>
      <c r="J433"/>
      <c r="K433"/>
      <c r="L433"/>
      <c r="M433"/>
      <c r="N433"/>
    </row>
    <row r="434" spans="9:14" x14ac:dyDescent="0.25">
      <c r="I434"/>
      <c r="J434"/>
      <c r="K434"/>
      <c r="L434"/>
      <c r="M434"/>
      <c r="N434"/>
    </row>
    <row r="435" spans="9:14" x14ac:dyDescent="0.25">
      <c r="I435"/>
      <c r="J435"/>
      <c r="K435"/>
      <c r="L435"/>
      <c r="M435"/>
      <c r="N435"/>
    </row>
    <row r="436" spans="9:14" x14ac:dyDescent="0.25">
      <c r="I436"/>
      <c r="J436"/>
      <c r="K436"/>
      <c r="L436"/>
      <c r="M436"/>
      <c r="N436"/>
    </row>
    <row r="437" spans="9:14" x14ac:dyDescent="0.25">
      <c r="I437"/>
      <c r="J437"/>
      <c r="K437"/>
      <c r="L437"/>
      <c r="M437"/>
      <c r="N437"/>
    </row>
    <row r="438" spans="9:14" x14ac:dyDescent="0.25">
      <c r="I438"/>
      <c r="J438"/>
      <c r="K438"/>
      <c r="L438"/>
      <c r="M438"/>
      <c r="N438"/>
    </row>
    <row r="439" spans="9:14" x14ac:dyDescent="0.25">
      <c r="I439"/>
      <c r="J439"/>
      <c r="K439"/>
      <c r="L439"/>
      <c r="M439"/>
      <c r="N439"/>
    </row>
    <row r="440" spans="9:14" x14ac:dyDescent="0.25">
      <c r="I440"/>
      <c r="J440"/>
      <c r="K440"/>
      <c r="L440"/>
      <c r="M440"/>
      <c r="N440"/>
    </row>
    <row r="441" spans="9:14" x14ac:dyDescent="0.25">
      <c r="I441"/>
      <c r="J441"/>
      <c r="K441"/>
      <c r="L441"/>
      <c r="M441"/>
      <c r="N441"/>
    </row>
    <row r="442" spans="9:14" x14ac:dyDescent="0.25">
      <c r="I442"/>
      <c r="J442"/>
      <c r="K442"/>
      <c r="L442"/>
      <c r="M442"/>
      <c r="N442"/>
    </row>
    <row r="443" spans="9:14" x14ac:dyDescent="0.25">
      <c r="I443"/>
      <c r="J443"/>
      <c r="K443"/>
      <c r="L443"/>
      <c r="M443"/>
      <c r="N443"/>
    </row>
    <row r="444" spans="9:14" x14ac:dyDescent="0.25">
      <c r="I444"/>
      <c r="J444"/>
      <c r="K444"/>
      <c r="L444"/>
      <c r="M444"/>
      <c r="N444"/>
    </row>
    <row r="445" spans="9:14" x14ac:dyDescent="0.25">
      <c r="I445"/>
      <c r="J445"/>
      <c r="K445"/>
      <c r="L445"/>
      <c r="M445"/>
      <c r="N445"/>
    </row>
    <row r="446" spans="9:14" x14ac:dyDescent="0.25">
      <c r="I446"/>
      <c r="J446"/>
      <c r="K446"/>
      <c r="L446"/>
      <c r="M446"/>
      <c r="N446"/>
    </row>
    <row r="447" spans="9:14" x14ac:dyDescent="0.25">
      <c r="I447"/>
      <c r="J447"/>
      <c r="K447"/>
      <c r="L447"/>
      <c r="M447"/>
      <c r="N447"/>
    </row>
    <row r="448" spans="9:14" x14ac:dyDescent="0.25">
      <c r="I448"/>
      <c r="J448"/>
      <c r="K448"/>
      <c r="L448"/>
      <c r="M448"/>
      <c r="N448"/>
    </row>
    <row r="449" spans="9:14" x14ac:dyDescent="0.25">
      <c r="I449"/>
      <c r="J449"/>
      <c r="K449"/>
      <c r="L449"/>
      <c r="M449"/>
      <c r="N449"/>
    </row>
    <row r="450" spans="9:14" x14ac:dyDescent="0.25">
      <c r="I450"/>
      <c r="J450"/>
      <c r="K450"/>
      <c r="L450"/>
      <c r="M450"/>
      <c r="N450"/>
    </row>
    <row r="451" spans="9:14" x14ac:dyDescent="0.25">
      <c r="I451"/>
      <c r="J451"/>
      <c r="K451"/>
      <c r="L451"/>
      <c r="M451"/>
      <c r="N451"/>
    </row>
    <row r="452" spans="9:14" x14ac:dyDescent="0.25">
      <c r="I452"/>
      <c r="J452"/>
      <c r="K452"/>
      <c r="L452"/>
      <c r="M452"/>
      <c r="N452"/>
    </row>
    <row r="453" spans="9:14" x14ac:dyDescent="0.25">
      <c r="I453"/>
      <c r="J453"/>
      <c r="K453"/>
      <c r="L453"/>
      <c r="M453"/>
      <c r="N453"/>
    </row>
    <row r="454" spans="9:14" x14ac:dyDescent="0.25">
      <c r="I454"/>
      <c r="J454"/>
      <c r="K454"/>
      <c r="L454"/>
      <c r="M454"/>
      <c r="N454"/>
    </row>
    <row r="455" spans="9:14" x14ac:dyDescent="0.25">
      <c r="I455"/>
      <c r="J455"/>
      <c r="K455"/>
      <c r="L455"/>
      <c r="M455"/>
      <c r="N455"/>
    </row>
    <row r="456" spans="9:14" x14ac:dyDescent="0.25">
      <c r="I456"/>
      <c r="J456"/>
      <c r="K456"/>
      <c r="L456"/>
      <c r="M456"/>
      <c r="N456"/>
    </row>
    <row r="457" spans="9:14" x14ac:dyDescent="0.25">
      <c r="I457"/>
      <c r="J457"/>
      <c r="K457"/>
      <c r="L457"/>
      <c r="M457"/>
      <c r="N457"/>
    </row>
    <row r="458" spans="9:14" x14ac:dyDescent="0.25">
      <c r="I458"/>
      <c r="J458"/>
      <c r="K458"/>
      <c r="L458"/>
      <c r="M458"/>
      <c r="N458"/>
    </row>
    <row r="459" spans="9:14" x14ac:dyDescent="0.25">
      <c r="I459"/>
      <c r="J459"/>
      <c r="K459"/>
      <c r="L459"/>
      <c r="M459"/>
      <c r="N459"/>
    </row>
    <row r="460" spans="9:14" x14ac:dyDescent="0.25">
      <c r="I460"/>
      <c r="J460"/>
      <c r="K460"/>
      <c r="L460"/>
      <c r="M460"/>
      <c r="N460"/>
    </row>
    <row r="461" spans="9:14" x14ac:dyDescent="0.25">
      <c r="I461"/>
      <c r="J461"/>
      <c r="K461"/>
      <c r="L461"/>
      <c r="M461"/>
      <c r="N461"/>
    </row>
    <row r="462" spans="9:14" x14ac:dyDescent="0.25">
      <c r="I462"/>
      <c r="J462"/>
      <c r="K462"/>
      <c r="L462"/>
      <c r="M462"/>
      <c r="N462"/>
    </row>
    <row r="463" spans="9:14" x14ac:dyDescent="0.25">
      <c r="I463"/>
      <c r="J463"/>
      <c r="K463"/>
      <c r="L463"/>
      <c r="M463"/>
      <c r="N463"/>
    </row>
    <row r="464" spans="9:14" x14ac:dyDescent="0.25">
      <c r="I464"/>
      <c r="J464"/>
      <c r="K464"/>
      <c r="L464"/>
      <c r="M464"/>
      <c r="N464"/>
    </row>
    <row r="465" spans="9:14" x14ac:dyDescent="0.25">
      <c r="I465"/>
      <c r="J465"/>
      <c r="K465"/>
      <c r="L465"/>
      <c r="M465"/>
      <c r="N465"/>
    </row>
    <row r="466" spans="9:14" x14ac:dyDescent="0.25">
      <c r="I466"/>
      <c r="J466"/>
      <c r="K466"/>
      <c r="L466"/>
      <c r="M466"/>
      <c r="N466"/>
    </row>
    <row r="467" spans="9:14" x14ac:dyDescent="0.25">
      <c r="I467"/>
      <c r="J467"/>
      <c r="K467"/>
      <c r="L467"/>
      <c r="M467"/>
      <c r="N467"/>
    </row>
    <row r="468" spans="9:14" x14ac:dyDescent="0.25">
      <c r="I468"/>
      <c r="J468"/>
      <c r="K468"/>
      <c r="L468"/>
      <c r="M468"/>
      <c r="N468"/>
    </row>
    <row r="469" spans="9:14" x14ac:dyDescent="0.25">
      <c r="I469"/>
      <c r="J469"/>
      <c r="K469"/>
      <c r="L469"/>
      <c r="M469"/>
      <c r="N469"/>
    </row>
    <row r="470" spans="9:14" x14ac:dyDescent="0.25">
      <c r="I470"/>
      <c r="J470"/>
      <c r="K470"/>
      <c r="L470"/>
      <c r="M470"/>
      <c r="N470"/>
    </row>
    <row r="471" spans="9:14" x14ac:dyDescent="0.25">
      <c r="I471"/>
      <c r="J471"/>
      <c r="K471"/>
      <c r="L471"/>
      <c r="M471"/>
      <c r="N471"/>
    </row>
    <row r="472" spans="9:14" x14ac:dyDescent="0.25">
      <c r="I472"/>
      <c r="J472"/>
      <c r="K472"/>
      <c r="L472"/>
      <c r="M472"/>
      <c r="N472"/>
    </row>
    <row r="473" spans="9:14" x14ac:dyDescent="0.25">
      <c r="I473"/>
      <c r="J473"/>
      <c r="K473"/>
      <c r="L473"/>
      <c r="M473"/>
      <c r="N473"/>
    </row>
    <row r="474" spans="9:14" x14ac:dyDescent="0.25">
      <c r="I474"/>
      <c r="J474"/>
      <c r="K474"/>
      <c r="L474"/>
      <c r="M474"/>
      <c r="N474"/>
    </row>
    <row r="475" spans="9:14" x14ac:dyDescent="0.25">
      <c r="I475"/>
      <c r="J475"/>
      <c r="K475"/>
      <c r="L475"/>
      <c r="M475"/>
      <c r="N475"/>
    </row>
    <row r="476" spans="9:14" x14ac:dyDescent="0.25">
      <c r="I476"/>
      <c r="J476"/>
      <c r="K476"/>
      <c r="L476"/>
      <c r="M476"/>
      <c r="N476"/>
    </row>
    <row r="477" spans="9:14" x14ac:dyDescent="0.25">
      <c r="I477"/>
      <c r="J477"/>
      <c r="K477"/>
      <c r="L477"/>
      <c r="M477"/>
      <c r="N477"/>
    </row>
    <row r="478" spans="9:14" x14ac:dyDescent="0.25">
      <c r="I478"/>
      <c r="J478"/>
      <c r="K478"/>
      <c r="L478"/>
      <c r="M478"/>
      <c r="N478"/>
    </row>
    <row r="479" spans="9:14" x14ac:dyDescent="0.25">
      <c r="I479"/>
      <c r="J479"/>
      <c r="K479"/>
      <c r="L479"/>
      <c r="M479"/>
      <c r="N479"/>
    </row>
    <row r="480" spans="9:14" x14ac:dyDescent="0.25">
      <c r="I480"/>
      <c r="J480"/>
      <c r="K480"/>
      <c r="L480"/>
      <c r="M480"/>
      <c r="N480"/>
    </row>
    <row r="481" spans="9:14" x14ac:dyDescent="0.25">
      <c r="I481"/>
      <c r="J481"/>
      <c r="K481"/>
      <c r="L481"/>
      <c r="M481"/>
      <c r="N481"/>
    </row>
    <row r="482" spans="9:14" x14ac:dyDescent="0.25">
      <c r="I482"/>
      <c r="J482"/>
      <c r="K482"/>
      <c r="L482"/>
      <c r="M482"/>
      <c r="N482"/>
    </row>
    <row r="483" spans="9:14" x14ac:dyDescent="0.25">
      <c r="I483"/>
      <c r="J483"/>
      <c r="K483"/>
      <c r="L483"/>
      <c r="M483"/>
      <c r="N483"/>
    </row>
    <row r="484" spans="9:14" x14ac:dyDescent="0.25">
      <c r="I484"/>
      <c r="J484"/>
      <c r="K484"/>
      <c r="L484"/>
      <c r="M484"/>
      <c r="N484"/>
    </row>
    <row r="485" spans="9:14" x14ac:dyDescent="0.25">
      <c r="I485"/>
      <c r="J485"/>
      <c r="K485"/>
      <c r="L485"/>
      <c r="M485"/>
      <c r="N485"/>
    </row>
    <row r="486" spans="9:14" x14ac:dyDescent="0.25">
      <c r="I486"/>
      <c r="J486"/>
      <c r="K486"/>
      <c r="L486"/>
      <c r="M486"/>
      <c r="N486"/>
    </row>
    <row r="487" spans="9:14" x14ac:dyDescent="0.25">
      <c r="I487"/>
      <c r="J487"/>
      <c r="K487"/>
      <c r="L487"/>
      <c r="M487"/>
      <c r="N487"/>
    </row>
    <row r="488" spans="9:14" x14ac:dyDescent="0.25">
      <c r="I488"/>
      <c r="J488"/>
      <c r="K488"/>
      <c r="L488"/>
      <c r="M488"/>
      <c r="N488"/>
    </row>
    <row r="489" spans="9:14" x14ac:dyDescent="0.25">
      <c r="I489"/>
      <c r="J489"/>
      <c r="K489"/>
      <c r="L489"/>
      <c r="M489"/>
      <c r="N489"/>
    </row>
    <row r="490" spans="9:14" x14ac:dyDescent="0.25">
      <c r="I490"/>
      <c r="J490"/>
      <c r="K490"/>
      <c r="L490"/>
      <c r="M490"/>
      <c r="N490"/>
    </row>
    <row r="491" spans="9:14" x14ac:dyDescent="0.25">
      <c r="I491"/>
      <c r="J491"/>
      <c r="K491"/>
      <c r="L491"/>
      <c r="M491"/>
      <c r="N491"/>
    </row>
    <row r="492" spans="9:14" x14ac:dyDescent="0.25">
      <c r="I492"/>
      <c r="J492"/>
      <c r="K492"/>
      <c r="L492"/>
      <c r="M492"/>
      <c r="N492"/>
    </row>
    <row r="493" spans="9:14" x14ac:dyDescent="0.25">
      <c r="I493"/>
      <c r="J493"/>
      <c r="K493"/>
      <c r="L493"/>
      <c r="M493"/>
      <c r="N493"/>
    </row>
    <row r="494" spans="9:14" x14ac:dyDescent="0.25">
      <c r="I494"/>
      <c r="J494"/>
      <c r="K494"/>
      <c r="L494"/>
      <c r="M494"/>
      <c r="N494"/>
    </row>
    <row r="495" spans="9:14" x14ac:dyDescent="0.25">
      <c r="I495"/>
      <c r="J495"/>
      <c r="K495"/>
      <c r="L495"/>
      <c r="M495"/>
      <c r="N495"/>
    </row>
    <row r="496" spans="9:14" x14ac:dyDescent="0.25">
      <c r="I496"/>
      <c r="J496"/>
      <c r="K496"/>
      <c r="L496"/>
      <c r="M496"/>
      <c r="N496"/>
    </row>
    <row r="497" spans="9:14" x14ac:dyDescent="0.25">
      <c r="I497"/>
      <c r="J497"/>
      <c r="K497"/>
      <c r="L497"/>
      <c r="M497"/>
      <c r="N497"/>
    </row>
    <row r="498" spans="9:14" x14ac:dyDescent="0.25">
      <c r="I498"/>
      <c r="J498"/>
      <c r="K498"/>
      <c r="L498"/>
      <c r="M498"/>
      <c r="N498"/>
    </row>
    <row r="499" spans="9:14" x14ac:dyDescent="0.25">
      <c r="I499"/>
      <c r="J499"/>
      <c r="K499"/>
      <c r="L499"/>
      <c r="M499"/>
      <c r="N499"/>
    </row>
    <row r="500" spans="9:14" x14ac:dyDescent="0.25">
      <c r="I500"/>
      <c r="J500"/>
      <c r="K500"/>
      <c r="L500"/>
      <c r="M500"/>
      <c r="N500"/>
    </row>
    <row r="501" spans="9:14" x14ac:dyDescent="0.25">
      <c r="I501"/>
      <c r="J501"/>
      <c r="K501"/>
      <c r="L501"/>
      <c r="M501"/>
      <c r="N501"/>
    </row>
    <row r="502" spans="9:14" x14ac:dyDescent="0.25">
      <c r="I502"/>
      <c r="J502"/>
      <c r="K502"/>
      <c r="L502"/>
      <c r="M502"/>
      <c r="N502"/>
    </row>
    <row r="503" spans="9:14" x14ac:dyDescent="0.25">
      <c r="I503"/>
      <c r="J503"/>
      <c r="K503"/>
      <c r="L503"/>
      <c r="M503"/>
      <c r="N503"/>
    </row>
    <row r="504" spans="9:14" x14ac:dyDescent="0.25">
      <c r="I504"/>
      <c r="J504"/>
      <c r="K504"/>
      <c r="L504"/>
      <c r="M504"/>
      <c r="N504"/>
    </row>
    <row r="505" spans="9:14" x14ac:dyDescent="0.25">
      <c r="I505"/>
      <c r="J505"/>
      <c r="K505"/>
      <c r="L505"/>
      <c r="M505"/>
      <c r="N505"/>
    </row>
    <row r="506" spans="9:14" x14ac:dyDescent="0.25">
      <c r="I506"/>
      <c r="J506"/>
      <c r="K506"/>
      <c r="L506"/>
      <c r="M506"/>
      <c r="N506"/>
    </row>
    <row r="507" spans="9:14" x14ac:dyDescent="0.25">
      <c r="I507"/>
      <c r="J507"/>
      <c r="K507"/>
      <c r="L507"/>
      <c r="M507"/>
      <c r="N507"/>
    </row>
    <row r="508" spans="9:14" x14ac:dyDescent="0.25">
      <c r="I508"/>
      <c r="J508"/>
      <c r="K508"/>
      <c r="L508"/>
      <c r="M508"/>
      <c r="N508"/>
    </row>
    <row r="509" spans="9:14" x14ac:dyDescent="0.25">
      <c r="I509"/>
      <c r="J509"/>
      <c r="K509"/>
      <c r="L509"/>
      <c r="M509"/>
      <c r="N509"/>
    </row>
    <row r="510" spans="9:14" x14ac:dyDescent="0.25">
      <c r="I510"/>
      <c r="J510"/>
      <c r="K510"/>
      <c r="L510"/>
      <c r="M510"/>
      <c r="N510"/>
    </row>
    <row r="511" spans="9:14" x14ac:dyDescent="0.25">
      <c r="I511"/>
      <c r="J511"/>
      <c r="K511"/>
      <c r="L511"/>
      <c r="M511"/>
      <c r="N511"/>
    </row>
    <row r="512" spans="9:14" x14ac:dyDescent="0.25">
      <c r="I512"/>
      <c r="J512"/>
      <c r="K512"/>
      <c r="L512"/>
      <c r="M512"/>
      <c r="N512"/>
    </row>
    <row r="513" spans="9:14" x14ac:dyDescent="0.25">
      <c r="I513"/>
      <c r="J513"/>
      <c r="K513"/>
      <c r="L513"/>
      <c r="M513"/>
      <c r="N513"/>
    </row>
  </sheetData>
  <autoFilter ref="A2:N23"/>
  <mergeCells count="2">
    <mergeCell ref="A23:H23"/>
    <mergeCell ref="A1:N1"/>
  </mergeCells>
  <printOptions horizontalCentered="1"/>
  <pageMargins left="0" right="0" top="0.39370078740157483" bottom="0" header="0.31496062992125984" footer="0.31496062992125984"/>
  <pageSetup paperSize="9" scale="70"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14"/>
  <sheetViews>
    <sheetView showGridLines="0" zoomScale="82" zoomScaleNormal="82" workbookViewId="0">
      <selection activeCell="H21" sqref="H21"/>
    </sheetView>
  </sheetViews>
  <sheetFormatPr defaultRowHeight="15" x14ac:dyDescent="0.25"/>
  <cols>
    <col min="1" max="1" width="5.5703125" customWidth="1"/>
    <col min="2" max="2" width="11.42578125" style="8" customWidth="1"/>
    <col min="3" max="3" width="27" customWidth="1"/>
    <col min="4" max="4" width="29.85546875" customWidth="1"/>
    <col min="5" max="5" width="15.140625" customWidth="1"/>
    <col min="6" max="6" width="12" style="9" customWidth="1"/>
    <col min="7" max="7" width="17.85546875" customWidth="1"/>
    <col min="8" max="8" width="12.42578125" customWidth="1"/>
    <col min="9" max="9" width="14.5703125" style="11" customWidth="1"/>
    <col min="10" max="10" width="14" style="11" customWidth="1"/>
    <col min="11" max="12" width="10" style="11" customWidth="1"/>
    <col min="13" max="13" width="13.28515625" style="11" customWidth="1"/>
    <col min="14" max="14" width="13.7109375" style="11" customWidth="1"/>
    <col min="15" max="15" width="10.28515625" style="11" hidden="1" customWidth="1"/>
    <col min="16" max="16" width="14.28515625" style="11" hidden="1" customWidth="1"/>
    <col min="17" max="17" width="12.7109375" style="11" customWidth="1"/>
  </cols>
  <sheetData>
    <row r="1" spans="1:28" ht="39.75" customHeight="1" x14ac:dyDescent="0.25">
      <c r="A1" s="1033" t="s">
        <v>1915</v>
      </c>
      <c r="B1" s="1033"/>
      <c r="C1" s="1033"/>
      <c r="D1" s="1033"/>
      <c r="E1" s="1033"/>
      <c r="F1" s="1033"/>
      <c r="G1" s="1033"/>
      <c r="H1" s="1033"/>
      <c r="I1" s="1033"/>
      <c r="J1" s="1033"/>
      <c r="K1" s="1033"/>
      <c r="L1" s="1033"/>
      <c r="M1" s="1033"/>
      <c r="N1" s="1033"/>
      <c r="O1" s="1033"/>
      <c r="P1" s="1033"/>
      <c r="Q1" s="1033"/>
    </row>
    <row r="2" spans="1:28" ht="71.25" customHeight="1" x14ac:dyDescent="0.25">
      <c r="A2" s="252" t="s">
        <v>6</v>
      </c>
      <c r="B2" s="250" t="s">
        <v>0</v>
      </c>
      <c r="C2" s="251" t="s">
        <v>7</v>
      </c>
      <c r="D2" s="252" t="s">
        <v>8</v>
      </c>
      <c r="E2" s="252" t="s">
        <v>9</v>
      </c>
      <c r="F2" s="253" t="s">
        <v>10</v>
      </c>
      <c r="G2" s="252" t="s">
        <v>11</v>
      </c>
      <c r="H2" s="254" t="s">
        <v>138</v>
      </c>
      <c r="I2" s="255" t="s">
        <v>49</v>
      </c>
      <c r="J2" s="256" t="s">
        <v>1</v>
      </c>
      <c r="K2" s="256" t="s">
        <v>185</v>
      </c>
      <c r="L2" s="613" t="s">
        <v>48</v>
      </c>
      <c r="M2" s="256" t="s">
        <v>40</v>
      </c>
      <c r="N2" s="391" t="s">
        <v>2</v>
      </c>
      <c r="O2" s="393" t="s">
        <v>1916</v>
      </c>
      <c r="P2" s="393" t="s">
        <v>1917</v>
      </c>
      <c r="Q2" s="258" t="s">
        <v>374</v>
      </c>
    </row>
    <row r="3" spans="1:28" s="10" customFormat="1" x14ac:dyDescent="0.25">
      <c r="A3" s="55">
        <v>1</v>
      </c>
      <c r="B3" s="245">
        <v>44377</v>
      </c>
      <c r="C3" s="126" t="s">
        <v>1413</v>
      </c>
      <c r="D3" s="39" t="s">
        <v>903</v>
      </c>
      <c r="E3" s="390" t="s">
        <v>161</v>
      </c>
      <c r="F3" s="100">
        <v>240000</v>
      </c>
      <c r="G3" s="55" t="s">
        <v>1211</v>
      </c>
      <c r="H3" s="338">
        <v>44376</v>
      </c>
      <c r="I3" s="122">
        <f>F3</f>
        <v>240000</v>
      </c>
      <c r="J3" s="387"/>
      <c r="K3" s="387">
        <f>I3*1%</f>
        <v>2400</v>
      </c>
      <c r="L3" s="387">
        <f>I3*2%</f>
        <v>4800</v>
      </c>
      <c r="M3" s="387"/>
      <c r="N3" s="392">
        <f>I3-J3-L3-M3+K3</f>
        <v>237600</v>
      </c>
      <c r="O3" s="395">
        <v>44383</v>
      </c>
      <c r="P3" s="395"/>
      <c r="Q3" s="394">
        <v>44408</v>
      </c>
      <c r="R3"/>
      <c r="S3"/>
      <c r="T3"/>
      <c r="U3"/>
      <c r="V3"/>
      <c r="W3"/>
      <c r="X3"/>
      <c r="Y3"/>
      <c r="Z3"/>
      <c r="AA3"/>
      <c r="AB3"/>
    </row>
    <row r="4" spans="1:28" s="10" customFormat="1" x14ac:dyDescent="0.25">
      <c r="A4" s="55">
        <v>2</v>
      </c>
      <c r="B4" s="245">
        <v>44377</v>
      </c>
      <c r="C4" s="126" t="s">
        <v>1419</v>
      </c>
      <c r="D4" s="39" t="s">
        <v>903</v>
      </c>
      <c r="E4" s="390" t="s">
        <v>161</v>
      </c>
      <c r="F4" s="100">
        <v>240000</v>
      </c>
      <c r="G4" s="55" t="s">
        <v>1224</v>
      </c>
      <c r="H4" s="338">
        <v>44394</v>
      </c>
      <c r="I4" s="122">
        <f t="shared" ref="I4:I23" si="0">F4</f>
        <v>240000</v>
      </c>
      <c r="J4" s="387"/>
      <c r="K4" s="577">
        <f t="shared" ref="K4:K23" si="1">I4*1%</f>
        <v>2400</v>
      </c>
      <c r="L4" s="577">
        <f t="shared" ref="L4:L23" si="2">I4*2%</f>
        <v>4800</v>
      </c>
      <c r="M4" s="387"/>
      <c r="N4" s="392">
        <f t="shared" ref="N4:N23" si="3">I4-J4-L4-M4+K4</f>
        <v>237600</v>
      </c>
      <c r="O4" s="395"/>
      <c r="P4" s="395"/>
      <c r="Q4" s="394">
        <v>44408</v>
      </c>
      <c r="R4"/>
      <c r="S4"/>
      <c r="T4"/>
      <c r="U4"/>
      <c r="V4"/>
      <c r="W4"/>
      <c r="X4"/>
      <c r="Y4"/>
      <c r="Z4"/>
      <c r="AA4"/>
      <c r="AB4"/>
    </row>
    <row r="5" spans="1:28" s="10" customFormat="1" x14ac:dyDescent="0.25">
      <c r="A5" s="55">
        <v>3</v>
      </c>
      <c r="B5" s="245">
        <v>44377</v>
      </c>
      <c r="C5" s="126" t="s">
        <v>1420</v>
      </c>
      <c r="D5" s="39" t="s">
        <v>903</v>
      </c>
      <c r="E5" s="390" t="s">
        <v>161</v>
      </c>
      <c r="F5" s="100">
        <v>240000</v>
      </c>
      <c r="G5" s="55" t="s">
        <v>1225</v>
      </c>
      <c r="H5" s="338">
        <v>44394</v>
      </c>
      <c r="I5" s="122">
        <f t="shared" si="0"/>
        <v>240000</v>
      </c>
      <c r="J5" s="387"/>
      <c r="K5" s="577">
        <f t="shared" si="1"/>
        <v>2400</v>
      </c>
      <c r="L5" s="577">
        <f t="shared" si="2"/>
        <v>4800</v>
      </c>
      <c r="M5" s="387"/>
      <c r="N5" s="392">
        <f t="shared" si="3"/>
        <v>237600</v>
      </c>
      <c r="O5" s="395"/>
      <c r="P5" s="395"/>
      <c r="Q5" s="394">
        <v>44408</v>
      </c>
      <c r="R5"/>
      <c r="S5"/>
      <c r="T5"/>
      <c r="U5"/>
      <c r="V5"/>
      <c r="W5"/>
      <c r="X5"/>
      <c r="Y5"/>
      <c r="Z5"/>
      <c r="AA5"/>
      <c r="AB5"/>
    </row>
    <row r="6" spans="1:28" s="10" customFormat="1" x14ac:dyDescent="0.25">
      <c r="A6" s="55">
        <v>4</v>
      </c>
      <c r="B6" s="245">
        <v>44377</v>
      </c>
      <c r="C6" s="126" t="s">
        <v>1421</v>
      </c>
      <c r="D6" s="39" t="s">
        <v>903</v>
      </c>
      <c r="E6" s="390" t="s">
        <v>161</v>
      </c>
      <c r="F6" s="100">
        <v>240000</v>
      </c>
      <c r="G6" s="55" t="s">
        <v>1228</v>
      </c>
      <c r="H6" s="338">
        <v>44394</v>
      </c>
      <c r="I6" s="122">
        <f t="shared" si="0"/>
        <v>240000</v>
      </c>
      <c r="J6" s="387"/>
      <c r="K6" s="577">
        <f t="shared" si="1"/>
        <v>2400</v>
      </c>
      <c r="L6" s="577">
        <f t="shared" si="2"/>
        <v>4800</v>
      </c>
      <c r="M6" s="387"/>
      <c r="N6" s="392">
        <f t="shared" si="3"/>
        <v>237600</v>
      </c>
      <c r="O6" s="395"/>
      <c r="P6" s="395"/>
      <c r="Q6" s="394">
        <v>44408</v>
      </c>
      <c r="R6"/>
      <c r="S6"/>
      <c r="T6"/>
      <c r="U6"/>
      <c r="V6"/>
      <c r="W6"/>
      <c r="X6"/>
      <c r="Y6"/>
      <c r="Z6"/>
      <c r="AA6"/>
      <c r="AB6"/>
    </row>
    <row r="7" spans="1:28" s="10" customFormat="1" x14ac:dyDescent="0.25">
      <c r="A7" s="55">
        <v>5</v>
      </c>
      <c r="B7" s="245">
        <v>44377</v>
      </c>
      <c r="C7" s="126" t="s">
        <v>1422</v>
      </c>
      <c r="D7" s="39" t="s">
        <v>903</v>
      </c>
      <c r="E7" s="390" t="s">
        <v>161</v>
      </c>
      <c r="F7" s="100">
        <v>240000</v>
      </c>
      <c r="G7" s="55" t="s">
        <v>1230</v>
      </c>
      <c r="H7" s="338">
        <v>44394</v>
      </c>
      <c r="I7" s="122">
        <f t="shared" si="0"/>
        <v>240000</v>
      </c>
      <c r="J7" s="387"/>
      <c r="K7" s="577">
        <f t="shared" si="1"/>
        <v>2400</v>
      </c>
      <c r="L7" s="577">
        <f t="shared" si="2"/>
        <v>4800</v>
      </c>
      <c r="M7" s="387"/>
      <c r="N7" s="392">
        <f t="shared" si="3"/>
        <v>237600</v>
      </c>
      <c r="O7" s="395"/>
      <c r="P7" s="395"/>
      <c r="Q7" s="394">
        <v>44408</v>
      </c>
      <c r="R7"/>
      <c r="S7"/>
      <c r="T7"/>
      <c r="U7"/>
      <c r="V7"/>
      <c r="W7"/>
      <c r="X7"/>
      <c r="Y7"/>
      <c r="Z7"/>
      <c r="AA7"/>
      <c r="AB7"/>
    </row>
    <row r="8" spans="1:28" s="10" customFormat="1" x14ac:dyDescent="0.25">
      <c r="A8" s="55">
        <v>6</v>
      </c>
      <c r="B8" s="245">
        <v>44378</v>
      </c>
      <c r="C8" s="126" t="s">
        <v>1414</v>
      </c>
      <c r="D8" s="39" t="s">
        <v>903</v>
      </c>
      <c r="E8" s="390" t="s">
        <v>161</v>
      </c>
      <c r="F8" s="100">
        <v>240000</v>
      </c>
      <c r="G8" s="55" t="s">
        <v>1213</v>
      </c>
      <c r="H8" s="338">
        <v>44394</v>
      </c>
      <c r="I8" s="122">
        <f t="shared" si="0"/>
        <v>240000</v>
      </c>
      <c r="J8" s="387"/>
      <c r="K8" s="577">
        <f t="shared" si="1"/>
        <v>2400</v>
      </c>
      <c r="L8" s="577">
        <f t="shared" si="2"/>
        <v>4800</v>
      </c>
      <c r="M8" s="387"/>
      <c r="N8" s="392">
        <f t="shared" si="3"/>
        <v>237600</v>
      </c>
      <c r="O8" s="395"/>
      <c r="P8" s="395"/>
      <c r="Q8" s="394">
        <v>44408</v>
      </c>
      <c r="R8"/>
      <c r="S8"/>
      <c r="T8"/>
      <c r="U8"/>
      <c r="V8"/>
      <c r="W8"/>
      <c r="X8"/>
      <c r="Y8"/>
      <c r="Z8"/>
      <c r="AA8"/>
      <c r="AB8"/>
    </row>
    <row r="9" spans="1:28" s="10" customFormat="1" x14ac:dyDescent="0.25">
      <c r="A9" s="55">
        <v>7</v>
      </c>
      <c r="B9" s="245">
        <v>44378</v>
      </c>
      <c r="C9" s="126" t="s">
        <v>1415</v>
      </c>
      <c r="D9" s="39" t="s">
        <v>903</v>
      </c>
      <c r="E9" s="390" t="s">
        <v>161</v>
      </c>
      <c r="F9" s="100">
        <v>240000</v>
      </c>
      <c r="G9" s="55" t="s">
        <v>1215</v>
      </c>
      <c r="H9" s="338">
        <v>44394</v>
      </c>
      <c r="I9" s="122">
        <f t="shared" si="0"/>
        <v>240000</v>
      </c>
      <c r="J9" s="387"/>
      <c r="K9" s="577">
        <f t="shared" si="1"/>
        <v>2400</v>
      </c>
      <c r="L9" s="577">
        <f t="shared" si="2"/>
        <v>4800</v>
      </c>
      <c r="M9" s="387"/>
      <c r="N9" s="392">
        <f t="shared" si="3"/>
        <v>237600</v>
      </c>
      <c r="O9" s="395"/>
      <c r="P9" s="395"/>
      <c r="Q9" s="394">
        <v>44408</v>
      </c>
      <c r="R9"/>
      <c r="S9"/>
      <c r="T9"/>
      <c r="U9"/>
      <c r="V9"/>
      <c r="W9"/>
      <c r="X9"/>
      <c r="Y9"/>
      <c r="Z9"/>
      <c r="AA9"/>
      <c r="AB9"/>
    </row>
    <row r="10" spans="1:28" s="10" customFormat="1" x14ac:dyDescent="0.25">
      <c r="A10" s="55">
        <v>8</v>
      </c>
      <c r="B10" s="245">
        <v>44378</v>
      </c>
      <c r="C10" s="126" t="s">
        <v>1416</v>
      </c>
      <c r="D10" s="39" t="s">
        <v>903</v>
      </c>
      <c r="E10" s="390" t="s">
        <v>161</v>
      </c>
      <c r="F10" s="100">
        <v>240000</v>
      </c>
      <c r="G10" s="55" t="s">
        <v>1217</v>
      </c>
      <c r="H10" s="338">
        <v>44394</v>
      </c>
      <c r="I10" s="122">
        <f t="shared" si="0"/>
        <v>240000</v>
      </c>
      <c r="J10" s="387"/>
      <c r="K10" s="577">
        <f t="shared" si="1"/>
        <v>2400</v>
      </c>
      <c r="L10" s="577">
        <f t="shared" si="2"/>
        <v>4800</v>
      </c>
      <c r="M10" s="387"/>
      <c r="N10" s="392">
        <f t="shared" si="3"/>
        <v>237600</v>
      </c>
      <c r="O10" s="395"/>
      <c r="P10" s="395"/>
      <c r="Q10" s="394">
        <v>44408</v>
      </c>
      <c r="R10"/>
      <c r="S10"/>
      <c r="T10"/>
      <c r="U10"/>
      <c r="V10"/>
      <c r="W10"/>
      <c r="X10"/>
      <c r="Y10"/>
      <c r="Z10"/>
      <c r="AA10"/>
      <c r="AB10"/>
    </row>
    <row r="11" spans="1:28" s="10" customFormat="1" x14ac:dyDescent="0.25">
      <c r="A11" s="55">
        <v>9</v>
      </c>
      <c r="B11" s="245">
        <v>44378</v>
      </c>
      <c r="C11" s="126" t="s">
        <v>1417</v>
      </c>
      <c r="D11" s="39" t="s">
        <v>903</v>
      </c>
      <c r="E11" s="390" t="s">
        <v>161</v>
      </c>
      <c r="F11" s="100">
        <v>240000</v>
      </c>
      <c r="G11" s="55" t="s">
        <v>1219</v>
      </c>
      <c r="H11" s="338">
        <v>44394</v>
      </c>
      <c r="I11" s="122">
        <f t="shared" si="0"/>
        <v>240000</v>
      </c>
      <c r="J11" s="387"/>
      <c r="K11" s="577">
        <f t="shared" si="1"/>
        <v>2400</v>
      </c>
      <c r="L11" s="577">
        <f t="shared" si="2"/>
        <v>4800</v>
      </c>
      <c r="M11" s="387"/>
      <c r="N11" s="392">
        <f t="shared" si="3"/>
        <v>237600</v>
      </c>
      <c r="O11" s="395"/>
      <c r="P11" s="395"/>
      <c r="Q11" s="394">
        <v>44408</v>
      </c>
      <c r="R11"/>
      <c r="S11"/>
      <c r="T11"/>
      <c r="U11"/>
      <c r="V11"/>
      <c r="W11"/>
      <c r="X11"/>
      <c r="Y11"/>
      <c r="Z11"/>
      <c r="AA11"/>
      <c r="AB11"/>
    </row>
    <row r="12" spans="1:28" s="10" customFormat="1" x14ac:dyDescent="0.25">
      <c r="A12" s="55">
        <v>10</v>
      </c>
      <c r="B12" s="245">
        <v>44378</v>
      </c>
      <c r="C12" s="126" t="s">
        <v>1428</v>
      </c>
      <c r="D12" s="39" t="s">
        <v>903</v>
      </c>
      <c r="E12" s="390" t="s">
        <v>161</v>
      </c>
      <c r="F12" s="100">
        <v>240000</v>
      </c>
      <c r="G12" s="55" t="s">
        <v>1246</v>
      </c>
      <c r="H12" s="338">
        <v>44394</v>
      </c>
      <c r="I12" s="122">
        <f t="shared" si="0"/>
        <v>240000</v>
      </c>
      <c r="J12" s="387"/>
      <c r="K12" s="577">
        <f t="shared" si="1"/>
        <v>2400</v>
      </c>
      <c r="L12" s="577">
        <f t="shared" si="2"/>
        <v>4800</v>
      </c>
      <c r="M12" s="387"/>
      <c r="N12" s="392">
        <f t="shared" si="3"/>
        <v>237600</v>
      </c>
      <c r="O12" s="395"/>
      <c r="P12" s="395"/>
      <c r="Q12" s="394">
        <v>44408</v>
      </c>
      <c r="R12"/>
      <c r="S12"/>
      <c r="T12"/>
      <c r="U12"/>
      <c r="V12"/>
      <c r="W12"/>
      <c r="X12"/>
      <c r="Y12"/>
      <c r="Z12"/>
      <c r="AA12"/>
      <c r="AB12"/>
    </row>
    <row r="13" spans="1:28" s="10" customFormat="1" x14ac:dyDescent="0.25">
      <c r="A13" s="55">
        <v>11</v>
      </c>
      <c r="B13" s="245">
        <v>44389</v>
      </c>
      <c r="C13" s="126" t="s">
        <v>1429</v>
      </c>
      <c r="D13" s="39" t="s">
        <v>903</v>
      </c>
      <c r="E13" s="390" t="s">
        <v>1248</v>
      </c>
      <c r="F13" s="100">
        <v>1000000</v>
      </c>
      <c r="G13" s="55" t="s">
        <v>1247</v>
      </c>
      <c r="H13" s="338">
        <v>44394</v>
      </c>
      <c r="I13" s="122">
        <f t="shared" si="0"/>
        <v>1000000</v>
      </c>
      <c r="J13" s="577">
        <v>487500</v>
      </c>
      <c r="K13" s="577">
        <f t="shared" si="1"/>
        <v>10000</v>
      </c>
      <c r="L13" s="577">
        <f t="shared" si="2"/>
        <v>20000</v>
      </c>
      <c r="M13" s="577"/>
      <c r="N13" s="392">
        <f t="shared" si="3"/>
        <v>502500</v>
      </c>
      <c r="O13" s="395"/>
      <c r="P13" s="395"/>
      <c r="Q13" s="394">
        <v>44408</v>
      </c>
      <c r="R13"/>
      <c r="S13"/>
      <c r="T13"/>
      <c r="U13"/>
      <c r="V13"/>
      <c r="W13"/>
      <c r="X13"/>
      <c r="Y13"/>
      <c r="Z13"/>
      <c r="AA13"/>
      <c r="AB13"/>
    </row>
    <row r="14" spans="1:28" s="10" customFormat="1" x14ac:dyDescent="0.25">
      <c r="A14" s="55">
        <v>12</v>
      </c>
      <c r="B14" s="245">
        <v>44389</v>
      </c>
      <c r="C14" s="126" t="s">
        <v>1430</v>
      </c>
      <c r="D14" s="39" t="s">
        <v>903</v>
      </c>
      <c r="E14" s="390" t="s">
        <v>421</v>
      </c>
      <c r="F14" s="100">
        <v>1000000</v>
      </c>
      <c r="G14" s="55" t="s">
        <v>1249</v>
      </c>
      <c r="H14" s="338">
        <v>44394</v>
      </c>
      <c r="I14" s="122">
        <f t="shared" si="0"/>
        <v>1000000</v>
      </c>
      <c r="J14" s="577">
        <v>536250</v>
      </c>
      <c r="K14" s="577">
        <f t="shared" si="1"/>
        <v>10000</v>
      </c>
      <c r="L14" s="577">
        <f t="shared" si="2"/>
        <v>20000</v>
      </c>
      <c r="M14" s="577"/>
      <c r="N14" s="392">
        <f t="shared" si="3"/>
        <v>453750</v>
      </c>
      <c r="O14" s="395">
        <v>44390</v>
      </c>
      <c r="P14" s="395"/>
      <c r="Q14" s="394">
        <v>44408</v>
      </c>
      <c r="R14"/>
      <c r="S14"/>
      <c r="T14"/>
      <c r="U14"/>
      <c r="V14"/>
      <c r="W14"/>
      <c r="X14"/>
      <c r="Y14"/>
      <c r="Z14"/>
      <c r="AA14"/>
      <c r="AB14"/>
    </row>
    <row r="15" spans="1:28" s="10" customFormat="1" x14ac:dyDescent="0.25">
      <c r="A15" s="55">
        <v>13</v>
      </c>
      <c r="B15" s="245">
        <v>44470</v>
      </c>
      <c r="C15" s="126" t="s">
        <v>2219</v>
      </c>
      <c r="D15" s="39" t="s">
        <v>903</v>
      </c>
      <c r="E15" s="390" t="s">
        <v>13</v>
      </c>
      <c r="F15" s="100">
        <v>7000000</v>
      </c>
      <c r="G15" s="55" t="s">
        <v>2217</v>
      </c>
      <c r="H15" s="338">
        <v>44394</v>
      </c>
      <c r="I15" s="122">
        <f t="shared" si="0"/>
        <v>7000000</v>
      </c>
      <c r="J15" s="577"/>
      <c r="K15" s="577">
        <f t="shared" si="1"/>
        <v>70000</v>
      </c>
      <c r="L15" s="577">
        <f t="shared" si="2"/>
        <v>140000</v>
      </c>
      <c r="M15" s="577"/>
      <c r="N15" s="392">
        <f t="shared" si="3"/>
        <v>6930000</v>
      </c>
      <c r="O15" s="395">
        <v>44390</v>
      </c>
      <c r="P15" s="395"/>
      <c r="Q15" s="394">
        <v>44499</v>
      </c>
      <c r="R15"/>
      <c r="S15"/>
      <c r="T15"/>
      <c r="U15"/>
      <c r="V15"/>
      <c r="W15"/>
      <c r="X15"/>
      <c r="Y15"/>
      <c r="Z15"/>
      <c r="AA15"/>
      <c r="AB15"/>
    </row>
    <row r="16" spans="1:28" s="10" customFormat="1" x14ac:dyDescent="0.25">
      <c r="A16" s="55">
        <v>14</v>
      </c>
      <c r="B16" s="245">
        <v>44496</v>
      </c>
      <c r="C16" s="126" t="s">
        <v>2442</v>
      </c>
      <c r="D16" s="39" t="s">
        <v>903</v>
      </c>
      <c r="E16" s="390" t="s">
        <v>477</v>
      </c>
      <c r="F16" s="100">
        <v>3500000</v>
      </c>
      <c r="G16" s="55" t="s">
        <v>2441</v>
      </c>
      <c r="H16" s="338">
        <v>44401</v>
      </c>
      <c r="I16" s="122">
        <f t="shared" si="0"/>
        <v>3500000</v>
      </c>
      <c r="J16" s="577">
        <v>1683631</v>
      </c>
      <c r="K16" s="577">
        <f t="shared" si="1"/>
        <v>35000</v>
      </c>
      <c r="L16" s="577">
        <f t="shared" si="2"/>
        <v>70000</v>
      </c>
      <c r="M16" s="577"/>
      <c r="N16" s="392">
        <f t="shared" si="3"/>
        <v>1781369</v>
      </c>
      <c r="O16" s="395"/>
      <c r="P16" s="395"/>
      <c r="Q16" s="394">
        <v>44525</v>
      </c>
      <c r="R16"/>
      <c r="S16"/>
      <c r="T16"/>
      <c r="U16"/>
      <c r="V16"/>
      <c r="W16"/>
      <c r="X16"/>
      <c r="Y16"/>
      <c r="Z16"/>
      <c r="AA16"/>
      <c r="AB16"/>
    </row>
    <row r="17" spans="1:28" s="10" customFormat="1" x14ac:dyDescent="0.25">
      <c r="A17" s="55">
        <v>15</v>
      </c>
      <c r="B17" s="245">
        <v>44513</v>
      </c>
      <c r="C17" s="126" t="s">
        <v>2911</v>
      </c>
      <c r="D17" s="39" t="s">
        <v>903</v>
      </c>
      <c r="E17" s="390" t="s">
        <v>582</v>
      </c>
      <c r="F17" s="100">
        <v>3200000</v>
      </c>
      <c r="G17" s="55" t="s">
        <v>2908</v>
      </c>
      <c r="H17" s="338">
        <v>44401</v>
      </c>
      <c r="I17" s="122">
        <f t="shared" si="0"/>
        <v>3200000</v>
      </c>
      <c r="J17" s="577"/>
      <c r="K17" s="577">
        <f t="shared" si="1"/>
        <v>32000</v>
      </c>
      <c r="L17" s="577">
        <f t="shared" si="2"/>
        <v>64000</v>
      </c>
      <c r="M17" s="577"/>
      <c r="N17" s="392">
        <f t="shared" si="3"/>
        <v>3168000</v>
      </c>
      <c r="O17" s="395"/>
      <c r="P17" s="395"/>
      <c r="Q17" s="394">
        <v>44553</v>
      </c>
      <c r="R17"/>
      <c r="S17"/>
      <c r="T17"/>
      <c r="U17"/>
      <c r="V17"/>
      <c r="W17"/>
      <c r="X17"/>
      <c r="Y17"/>
      <c r="Z17"/>
      <c r="AA17"/>
      <c r="AB17"/>
    </row>
    <row r="18" spans="1:28" s="10" customFormat="1" x14ac:dyDescent="0.25">
      <c r="A18" s="55">
        <v>16</v>
      </c>
      <c r="B18" s="245">
        <v>44510</v>
      </c>
      <c r="C18" s="126" t="s">
        <v>2997</v>
      </c>
      <c r="D18" s="39" t="s">
        <v>903</v>
      </c>
      <c r="E18" s="390" t="s">
        <v>417</v>
      </c>
      <c r="F18" s="100">
        <v>1700000</v>
      </c>
      <c r="G18" s="55" t="s">
        <v>2996</v>
      </c>
      <c r="H18" s="338">
        <v>44401</v>
      </c>
      <c r="I18" s="122">
        <f t="shared" si="0"/>
        <v>1700000</v>
      </c>
      <c r="J18" s="577">
        <v>818061</v>
      </c>
      <c r="K18" s="577">
        <f t="shared" si="1"/>
        <v>17000</v>
      </c>
      <c r="L18" s="577">
        <f t="shared" si="2"/>
        <v>34000</v>
      </c>
      <c r="M18" s="577"/>
      <c r="N18" s="392">
        <f t="shared" si="3"/>
        <v>864939</v>
      </c>
      <c r="O18" s="395"/>
      <c r="P18" s="395"/>
      <c r="Q18" s="394">
        <v>44555</v>
      </c>
      <c r="R18"/>
      <c r="S18"/>
      <c r="T18"/>
      <c r="U18"/>
      <c r="V18"/>
      <c r="W18"/>
      <c r="X18"/>
      <c r="Y18"/>
      <c r="Z18"/>
      <c r="AA18"/>
      <c r="AB18"/>
    </row>
    <row r="19" spans="1:28" s="10" customFormat="1" x14ac:dyDescent="0.25">
      <c r="A19" s="55">
        <v>17</v>
      </c>
      <c r="B19" s="245">
        <v>44526</v>
      </c>
      <c r="C19" s="126" t="s">
        <v>3007</v>
      </c>
      <c r="D19" s="39" t="s">
        <v>903</v>
      </c>
      <c r="E19" s="390" t="s">
        <v>582</v>
      </c>
      <c r="F19" s="100">
        <v>3000000</v>
      </c>
      <c r="G19" s="55" t="s">
        <v>3006</v>
      </c>
      <c r="H19" s="338">
        <v>44401</v>
      </c>
      <c r="I19" s="122">
        <f t="shared" si="0"/>
        <v>3000000</v>
      </c>
      <c r="J19" s="577"/>
      <c r="K19" s="577">
        <f t="shared" si="1"/>
        <v>30000</v>
      </c>
      <c r="L19" s="577">
        <f t="shared" si="2"/>
        <v>60000</v>
      </c>
      <c r="M19" s="577"/>
      <c r="N19" s="392">
        <f t="shared" si="3"/>
        <v>2970000</v>
      </c>
      <c r="O19" s="395"/>
      <c r="P19" s="395"/>
      <c r="Q19" s="394">
        <v>44555</v>
      </c>
      <c r="R19"/>
      <c r="S19"/>
      <c r="T19"/>
      <c r="U19"/>
      <c r="V19"/>
      <c r="W19"/>
      <c r="X19"/>
      <c r="Y19"/>
      <c r="Z19"/>
      <c r="AA19"/>
      <c r="AB19"/>
    </row>
    <row r="20" spans="1:28" s="10" customFormat="1" ht="30" x14ac:dyDescent="0.25">
      <c r="A20" s="55">
        <v>18</v>
      </c>
      <c r="B20" s="245">
        <v>44527</v>
      </c>
      <c r="C20" s="126" t="s">
        <v>3038</v>
      </c>
      <c r="D20" s="39" t="s">
        <v>903</v>
      </c>
      <c r="E20" s="390" t="s">
        <v>3037</v>
      </c>
      <c r="F20" s="100">
        <v>7000000</v>
      </c>
      <c r="G20" s="55" t="s">
        <v>3036</v>
      </c>
      <c r="H20" s="338">
        <v>44401</v>
      </c>
      <c r="I20" s="122">
        <f t="shared" si="0"/>
        <v>7000000</v>
      </c>
      <c r="J20" s="577">
        <v>3500000</v>
      </c>
      <c r="K20" s="577">
        <f t="shared" si="1"/>
        <v>70000</v>
      </c>
      <c r="L20" s="577">
        <f t="shared" si="2"/>
        <v>140000</v>
      </c>
      <c r="M20" s="577"/>
      <c r="N20" s="392">
        <f t="shared" si="3"/>
        <v>3430000</v>
      </c>
      <c r="O20" s="395"/>
      <c r="P20" s="395"/>
      <c r="Q20" s="394">
        <v>44555</v>
      </c>
      <c r="R20"/>
      <c r="S20"/>
      <c r="T20"/>
      <c r="U20"/>
      <c r="V20"/>
      <c r="W20"/>
      <c r="X20"/>
      <c r="Y20"/>
      <c r="Z20"/>
      <c r="AA20"/>
      <c r="AB20"/>
    </row>
    <row r="21" spans="1:28" s="10" customFormat="1" x14ac:dyDescent="0.25">
      <c r="A21" s="55">
        <v>19</v>
      </c>
      <c r="B21" s="245">
        <v>44559</v>
      </c>
      <c r="C21" s="126" t="s">
        <v>3474</v>
      </c>
      <c r="D21" s="39" t="s">
        <v>903</v>
      </c>
      <c r="E21" s="390" t="s">
        <v>147</v>
      </c>
      <c r="F21" s="100">
        <v>800000</v>
      </c>
      <c r="G21" s="55" t="s">
        <v>3472</v>
      </c>
      <c r="H21" s="338">
        <v>44410</v>
      </c>
      <c r="I21" s="122">
        <f t="shared" si="0"/>
        <v>800000</v>
      </c>
      <c r="J21" s="577"/>
      <c r="K21" s="577">
        <f t="shared" si="1"/>
        <v>8000</v>
      </c>
      <c r="L21" s="577">
        <f t="shared" si="2"/>
        <v>16000</v>
      </c>
      <c r="M21" s="577"/>
      <c r="N21" s="392">
        <f t="shared" si="3"/>
        <v>792000</v>
      </c>
      <c r="O21" s="395"/>
      <c r="P21" s="395"/>
      <c r="Q21" s="394">
        <v>44595</v>
      </c>
      <c r="R21"/>
      <c r="S21"/>
      <c r="T21"/>
      <c r="U21"/>
      <c r="V21"/>
      <c r="W21"/>
      <c r="X21"/>
      <c r="Y21"/>
      <c r="Z21"/>
      <c r="AA21"/>
      <c r="AB21"/>
    </row>
    <row r="22" spans="1:28" s="10" customFormat="1" x14ac:dyDescent="0.25">
      <c r="A22" s="55">
        <v>20</v>
      </c>
      <c r="B22" s="245">
        <v>44558</v>
      </c>
      <c r="C22" s="126" t="s">
        <v>3476</v>
      </c>
      <c r="D22" s="39" t="s">
        <v>903</v>
      </c>
      <c r="E22" s="390" t="s">
        <v>147</v>
      </c>
      <c r="F22" s="100">
        <v>750000</v>
      </c>
      <c r="G22" s="55" t="s">
        <v>3475</v>
      </c>
      <c r="H22" s="338">
        <v>44414</v>
      </c>
      <c r="I22" s="122">
        <f t="shared" si="0"/>
        <v>750000</v>
      </c>
      <c r="J22" s="577"/>
      <c r="K22" s="577">
        <f t="shared" si="1"/>
        <v>7500</v>
      </c>
      <c r="L22" s="577">
        <f t="shared" si="2"/>
        <v>15000</v>
      </c>
      <c r="M22" s="577"/>
      <c r="N22" s="392">
        <f t="shared" si="3"/>
        <v>742500</v>
      </c>
      <c r="O22" s="395"/>
      <c r="P22" s="395"/>
      <c r="Q22" s="394">
        <v>44595</v>
      </c>
      <c r="R22"/>
      <c r="S22"/>
      <c r="T22"/>
      <c r="U22"/>
      <c r="V22"/>
      <c r="W22"/>
      <c r="X22"/>
      <c r="Y22"/>
      <c r="Z22"/>
      <c r="AA22"/>
      <c r="AB22"/>
    </row>
    <row r="23" spans="1:28" s="10" customFormat="1" x14ac:dyDescent="0.25">
      <c r="A23" s="55">
        <v>21</v>
      </c>
      <c r="B23" s="245">
        <v>44559</v>
      </c>
      <c r="C23" s="126" t="s">
        <v>3480</v>
      </c>
      <c r="D23" s="39" t="s">
        <v>903</v>
      </c>
      <c r="E23" s="390" t="s">
        <v>3481</v>
      </c>
      <c r="F23" s="100">
        <v>800000</v>
      </c>
      <c r="G23" s="55" t="s">
        <v>3478</v>
      </c>
      <c r="H23" s="338">
        <v>44466</v>
      </c>
      <c r="I23" s="122">
        <f t="shared" si="0"/>
        <v>800000</v>
      </c>
      <c r="J23" s="577"/>
      <c r="K23" s="577">
        <f t="shared" si="1"/>
        <v>8000</v>
      </c>
      <c r="L23" s="577">
        <f t="shared" si="2"/>
        <v>16000</v>
      </c>
      <c r="M23" s="577"/>
      <c r="N23" s="392">
        <f t="shared" si="3"/>
        <v>792000</v>
      </c>
      <c r="O23" s="395"/>
      <c r="P23" s="395"/>
      <c r="Q23" s="394">
        <v>44595</v>
      </c>
      <c r="R23"/>
      <c r="S23"/>
      <c r="T23"/>
      <c r="U23"/>
      <c r="V23"/>
      <c r="W23"/>
      <c r="X23"/>
      <c r="Y23"/>
      <c r="Z23"/>
      <c r="AA23"/>
      <c r="AB23"/>
    </row>
    <row r="24" spans="1:28" s="10" customFormat="1" ht="32.25" customHeight="1" x14ac:dyDescent="0.25">
      <c r="A24" s="1031" t="s">
        <v>399</v>
      </c>
      <c r="B24" s="1032"/>
      <c r="C24" s="1032"/>
      <c r="D24" s="1032"/>
      <c r="E24" s="1032"/>
      <c r="F24" s="1032"/>
      <c r="G24" s="1032"/>
      <c r="H24" s="1032"/>
      <c r="I24" s="65">
        <f>SUM(I3:I23)</f>
        <v>32150000</v>
      </c>
      <c r="J24" s="65">
        <f>SUM(J3:J23)</f>
        <v>7025442</v>
      </c>
      <c r="K24" s="65"/>
      <c r="L24" s="65"/>
      <c r="M24" s="65"/>
      <c r="N24" s="65">
        <f>SUM(N3:N23)</f>
        <v>24803058</v>
      </c>
      <c r="O24" s="65"/>
      <c r="P24" s="65"/>
      <c r="Q24" s="65"/>
      <c r="R24"/>
      <c r="S24"/>
      <c r="T24"/>
      <c r="U24"/>
      <c r="V24"/>
      <c r="W24"/>
      <c r="X24"/>
      <c r="Y24"/>
      <c r="Z24"/>
      <c r="AA24"/>
      <c r="AB24"/>
    </row>
    <row r="25" spans="1:28" x14ac:dyDescent="0.25">
      <c r="A25" s="40"/>
      <c r="B25" s="41"/>
      <c r="C25" s="7"/>
      <c r="D25" s="7"/>
      <c r="E25" s="7"/>
      <c r="F25" s="42"/>
      <c r="G25" s="7"/>
      <c r="H25" s="7"/>
      <c r="I25"/>
      <c r="J25"/>
      <c r="K25"/>
      <c r="L25"/>
      <c r="M25"/>
      <c r="N25"/>
      <c r="O25"/>
      <c r="P25"/>
      <c r="Q25"/>
    </row>
    <row r="26" spans="1:28" x14ac:dyDescent="0.25">
      <c r="A26" s="40"/>
      <c r="B26" s="41"/>
      <c r="C26" s="7"/>
      <c r="D26" s="7"/>
      <c r="E26" s="7"/>
      <c r="F26" s="42"/>
      <c r="G26" s="7"/>
      <c r="H26" s="7"/>
      <c r="I26"/>
      <c r="J26"/>
      <c r="K26"/>
      <c r="L26"/>
      <c r="M26"/>
      <c r="N26"/>
      <c r="O26"/>
      <c r="P26"/>
      <c r="Q26"/>
    </row>
    <row r="27" spans="1:28" x14ac:dyDescent="0.25">
      <c r="A27" s="40"/>
      <c r="B27" s="41"/>
      <c r="C27" s="7"/>
      <c r="D27" s="7"/>
      <c r="E27" s="7"/>
      <c r="F27" s="42"/>
      <c r="G27" s="7"/>
      <c r="H27" s="7"/>
      <c r="I27"/>
      <c r="J27"/>
      <c r="K27"/>
      <c r="L27"/>
      <c r="M27"/>
      <c r="N27" s="16"/>
      <c r="O27" s="16"/>
      <c r="P27" s="16"/>
      <c r="Q27" s="16"/>
    </row>
    <row r="28" spans="1:28" x14ac:dyDescent="0.25">
      <c r="A28" s="40"/>
      <c r="B28" s="41"/>
      <c r="C28" s="7"/>
      <c r="D28" s="7"/>
      <c r="E28" s="7"/>
      <c r="F28" s="42"/>
      <c r="G28" s="7"/>
      <c r="H28" s="7"/>
      <c r="I28"/>
      <c r="J28"/>
      <c r="K28"/>
      <c r="L28"/>
      <c r="M28"/>
      <c r="N28"/>
      <c r="O28"/>
      <c r="P28"/>
      <c r="Q28"/>
    </row>
    <row r="29" spans="1:28" x14ac:dyDescent="0.25">
      <c r="A29" s="40"/>
      <c r="B29" s="41"/>
      <c r="C29" s="7"/>
      <c r="D29" s="7"/>
      <c r="E29" s="7"/>
      <c r="F29" s="42"/>
      <c r="G29" s="7"/>
      <c r="H29" s="7"/>
      <c r="I29"/>
      <c r="J29"/>
      <c r="K29"/>
      <c r="L29"/>
      <c r="M29"/>
      <c r="N29"/>
      <c r="O29"/>
      <c r="P29"/>
      <c r="Q29"/>
    </row>
    <row r="30" spans="1:28" x14ac:dyDescent="0.25">
      <c r="A30" s="40"/>
      <c r="B30" s="41"/>
      <c r="C30" s="7"/>
      <c r="D30" s="7"/>
      <c r="E30" s="7"/>
      <c r="F30" s="42"/>
      <c r="G30" s="7"/>
      <c r="H30" s="7"/>
      <c r="I30"/>
      <c r="J30"/>
      <c r="K30"/>
      <c r="L30"/>
      <c r="M30"/>
      <c r="N30"/>
      <c r="O30"/>
      <c r="P30"/>
      <c r="Q30"/>
    </row>
    <row r="31" spans="1:28" x14ac:dyDescent="0.25">
      <c r="A31" s="40"/>
      <c r="B31" s="41"/>
      <c r="C31" s="7"/>
      <c r="D31" s="7"/>
      <c r="E31" s="7"/>
      <c r="F31" s="42"/>
      <c r="G31" s="7"/>
      <c r="H31" s="7"/>
      <c r="I31"/>
      <c r="J31"/>
      <c r="K31"/>
      <c r="L31"/>
      <c r="M31"/>
      <c r="N31"/>
      <c r="O31"/>
      <c r="P31"/>
      <c r="Q31"/>
    </row>
    <row r="32" spans="1:28" x14ac:dyDescent="0.25">
      <c r="A32" s="40"/>
      <c r="B32" s="41"/>
      <c r="C32" s="7"/>
      <c r="D32" s="7"/>
      <c r="E32" s="7"/>
      <c r="F32" s="42"/>
      <c r="G32" s="7"/>
      <c r="H32" s="7"/>
      <c r="I32"/>
      <c r="J32"/>
      <c r="K32"/>
      <c r="L32"/>
      <c r="M32"/>
      <c r="N32"/>
      <c r="O32"/>
      <c r="P32"/>
      <c r="Q32"/>
    </row>
    <row r="33" spans="1:17" x14ac:dyDescent="0.25">
      <c r="A33" s="40"/>
      <c r="B33" s="41"/>
      <c r="C33" s="7"/>
      <c r="D33" s="7"/>
      <c r="E33" s="7"/>
      <c r="F33" s="42"/>
      <c r="G33" s="7"/>
      <c r="H33" s="7"/>
      <c r="I33"/>
      <c r="J33"/>
      <c r="K33"/>
      <c r="L33"/>
      <c r="M33"/>
      <c r="N33"/>
      <c r="O33"/>
      <c r="P33"/>
      <c r="Q33"/>
    </row>
    <row r="34" spans="1:17" x14ac:dyDescent="0.25">
      <c r="A34" s="40"/>
      <c r="B34" s="41"/>
      <c r="C34" s="7"/>
      <c r="D34" s="7"/>
      <c r="E34" s="7"/>
      <c r="F34" s="42"/>
      <c r="G34" s="7"/>
      <c r="H34" s="7"/>
      <c r="I34"/>
      <c r="J34"/>
      <c r="K34"/>
      <c r="L34"/>
      <c r="M34"/>
      <c r="N34"/>
      <c r="O34"/>
      <c r="P34"/>
      <c r="Q34"/>
    </row>
    <row r="35" spans="1:17" x14ac:dyDescent="0.25">
      <c r="A35" s="40"/>
      <c r="B35" s="41"/>
      <c r="C35" s="7"/>
      <c r="D35" s="7"/>
      <c r="E35" s="7"/>
      <c r="F35" s="42"/>
      <c r="G35" s="7"/>
      <c r="H35" s="7"/>
      <c r="I35"/>
      <c r="J35"/>
      <c r="K35"/>
      <c r="L35"/>
      <c r="M35"/>
      <c r="N35"/>
      <c r="O35"/>
      <c r="P35"/>
      <c r="Q35"/>
    </row>
    <row r="36" spans="1:17" x14ac:dyDescent="0.25">
      <c r="A36" s="40"/>
      <c r="B36" s="41"/>
      <c r="C36" s="7"/>
      <c r="D36" s="7"/>
      <c r="E36" s="7"/>
      <c r="F36" s="42"/>
      <c r="G36" s="7"/>
      <c r="H36" s="7"/>
      <c r="I36"/>
      <c r="J36"/>
      <c r="K36"/>
      <c r="L36"/>
      <c r="M36"/>
      <c r="N36"/>
      <c r="O36"/>
      <c r="P36"/>
      <c r="Q36"/>
    </row>
    <row r="37" spans="1:17" x14ac:dyDescent="0.25">
      <c r="A37" s="40"/>
      <c r="B37" s="41"/>
      <c r="C37" s="7"/>
      <c r="D37" s="7"/>
      <c r="E37" s="7"/>
      <c r="F37" s="42"/>
      <c r="G37" s="7"/>
      <c r="H37" s="7"/>
      <c r="I37"/>
      <c r="J37"/>
      <c r="K37"/>
      <c r="L37"/>
      <c r="M37"/>
      <c r="N37"/>
      <c r="O37"/>
      <c r="P37"/>
      <c r="Q37"/>
    </row>
    <row r="38" spans="1:17" x14ac:dyDescent="0.25">
      <c r="A38" s="40"/>
      <c r="B38" s="41"/>
      <c r="C38" s="7"/>
      <c r="D38" s="7"/>
      <c r="E38" s="7"/>
      <c r="F38" s="42"/>
      <c r="G38" s="7"/>
      <c r="H38" s="7"/>
      <c r="I38"/>
      <c r="J38"/>
      <c r="K38"/>
      <c r="L38"/>
      <c r="M38"/>
      <c r="N38"/>
      <c r="O38"/>
      <c r="P38"/>
      <c r="Q38"/>
    </row>
    <row r="39" spans="1:17" x14ac:dyDescent="0.25">
      <c r="A39" s="40"/>
      <c r="B39" s="41"/>
      <c r="C39" s="7"/>
      <c r="D39" s="7"/>
      <c r="E39" s="7"/>
      <c r="F39" s="42"/>
      <c r="G39" s="7"/>
      <c r="H39" s="7"/>
      <c r="I39"/>
      <c r="J39"/>
      <c r="K39"/>
      <c r="L39"/>
      <c r="M39"/>
      <c r="N39"/>
      <c r="O39"/>
      <c r="P39"/>
      <c r="Q39"/>
    </row>
    <row r="40" spans="1:17" x14ac:dyDescent="0.25">
      <c r="A40" s="40"/>
      <c r="B40" s="41"/>
      <c r="C40" s="7"/>
      <c r="D40" s="7"/>
      <c r="E40" s="7"/>
      <c r="F40" s="42"/>
      <c r="G40" s="7"/>
      <c r="H40" s="7"/>
      <c r="I40"/>
      <c r="J40"/>
      <c r="K40"/>
      <c r="L40"/>
      <c r="M40"/>
      <c r="N40"/>
      <c r="O40"/>
      <c r="P40"/>
      <c r="Q40"/>
    </row>
    <row r="41" spans="1:17" x14ac:dyDescent="0.25">
      <c r="A41" s="40"/>
      <c r="B41" s="41"/>
      <c r="C41" s="7"/>
      <c r="D41" s="7"/>
      <c r="E41" s="7"/>
      <c r="F41" s="42"/>
      <c r="G41" s="7"/>
      <c r="H41" s="7"/>
      <c r="I41"/>
      <c r="J41"/>
      <c r="K41"/>
      <c r="L41"/>
      <c r="M41"/>
      <c r="N41"/>
      <c r="O41"/>
      <c r="P41"/>
      <c r="Q41"/>
    </row>
    <row r="42" spans="1:17" x14ac:dyDescent="0.25">
      <c r="A42" s="40"/>
      <c r="B42" s="41"/>
      <c r="C42" s="7"/>
      <c r="D42" s="7"/>
      <c r="E42" s="7"/>
      <c r="F42" s="42"/>
      <c r="G42" s="7"/>
      <c r="H42" s="7"/>
      <c r="I42"/>
      <c r="J42"/>
      <c r="K42"/>
      <c r="L42"/>
      <c r="M42"/>
      <c r="N42"/>
      <c r="O42"/>
      <c r="P42"/>
      <c r="Q42"/>
    </row>
    <row r="43" spans="1:17" x14ac:dyDescent="0.25">
      <c r="A43" s="40"/>
      <c r="B43" s="41"/>
      <c r="C43" s="7"/>
      <c r="D43" s="7"/>
      <c r="E43" s="7"/>
      <c r="F43" s="42"/>
      <c r="G43" s="7"/>
      <c r="H43" s="7"/>
      <c r="I43"/>
      <c r="J43"/>
      <c r="K43"/>
      <c r="L43"/>
      <c r="M43"/>
      <c r="N43"/>
      <c r="O43"/>
      <c r="P43"/>
      <c r="Q43"/>
    </row>
    <row r="44" spans="1:17" x14ac:dyDescent="0.25">
      <c r="A44" s="40"/>
      <c r="B44" s="41"/>
      <c r="C44" s="7"/>
      <c r="D44" s="7"/>
      <c r="E44" s="7"/>
      <c r="F44" s="42"/>
      <c r="G44" s="7"/>
      <c r="H44" s="7"/>
      <c r="I44"/>
      <c r="J44"/>
      <c r="K44"/>
      <c r="L44"/>
      <c r="M44"/>
      <c r="N44"/>
      <c r="O44"/>
      <c r="P44"/>
      <c r="Q44"/>
    </row>
    <row r="45" spans="1:17" x14ac:dyDescent="0.25">
      <c r="A45" s="40"/>
      <c r="B45" s="41"/>
      <c r="C45" s="7"/>
      <c r="D45" s="7"/>
      <c r="E45" s="7"/>
      <c r="F45" s="42"/>
      <c r="G45" s="7"/>
      <c r="H45" s="7"/>
      <c r="I45"/>
      <c r="J45"/>
      <c r="K45"/>
      <c r="L45"/>
      <c r="M45"/>
      <c r="N45"/>
      <c r="O45"/>
      <c r="P45"/>
      <c r="Q45"/>
    </row>
    <row r="46" spans="1:17" x14ac:dyDescent="0.25">
      <c r="A46" s="40"/>
      <c r="B46" s="41"/>
      <c r="C46" s="7"/>
      <c r="D46" s="7"/>
      <c r="E46" s="7"/>
      <c r="F46" s="42"/>
      <c r="G46" s="7"/>
      <c r="H46" s="7"/>
      <c r="I46"/>
      <c r="J46"/>
      <c r="K46"/>
      <c r="L46"/>
      <c r="M46"/>
      <c r="N46"/>
      <c r="O46"/>
      <c r="P46"/>
      <c r="Q46"/>
    </row>
    <row r="47" spans="1:17" x14ac:dyDescent="0.25">
      <c r="A47" s="40"/>
      <c r="B47" s="41"/>
      <c r="C47" s="7"/>
      <c r="D47" s="7"/>
      <c r="E47" s="7"/>
      <c r="F47" s="42"/>
      <c r="G47" s="7"/>
      <c r="H47" s="7"/>
      <c r="I47"/>
      <c r="J47"/>
      <c r="K47"/>
      <c r="L47"/>
      <c r="M47"/>
      <c r="N47"/>
      <c r="O47"/>
      <c r="P47"/>
      <c r="Q47"/>
    </row>
    <row r="48" spans="1:17" x14ac:dyDescent="0.25">
      <c r="A48" s="40"/>
      <c r="B48" s="41"/>
      <c r="C48" s="7"/>
      <c r="D48" s="7"/>
      <c r="E48" s="7"/>
      <c r="F48" s="42"/>
      <c r="G48" s="7"/>
      <c r="H48" s="7"/>
      <c r="I48"/>
      <c r="J48"/>
      <c r="K48"/>
      <c r="L48"/>
      <c r="M48"/>
      <c r="N48"/>
      <c r="O48"/>
      <c r="P48"/>
      <c r="Q48"/>
    </row>
    <row r="49" spans="1:17" x14ac:dyDescent="0.25">
      <c r="A49" s="40"/>
      <c r="B49" s="41"/>
      <c r="C49" s="7"/>
      <c r="D49" s="7"/>
      <c r="E49" s="7"/>
      <c r="F49" s="42"/>
      <c r="G49" s="7"/>
      <c r="H49" s="7"/>
      <c r="I49"/>
      <c r="J49"/>
      <c r="K49"/>
      <c r="L49"/>
      <c r="M49"/>
      <c r="N49"/>
      <c r="O49"/>
      <c r="P49"/>
      <c r="Q49"/>
    </row>
    <row r="50" spans="1:17" x14ac:dyDescent="0.25">
      <c r="A50" s="40"/>
      <c r="B50" s="41"/>
      <c r="C50" s="7"/>
      <c r="D50" s="7"/>
      <c r="E50" s="7"/>
      <c r="F50" s="42"/>
      <c r="G50" s="7"/>
      <c r="H50" s="7"/>
      <c r="I50"/>
      <c r="J50"/>
      <c r="K50"/>
      <c r="L50"/>
      <c r="M50"/>
      <c r="N50"/>
      <c r="O50"/>
      <c r="P50"/>
      <c r="Q50"/>
    </row>
    <row r="51" spans="1:17" x14ac:dyDescent="0.25">
      <c r="A51" s="40"/>
      <c r="B51" s="41"/>
      <c r="C51" s="7"/>
      <c r="D51" s="7"/>
      <c r="E51" s="7"/>
      <c r="F51" s="42"/>
      <c r="G51" s="7"/>
      <c r="H51" s="7"/>
      <c r="I51"/>
      <c r="J51"/>
      <c r="K51"/>
      <c r="L51"/>
      <c r="M51"/>
      <c r="N51"/>
      <c r="O51"/>
      <c r="P51"/>
      <c r="Q51"/>
    </row>
    <row r="52" spans="1:17" x14ac:dyDescent="0.25">
      <c r="A52" s="40"/>
      <c r="B52" s="41"/>
      <c r="C52" s="7"/>
      <c r="D52" s="7"/>
      <c r="E52" s="7"/>
      <c r="F52" s="42"/>
      <c r="G52" s="7"/>
      <c r="H52" s="7"/>
      <c r="I52"/>
      <c r="J52"/>
      <c r="K52"/>
      <c r="L52"/>
      <c r="M52"/>
      <c r="N52"/>
      <c r="O52"/>
      <c r="P52"/>
      <c r="Q52"/>
    </row>
    <row r="53" spans="1:17" x14ac:dyDescent="0.25">
      <c r="A53" s="40"/>
      <c r="B53" s="41"/>
      <c r="C53" s="7"/>
      <c r="D53" s="7"/>
      <c r="E53" s="7"/>
      <c r="F53" s="42"/>
      <c r="G53" s="7"/>
      <c r="H53" s="7"/>
      <c r="I53"/>
      <c r="J53"/>
      <c r="K53"/>
      <c r="L53"/>
      <c r="M53"/>
      <c r="N53"/>
      <c r="O53"/>
      <c r="P53"/>
      <c r="Q53"/>
    </row>
    <row r="54" spans="1:17" x14ac:dyDescent="0.25">
      <c r="A54" s="40"/>
      <c r="B54" s="41"/>
      <c r="C54" s="7"/>
      <c r="D54" s="7"/>
      <c r="E54" s="7"/>
      <c r="F54" s="42"/>
      <c r="G54" s="7"/>
      <c r="H54" s="7"/>
      <c r="I54"/>
      <c r="J54"/>
      <c r="K54"/>
      <c r="L54"/>
      <c r="M54"/>
      <c r="N54"/>
      <c r="O54"/>
      <c r="P54"/>
      <c r="Q54"/>
    </row>
    <row r="55" spans="1:17" x14ac:dyDescent="0.25">
      <c r="A55" s="40"/>
      <c r="B55" s="41"/>
      <c r="C55" s="7"/>
      <c r="D55" s="7"/>
      <c r="E55" s="7"/>
      <c r="F55" s="42"/>
      <c r="G55" s="7"/>
      <c r="H55" s="7"/>
      <c r="I55"/>
      <c r="J55"/>
      <c r="K55"/>
      <c r="L55"/>
      <c r="M55"/>
      <c r="N55"/>
      <c r="O55"/>
      <c r="P55"/>
      <c r="Q55"/>
    </row>
    <row r="56" spans="1:17" x14ac:dyDescent="0.25">
      <c r="A56" s="40"/>
      <c r="B56" s="41"/>
      <c r="C56" s="7"/>
      <c r="D56" s="7"/>
      <c r="E56" s="7"/>
      <c r="F56" s="42"/>
      <c r="G56" s="7"/>
      <c r="H56" s="7"/>
      <c r="I56"/>
      <c r="J56"/>
      <c r="K56"/>
      <c r="L56"/>
      <c r="M56"/>
      <c r="N56"/>
      <c r="O56"/>
      <c r="P56"/>
      <c r="Q56"/>
    </row>
    <row r="57" spans="1:17" x14ac:dyDescent="0.25">
      <c r="A57" s="40"/>
      <c r="B57" s="41"/>
      <c r="C57" s="7"/>
      <c r="D57" s="7"/>
      <c r="E57" s="7"/>
      <c r="F57" s="42"/>
      <c r="G57" s="7"/>
      <c r="H57" s="7"/>
      <c r="I57"/>
      <c r="J57"/>
      <c r="K57"/>
      <c r="L57"/>
      <c r="M57"/>
      <c r="N57"/>
      <c r="O57"/>
      <c r="P57"/>
      <c r="Q57"/>
    </row>
    <row r="58" spans="1:17" x14ac:dyDescent="0.25">
      <c r="A58" s="40"/>
      <c r="B58" s="41"/>
      <c r="C58" s="7"/>
      <c r="D58" s="7"/>
      <c r="E58" s="7"/>
      <c r="F58" s="42"/>
      <c r="G58" s="7"/>
      <c r="H58" s="7"/>
      <c r="I58"/>
      <c r="J58"/>
      <c r="K58"/>
      <c r="L58"/>
      <c r="M58"/>
      <c r="N58"/>
      <c r="O58"/>
      <c r="P58"/>
      <c r="Q58"/>
    </row>
    <row r="59" spans="1:17" x14ac:dyDescent="0.25">
      <c r="A59" s="40"/>
      <c r="B59" s="41"/>
      <c r="C59" s="7"/>
      <c r="D59" s="7"/>
      <c r="E59" s="7"/>
      <c r="F59" s="42"/>
      <c r="G59" s="7"/>
      <c r="H59" s="7"/>
      <c r="I59"/>
      <c r="J59"/>
      <c r="K59"/>
      <c r="L59"/>
      <c r="M59"/>
      <c r="N59"/>
      <c r="O59"/>
      <c r="P59"/>
      <c r="Q59"/>
    </row>
    <row r="60" spans="1:17" x14ac:dyDescent="0.25">
      <c r="A60" s="40"/>
      <c r="B60" s="41"/>
      <c r="C60" s="7"/>
      <c r="D60" s="7"/>
      <c r="E60" s="7"/>
      <c r="F60" s="42"/>
      <c r="G60" s="7"/>
      <c r="H60" s="7"/>
      <c r="I60"/>
      <c r="J60"/>
      <c r="K60"/>
      <c r="L60"/>
      <c r="M60"/>
      <c r="N60"/>
      <c r="O60"/>
      <c r="P60"/>
      <c r="Q60"/>
    </row>
    <row r="61" spans="1:17" x14ac:dyDescent="0.25">
      <c r="A61" s="40"/>
      <c r="B61" s="41"/>
      <c r="C61" s="7"/>
      <c r="D61" s="7"/>
      <c r="E61" s="7"/>
      <c r="F61" s="42"/>
      <c r="G61" s="7"/>
      <c r="H61" s="7"/>
      <c r="I61"/>
      <c r="J61"/>
      <c r="K61"/>
      <c r="L61"/>
      <c r="M61"/>
      <c r="N61"/>
      <c r="O61"/>
      <c r="P61"/>
      <c r="Q61"/>
    </row>
    <row r="62" spans="1:17" x14ac:dyDescent="0.25">
      <c r="A62" s="40"/>
      <c r="B62" s="41"/>
      <c r="C62" s="7"/>
      <c r="D62" s="7"/>
      <c r="E62" s="7"/>
      <c r="F62" s="42"/>
      <c r="G62" s="7"/>
      <c r="H62" s="7"/>
      <c r="I62"/>
      <c r="J62"/>
      <c r="K62"/>
      <c r="L62"/>
      <c r="M62"/>
      <c r="N62"/>
      <c r="O62"/>
      <c r="P62"/>
      <c r="Q62"/>
    </row>
    <row r="63" spans="1:17" x14ac:dyDescent="0.25">
      <c r="A63" s="40"/>
      <c r="B63" s="41"/>
      <c r="C63" s="7"/>
      <c r="D63" s="7"/>
      <c r="E63" s="7"/>
      <c r="F63" s="42"/>
      <c r="G63" s="7"/>
      <c r="H63" s="7"/>
      <c r="I63"/>
      <c r="J63"/>
      <c r="K63"/>
      <c r="L63"/>
      <c r="M63"/>
      <c r="N63"/>
      <c r="O63"/>
      <c r="P63"/>
      <c r="Q63"/>
    </row>
    <row r="64" spans="1:17" x14ac:dyDescent="0.25">
      <c r="A64" s="40"/>
      <c r="B64" s="41"/>
      <c r="C64" s="7"/>
      <c r="D64" s="7"/>
      <c r="E64" s="7"/>
      <c r="F64" s="42"/>
      <c r="G64" s="7"/>
      <c r="H64" s="7"/>
      <c r="I64"/>
      <c r="J64"/>
      <c r="K64"/>
      <c r="L64"/>
      <c r="M64"/>
      <c r="N64"/>
      <c r="O64"/>
      <c r="P64"/>
      <c r="Q64"/>
    </row>
    <row r="65" spans="1:17" x14ac:dyDescent="0.25">
      <c r="A65" s="40"/>
      <c r="B65" s="41"/>
      <c r="C65" s="7"/>
      <c r="D65" s="7"/>
      <c r="E65" s="7"/>
      <c r="F65" s="42"/>
      <c r="G65" s="7"/>
      <c r="H65" s="7"/>
      <c r="I65"/>
      <c r="J65"/>
      <c r="K65"/>
      <c r="L65"/>
      <c r="M65"/>
      <c r="N65"/>
      <c r="O65"/>
      <c r="P65"/>
      <c r="Q65"/>
    </row>
    <row r="66" spans="1:17" x14ac:dyDescent="0.25">
      <c r="A66" s="40"/>
      <c r="B66" s="41"/>
      <c r="C66" s="7"/>
      <c r="D66" s="7"/>
      <c r="E66" s="7"/>
      <c r="F66" s="42"/>
      <c r="G66" s="7"/>
      <c r="H66" s="7"/>
      <c r="I66"/>
      <c r="J66"/>
      <c r="K66"/>
      <c r="L66"/>
      <c r="M66"/>
      <c r="N66"/>
      <c r="O66"/>
      <c r="P66"/>
      <c r="Q66"/>
    </row>
    <row r="67" spans="1:17" x14ac:dyDescent="0.25">
      <c r="A67" s="40"/>
      <c r="B67" s="41"/>
      <c r="C67" s="7"/>
      <c r="D67" s="7"/>
      <c r="E67" s="7"/>
      <c r="F67" s="42"/>
      <c r="G67" s="7"/>
      <c r="H67" s="7"/>
      <c r="I67"/>
      <c r="J67"/>
      <c r="K67"/>
      <c r="L67"/>
      <c r="M67"/>
      <c r="N67"/>
      <c r="O67"/>
      <c r="P67"/>
      <c r="Q67"/>
    </row>
    <row r="68" spans="1:17" x14ac:dyDescent="0.25">
      <c r="A68" s="40"/>
      <c r="B68" s="41"/>
      <c r="C68" s="7"/>
      <c r="D68" s="7"/>
      <c r="E68" s="7"/>
      <c r="F68" s="42"/>
      <c r="G68" s="7"/>
      <c r="H68" s="7"/>
      <c r="I68"/>
      <c r="J68"/>
      <c r="K68"/>
      <c r="L68"/>
      <c r="M68"/>
      <c r="N68"/>
      <c r="O68"/>
      <c r="P68"/>
      <c r="Q68"/>
    </row>
    <row r="69" spans="1:17" x14ac:dyDescent="0.25">
      <c r="A69" s="40"/>
      <c r="B69" s="41"/>
      <c r="C69" s="7"/>
      <c r="D69" s="7"/>
      <c r="E69" s="7"/>
      <c r="F69" s="42"/>
      <c r="G69" s="7"/>
      <c r="H69" s="7"/>
      <c r="I69"/>
      <c r="J69"/>
      <c r="K69"/>
      <c r="L69"/>
      <c r="M69"/>
      <c r="N69"/>
      <c r="O69"/>
      <c r="P69"/>
      <c r="Q69"/>
    </row>
    <row r="70" spans="1:17" x14ac:dyDescent="0.25">
      <c r="A70" s="40"/>
      <c r="B70" s="41"/>
      <c r="C70" s="7"/>
      <c r="D70" s="7"/>
      <c r="E70" s="7"/>
      <c r="F70" s="42"/>
      <c r="G70" s="7"/>
      <c r="H70" s="7"/>
      <c r="I70"/>
      <c r="J70"/>
      <c r="K70"/>
      <c r="L70"/>
      <c r="M70"/>
      <c r="N70"/>
      <c r="O70"/>
      <c r="P70"/>
      <c r="Q70"/>
    </row>
    <row r="71" spans="1:17" x14ac:dyDescent="0.25">
      <c r="A71" s="40"/>
      <c r="B71" s="41"/>
      <c r="C71" s="7"/>
      <c r="D71" s="7"/>
      <c r="E71" s="7"/>
      <c r="F71" s="42"/>
      <c r="G71" s="7"/>
      <c r="H71" s="7"/>
      <c r="I71"/>
      <c r="J71"/>
      <c r="K71"/>
      <c r="L71"/>
      <c r="M71"/>
      <c r="N71"/>
      <c r="O71"/>
      <c r="P71"/>
      <c r="Q71"/>
    </row>
    <row r="72" spans="1:17" x14ac:dyDescent="0.25">
      <c r="A72" s="40"/>
      <c r="B72" s="41"/>
      <c r="C72" s="7"/>
      <c r="D72" s="7"/>
      <c r="E72" s="7"/>
      <c r="F72" s="42"/>
      <c r="G72" s="7"/>
      <c r="H72" s="7"/>
      <c r="I72"/>
      <c r="J72"/>
      <c r="K72"/>
      <c r="L72"/>
      <c r="M72"/>
      <c r="N72"/>
      <c r="O72"/>
      <c r="P72"/>
      <c r="Q72"/>
    </row>
    <row r="73" spans="1:17" x14ac:dyDescent="0.25">
      <c r="A73" s="40"/>
      <c r="B73" s="41"/>
      <c r="C73" s="7"/>
      <c r="D73" s="7"/>
      <c r="E73" s="7"/>
      <c r="F73" s="42"/>
      <c r="G73" s="7"/>
      <c r="H73" s="7"/>
      <c r="I73"/>
      <c r="J73"/>
      <c r="K73"/>
      <c r="L73"/>
      <c r="M73"/>
      <c r="N73"/>
      <c r="O73"/>
      <c r="P73"/>
      <c r="Q73"/>
    </row>
    <row r="74" spans="1:17" x14ac:dyDescent="0.25">
      <c r="A74" s="40"/>
      <c r="B74" s="41"/>
      <c r="C74" s="7"/>
      <c r="D74" s="7"/>
      <c r="E74" s="7"/>
      <c r="F74" s="42"/>
      <c r="G74" s="7"/>
      <c r="H74" s="7"/>
      <c r="I74"/>
      <c r="J74"/>
      <c r="K74"/>
      <c r="L74"/>
      <c r="M74"/>
      <c r="N74"/>
      <c r="O74"/>
      <c r="P74"/>
      <c r="Q74"/>
    </row>
    <row r="75" spans="1:17" x14ac:dyDescent="0.25">
      <c r="A75" s="40"/>
      <c r="B75" s="41"/>
      <c r="C75" s="7"/>
      <c r="D75" s="7"/>
      <c r="E75" s="7"/>
      <c r="F75" s="42"/>
      <c r="G75" s="7"/>
      <c r="H75" s="7"/>
      <c r="I75"/>
      <c r="J75"/>
      <c r="K75"/>
      <c r="L75"/>
      <c r="M75"/>
      <c r="N75"/>
      <c r="O75"/>
      <c r="P75"/>
      <c r="Q75"/>
    </row>
    <row r="76" spans="1:17" x14ac:dyDescent="0.25">
      <c r="A76" s="40"/>
      <c r="B76" s="41"/>
      <c r="C76" s="7"/>
      <c r="D76" s="7"/>
      <c r="E76" s="7"/>
      <c r="F76" s="42"/>
      <c r="G76" s="7"/>
      <c r="H76" s="7"/>
      <c r="I76"/>
      <c r="J76"/>
      <c r="K76"/>
      <c r="L76"/>
      <c r="M76"/>
      <c r="N76"/>
      <c r="O76"/>
      <c r="P76"/>
      <c r="Q76"/>
    </row>
    <row r="77" spans="1:17" x14ac:dyDescent="0.25">
      <c r="A77" s="40"/>
      <c r="B77" s="41"/>
      <c r="C77" s="7"/>
      <c r="D77" s="7"/>
      <c r="E77" s="7"/>
      <c r="F77" s="42"/>
      <c r="G77" s="7"/>
      <c r="H77" s="7"/>
      <c r="I77"/>
      <c r="J77"/>
      <c r="K77"/>
      <c r="L77"/>
      <c r="M77"/>
      <c r="N77"/>
      <c r="O77"/>
      <c r="P77"/>
      <c r="Q77"/>
    </row>
    <row r="78" spans="1:17" x14ac:dyDescent="0.25">
      <c r="A78" s="40"/>
      <c r="B78" s="41"/>
      <c r="C78" s="7"/>
      <c r="D78" s="7"/>
      <c r="E78" s="7"/>
      <c r="F78" s="42"/>
      <c r="G78" s="7"/>
      <c r="H78" s="7"/>
      <c r="I78"/>
      <c r="J78"/>
      <c r="K78"/>
      <c r="L78"/>
      <c r="M78"/>
      <c r="N78"/>
      <c r="O78"/>
      <c r="P78"/>
      <c r="Q78"/>
    </row>
    <row r="79" spans="1:17" x14ac:dyDescent="0.25">
      <c r="A79" s="40"/>
      <c r="B79" s="41"/>
      <c r="C79" s="7"/>
      <c r="D79" s="7"/>
      <c r="E79" s="7"/>
      <c r="F79" s="42"/>
      <c r="G79" s="7"/>
      <c r="H79" s="7"/>
      <c r="I79"/>
      <c r="J79"/>
      <c r="K79"/>
      <c r="L79"/>
      <c r="M79"/>
      <c r="N79"/>
      <c r="O79"/>
      <c r="P79"/>
      <c r="Q79"/>
    </row>
    <row r="80" spans="1:17" x14ac:dyDescent="0.25">
      <c r="A80" s="40"/>
      <c r="B80" s="41"/>
      <c r="C80" s="7"/>
      <c r="D80" s="7"/>
      <c r="E80" s="7"/>
      <c r="F80" s="42"/>
      <c r="G80" s="7"/>
      <c r="H80" s="7"/>
      <c r="I80"/>
      <c r="J80"/>
      <c r="K80"/>
      <c r="L80"/>
      <c r="M80"/>
      <c r="N80"/>
      <c r="O80"/>
      <c r="P80"/>
      <c r="Q80"/>
    </row>
    <row r="81" spans="1:17" x14ac:dyDescent="0.25">
      <c r="A81" s="40"/>
      <c r="B81" s="41"/>
      <c r="C81" s="7"/>
      <c r="D81" s="7"/>
      <c r="E81" s="7"/>
      <c r="F81" s="42"/>
      <c r="G81" s="7"/>
      <c r="H81" s="7"/>
      <c r="I81"/>
      <c r="J81"/>
      <c r="K81"/>
      <c r="L81"/>
      <c r="M81"/>
      <c r="N81"/>
      <c r="O81"/>
      <c r="P81"/>
      <c r="Q81"/>
    </row>
    <row r="82" spans="1:17" x14ac:dyDescent="0.25">
      <c r="A82" s="40"/>
      <c r="B82" s="41"/>
      <c r="C82" s="7"/>
      <c r="D82" s="7"/>
      <c r="E82" s="7"/>
      <c r="F82" s="42"/>
      <c r="G82" s="7"/>
      <c r="H82" s="7"/>
      <c r="I82"/>
      <c r="J82"/>
      <c r="K82"/>
      <c r="L82"/>
      <c r="M82"/>
      <c r="N82"/>
      <c r="O82"/>
      <c r="P82"/>
      <c r="Q82"/>
    </row>
    <row r="83" spans="1:17" x14ac:dyDescent="0.25">
      <c r="A83" s="40"/>
      <c r="B83" s="41"/>
      <c r="C83" s="7"/>
      <c r="D83" s="7"/>
      <c r="E83" s="7"/>
      <c r="F83" s="42"/>
      <c r="G83" s="7"/>
      <c r="H83" s="7"/>
      <c r="I83"/>
      <c r="J83"/>
      <c r="K83"/>
      <c r="L83"/>
      <c r="M83"/>
      <c r="N83"/>
      <c r="O83"/>
      <c r="P83"/>
      <c r="Q83"/>
    </row>
    <row r="84" spans="1:17" x14ac:dyDescent="0.25">
      <c r="A84" s="40"/>
      <c r="B84" s="41"/>
      <c r="C84" s="7"/>
      <c r="D84" s="7"/>
      <c r="E84" s="7"/>
      <c r="F84" s="42"/>
      <c r="G84" s="7"/>
      <c r="H84" s="7"/>
      <c r="I84"/>
      <c r="J84"/>
      <c r="K84"/>
      <c r="L84"/>
      <c r="M84"/>
      <c r="N84"/>
      <c r="O84"/>
      <c r="P84"/>
      <c r="Q84"/>
    </row>
    <row r="85" spans="1:17" x14ac:dyDescent="0.25">
      <c r="A85" s="40"/>
      <c r="B85" s="41"/>
      <c r="C85" s="7"/>
      <c r="D85" s="7"/>
      <c r="E85" s="7"/>
      <c r="F85" s="42"/>
      <c r="G85" s="7"/>
      <c r="H85" s="7"/>
      <c r="I85"/>
      <c r="J85"/>
      <c r="K85"/>
      <c r="L85"/>
      <c r="M85"/>
      <c r="N85"/>
      <c r="O85"/>
      <c r="P85"/>
      <c r="Q85"/>
    </row>
    <row r="86" spans="1:17" x14ac:dyDescent="0.25">
      <c r="A86" s="40"/>
      <c r="B86" s="41"/>
      <c r="C86" s="7"/>
      <c r="D86" s="7"/>
      <c r="E86" s="7"/>
      <c r="F86" s="42"/>
      <c r="G86" s="7"/>
      <c r="H86" s="7"/>
      <c r="I86"/>
      <c r="J86"/>
      <c r="K86"/>
      <c r="L86"/>
      <c r="M86"/>
      <c r="N86"/>
      <c r="O86"/>
      <c r="P86"/>
      <c r="Q86"/>
    </row>
    <row r="87" spans="1:17" x14ac:dyDescent="0.25">
      <c r="A87" s="40"/>
      <c r="B87" s="41"/>
      <c r="C87" s="7"/>
      <c r="D87" s="7"/>
      <c r="E87" s="7"/>
      <c r="F87" s="42"/>
      <c r="G87" s="7"/>
      <c r="H87" s="7"/>
      <c r="I87"/>
      <c r="J87"/>
      <c r="K87"/>
      <c r="L87"/>
      <c r="M87"/>
      <c r="N87"/>
      <c r="O87"/>
      <c r="P87"/>
      <c r="Q87"/>
    </row>
    <row r="88" spans="1:17" x14ac:dyDescent="0.25">
      <c r="A88" s="40"/>
      <c r="B88" s="41"/>
      <c r="C88" s="7"/>
      <c r="D88" s="7"/>
      <c r="E88" s="7"/>
      <c r="F88" s="42"/>
      <c r="G88" s="7"/>
      <c r="H88" s="7"/>
      <c r="I88"/>
      <c r="J88"/>
      <c r="K88"/>
      <c r="L88"/>
      <c r="M88"/>
      <c r="N88"/>
      <c r="O88"/>
      <c r="P88"/>
      <c r="Q88"/>
    </row>
    <row r="89" spans="1:17" x14ac:dyDescent="0.25">
      <c r="A89" s="40"/>
      <c r="B89" s="41"/>
      <c r="C89" s="7"/>
      <c r="D89" s="7"/>
      <c r="E89" s="7"/>
      <c r="F89" s="42"/>
      <c r="G89" s="7"/>
      <c r="H89" s="7"/>
      <c r="I89"/>
      <c r="J89"/>
      <c r="K89"/>
      <c r="L89"/>
      <c r="M89"/>
      <c r="N89"/>
      <c r="O89"/>
      <c r="P89"/>
      <c r="Q89"/>
    </row>
    <row r="90" spans="1:17" x14ac:dyDescent="0.25">
      <c r="A90" s="40"/>
      <c r="B90" s="41"/>
      <c r="C90" s="7"/>
      <c r="D90" s="7"/>
      <c r="E90" s="7"/>
      <c r="F90" s="42"/>
      <c r="G90" s="7"/>
      <c r="H90" s="7"/>
      <c r="I90"/>
      <c r="J90"/>
      <c r="K90"/>
      <c r="L90"/>
      <c r="M90"/>
      <c r="N90"/>
      <c r="O90"/>
      <c r="P90"/>
      <c r="Q90"/>
    </row>
    <row r="91" spans="1:17" x14ac:dyDescent="0.25">
      <c r="A91" s="40"/>
      <c r="B91" s="41"/>
      <c r="C91" s="7"/>
      <c r="D91" s="7"/>
      <c r="E91" s="7"/>
      <c r="F91" s="42"/>
      <c r="G91" s="7"/>
      <c r="H91" s="7"/>
      <c r="I91"/>
      <c r="J91"/>
      <c r="K91"/>
      <c r="L91"/>
      <c r="M91"/>
      <c r="N91"/>
      <c r="O91"/>
      <c r="P91"/>
      <c r="Q91"/>
    </row>
    <row r="92" spans="1:17" x14ac:dyDescent="0.25">
      <c r="A92" s="40"/>
      <c r="B92" s="41"/>
      <c r="C92" s="7"/>
      <c r="D92" s="7"/>
      <c r="E92" s="7"/>
      <c r="F92" s="42"/>
      <c r="G92" s="7"/>
      <c r="H92" s="7"/>
      <c r="I92"/>
      <c r="J92"/>
      <c r="K92"/>
      <c r="L92"/>
      <c r="M92"/>
      <c r="N92"/>
      <c r="O92"/>
      <c r="P92"/>
      <c r="Q92"/>
    </row>
    <row r="93" spans="1:17" x14ac:dyDescent="0.25">
      <c r="A93" s="40"/>
      <c r="B93" s="41"/>
      <c r="C93" s="7"/>
      <c r="D93" s="7"/>
      <c r="E93" s="7"/>
      <c r="F93" s="42"/>
      <c r="G93" s="7"/>
      <c r="H93" s="7"/>
      <c r="I93"/>
      <c r="J93"/>
      <c r="K93"/>
      <c r="L93"/>
      <c r="M93"/>
      <c r="N93"/>
      <c r="O93"/>
      <c r="P93"/>
      <c r="Q93"/>
    </row>
    <row r="94" spans="1:17" x14ac:dyDescent="0.25">
      <c r="A94" s="40"/>
      <c r="B94" s="41"/>
      <c r="C94" s="7"/>
      <c r="D94" s="7"/>
      <c r="E94" s="7"/>
      <c r="F94" s="42"/>
      <c r="G94" s="7"/>
      <c r="H94" s="7"/>
      <c r="I94"/>
      <c r="J94"/>
      <c r="K94"/>
      <c r="L94"/>
      <c r="M94"/>
      <c r="N94"/>
      <c r="O94"/>
      <c r="P94"/>
      <c r="Q94"/>
    </row>
    <row r="95" spans="1:17" x14ac:dyDescent="0.25">
      <c r="A95" s="40"/>
      <c r="B95" s="41"/>
      <c r="C95" s="7"/>
      <c r="D95" s="7"/>
      <c r="E95" s="7"/>
      <c r="F95" s="42"/>
      <c r="G95" s="7"/>
      <c r="H95" s="7"/>
      <c r="I95"/>
      <c r="J95"/>
      <c r="K95"/>
      <c r="L95"/>
      <c r="M95"/>
      <c r="N95"/>
      <c r="O95"/>
      <c r="P95"/>
      <c r="Q95"/>
    </row>
    <row r="96" spans="1:17" x14ac:dyDescent="0.25">
      <c r="A96" s="40"/>
      <c r="B96" s="41"/>
      <c r="C96" s="7"/>
      <c r="D96" s="7"/>
      <c r="E96" s="7"/>
      <c r="F96" s="42"/>
      <c r="G96" s="7"/>
      <c r="H96" s="7"/>
      <c r="I96"/>
      <c r="J96"/>
      <c r="K96"/>
      <c r="L96"/>
      <c r="M96"/>
      <c r="N96"/>
      <c r="O96"/>
      <c r="P96"/>
      <c r="Q96"/>
    </row>
    <row r="97" spans="1:17" x14ac:dyDescent="0.25">
      <c r="A97" s="40"/>
      <c r="B97" s="41"/>
      <c r="C97" s="7"/>
      <c r="D97" s="7"/>
      <c r="E97" s="7"/>
      <c r="F97" s="42"/>
      <c r="G97" s="7"/>
      <c r="H97" s="7"/>
      <c r="I97"/>
      <c r="J97"/>
      <c r="K97"/>
      <c r="L97"/>
      <c r="M97"/>
      <c r="N97"/>
      <c r="O97"/>
      <c r="P97"/>
      <c r="Q97"/>
    </row>
    <row r="98" spans="1:17" x14ac:dyDescent="0.25">
      <c r="A98" s="40"/>
      <c r="B98" s="41"/>
      <c r="C98" s="7"/>
      <c r="D98" s="7"/>
      <c r="E98" s="7"/>
      <c r="F98" s="42"/>
      <c r="G98" s="7"/>
      <c r="H98" s="7"/>
      <c r="I98"/>
      <c r="J98"/>
      <c r="K98"/>
      <c r="L98"/>
      <c r="M98"/>
      <c r="N98"/>
      <c r="O98"/>
      <c r="P98"/>
      <c r="Q98"/>
    </row>
    <row r="99" spans="1:17" x14ac:dyDescent="0.25">
      <c r="A99" s="40"/>
      <c r="B99" s="41"/>
      <c r="C99" s="7"/>
      <c r="D99" s="7"/>
      <c r="E99" s="7"/>
      <c r="F99" s="42"/>
      <c r="G99" s="7"/>
      <c r="H99" s="7"/>
      <c r="I99"/>
      <c r="J99"/>
      <c r="K99"/>
      <c r="L99"/>
      <c r="M99"/>
      <c r="N99"/>
      <c r="O99"/>
      <c r="P99"/>
      <c r="Q99"/>
    </row>
    <row r="100" spans="1:17" x14ac:dyDescent="0.25">
      <c r="A100" s="40"/>
      <c r="B100" s="41"/>
      <c r="C100" s="7"/>
      <c r="D100" s="7"/>
      <c r="E100" s="7"/>
      <c r="F100" s="42"/>
      <c r="G100" s="7"/>
      <c r="H100" s="7"/>
      <c r="I100"/>
      <c r="J100"/>
      <c r="K100"/>
      <c r="L100"/>
      <c r="M100"/>
      <c r="N100"/>
      <c r="O100"/>
      <c r="P100"/>
      <c r="Q100"/>
    </row>
    <row r="101" spans="1:17" x14ac:dyDescent="0.25">
      <c r="A101" s="40"/>
      <c r="B101" s="41"/>
      <c r="C101" s="7"/>
      <c r="D101" s="7"/>
      <c r="E101" s="7"/>
      <c r="F101" s="42"/>
      <c r="G101" s="7"/>
      <c r="H101" s="7"/>
      <c r="I101"/>
      <c r="J101"/>
      <c r="K101"/>
      <c r="L101"/>
      <c r="M101"/>
      <c r="N101"/>
      <c r="O101"/>
      <c r="P101"/>
      <c r="Q101"/>
    </row>
    <row r="102" spans="1:17" x14ac:dyDescent="0.25">
      <c r="A102" s="40"/>
      <c r="B102" s="41"/>
      <c r="C102" s="7"/>
      <c r="D102" s="7"/>
      <c r="E102" s="7"/>
      <c r="F102" s="42"/>
      <c r="G102" s="7"/>
      <c r="H102" s="7"/>
      <c r="I102"/>
      <c r="J102"/>
      <c r="K102"/>
      <c r="L102"/>
      <c r="M102"/>
      <c r="N102"/>
      <c r="O102"/>
      <c r="P102"/>
      <c r="Q102"/>
    </row>
    <row r="103" spans="1:17" x14ac:dyDescent="0.25">
      <c r="A103" s="40"/>
      <c r="B103" s="41"/>
      <c r="C103" s="7"/>
      <c r="D103" s="7"/>
      <c r="E103" s="7"/>
      <c r="F103" s="42"/>
      <c r="G103" s="7"/>
      <c r="H103" s="7"/>
      <c r="I103"/>
      <c r="J103"/>
      <c r="K103"/>
      <c r="L103"/>
      <c r="M103"/>
      <c r="N103"/>
      <c r="O103"/>
      <c r="P103"/>
      <c r="Q103"/>
    </row>
    <row r="104" spans="1:17" x14ac:dyDescent="0.25">
      <c r="A104" s="40"/>
      <c r="B104" s="41"/>
      <c r="C104" s="7"/>
      <c r="D104" s="7"/>
      <c r="E104" s="7"/>
      <c r="F104" s="42"/>
      <c r="G104" s="7"/>
      <c r="H104" s="7"/>
      <c r="I104"/>
      <c r="J104"/>
      <c r="K104"/>
      <c r="L104"/>
      <c r="M104"/>
      <c r="N104"/>
      <c r="O104"/>
      <c r="P104"/>
      <c r="Q104"/>
    </row>
    <row r="105" spans="1:17" x14ac:dyDescent="0.25">
      <c r="A105" s="40"/>
      <c r="B105" s="41"/>
      <c r="C105" s="7"/>
      <c r="D105" s="7"/>
      <c r="E105" s="7"/>
      <c r="F105" s="42"/>
      <c r="G105" s="7"/>
      <c r="H105" s="7"/>
      <c r="I105"/>
      <c r="J105"/>
      <c r="K105"/>
      <c r="L105"/>
      <c r="M105"/>
      <c r="N105"/>
      <c r="O105"/>
      <c r="P105"/>
      <c r="Q105"/>
    </row>
    <row r="106" spans="1:17" x14ac:dyDescent="0.25">
      <c r="A106" s="40"/>
      <c r="B106" s="41"/>
      <c r="C106" s="7"/>
      <c r="D106" s="7"/>
      <c r="E106" s="7"/>
      <c r="F106" s="42"/>
      <c r="G106" s="7"/>
      <c r="H106" s="7"/>
      <c r="I106"/>
      <c r="J106"/>
      <c r="K106"/>
      <c r="L106"/>
      <c r="M106"/>
      <c r="N106"/>
      <c r="O106"/>
      <c r="P106"/>
      <c r="Q106"/>
    </row>
    <row r="107" spans="1:17" x14ac:dyDescent="0.25">
      <c r="C107" t="s">
        <v>42</v>
      </c>
      <c r="E107" s="17" t="e">
        <f>SUM(#REF!)</f>
        <v>#REF!</v>
      </c>
      <c r="I107"/>
      <c r="J107"/>
      <c r="K107"/>
      <c r="L107"/>
      <c r="M107"/>
      <c r="N107"/>
      <c r="O107"/>
      <c r="P107"/>
      <c r="Q107"/>
    </row>
    <row r="108" spans="1:17" x14ac:dyDescent="0.25">
      <c r="I108"/>
      <c r="J108"/>
      <c r="K108"/>
      <c r="L108"/>
      <c r="M108"/>
      <c r="N108"/>
      <c r="O108"/>
      <c r="P108"/>
      <c r="Q108"/>
    </row>
    <row r="109" spans="1:17" x14ac:dyDescent="0.25">
      <c r="I109"/>
      <c r="J109"/>
      <c r="K109"/>
      <c r="L109"/>
      <c r="M109"/>
      <c r="N109"/>
      <c r="O109"/>
      <c r="P109"/>
      <c r="Q109"/>
    </row>
    <row r="110" spans="1:17" x14ac:dyDescent="0.25">
      <c r="C110" t="s">
        <v>36</v>
      </c>
      <c r="F110" s="9">
        <f>SUM(F3:F24)</f>
        <v>32150000</v>
      </c>
      <c r="I110"/>
      <c r="J110" s="16"/>
      <c r="K110" s="16"/>
      <c r="L110" s="16"/>
      <c r="M110" s="16"/>
      <c r="N110"/>
      <c r="O110"/>
      <c r="P110"/>
      <c r="Q110"/>
    </row>
    <row r="111" spans="1:17" x14ac:dyDescent="0.25">
      <c r="C111" t="s">
        <v>37</v>
      </c>
      <c r="F111" s="15">
        <f>[2]Phapros!H379</f>
        <v>299675900</v>
      </c>
      <c r="I111"/>
      <c r="J111"/>
      <c r="K111"/>
      <c r="L111"/>
      <c r="M111"/>
      <c r="N111"/>
      <c r="O111"/>
      <c r="P111"/>
      <c r="Q111"/>
    </row>
    <row r="112" spans="1:17" x14ac:dyDescent="0.25">
      <c r="D112" t="s">
        <v>43</v>
      </c>
      <c r="F112" s="14">
        <f>F110+F111</f>
        <v>331825900</v>
      </c>
      <c r="I112"/>
      <c r="J112"/>
      <c r="K112"/>
      <c r="L112"/>
      <c r="M112"/>
      <c r="N112"/>
      <c r="O112"/>
      <c r="P112"/>
      <c r="Q112"/>
    </row>
    <row r="113" spans="3:17" ht="11.25" customHeight="1" x14ac:dyDescent="0.25">
      <c r="F113" s="14"/>
      <c r="I113"/>
      <c r="J113"/>
      <c r="K113"/>
      <c r="L113"/>
      <c r="M113"/>
      <c r="N113"/>
      <c r="O113"/>
      <c r="P113"/>
      <c r="Q113"/>
    </row>
    <row r="114" spans="3:17" x14ac:dyDescent="0.25">
      <c r="C114" t="s">
        <v>38</v>
      </c>
      <c r="I114"/>
      <c r="J114"/>
      <c r="K114"/>
      <c r="L114"/>
      <c r="M114"/>
      <c r="N114"/>
      <c r="O114"/>
      <c r="P114"/>
      <c r="Q114"/>
    </row>
    <row r="115" spans="3:17" x14ac:dyDescent="0.25">
      <c r="C115" t="s">
        <v>44</v>
      </c>
      <c r="E115" s="9">
        <v>220186527</v>
      </c>
      <c r="I115"/>
      <c r="J115"/>
      <c r="K115"/>
      <c r="L115"/>
      <c r="M115"/>
      <c r="N115"/>
      <c r="O115"/>
      <c r="P115"/>
      <c r="Q115"/>
    </row>
    <row r="116" spans="3:17" x14ac:dyDescent="0.25">
      <c r="C116" t="s">
        <v>45</v>
      </c>
      <c r="E116" s="15">
        <v>452400140</v>
      </c>
      <c r="I116"/>
      <c r="J116"/>
      <c r="K116"/>
      <c r="L116"/>
      <c r="M116"/>
      <c r="N116"/>
      <c r="O116"/>
      <c r="P116"/>
      <c r="Q116"/>
    </row>
    <row r="117" spans="3:17" ht="15.75" x14ac:dyDescent="0.25">
      <c r="C117" t="s">
        <v>46</v>
      </c>
      <c r="F117" s="18">
        <f>E115+E116</f>
        <v>672586667</v>
      </c>
      <c r="I117"/>
      <c r="J117"/>
      <c r="K117"/>
      <c r="L117"/>
      <c r="M117"/>
      <c r="N117"/>
      <c r="O117"/>
      <c r="P117"/>
      <c r="Q117"/>
    </row>
    <row r="118" spans="3:17" ht="15.75" x14ac:dyDescent="0.25">
      <c r="D118" s="1" t="s">
        <v>39</v>
      </c>
      <c r="F118" s="9">
        <f>F112-F117</f>
        <v>-340760767</v>
      </c>
      <c r="I118"/>
      <c r="J118"/>
      <c r="K118"/>
      <c r="L118"/>
      <c r="M118"/>
      <c r="N118"/>
      <c r="O118"/>
      <c r="P118"/>
      <c r="Q118"/>
    </row>
    <row r="119" spans="3:17" x14ac:dyDescent="0.25">
      <c r="I119"/>
      <c r="J119"/>
      <c r="K119"/>
      <c r="L119"/>
      <c r="M119"/>
      <c r="N119"/>
      <c r="O119"/>
      <c r="P119"/>
      <c r="Q119"/>
    </row>
    <row r="120" spans="3:17" x14ac:dyDescent="0.25">
      <c r="I120"/>
      <c r="J120"/>
      <c r="K120"/>
      <c r="L120"/>
      <c r="M120"/>
      <c r="N120"/>
      <c r="O120"/>
      <c r="P120"/>
      <c r="Q120"/>
    </row>
    <row r="121" spans="3:17" x14ac:dyDescent="0.25">
      <c r="I121"/>
      <c r="J121"/>
      <c r="K121"/>
      <c r="L121"/>
      <c r="M121"/>
      <c r="N121"/>
      <c r="O121"/>
      <c r="P121"/>
      <c r="Q121"/>
    </row>
    <row r="122" spans="3:17" x14ac:dyDescent="0.25">
      <c r="I122"/>
      <c r="J122" s="19"/>
      <c r="K122" s="19"/>
      <c r="L122" s="19"/>
      <c r="M122" s="19"/>
      <c r="N122"/>
      <c r="O122"/>
      <c r="P122"/>
      <c r="Q122"/>
    </row>
    <row r="123" spans="3:17" x14ac:dyDescent="0.25">
      <c r="I123"/>
      <c r="J123" s="19"/>
      <c r="K123" s="19"/>
      <c r="L123" s="19"/>
      <c r="M123" s="19"/>
      <c r="N123"/>
      <c r="O123"/>
      <c r="P123"/>
      <c r="Q123"/>
    </row>
    <row r="124" spans="3:17" x14ac:dyDescent="0.25">
      <c r="I124"/>
      <c r="J124" s="7"/>
      <c r="K124" s="7"/>
      <c r="L124" s="7"/>
      <c r="M124" s="7"/>
      <c r="N124"/>
      <c r="O124"/>
      <c r="P124"/>
      <c r="Q124"/>
    </row>
    <row r="125" spans="3:17" x14ac:dyDescent="0.25">
      <c r="I125"/>
      <c r="J125" s="19"/>
      <c r="K125" s="19"/>
      <c r="L125" s="19"/>
      <c r="M125" s="19"/>
      <c r="N125"/>
      <c r="O125"/>
      <c r="P125"/>
      <c r="Q125"/>
    </row>
    <row r="126" spans="3:17" x14ac:dyDescent="0.25">
      <c r="I126"/>
      <c r="J126" s="19"/>
      <c r="K126" s="19"/>
      <c r="L126" s="19"/>
      <c r="M126" s="19"/>
      <c r="N126"/>
      <c r="O126"/>
      <c r="P126"/>
      <c r="Q126"/>
    </row>
    <row r="127" spans="3:17" x14ac:dyDescent="0.25">
      <c r="I127"/>
      <c r="J127" s="7"/>
      <c r="K127" s="7"/>
      <c r="L127" s="7"/>
      <c r="M127" s="7"/>
      <c r="N127"/>
      <c r="O127"/>
      <c r="P127"/>
      <c r="Q127"/>
    </row>
    <row r="128" spans="3:17" x14ac:dyDescent="0.25">
      <c r="I128"/>
      <c r="J128" s="19"/>
      <c r="K128" s="19"/>
      <c r="L128" s="19"/>
      <c r="M128" s="19"/>
      <c r="N128"/>
      <c r="O128"/>
      <c r="P128"/>
      <c r="Q128"/>
    </row>
    <row r="129" spans="9:17" x14ac:dyDescent="0.25">
      <c r="I129"/>
      <c r="J129" s="19"/>
      <c r="K129" s="19"/>
      <c r="L129" s="19"/>
      <c r="M129" s="19"/>
      <c r="N129"/>
      <c r="O129"/>
      <c r="P129"/>
      <c r="Q129"/>
    </row>
    <row r="130" spans="9:17" x14ac:dyDescent="0.25">
      <c r="I130"/>
      <c r="J130" s="7"/>
      <c r="K130" s="7"/>
      <c r="L130" s="7"/>
      <c r="M130" s="7"/>
      <c r="N130"/>
      <c r="O130"/>
      <c r="P130"/>
      <c r="Q130"/>
    </row>
    <row r="131" spans="9:17" x14ac:dyDescent="0.25">
      <c r="I131"/>
      <c r="J131"/>
      <c r="K131"/>
      <c r="L131"/>
      <c r="M131"/>
      <c r="N131"/>
      <c r="O131"/>
      <c r="P131"/>
      <c r="Q131"/>
    </row>
    <row r="132" spans="9:17" x14ac:dyDescent="0.25">
      <c r="I132"/>
      <c r="J132"/>
      <c r="K132"/>
      <c r="L132"/>
      <c r="M132"/>
      <c r="N132"/>
      <c r="O132"/>
      <c r="P132"/>
      <c r="Q132"/>
    </row>
    <row r="133" spans="9:17" x14ac:dyDescent="0.25">
      <c r="I133"/>
      <c r="J133"/>
      <c r="K133"/>
      <c r="L133"/>
      <c r="M133"/>
      <c r="N133"/>
      <c r="O133"/>
      <c r="P133"/>
      <c r="Q133"/>
    </row>
    <row r="134" spans="9:17" x14ac:dyDescent="0.25">
      <c r="I134"/>
      <c r="J134"/>
      <c r="K134"/>
      <c r="L134"/>
      <c r="M134"/>
      <c r="N134"/>
      <c r="O134"/>
      <c r="P134"/>
      <c r="Q134"/>
    </row>
    <row r="135" spans="9:17" x14ac:dyDescent="0.25">
      <c r="I135"/>
      <c r="J135"/>
      <c r="K135"/>
      <c r="L135"/>
      <c r="M135"/>
      <c r="N135"/>
      <c r="O135"/>
      <c r="P135"/>
      <c r="Q135"/>
    </row>
    <row r="136" spans="9:17" x14ac:dyDescent="0.25">
      <c r="I136"/>
      <c r="J136"/>
      <c r="K136"/>
      <c r="L136"/>
      <c r="M136"/>
      <c r="N136"/>
      <c r="O136"/>
      <c r="P136"/>
      <c r="Q136"/>
    </row>
    <row r="137" spans="9:17" x14ac:dyDescent="0.25">
      <c r="I137"/>
      <c r="J137"/>
      <c r="K137"/>
      <c r="L137"/>
      <c r="M137"/>
      <c r="N137"/>
      <c r="O137"/>
      <c r="P137"/>
      <c r="Q137"/>
    </row>
    <row r="138" spans="9:17" x14ac:dyDescent="0.25">
      <c r="I138"/>
      <c r="J138"/>
      <c r="K138"/>
      <c r="L138"/>
      <c r="M138"/>
      <c r="N138"/>
      <c r="O138"/>
      <c r="P138"/>
      <c r="Q138"/>
    </row>
    <row r="139" spans="9:17" x14ac:dyDescent="0.25">
      <c r="I139"/>
      <c r="J139"/>
      <c r="K139"/>
      <c r="L139"/>
      <c r="M139"/>
      <c r="N139"/>
      <c r="O139"/>
      <c r="P139"/>
      <c r="Q139"/>
    </row>
    <row r="140" spans="9:17" x14ac:dyDescent="0.25">
      <c r="I140"/>
      <c r="J140"/>
      <c r="K140"/>
      <c r="L140"/>
      <c r="M140"/>
      <c r="N140"/>
      <c r="O140"/>
      <c r="P140"/>
      <c r="Q140"/>
    </row>
    <row r="141" spans="9:17" x14ac:dyDescent="0.25">
      <c r="I141"/>
      <c r="J141"/>
      <c r="K141"/>
      <c r="L141"/>
      <c r="M141"/>
      <c r="N141"/>
      <c r="O141"/>
      <c r="P141"/>
      <c r="Q141"/>
    </row>
    <row r="142" spans="9:17" x14ac:dyDescent="0.25">
      <c r="I142"/>
      <c r="J142"/>
      <c r="K142"/>
      <c r="L142"/>
      <c r="M142"/>
      <c r="N142"/>
      <c r="O142"/>
      <c r="P142"/>
      <c r="Q142"/>
    </row>
    <row r="143" spans="9:17" x14ac:dyDescent="0.25">
      <c r="I143"/>
      <c r="J143"/>
      <c r="K143"/>
      <c r="L143"/>
      <c r="M143"/>
      <c r="N143"/>
      <c r="O143"/>
      <c r="P143"/>
      <c r="Q143"/>
    </row>
    <row r="144" spans="9:17" x14ac:dyDescent="0.25">
      <c r="I144"/>
      <c r="J144"/>
      <c r="K144"/>
      <c r="L144"/>
      <c r="M144"/>
      <c r="N144"/>
      <c r="O144"/>
      <c r="P144"/>
      <c r="Q144"/>
    </row>
    <row r="145" spans="9:17" x14ac:dyDescent="0.25">
      <c r="I145"/>
      <c r="J145"/>
      <c r="K145"/>
      <c r="L145"/>
      <c r="M145"/>
      <c r="N145"/>
      <c r="O145"/>
      <c r="P145"/>
      <c r="Q145"/>
    </row>
    <row r="146" spans="9:17" x14ac:dyDescent="0.25">
      <c r="I146"/>
      <c r="J146"/>
      <c r="K146"/>
      <c r="L146"/>
      <c r="M146"/>
      <c r="N146"/>
      <c r="O146"/>
      <c r="P146"/>
      <c r="Q146"/>
    </row>
    <row r="147" spans="9:17" x14ac:dyDescent="0.25">
      <c r="I147"/>
      <c r="J147"/>
      <c r="K147"/>
      <c r="L147"/>
      <c r="M147"/>
      <c r="N147"/>
      <c r="O147"/>
      <c r="P147"/>
      <c r="Q147"/>
    </row>
    <row r="148" spans="9:17" x14ac:dyDescent="0.25">
      <c r="I148"/>
      <c r="J148"/>
      <c r="K148"/>
      <c r="L148"/>
      <c r="M148"/>
      <c r="N148"/>
      <c r="O148"/>
      <c r="P148"/>
      <c r="Q148"/>
    </row>
    <row r="149" spans="9:17" x14ac:dyDescent="0.25">
      <c r="I149"/>
      <c r="J149"/>
      <c r="K149"/>
      <c r="L149"/>
      <c r="M149"/>
      <c r="N149"/>
      <c r="O149"/>
      <c r="P149"/>
      <c r="Q149"/>
    </row>
    <row r="150" spans="9:17" x14ac:dyDescent="0.25">
      <c r="I150"/>
      <c r="J150"/>
      <c r="K150"/>
      <c r="L150"/>
      <c r="M150"/>
      <c r="N150"/>
      <c r="O150"/>
      <c r="P150"/>
      <c r="Q150"/>
    </row>
    <row r="151" spans="9:17" x14ac:dyDescent="0.25">
      <c r="I151"/>
      <c r="J151"/>
      <c r="K151"/>
      <c r="L151"/>
      <c r="M151"/>
      <c r="N151"/>
      <c r="O151"/>
      <c r="P151"/>
      <c r="Q151"/>
    </row>
    <row r="152" spans="9:17" x14ac:dyDescent="0.25">
      <c r="I152"/>
      <c r="J152"/>
      <c r="K152"/>
      <c r="L152"/>
      <c r="M152"/>
      <c r="N152"/>
      <c r="O152"/>
      <c r="P152"/>
      <c r="Q152"/>
    </row>
    <row r="153" spans="9:17" x14ac:dyDescent="0.25">
      <c r="I153"/>
      <c r="J153"/>
      <c r="K153"/>
      <c r="L153"/>
      <c r="M153"/>
      <c r="N153"/>
      <c r="O153"/>
      <c r="P153"/>
      <c r="Q153"/>
    </row>
    <row r="154" spans="9:17" x14ac:dyDescent="0.25">
      <c r="I154"/>
      <c r="J154"/>
      <c r="K154"/>
      <c r="L154"/>
      <c r="M154"/>
      <c r="N154"/>
      <c r="O154"/>
      <c r="P154"/>
      <c r="Q154"/>
    </row>
    <row r="155" spans="9:17" x14ac:dyDescent="0.25">
      <c r="I155"/>
      <c r="J155"/>
      <c r="K155"/>
      <c r="L155"/>
      <c r="M155"/>
      <c r="N155"/>
      <c r="O155"/>
      <c r="P155"/>
      <c r="Q155"/>
    </row>
    <row r="156" spans="9:17" x14ac:dyDescent="0.25">
      <c r="I156"/>
      <c r="J156"/>
      <c r="K156"/>
      <c r="L156"/>
      <c r="M156"/>
      <c r="N156"/>
      <c r="O156"/>
      <c r="P156"/>
      <c r="Q156"/>
    </row>
    <row r="157" spans="9:17" x14ac:dyDescent="0.25">
      <c r="I157"/>
      <c r="J157"/>
      <c r="K157"/>
      <c r="L157"/>
      <c r="M157"/>
      <c r="N157"/>
      <c r="O157"/>
      <c r="P157"/>
      <c r="Q157"/>
    </row>
    <row r="158" spans="9:17" x14ac:dyDescent="0.25">
      <c r="I158"/>
      <c r="J158"/>
      <c r="K158"/>
      <c r="L158"/>
      <c r="M158"/>
      <c r="N158"/>
      <c r="O158"/>
      <c r="P158"/>
      <c r="Q158"/>
    </row>
    <row r="159" spans="9:17" x14ac:dyDescent="0.25">
      <c r="I159"/>
      <c r="J159"/>
      <c r="K159"/>
      <c r="L159"/>
      <c r="M159"/>
      <c r="N159"/>
      <c r="O159"/>
      <c r="P159"/>
      <c r="Q159"/>
    </row>
    <row r="160" spans="9:17" x14ac:dyDescent="0.25">
      <c r="I160"/>
      <c r="J160"/>
      <c r="K160"/>
      <c r="L160"/>
      <c r="M160"/>
      <c r="N160"/>
      <c r="O160"/>
      <c r="P160"/>
      <c r="Q160"/>
    </row>
    <row r="161" spans="9:17" x14ac:dyDescent="0.25">
      <c r="I161"/>
      <c r="J161"/>
      <c r="K161"/>
      <c r="L161"/>
      <c r="M161"/>
      <c r="N161"/>
      <c r="O161"/>
      <c r="P161"/>
      <c r="Q161"/>
    </row>
    <row r="162" spans="9:17" x14ac:dyDescent="0.25">
      <c r="I162"/>
      <c r="J162"/>
      <c r="K162"/>
      <c r="L162"/>
      <c r="M162"/>
      <c r="N162"/>
      <c r="O162"/>
      <c r="P162"/>
      <c r="Q162"/>
    </row>
    <row r="163" spans="9:17" x14ac:dyDescent="0.25">
      <c r="I163"/>
      <c r="J163"/>
      <c r="K163"/>
      <c r="L163"/>
      <c r="M163"/>
      <c r="N163"/>
      <c r="O163"/>
      <c r="P163"/>
      <c r="Q163"/>
    </row>
    <row r="164" spans="9:17" x14ac:dyDescent="0.25">
      <c r="I164"/>
      <c r="J164"/>
      <c r="K164"/>
      <c r="L164"/>
      <c r="M164"/>
      <c r="N164"/>
      <c r="O164"/>
      <c r="P164"/>
      <c r="Q164"/>
    </row>
    <row r="165" spans="9:17" x14ac:dyDescent="0.25">
      <c r="I165"/>
      <c r="J165"/>
      <c r="K165"/>
      <c r="L165"/>
      <c r="M165"/>
      <c r="N165"/>
      <c r="O165"/>
      <c r="P165"/>
      <c r="Q165"/>
    </row>
    <row r="166" spans="9:17" x14ac:dyDescent="0.25">
      <c r="I166"/>
      <c r="J166"/>
      <c r="K166"/>
      <c r="L166"/>
      <c r="M166"/>
      <c r="N166"/>
      <c r="O166"/>
      <c r="P166"/>
      <c r="Q166"/>
    </row>
    <row r="167" spans="9:17" x14ac:dyDescent="0.25">
      <c r="I167"/>
      <c r="J167"/>
      <c r="K167"/>
      <c r="L167"/>
      <c r="M167"/>
      <c r="N167"/>
      <c r="O167"/>
      <c r="P167"/>
      <c r="Q167"/>
    </row>
    <row r="168" spans="9:17" x14ac:dyDescent="0.25">
      <c r="I168"/>
      <c r="J168"/>
      <c r="K168"/>
      <c r="L168"/>
      <c r="M168"/>
      <c r="N168"/>
      <c r="O168"/>
      <c r="P168"/>
      <c r="Q168"/>
    </row>
    <row r="169" spans="9:17" x14ac:dyDescent="0.25">
      <c r="I169"/>
      <c r="J169"/>
      <c r="K169"/>
      <c r="L169"/>
      <c r="M169"/>
      <c r="N169"/>
      <c r="O169"/>
      <c r="P169"/>
      <c r="Q169"/>
    </row>
    <row r="170" spans="9:17" x14ac:dyDescent="0.25">
      <c r="I170"/>
      <c r="J170"/>
      <c r="K170"/>
      <c r="L170"/>
      <c r="M170"/>
      <c r="N170"/>
      <c r="O170"/>
      <c r="P170"/>
      <c r="Q170"/>
    </row>
    <row r="171" spans="9:17" x14ac:dyDescent="0.25">
      <c r="I171"/>
      <c r="J171"/>
      <c r="K171"/>
      <c r="L171"/>
      <c r="M171"/>
      <c r="N171"/>
      <c r="O171"/>
      <c r="P171"/>
      <c r="Q171"/>
    </row>
    <row r="172" spans="9:17" x14ac:dyDescent="0.25">
      <c r="I172"/>
      <c r="J172"/>
      <c r="K172"/>
      <c r="L172"/>
      <c r="M172"/>
      <c r="N172"/>
      <c r="O172"/>
      <c r="P172"/>
      <c r="Q172"/>
    </row>
    <row r="173" spans="9:17" x14ac:dyDescent="0.25">
      <c r="I173"/>
      <c r="J173"/>
      <c r="K173"/>
      <c r="L173"/>
      <c r="M173"/>
      <c r="N173"/>
      <c r="O173"/>
      <c r="P173"/>
      <c r="Q173"/>
    </row>
    <row r="174" spans="9:17" x14ac:dyDescent="0.25">
      <c r="I174"/>
      <c r="J174"/>
      <c r="K174"/>
      <c r="L174"/>
      <c r="M174"/>
      <c r="N174"/>
      <c r="O174"/>
      <c r="P174"/>
      <c r="Q174"/>
    </row>
    <row r="175" spans="9:17" x14ac:dyDescent="0.25">
      <c r="I175"/>
      <c r="J175"/>
      <c r="K175"/>
      <c r="L175"/>
      <c r="M175"/>
      <c r="N175"/>
      <c r="O175"/>
      <c r="P175"/>
      <c r="Q175"/>
    </row>
    <row r="176" spans="9:17" x14ac:dyDescent="0.25">
      <c r="I176"/>
      <c r="J176"/>
      <c r="K176"/>
      <c r="L176"/>
      <c r="M176"/>
      <c r="N176"/>
      <c r="O176"/>
      <c r="P176"/>
      <c r="Q176"/>
    </row>
    <row r="177" spans="9:17" x14ac:dyDescent="0.25">
      <c r="I177"/>
      <c r="J177"/>
      <c r="K177"/>
      <c r="L177"/>
      <c r="M177"/>
      <c r="N177"/>
      <c r="O177"/>
      <c r="P177"/>
      <c r="Q177"/>
    </row>
    <row r="178" spans="9:17" x14ac:dyDescent="0.25">
      <c r="I178"/>
      <c r="J178"/>
      <c r="K178"/>
      <c r="L178"/>
      <c r="M178"/>
      <c r="N178"/>
      <c r="O178"/>
      <c r="P178"/>
      <c r="Q178"/>
    </row>
    <row r="179" spans="9:17" x14ac:dyDescent="0.25">
      <c r="I179"/>
      <c r="J179"/>
      <c r="K179"/>
      <c r="L179"/>
      <c r="M179"/>
      <c r="N179"/>
      <c r="O179"/>
      <c r="P179"/>
      <c r="Q179"/>
    </row>
    <row r="180" spans="9:17" x14ac:dyDescent="0.25">
      <c r="I180"/>
      <c r="J180"/>
      <c r="K180"/>
      <c r="L180"/>
      <c r="M180"/>
      <c r="N180"/>
      <c r="O180"/>
      <c r="P180"/>
      <c r="Q180"/>
    </row>
    <row r="181" spans="9:17" x14ac:dyDescent="0.25">
      <c r="I181"/>
      <c r="J181"/>
      <c r="K181"/>
      <c r="L181"/>
      <c r="M181"/>
      <c r="N181"/>
      <c r="O181"/>
      <c r="P181"/>
      <c r="Q181"/>
    </row>
    <row r="182" spans="9:17" x14ac:dyDescent="0.25">
      <c r="I182"/>
      <c r="J182"/>
      <c r="K182"/>
      <c r="L182"/>
      <c r="M182"/>
      <c r="N182"/>
      <c r="O182"/>
      <c r="P182"/>
      <c r="Q182"/>
    </row>
    <row r="183" spans="9:17" x14ac:dyDescent="0.25">
      <c r="I183"/>
      <c r="J183"/>
      <c r="K183"/>
      <c r="L183"/>
      <c r="M183"/>
      <c r="N183"/>
      <c r="O183"/>
      <c r="P183"/>
      <c r="Q183"/>
    </row>
    <row r="184" spans="9:17" x14ac:dyDescent="0.25">
      <c r="I184"/>
      <c r="J184"/>
      <c r="K184"/>
      <c r="L184"/>
      <c r="M184"/>
      <c r="N184"/>
      <c r="O184"/>
      <c r="P184"/>
      <c r="Q184"/>
    </row>
    <row r="185" spans="9:17" x14ac:dyDescent="0.25">
      <c r="I185"/>
      <c r="J185"/>
      <c r="K185"/>
      <c r="L185"/>
      <c r="M185"/>
      <c r="N185"/>
      <c r="O185"/>
      <c r="P185"/>
      <c r="Q185"/>
    </row>
    <row r="186" spans="9:17" x14ac:dyDescent="0.25">
      <c r="I186"/>
      <c r="J186"/>
      <c r="K186"/>
      <c r="L186"/>
      <c r="M186"/>
      <c r="N186"/>
      <c r="O186"/>
      <c r="P186"/>
      <c r="Q186"/>
    </row>
    <row r="187" spans="9:17" x14ac:dyDescent="0.25">
      <c r="I187"/>
      <c r="J187"/>
      <c r="K187"/>
      <c r="L187"/>
      <c r="M187"/>
      <c r="N187"/>
      <c r="O187"/>
      <c r="P187"/>
      <c r="Q187"/>
    </row>
    <row r="188" spans="9:17" x14ac:dyDescent="0.25">
      <c r="I188"/>
      <c r="J188"/>
      <c r="K188"/>
      <c r="L188"/>
      <c r="M188"/>
      <c r="N188"/>
      <c r="O188"/>
      <c r="P188"/>
      <c r="Q188"/>
    </row>
    <row r="189" spans="9:17" x14ac:dyDescent="0.25">
      <c r="I189"/>
      <c r="J189"/>
      <c r="K189"/>
      <c r="L189"/>
      <c r="M189"/>
      <c r="N189"/>
      <c r="O189"/>
      <c r="P189"/>
      <c r="Q189"/>
    </row>
    <row r="190" spans="9:17" x14ac:dyDescent="0.25">
      <c r="I190"/>
      <c r="J190"/>
      <c r="K190"/>
      <c r="L190"/>
      <c r="M190"/>
      <c r="N190"/>
      <c r="O190"/>
      <c r="P190"/>
      <c r="Q190"/>
    </row>
    <row r="191" spans="9:17" x14ac:dyDescent="0.25">
      <c r="I191"/>
      <c r="J191"/>
      <c r="K191"/>
      <c r="L191"/>
      <c r="M191"/>
      <c r="N191"/>
      <c r="O191"/>
      <c r="P191"/>
      <c r="Q191"/>
    </row>
    <row r="192" spans="9:17" x14ac:dyDescent="0.25">
      <c r="I192"/>
      <c r="J192"/>
      <c r="K192"/>
      <c r="L192"/>
      <c r="M192"/>
      <c r="N192"/>
      <c r="O192"/>
      <c r="P192"/>
      <c r="Q192"/>
    </row>
    <row r="193" spans="9:17" x14ac:dyDescent="0.25">
      <c r="I193"/>
      <c r="J193"/>
      <c r="K193"/>
      <c r="L193"/>
      <c r="M193"/>
      <c r="N193"/>
      <c r="O193"/>
      <c r="P193"/>
      <c r="Q193"/>
    </row>
    <row r="194" spans="9:17" x14ac:dyDescent="0.25">
      <c r="I194"/>
      <c r="J194"/>
      <c r="K194"/>
      <c r="L194"/>
      <c r="M194"/>
      <c r="N194"/>
      <c r="O194"/>
      <c r="P194"/>
      <c r="Q194"/>
    </row>
    <row r="195" spans="9:17" x14ac:dyDescent="0.25">
      <c r="I195"/>
      <c r="J195"/>
      <c r="K195"/>
      <c r="L195"/>
      <c r="M195"/>
      <c r="N195"/>
      <c r="O195"/>
      <c r="P195"/>
      <c r="Q195"/>
    </row>
    <row r="196" spans="9:17" x14ac:dyDescent="0.25">
      <c r="I196"/>
      <c r="J196"/>
      <c r="K196"/>
      <c r="L196"/>
      <c r="M196"/>
      <c r="N196"/>
      <c r="O196"/>
      <c r="P196"/>
      <c r="Q196"/>
    </row>
    <row r="197" spans="9:17" x14ac:dyDescent="0.25">
      <c r="I197"/>
      <c r="J197"/>
      <c r="K197"/>
      <c r="L197"/>
      <c r="M197"/>
      <c r="N197"/>
      <c r="O197"/>
      <c r="P197"/>
      <c r="Q197"/>
    </row>
    <row r="198" spans="9:17" x14ac:dyDescent="0.25">
      <c r="I198"/>
      <c r="J198"/>
      <c r="K198"/>
      <c r="L198"/>
      <c r="M198"/>
      <c r="N198"/>
      <c r="O198"/>
      <c r="P198"/>
      <c r="Q198"/>
    </row>
    <row r="199" spans="9:17" x14ac:dyDescent="0.25">
      <c r="I199"/>
      <c r="J199"/>
      <c r="K199"/>
      <c r="L199"/>
      <c r="M199"/>
      <c r="N199"/>
      <c r="O199"/>
      <c r="P199"/>
      <c r="Q199"/>
    </row>
    <row r="200" spans="9:17" x14ac:dyDescent="0.25">
      <c r="I200"/>
      <c r="J200"/>
      <c r="K200"/>
      <c r="L200"/>
      <c r="M200"/>
      <c r="N200"/>
      <c r="O200"/>
      <c r="P200"/>
      <c r="Q200"/>
    </row>
    <row r="201" spans="9:17" x14ac:dyDescent="0.25">
      <c r="I201"/>
      <c r="J201"/>
      <c r="K201"/>
      <c r="L201"/>
      <c r="M201"/>
      <c r="N201"/>
      <c r="O201"/>
      <c r="P201"/>
      <c r="Q201"/>
    </row>
    <row r="202" spans="9:17" x14ac:dyDescent="0.25">
      <c r="I202"/>
      <c r="J202"/>
      <c r="K202"/>
      <c r="L202"/>
      <c r="M202"/>
      <c r="N202"/>
      <c r="O202"/>
      <c r="P202"/>
      <c r="Q202"/>
    </row>
    <row r="203" spans="9:17" x14ac:dyDescent="0.25">
      <c r="I203"/>
      <c r="J203"/>
      <c r="K203"/>
      <c r="L203"/>
      <c r="M203"/>
      <c r="N203"/>
      <c r="O203"/>
      <c r="P203"/>
      <c r="Q203"/>
    </row>
    <row r="204" spans="9:17" x14ac:dyDescent="0.25">
      <c r="I204"/>
      <c r="J204"/>
      <c r="K204"/>
      <c r="L204"/>
      <c r="M204"/>
      <c r="N204"/>
      <c r="O204"/>
      <c r="P204"/>
      <c r="Q204"/>
    </row>
    <row r="205" spans="9:17" x14ac:dyDescent="0.25">
      <c r="I205"/>
      <c r="J205"/>
      <c r="K205"/>
      <c r="L205"/>
      <c r="M205"/>
      <c r="N205"/>
      <c r="O205"/>
      <c r="P205"/>
      <c r="Q205"/>
    </row>
    <row r="206" spans="9:17" x14ac:dyDescent="0.25">
      <c r="I206"/>
      <c r="J206"/>
      <c r="K206"/>
      <c r="L206"/>
      <c r="M206"/>
      <c r="N206"/>
      <c r="O206"/>
      <c r="P206"/>
      <c r="Q206"/>
    </row>
    <row r="207" spans="9:17" x14ac:dyDescent="0.25">
      <c r="I207"/>
      <c r="J207"/>
      <c r="K207"/>
      <c r="L207"/>
      <c r="M207"/>
      <c r="N207"/>
      <c r="O207"/>
      <c r="P207"/>
      <c r="Q207"/>
    </row>
    <row r="208" spans="9:17" x14ac:dyDescent="0.25">
      <c r="I208"/>
      <c r="J208"/>
      <c r="K208"/>
      <c r="L208"/>
      <c r="M208"/>
      <c r="N208"/>
      <c r="O208"/>
      <c r="P208"/>
      <c r="Q208"/>
    </row>
    <row r="209" spans="9:17" x14ac:dyDescent="0.25">
      <c r="I209"/>
      <c r="J209"/>
      <c r="K209"/>
      <c r="L209"/>
      <c r="M209"/>
      <c r="N209"/>
      <c r="O209"/>
      <c r="P209"/>
      <c r="Q209"/>
    </row>
    <row r="210" spans="9:17" x14ac:dyDescent="0.25">
      <c r="I210"/>
      <c r="J210"/>
      <c r="K210"/>
      <c r="L210"/>
      <c r="M210"/>
      <c r="N210"/>
      <c r="O210"/>
      <c r="P210"/>
      <c r="Q210"/>
    </row>
    <row r="211" spans="9:17" x14ac:dyDescent="0.25">
      <c r="I211"/>
      <c r="J211"/>
      <c r="K211"/>
      <c r="L211"/>
      <c r="M211"/>
      <c r="N211"/>
      <c r="O211"/>
      <c r="P211"/>
      <c r="Q211"/>
    </row>
    <row r="212" spans="9:17" x14ac:dyDescent="0.25">
      <c r="I212"/>
      <c r="J212"/>
      <c r="K212"/>
      <c r="L212"/>
      <c r="M212"/>
      <c r="N212"/>
      <c r="O212"/>
      <c r="P212"/>
      <c r="Q212"/>
    </row>
    <row r="213" spans="9:17" x14ac:dyDescent="0.25">
      <c r="I213"/>
      <c r="J213"/>
      <c r="K213"/>
      <c r="L213"/>
      <c r="M213"/>
      <c r="N213"/>
      <c r="O213"/>
      <c r="P213"/>
      <c r="Q213"/>
    </row>
    <row r="214" spans="9:17" x14ac:dyDescent="0.25">
      <c r="I214"/>
      <c r="J214"/>
      <c r="K214"/>
      <c r="L214"/>
      <c r="M214"/>
      <c r="N214"/>
      <c r="O214"/>
      <c r="P214"/>
      <c r="Q214"/>
    </row>
    <row r="215" spans="9:17" x14ac:dyDescent="0.25">
      <c r="I215"/>
      <c r="J215"/>
      <c r="K215"/>
      <c r="L215"/>
      <c r="M215"/>
      <c r="N215"/>
      <c r="O215"/>
      <c r="P215"/>
      <c r="Q215"/>
    </row>
    <row r="216" spans="9:17" x14ac:dyDescent="0.25">
      <c r="I216"/>
      <c r="J216"/>
      <c r="K216"/>
      <c r="L216"/>
      <c r="M216"/>
      <c r="N216"/>
      <c r="O216"/>
      <c r="P216"/>
      <c r="Q216"/>
    </row>
    <row r="217" spans="9:17" x14ac:dyDescent="0.25">
      <c r="I217"/>
      <c r="J217"/>
      <c r="K217"/>
      <c r="L217"/>
      <c r="M217"/>
      <c r="N217"/>
      <c r="O217"/>
      <c r="P217"/>
      <c r="Q217"/>
    </row>
    <row r="218" spans="9:17" x14ac:dyDescent="0.25">
      <c r="I218"/>
      <c r="J218"/>
      <c r="K218"/>
      <c r="L218"/>
      <c r="M218"/>
      <c r="N218"/>
      <c r="O218"/>
      <c r="P218"/>
      <c r="Q218"/>
    </row>
    <row r="219" spans="9:17" x14ac:dyDescent="0.25">
      <c r="I219"/>
      <c r="J219"/>
      <c r="K219"/>
      <c r="L219"/>
      <c r="M219"/>
      <c r="N219"/>
      <c r="O219"/>
      <c r="P219"/>
      <c r="Q219"/>
    </row>
    <row r="220" spans="9:17" x14ac:dyDescent="0.25">
      <c r="I220"/>
      <c r="J220"/>
      <c r="K220"/>
      <c r="L220"/>
      <c r="M220"/>
      <c r="N220"/>
      <c r="O220"/>
      <c r="P220"/>
      <c r="Q220"/>
    </row>
    <row r="221" spans="9:17" x14ac:dyDescent="0.25">
      <c r="I221"/>
      <c r="J221"/>
      <c r="K221"/>
      <c r="L221"/>
      <c r="M221"/>
      <c r="N221"/>
      <c r="O221"/>
      <c r="P221"/>
      <c r="Q221"/>
    </row>
    <row r="222" spans="9:17" x14ac:dyDescent="0.25">
      <c r="I222"/>
      <c r="J222"/>
      <c r="K222"/>
      <c r="L222"/>
      <c r="M222"/>
      <c r="N222"/>
      <c r="O222"/>
      <c r="P222"/>
      <c r="Q222"/>
    </row>
    <row r="223" spans="9:17" x14ac:dyDescent="0.25">
      <c r="I223"/>
      <c r="J223"/>
      <c r="K223"/>
      <c r="L223"/>
      <c r="M223"/>
      <c r="N223"/>
      <c r="O223"/>
      <c r="P223"/>
      <c r="Q223"/>
    </row>
    <row r="224" spans="9:17" x14ac:dyDescent="0.25">
      <c r="I224"/>
      <c r="J224"/>
      <c r="K224"/>
      <c r="L224"/>
      <c r="M224"/>
      <c r="N224"/>
      <c r="O224"/>
      <c r="P224"/>
      <c r="Q224"/>
    </row>
    <row r="225" spans="9:17" x14ac:dyDescent="0.25">
      <c r="I225"/>
      <c r="J225"/>
      <c r="K225"/>
      <c r="L225"/>
      <c r="M225"/>
      <c r="N225"/>
      <c r="O225"/>
      <c r="P225"/>
      <c r="Q225"/>
    </row>
    <row r="226" spans="9:17" x14ac:dyDescent="0.25">
      <c r="I226"/>
      <c r="J226"/>
      <c r="K226"/>
      <c r="L226"/>
      <c r="M226"/>
      <c r="N226"/>
      <c r="O226"/>
      <c r="P226"/>
      <c r="Q226"/>
    </row>
    <row r="227" spans="9:17" x14ac:dyDescent="0.25">
      <c r="I227"/>
      <c r="J227"/>
      <c r="K227"/>
      <c r="L227"/>
      <c r="M227"/>
      <c r="N227"/>
      <c r="O227"/>
      <c r="P227"/>
      <c r="Q227"/>
    </row>
    <row r="228" spans="9:17" x14ac:dyDescent="0.25">
      <c r="I228"/>
      <c r="J228"/>
      <c r="K228"/>
      <c r="L228"/>
      <c r="M228"/>
      <c r="N228"/>
      <c r="O228"/>
      <c r="P228"/>
      <c r="Q228"/>
    </row>
    <row r="229" spans="9:17" x14ac:dyDescent="0.25">
      <c r="I229"/>
      <c r="J229"/>
      <c r="K229"/>
      <c r="L229"/>
      <c r="M229"/>
      <c r="N229"/>
      <c r="O229"/>
      <c r="P229"/>
      <c r="Q229"/>
    </row>
    <row r="230" spans="9:17" x14ac:dyDescent="0.25">
      <c r="I230"/>
      <c r="J230"/>
      <c r="K230"/>
      <c r="L230"/>
      <c r="M230"/>
      <c r="N230"/>
      <c r="O230"/>
      <c r="P230"/>
      <c r="Q230"/>
    </row>
    <row r="231" spans="9:17" x14ac:dyDescent="0.25">
      <c r="I231"/>
      <c r="J231"/>
      <c r="K231"/>
      <c r="L231"/>
      <c r="M231"/>
      <c r="N231"/>
      <c r="O231"/>
      <c r="P231"/>
      <c r="Q231"/>
    </row>
    <row r="232" spans="9:17" x14ac:dyDescent="0.25">
      <c r="I232"/>
      <c r="J232"/>
      <c r="K232"/>
      <c r="L232"/>
      <c r="M232"/>
      <c r="N232"/>
      <c r="O232"/>
      <c r="P232"/>
      <c r="Q232"/>
    </row>
    <row r="233" spans="9:17" x14ac:dyDescent="0.25">
      <c r="I233"/>
      <c r="J233"/>
      <c r="K233"/>
      <c r="L233"/>
      <c r="M233"/>
      <c r="N233"/>
      <c r="O233"/>
      <c r="P233"/>
      <c r="Q233"/>
    </row>
    <row r="234" spans="9:17" x14ac:dyDescent="0.25">
      <c r="I234"/>
      <c r="J234"/>
      <c r="K234"/>
      <c r="L234"/>
      <c r="M234"/>
      <c r="N234"/>
      <c r="O234"/>
      <c r="P234"/>
      <c r="Q234"/>
    </row>
    <row r="235" spans="9:17" x14ac:dyDescent="0.25">
      <c r="I235"/>
      <c r="J235"/>
      <c r="K235"/>
      <c r="L235"/>
      <c r="M235"/>
      <c r="N235"/>
      <c r="O235"/>
      <c r="P235"/>
      <c r="Q235"/>
    </row>
    <row r="236" spans="9:17" x14ac:dyDescent="0.25">
      <c r="I236"/>
      <c r="J236"/>
      <c r="K236"/>
      <c r="L236"/>
      <c r="M236"/>
      <c r="N236"/>
      <c r="O236"/>
      <c r="P236"/>
      <c r="Q236"/>
    </row>
    <row r="237" spans="9:17" x14ac:dyDescent="0.25">
      <c r="I237"/>
      <c r="J237"/>
      <c r="K237"/>
      <c r="L237"/>
      <c r="M237"/>
      <c r="N237"/>
      <c r="O237"/>
      <c r="P237"/>
      <c r="Q237"/>
    </row>
    <row r="238" spans="9:17" x14ac:dyDescent="0.25">
      <c r="I238"/>
      <c r="J238"/>
      <c r="K238"/>
      <c r="L238"/>
      <c r="M238"/>
      <c r="N238"/>
      <c r="O238"/>
      <c r="P238"/>
      <c r="Q238"/>
    </row>
    <row r="239" spans="9:17" x14ac:dyDescent="0.25">
      <c r="I239"/>
      <c r="J239"/>
      <c r="K239"/>
      <c r="L239"/>
      <c r="M239"/>
      <c r="N239"/>
      <c r="O239"/>
      <c r="P239"/>
      <c r="Q239"/>
    </row>
    <row r="240" spans="9:17" x14ac:dyDescent="0.25">
      <c r="I240"/>
      <c r="J240"/>
      <c r="K240"/>
      <c r="L240"/>
      <c r="M240"/>
      <c r="N240"/>
      <c r="O240"/>
      <c r="P240"/>
      <c r="Q240"/>
    </row>
    <row r="241" spans="9:17" x14ac:dyDescent="0.25">
      <c r="I241"/>
      <c r="J241"/>
      <c r="K241"/>
      <c r="L241"/>
      <c r="M241"/>
      <c r="N241"/>
      <c r="O241"/>
      <c r="P241"/>
      <c r="Q241"/>
    </row>
    <row r="242" spans="9:17" x14ac:dyDescent="0.25">
      <c r="I242"/>
      <c r="J242"/>
      <c r="K242"/>
      <c r="L242"/>
      <c r="M242"/>
      <c r="N242"/>
      <c r="O242"/>
      <c r="P242"/>
      <c r="Q242"/>
    </row>
    <row r="243" spans="9:17" x14ac:dyDescent="0.25">
      <c r="I243"/>
      <c r="J243"/>
      <c r="K243"/>
      <c r="L243"/>
      <c r="M243"/>
      <c r="N243"/>
      <c r="O243"/>
      <c r="P243"/>
      <c r="Q243"/>
    </row>
    <row r="244" spans="9:17" x14ac:dyDescent="0.25">
      <c r="I244"/>
      <c r="J244"/>
      <c r="K244"/>
      <c r="L244"/>
      <c r="M244"/>
      <c r="N244"/>
      <c r="O244"/>
      <c r="P244"/>
      <c r="Q244"/>
    </row>
    <row r="245" spans="9:17" x14ac:dyDescent="0.25">
      <c r="I245"/>
      <c r="J245"/>
      <c r="K245"/>
      <c r="L245"/>
      <c r="M245"/>
      <c r="N245"/>
      <c r="O245"/>
      <c r="P245"/>
      <c r="Q245"/>
    </row>
    <row r="246" spans="9:17" x14ac:dyDescent="0.25">
      <c r="I246"/>
      <c r="J246"/>
      <c r="K246"/>
      <c r="L246"/>
      <c r="M246"/>
      <c r="N246"/>
      <c r="O246"/>
      <c r="P246"/>
      <c r="Q246"/>
    </row>
    <row r="247" spans="9:17" x14ac:dyDescent="0.25">
      <c r="I247"/>
      <c r="J247"/>
      <c r="K247"/>
      <c r="L247"/>
      <c r="M247"/>
      <c r="N247"/>
      <c r="O247"/>
      <c r="P247"/>
      <c r="Q247"/>
    </row>
    <row r="248" spans="9:17" x14ac:dyDescent="0.25">
      <c r="I248"/>
      <c r="J248"/>
      <c r="K248"/>
      <c r="L248"/>
      <c r="M248"/>
      <c r="N248"/>
      <c r="O248"/>
      <c r="P248"/>
      <c r="Q248"/>
    </row>
    <row r="249" spans="9:17" x14ac:dyDescent="0.25">
      <c r="I249"/>
      <c r="J249"/>
      <c r="K249"/>
      <c r="L249"/>
      <c r="M249"/>
      <c r="N249"/>
      <c r="O249"/>
      <c r="P249"/>
      <c r="Q249"/>
    </row>
    <row r="250" spans="9:17" x14ac:dyDescent="0.25">
      <c r="I250"/>
      <c r="J250"/>
      <c r="K250"/>
      <c r="L250"/>
      <c r="M250"/>
      <c r="N250"/>
      <c r="O250"/>
      <c r="P250"/>
      <c r="Q250"/>
    </row>
    <row r="251" spans="9:17" x14ac:dyDescent="0.25">
      <c r="I251"/>
      <c r="J251"/>
      <c r="K251"/>
      <c r="L251"/>
      <c r="M251"/>
      <c r="N251"/>
      <c r="O251"/>
      <c r="P251"/>
      <c r="Q251"/>
    </row>
    <row r="252" spans="9:17" x14ac:dyDescent="0.25">
      <c r="I252"/>
      <c r="J252"/>
      <c r="K252"/>
      <c r="L252"/>
      <c r="M252"/>
      <c r="N252"/>
      <c r="O252"/>
      <c r="P252"/>
      <c r="Q252"/>
    </row>
    <row r="253" spans="9:17" x14ac:dyDescent="0.25">
      <c r="I253"/>
      <c r="J253"/>
      <c r="K253"/>
      <c r="L253"/>
      <c r="M253"/>
      <c r="N253"/>
      <c r="O253"/>
      <c r="P253"/>
      <c r="Q253"/>
    </row>
    <row r="254" spans="9:17" x14ac:dyDescent="0.25">
      <c r="I254"/>
      <c r="J254"/>
      <c r="K254"/>
      <c r="L254"/>
      <c r="M254"/>
      <c r="N254"/>
      <c r="O254"/>
      <c r="P254"/>
      <c r="Q254"/>
    </row>
    <row r="255" spans="9:17" x14ac:dyDescent="0.25">
      <c r="I255"/>
      <c r="J255"/>
      <c r="K255"/>
      <c r="L255"/>
      <c r="M255"/>
      <c r="N255"/>
      <c r="O255"/>
      <c r="P255"/>
      <c r="Q255"/>
    </row>
    <row r="256" spans="9:17" x14ac:dyDescent="0.25">
      <c r="I256"/>
      <c r="J256"/>
      <c r="K256"/>
      <c r="L256"/>
      <c r="M256"/>
      <c r="N256"/>
      <c r="O256"/>
      <c r="P256"/>
      <c r="Q256"/>
    </row>
    <row r="257" spans="9:17" x14ac:dyDescent="0.25">
      <c r="I257"/>
      <c r="J257"/>
      <c r="K257"/>
      <c r="L257"/>
      <c r="M257"/>
      <c r="N257"/>
      <c r="O257"/>
      <c r="P257"/>
      <c r="Q257"/>
    </row>
    <row r="258" spans="9:17" x14ac:dyDescent="0.25">
      <c r="I258"/>
      <c r="J258"/>
      <c r="K258"/>
      <c r="L258"/>
      <c r="M258"/>
      <c r="N258"/>
      <c r="O258"/>
      <c r="P258"/>
      <c r="Q258"/>
    </row>
    <row r="259" spans="9:17" x14ac:dyDescent="0.25">
      <c r="I259"/>
      <c r="J259"/>
      <c r="K259"/>
      <c r="L259"/>
      <c r="M259"/>
      <c r="N259"/>
      <c r="O259"/>
      <c r="P259"/>
      <c r="Q259"/>
    </row>
    <row r="260" spans="9:17" x14ac:dyDescent="0.25">
      <c r="I260"/>
      <c r="J260"/>
      <c r="K260"/>
      <c r="L260"/>
      <c r="M260"/>
      <c r="N260"/>
      <c r="O260"/>
      <c r="P260"/>
      <c r="Q260"/>
    </row>
    <row r="261" spans="9:17" x14ac:dyDescent="0.25">
      <c r="I261"/>
      <c r="J261"/>
      <c r="K261"/>
      <c r="L261"/>
      <c r="M261"/>
      <c r="N261"/>
      <c r="O261"/>
      <c r="P261"/>
      <c r="Q261"/>
    </row>
    <row r="262" spans="9:17" x14ac:dyDescent="0.25">
      <c r="I262"/>
      <c r="J262"/>
      <c r="K262"/>
      <c r="L262"/>
      <c r="M262"/>
      <c r="N262"/>
      <c r="O262"/>
      <c r="P262"/>
      <c r="Q262"/>
    </row>
    <row r="263" spans="9:17" x14ac:dyDescent="0.25">
      <c r="I263"/>
      <c r="J263"/>
      <c r="K263"/>
      <c r="L263"/>
      <c r="M263"/>
      <c r="N263"/>
      <c r="O263"/>
      <c r="P263"/>
      <c r="Q263"/>
    </row>
    <row r="264" spans="9:17" x14ac:dyDescent="0.25">
      <c r="I264"/>
      <c r="J264"/>
      <c r="K264"/>
      <c r="L264"/>
      <c r="M264"/>
      <c r="N264"/>
      <c r="O264"/>
      <c r="P264"/>
      <c r="Q264"/>
    </row>
    <row r="265" spans="9:17" x14ac:dyDescent="0.25">
      <c r="I265"/>
      <c r="J265"/>
      <c r="K265"/>
      <c r="L265"/>
      <c r="M265"/>
      <c r="N265"/>
      <c r="O265"/>
      <c r="P265"/>
      <c r="Q265"/>
    </row>
    <row r="266" spans="9:17" x14ac:dyDescent="0.25">
      <c r="I266"/>
      <c r="J266"/>
      <c r="K266"/>
      <c r="L266"/>
      <c r="M266"/>
      <c r="N266"/>
      <c r="O266"/>
      <c r="P266"/>
      <c r="Q266"/>
    </row>
    <row r="267" spans="9:17" x14ac:dyDescent="0.25">
      <c r="I267"/>
      <c r="J267"/>
      <c r="K267"/>
      <c r="L267"/>
      <c r="M267"/>
      <c r="N267"/>
      <c r="O267"/>
      <c r="P267"/>
      <c r="Q267"/>
    </row>
    <row r="268" spans="9:17" x14ac:dyDescent="0.25">
      <c r="I268"/>
      <c r="J268"/>
      <c r="K268"/>
      <c r="L268"/>
      <c r="M268"/>
      <c r="N268"/>
      <c r="O268"/>
      <c r="P268"/>
      <c r="Q268"/>
    </row>
    <row r="269" spans="9:17" x14ac:dyDescent="0.25">
      <c r="I269"/>
      <c r="J269"/>
      <c r="K269"/>
      <c r="L269"/>
      <c r="M269"/>
      <c r="N269"/>
      <c r="O269"/>
      <c r="P269"/>
      <c r="Q269"/>
    </row>
    <row r="270" spans="9:17" x14ac:dyDescent="0.25">
      <c r="I270"/>
      <c r="J270"/>
      <c r="K270"/>
      <c r="L270"/>
      <c r="M270"/>
      <c r="N270"/>
      <c r="O270"/>
      <c r="P270"/>
      <c r="Q270"/>
    </row>
    <row r="271" spans="9:17" x14ac:dyDescent="0.25">
      <c r="I271"/>
      <c r="J271"/>
      <c r="K271"/>
      <c r="L271"/>
      <c r="M271"/>
      <c r="N271"/>
      <c r="O271"/>
      <c r="P271"/>
      <c r="Q271"/>
    </row>
    <row r="272" spans="9:17" x14ac:dyDescent="0.25">
      <c r="I272"/>
      <c r="J272"/>
      <c r="K272"/>
      <c r="L272"/>
      <c r="M272"/>
      <c r="N272"/>
      <c r="O272"/>
      <c r="P272"/>
      <c r="Q272"/>
    </row>
    <row r="273" spans="9:17" x14ac:dyDescent="0.25">
      <c r="I273"/>
      <c r="J273"/>
      <c r="K273"/>
      <c r="L273"/>
      <c r="M273"/>
      <c r="N273"/>
      <c r="O273"/>
      <c r="P273"/>
      <c r="Q273"/>
    </row>
    <row r="274" spans="9:17" x14ac:dyDescent="0.25">
      <c r="I274"/>
      <c r="J274"/>
      <c r="K274"/>
      <c r="L274"/>
      <c r="M274"/>
      <c r="N274"/>
      <c r="O274"/>
      <c r="P274"/>
      <c r="Q274"/>
    </row>
    <row r="275" spans="9:17" x14ac:dyDescent="0.25">
      <c r="I275"/>
      <c r="J275"/>
      <c r="K275"/>
      <c r="L275"/>
      <c r="M275"/>
      <c r="N275"/>
      <c r="O275"/>
      <c r="P275"/>
      <c r="Q275"/>
    </row>
    <row r="276" spans="9:17" x14ac:dyDescent="0.25">
      <c r="I276"/>
      <c r="J276"/>
      <c r="K276"/>
      <c r="L276"/>
      <c r="M276"/>
      <c r="N276"/>
      <c r="O276"/>
      <c r="P276"/>
      <c r="Q276"/>
    </row>
    <row r="277" spans="9:17" x14ac:dyDescent="0.25">
      <c r="I277"/>
      <c r="J277"/>
      <c r="K277"/>
      <c r="L277"/>
      <c r="M277"/>
      <c r="N277"/>
      <c r="O277"/>
      <c r="P277"/>
      <c r="Q277"/>
    </row>
    <row r="278" spans="9:17" x14ac:dyDescent="0.25">
      <c r="I278"/>
      <c r="J278"/>
      <c r="K278"/>
      <c r="L278"/>
      <c r="M278"/>
      <c r="N278"/>
      <c r="O278"/>
      <c r="P278"/>
      <c r="Q278"/>
    </row>
    <row r="279" spans="9:17" x14ac:dyDescent="0.25">
      <c r="I279"/>
      <c r="J279"/>
      <c r="K279"/>
      <c r="L279"/>
      <c r="M279"/>
      <c r="N279"/>
      <c r="O279"/>
      <c r="P279"/>
      <c r="Q279"/>
    </row>
    <row r="280" spans="9:17" x14ac:dyDescent="0.25">
      <c r="I280"/>
      <c r="J280"/>
      <c r="K280"/>
      <c r="L280"/>
      <c r="M280"/>
      <c r="N280"/>
      <c r="O280"/>
      <c r="P280"/>
      <c r="Q280"/>
    </row>
    <row r="281" spans="9:17" x14ac:dyDescent="0.25">
      <c r="I281"/>
      <c r="J281"/>
      <c r="K281"/>
      <c r="L281"/>
      <c r="M281"/>
      <c r="N281"/>
      <c r="O281"/>
      <c r="P281"/>
      <c r="Q281"/>
    </row>
    <row r="282" spans="9:17" x14ac:dyDescent="0.25">
      <c r="I282"/>
      <c r="J282"/>
      <c r="K282"/>
      <c r="L282"/>
      <c r="M282"/>
      <c r="N282"/>
      <c r="O282"/>
      <c r="P282"/>
      <c r="Q282"/>
    </row>
    <row r="283" spans="9:17" x14ac:dyDescent="0.25">
      <c r="I283"/>
      <c r="J283"/>
      <c r="K283"/>
      <c r="L283"/>
      <c r="M283"/>
      <c r="N283"/>
      <c r="O283"/>
      <c r="P283"/>
      <c r="Q283"/>
    </row>
    <row r="284" spans="9:17" x14ac:dyDescent="0.25">
      <c r="I284"/>
      <c r="J284"/>
      <c r="K284"/>
      <c r="L284"/>
      <c r="M284"/>
      <c r="N284"/>
      <c r="O284"/>
      <c r="P284"/>
      <c r="Q284"/>
    </row>
    <row r="285" spans="9:17" x14ac:dyDescent="0.25">
      <c r="I285"/>
      <c r="J285"/>
      <c r="K285"/>
      <c r="L285"/>
      <c r="M285"/>
      <c r="N285"/>
      <c r="O285"/>
      <c r="P285"/>
      <c r="Q285"/>
    </row>
    <row r="286" spans="9:17" x14ac:dyDescent="0.25">
      <c r="I286"/>
      <c r="J286"/>
      <c r="K286"/>
      <c r="L286"/>
      <c r="M286"/>
      <c r="N286"/>
      <c r="O286"/>
      <c r="P286"/>
      <c r="Q286"/>
    </row>
    <row r="287" spans="9:17" x14ac:dyDescent="0.25">
      <c r="I287"/>
      <c r="J287"/>
      <c r="K287"/>
      <c r="L287"/>
      <c r="M287"/>
      <c r="N287"/>
      <c r="O287"/>
      <c r="P287"/>
      <c r="Q287"/>
    </row>
    <row r="288" spans="9:17" x14ac:dyDescent="0.25">
      <c r="I288"/>
      <c r="J288"/>
      <c r="K288"/>
      <c r="L288"/>
      <c r="M288"/>
      <c r="N288"/>
      <c r="O288"/>
      <c r="P288"/>
      <c r="Q288"/>
    </row>
    <row r="289" spans="9:17" x14ac:dyDescent="0.25">
      <c r="I289"/>
      <c r="J289"/>
      <c r="K289"/>
      <c r="L289"/>
      <c r="M289"/>
      <c r="N289"/>
      <c r="O289"/>
      <c r="P289"/>
      <c r="Q289"/>
    </row>
    <row r="290" spans="9:17" x14ac:dyDescent="0.25">
      <c r="I290"/>
      <c r="J290"/>
      <c r="K290"/>
      <c r="L290"/>
      <c r="M290"/>
      <c r="N290"/>
      <c r="O290"/>
      <c r="P290"/>
      <c r="Q290"/>
    </row>
    <row r="291" spans="9:17" x14ac:dyDescent="0.25">
      <c r="I291"/>
      <c r="J291"/>
      <c r="K291"/>
      <c r="L291"/>
      <c r="M291"/>
      <c r="N291"/>
      <c r="O291"/>
      <c r="P291"/>
      <c r="Q291"/>
    </row>
    <row r="292" spans="9:17" x14ac:dyDescent="0.25">
      <c r="I292"/>
      <c r="J292"/>
      <c r="K292"/>
      <c r="L292"/>
      <c r="M292"/>
      <c r="N292"/>
      <c r="O292"/>
      <c r="P292"/>
      <c r="Q292"/>
    </row>
    <row r="293" spans="9:17" x14ac:dyDescent="0.25">
      <c r="I293"/>
      <c r="J293"/>
      <c r="K293"/>
      <c r="L293"/>
      <c r="M293"/>
      <c r="N293"/>
      <c r="O293"/>
      <c r="P293"/>
      <c r="Q293"/>
    </row>
    <row r="294" spans="9:17" x14ac:dyDescent="0.25">
      <c r="I294"/>
      <c r="J294"/>
      <c r="K294"/>
      <c r="L294"/>
      <c r="M294"/>
      <c r="N294"/>
      <c r="O294"/>
      <c r="P294"/>
      <c r="Q294"/>
    </row>
    <row r="295" spans="9:17" x14ac:dyDescent="0.25">
      <c r="I295"/>
      <c r="J295"/>
      <c r="K295"/>
      <c r="L295"/>
      <c r="M295"/>
      <c r="N295"/>
      <c r="O295"/>
      <c r="P295"/>
      <c r="Q295"/>
    </row>
    <row r="296" spans="9:17" x14ac:dyDescent="0.25">
      <c r="I296"/>
      <c r="J296"/>
      <c r="K296"/>
      <c r="L296"/>
      <c r="M296"/>
      <c r="N296"/>
      <c r="O296"/>
      <c r="P296"/>
      <c r="Q296"/>
    </row>
    <row r="297" spans="9:17" x14ac:dyDescent="0.25">
      <c r="I297"/>
      <c r="J297"/>
      <c r="K297"/>
      <c r="L297"/>
      <c r="M297"/>
      <c r="N297"/>
      <c r="O297"/>
      <c r="P297"/>
      <c r="Q297"/>
    </row>
    <row r="298" spans="9:17" x14ac:dyDescent="0.25">
      <c r="I298"/>
      <c r="J298"/>
      <c r="K298"/>
      <c r="L298"/>
      <c r="M298"/>
      <c r="N298"/>
      <c r="O298"/>
      <c r="P298"/>
      <c r="Q298"/>
    </row>
    <row r="299" spans="9:17" x14ac:dyDescent="0.25">
      <c r="I299"/>
      <c r="J299"/>
      <c r="K299"/>
      <c r="L299"/>
      <c r="M299"/>
      <c r="N299"/>
      <c r="O299"/>
      <c r="P299"/>
      <c r="Q299"/>
    </row>
    <row r="300" spans="9:17" x14ac:dyDescent="0.25">
      <c r="I300"/>
      <c r="J300"/>
      <c r="K300"/>
      <c r="L300"/>
      <c r="M300"/>
      <c r="N300"/>
      <c r="O300"/>
      <c r="P300"/>
      <c r="Q300"/>
    </row>
    <row r="301" spans="9:17" x14ac:dyDescent="0.25">
      <c r="I301"/>
      <c r="J301"/>
      <c r="K301"/>
      <c r="L301"/>
      <c r="M301"/>
      <c r="N301"/>
      <c r="O301"/>
      <c r="P301"/>
      <c r="Q301"/>
    </row>
    <row r="302" spans="9:17" x14ac:dyDescent="0.25">
      <c r="I302"/>
      <c r="J302"/>
      <c r="K302"/>
      <c r="L302"/>
      <c r="M302"/>
      <c r="N302"/>
      <c r="O302"/>
      <c r="P302"/>
      <c r="Q302"/>
    </row>
    <row r="303" spans="9:17" x14ac:dyDescent="0.25">
      <c r="I303"/>
      <c r="J303"/>
      <c r="K303"/>
      <c r="L303"/>
      <c r="M303"/>
      <c r="N303"/>
      <c r="O303"/>
      <c r="P303"/>
      <c r="Q303"/>
    </row>
    <row r="304" spans="9:17" x14ac:dyDescent="0.25">
      <c r="I304"/>
      <c r="J304"/>
      <c r="K304"/>
      <c r="L304"/>
      <c r="M304"/>
      <c r="N304"/>
      <c r="O304"/>
      <c r="P304"/>
      <c r="Q304"/>
    </row>
    <row r="305" spans="9:17" x14ac:dyDescent="0.25">
      <c r="I305"/>
      <c r="J305"/>
      <c r="K305"/>
      <c r="L305"/>
      <c r="M305"/>
      <c r="N305"/>
      <c r="O305"/>
      <c r="P305"/>
      <c r="Q305"/>
    </row>
    <row r="306" spans="9:17" x14ac:dyDescent="0.25">
      <c r="I306"/>
      <c r="J306"/>
      <c r="K306"/>
      <c r="L306"/>
      <c r="M306"/>
      <c r="N306"/>
      <c r="O306"/>
      <c r="P306"/>
      <c r="Q306"/>
    </row>
    <row r="307" spans="9:17" x14ac:dyDescent="0.25">
      <c r="I307"/>
      <c r="J307"/>
      <c r="K307"/>
      <c r="L307"/>
      <c r="M307"/>
      <c r="N307"/>
      <c r="O307"/>
      <c r="P307"/>
      <c r="Q307"/>
    </row>
    <row r="308" spans="9:17" x14ac:dyDescent="0.25">
      <c r="I308"/>
      <c r="J308"/>
      <c r="K308"/>
      <c r="L308"/>
      <c r="M308"/>
      <c r="N308"/>
      <c r="O308"/>
      <c r="P308"/>
      <c r="Q308"/>
    </row>
    <row r="309" spans="9:17" x14ac:dyDescent="0.25">
      <c r="I309"/>
      <c r="J309"/>
      <c r="K309"/>
      <c r="L309"/>
      <c r="M309"/>
      <c r="N309"/>
      <c r="O309"/>
      <c r="P309"/>
      <c r="Q309"/>
    </row>
    <row r="310" spans="9:17" x14ac:dyDescent="0.25">
      <c r="I310"/>
      <c r="J310"/>
      <c r="K310"/>
      <c r="L310"/>
      <c r="M310"/>
      <c r="N310"/>
      <c r="O310"/>
      <c r="P310"/>
      <c r="Q310"/>
    </row>
    <row r="311" spans="9:17" x14ac:dyDescent="0.25">
      <c r="I311"/>
      <c r="J311"/>
      <c r="K311"/>
      <c r="L311"/>
      <c r="M311"/>
      <c r="N311"/>
      <c r="O311"/>
      <c r="P311"/>
      <c r="Q311"/>
    </row>
    <row r="312" spans="9:17" x14ac:dyDescent="0.25">
      <c r="I312"/>
      <c r="J312"/>
      <c r="K312"/>
      <c r="L312"/>
      <c r="M312"/>
      <c r="N312"/>
      <c r="O312"/>
      <c r="P312"/>
      <c r="Q312"/>
    </row>
    <row r="313" spans="9:17" x14ac:dyDescent="0.25">
      <c r="I313"/>
      <c r="J313"/>
      <c r="K313"/>
      <c r="L313"/>
      <c r="M313"/>
      <c r="N313"/>
      <c r="O313"/>
      <c r="P313"/>
      <c r="Q313"/>
    </row>
    <row r="314" spans="9:17" x14ac:dyDescent="0.25">
      <c r="I314"/>
      <c r="J314"/>
      <c r="K314"/>
      <c r="L314"/>
      <c r="M314"/>
      <c r="N314"/>
      <c r="O314"/>
      <c r="P314"/>
      <c r="Q314"/>
    </row>
    <row r="315" spans="9:17" x14ac:dyDescent="0.25">
      <c r="I315"/>
      <c r="J315"/>
      <c r="K315"/>
      <c r="L315"/>
      <c r="M315"/>
      <c r="N315"/>
      <c r="O315"/>
      <c r="P315"/>
      <c r="Q315"/>
    </row>
    <row r="316" spans="9:17" x14ac:dyDescent="0.25">
      <c r="I316"/>
      <c r="J316"/>
      <c r="K316"/>
      <c r="L316"/>
      <c r="M316"/>
      <c r="N316"/>
      <c r="O316"/>
      <c r="P316"/>
      <c r="Q316"/>
    </row>
    <row r="317" spans="9:17" x14ac:dyDescent="0.25">
      <c r="I317"/>
      <c r="J317"/>
      <c r="K317"/>
      <c r="L317"/>
      <c r="M317"/>
      <c r="N317"/>
      <c r="O317"/>
      <c r="P317"/>
      <c r="Q317"/>
    </row>
    <row r="318" spans="9:17" x14ac:dyDescent="0.25">
      <c r="I318"/>
      <c r="J318"/>
      <c r="K318"/>
      <c r="L318"/>
      <c r="M318"/>
      <c r="N318"/>
      <c r="O318"/>
      <c r="P318"/>
      <c r="Q318"/>
    </row>
    <row r="319" spans="9:17" x14ac:dyDescent="0.25">
      <c r="I319"/>
      <c r="J319"/>
      <c r="K319"/>
      <c r="L319"/>
      <c r="M319"/>
      <c r="N319"/>
      <c r="O319"/>
      <c r="P319"/>
      <c r="Q319"/>
    </row>
    <row r="320" spans="9:17" x14ac:dyDescent="0.25">
      <c r="I320"/>
      <c r="J320"/>
      <c r="K320"/>
      <c r="L320"/>
      <c r="M320"/>
      <c r="N320"/>
      <c r="O320"/>
      <c r="P320"/>
      <c r="Q320"/>
    </row>
    <row r="321" spans="9:17" x14ac:dyDescent="0.25">
      <c r="I321"/>
      <c r="J321"/>
      <c r="K321"/>
      <c r="L321"/>
      <c r="M321"/>
      <c r="N321"/>
      <c r="O321"/>
      <c r="P321"/>
      <c r="Q321"/>
    </row>
    <row r="322" spans="9:17" x14ac:dyDescent="0.25">
      <c r="I322"/>
      <c r="J322"/>
      <c r="K322"/>
      <c r="L322"/>
      <c r="M322"/>
      <c r="N322"/>
      <c r="O322"/>
      <c r="P322"/>
      <c r="Q322"/>
    </row>
    <row r="323" spans="9:17" x14ac:dyDescent="0.25">
      <c r="I323"/>
      <c r="J323"/>
      <c r="K323"/>
      <c r="L323"/>
      <c r="M323"/>
      <c r="N323"/>
      <c r="O323"/>
      <c r="P323"/>
      <c r="Q323"/>
    </row>
    <row r="324" spans="9:17" x14ac:dyDescent="0.25">
      <c r="I324"/>
      <c r="J324"/>
      <c r="K324"/>
      <c r="L324"/>
      <c r="M324"/>
      <c r="N324"/>
      <c r="O324"/>
      <c r="P324"/>
      <c r="Q324"/>
    </row>
    <row r="325" spans="9:17" x14ac:dyDescent="0.25">
      <c r="I325"/>
      <c r="J325"/>
      <c r="K325"/>
      <c r="L325"/>
      <c r="M325"/>
      <c r="N325"/>
      <c r="O325"/>
      <c r="P325"/>
      <c r="Q325"/>
    </row>
    <row r="326" spans="9:17" x14ac:dyDescent="0.25">
      <c r="I326"/>
      <c r="J326"/>
      <c r="K326"/>
      <c r="L326"/>
      <c r="M326"/>
      <c r="N326"/>
      <c r="O326"/>
      <c r="P326"/>
      <c r="Q326"/>
    </row>
    <row r="327" spans="9:17" x14ac:dyDescent="0.25">
      <c r="I327"/>
      <c r="J327"/>
      <c r="K327"/>
      <c r="L327"/>
      <c r="M327"/>
      <c r="N327"/>
      <c r="O327"/>
      <c r="P327"/>
      <c r="Q327"/>
    </row>
    <row r="328" spans="9:17" x14ac:dyDescent="0.25">
      <c r="I328"/>
      <c r="J328"/>
      <c r="K328"/>
      <c r="L328"/>
      <c r="M328"/>
      <c r="N328"/>
      <c r="O328"/>
      <c r="P328"/>
      <c r="Q328"/>
    </row>
    <row r="329" spans="9:17" x14ac:dyDescent="0.25">
      <c r="I329"/>
      <c r="J329"/>
      <c r="K329"/>
      <c r="L329"/>
      <c r="M329"/>
      <c r="N329"/>
      <c r="O329"/>
      <c r="P329"/>
      <c r="Q329"/>
    </row>
    <row r="330" spans="9:17" x14ac:dyDescent="0.25">
      <c r="I330"/>
      <c r="J330"/>
      <c r="K330"/>
      <c r="L330"/>
      <c r="M330"/>
      <c r="N330"/>
      <c r="O330"/>
      <c r="P330"/>
      <c r="Q330"/>
    </row>
    <row r="331" spans="9:17" x14ac:dyDescent="0.25">
      <c r="I331"/>
      <c r="J331"/>
      <c r="K331"/>
      <c r="L331"/>
      <c r="M331"/>
      <c r="N331"/>
      <c r="O331"/>
      <c r="P331"/>
      <c r="Q331"/>
    </row>
    <row r="332" spans="9:17" x14ac:dyDescent="0.25">
      <c r="I332"/>
      <c r="J332"/>
      <c r="K332"/>
      <c r="L332"/>
      <c r="M332"/>
      <c r="N332"/>
      <c r="O332"/>
      <c r="P332"/>
      <c r="Q332"/>
    </row>
    <row r="333" spans="9:17" x14ac:dyDescent="0.25">
      <c r="I333"/>
      <c r="J333"/>
      <c r="K333"/>
      <c r="L333"/>
      <c r="M333"/>
      <c r="N333"/>
      <c r="O333"/>
      <c r="P333"/>
      <c r="Q333"/>
    </row>
    <row r="334" spans="9:17" x14ac:dyDescent="0.25">
      <c r="I334"/>
      <c r="J334"/>
      <c r="K334"/>
      <c r="L334"/>
      <c r="M334"/>
      <c r="N334"/>
      <c r="O334"/>
      <c r="P334"/>
      <c r="Q334"/>
    </row>
    <row r="335" spans="9:17" x14ac:dyDescent="0.25">
      <c r="I335"/>
      <c r="J335"/>
      <c r="K335"/>
      <c r="L335"/>
      <c r="M335"/>
      <c r="N335"/>
      <c r="O335"/>
      <c r="P335"/>
      <c r="Q335"/>
    </row>
    <row r="336" spans="9:17" x14ac:dyDescent="0.25">
      <c r="I336"/>
      <c r="J336"/>
      <c r="K336"/>
      <c r="L336"/>
      <c r="M336"/>
      <c r="N336"/>
      <c r="O336"/>
      <c r="P336"/>
      <c r="Q336"/>
    </row>
    <row r="337" spans="9:17" x14ac:dyDescent="0.25">
      <c r="I337"/>
      <c r="J337"/>
      <c r="K337"/>
      <c r="L337"/>
      <c r="M337"/>
      <c r="N337"/>
      <c r="O337"/>
      <c r="P337"/>
      <c r="Q337"/>
    </row>
    <row r="338" spans="9:17" x14ac:dyDescent="0.25">
      <c r="I338"/>
      <c r="J338"/>
      <c r="K338"/>
      <c r="L338"/>
      <c r="M338"/>
      <c r="N338"/>
      <c r="O338"/>
      <c r="P338"/>
      <c r="Q338"/>
    </row>
    <row r="339" spans="9:17" x14ac:dyDescent="0.25">
      <c r="I339"/>
      <c r="J339"/>
      <c r="K339"/>
      <c r="L339"/>
      <c r="M339"/>
      <c r="N339"/>
      <c r="O339"/>
      <c r="P339"/>
      <c r="Q339"/>
    </row>
    <row r="340" spans="9:17" x14ac:dyDescent="0.25">
      <c r="I340"/>
      <c r="J340"/>
      <c r="K340"/>
      <c r="L340"/>
      <c r="M340"/>
      <c r="N340"/>
      <c r="O340"/>
      <c r="P340"/>
      <c r="Q340"/>
    </row>
    <row r="341" spans="9:17" x14ac:dyDescent="0.25">
      <c r="I341"/>
      <c r="J341"/>
      <c r="K341"/>
      <c r="L341"/>
      <c r="M341"/>
      <c r="N341"/>
      <c r="O341"/>
      <c r="P341"/>
      <c r="Q341"/>
    </row>
    <row r="342" spans="9:17" x14ac:dyDescent="0.25">
      <c r="I342"/>
      <c r="J342"/>
      <c r="K342"/>
      <c r="L342"/>
      <c r="M342"/>
      <c r="N342"/>
      <c r="O342"/>
      <c r="P342"/>
      <c r="Q342"/>
    </row>
    <row r="343" spans="9:17" x14ac:dyDescent="0.25">
      <c r="I343"/>
      <c r="J343"/>
      <c r="K343"/>
      <c r="L343"/>
      <c r="M343"/>
      <c r="N343"/>
      <c r="O343"/>
      <c r="P343"/>
      <c r="Q343"/>
    </row>
    <row r="344" spans="9:17" x14ac:dyDescent="0.25">
      <c r="I344"/>
      <c r="J344"/>
      <c r="K344"/>
      <c r="L344"/>
      <c r="M344"/>
      <c r="N344"/>
      <c r="O344"/>
      <c r="P344"/>
      <c r="Q344"/>
    </row>
    <row r="345" spans="9:17" x14ac:dyDescent="0.25">
      <c r="I345"/>
      <c r="J345"/>
      <c r="K345"/>
      <c r="L345"/>
      <c r="M345"/>
      <c r="N345"/>
      <c r="O345"/>
      <c r="P345"/>
      <c r="Q345"/>
    </row>
    <row r="346" spans="9:17" x14ac:dyDescent="0.25">
      <c r="I346"/>
      <c r="J346"/>
      <c r="K346"/>
      <c r="L346"/>
      <c r="M346"/>
      <c r="N346"/>
      <c r="O346"/>
      <c r="P346"/>
      <c r="Q346"/>
    </row>
    <row r="347" spans="9:17" x14ac:dyDescent="0.25">
      <c r="I347"/>
      <c r="J347"/>
      <c r="K347"/>
      <c r="L347"/>
      <c r="M347"/>
      <c r="N347"/>
      <c r="O347"/>
      <c r="P347"/>
      <c r="Q347"/>
    </row>
    <row r="348" spans="9:17" x14ac:dyDescent="0.25">
      <c r="I348"/>
      <c r="J348"/>
      <c r="K348"/>
      <c r="L348"/>
      <c r="M348"/>
      <c r="N348"/>
      <c r="O348"/>
      <c r="P348"/>
      <c r="Q348"/>
    </row>
    <row r="349" spans="9:17" x14ac:dyDescent="0.25">
      <c r="I349"/>
      <c r="J349"/>
      <c r="K349"/>
      <c r="L349"/>
      <c r="M349"/>
      <c r="N349"/>
      <c r="O349"/>
      <c r="P349"/>
      <c r="Q349"/>
    </row>
    <row r="350" spans="9:17" x14ac:dyDescent="0.25">
      <c r="I350"/>
      <c r="J350"/>
      <c r="K350"/>
      <c r="L350"/>
      <c r="M350"/>
      <c r="N350"/>
      <c r="O350"/>
      <c r="P350"/>
      <c r="Q350"/>
    </row>
    <row r="351" spans="9:17" x14ac:dyDescent="0.25">
      <c r="I351"/>
      <c r="J351"/>
      <c r="K351"/>
      <c r="L351"/>
      <c r="M351"/>
      <c r="N351"/>
      <c r="O351"/>
      <c r="P351"/>
      <c r="Q351"/>
    </row>
    <row r="352" spans="9:17" x14ac:dyDescent="0.25">
      <c r="I352"/>
      <c r="J352"/>
      <c r="K352"/>
      <c r="L352"/>
      <c r="M352"/>
      <c r="N352"/>
      <c r="O352"/>
      <c r="P352"/>
      <c r="Q352"/>
    </row>
    <row r="353" spans="9:17" x14ac:dyDescent="0.25">
      <c r="I353"/>
      <c r="J353"/>
      <c r="K353"/>
      <c r="L353"/>
      <c r="M353"/>
      <c r="N353"/>
      <c r="O353"/>
      <c r="P353"/>
      <c r="Q353"/>
    </row>
    <row r="354" spans="9:17" x14ac:dyDescent="0.25">
      <c r="I354"/>
      <c r="J354"/>
      <c r="K354"/>
      <c r="L354"/>
      <c r="M354"/>
      <c r="N354"/>
      <c r="O354"/>
      <c r="P354"/>
      <c r="Q354"/>
    </row>
    <row r="355" spans="9:17" x14ac:dyDescent="0.25">
      <c r="I355"/>
      <c r="J355"/>
      <c r="K355"/>
      <c r="L355"/>
      <c r="M355"/>
      <c r="N355"/>
      <c r="O355"/>
      <c r="P355"/>
      <c r="Q355"/>
    </row>
    <row r="356" spans="9:17" x14ac:dyDescent="0.25">
      <c r="I356"/>
      <c r="J356"/>
      <c r="K356"/>
      <c r="L356"/>
      <c r="M356"/>
      <c r="N356"/>
      <c r="O356"/>
      <c r="P356"/>
      <c r="Q356"/>
    </row>
    <row r="357" spans="9:17" x14ac:dyDescent="0.25">
      <c r="I357"/>
      <c r="J357"/>
      <c r="K357"/>
      <c r="L357"/>
      <c r="M357"/>
      <c r="N357"/>
      <c r="O357"/>
      <c r="P357"/>
      <c r="Q357"/>
    </row>
    <row r="358" spans="9:17" x14ac:dyDescent="0.25">
      <c r="I358"/>
      <c r="J358"/>
      <c r="K358"/>
      <c r="L358"/>
      <c r="M358"/>
      <c r="N358"/>
      <c r="O358"/>
      <c r="P358"/>
      <c r="Q358"/>
    </row>
    <row r="359" spans="9:17" x14ac:dyDescent="0.25">
      <c r="I359"/>
      <c r="J359"/>
      <c r="K359"/>
      <c r="L359"/>
      <c r="M359"/>
      <c r="N359"/>
      <c r="O359"/>
      <c r="P359"/>
      <c r="Q359"/>
    </row>
    <row r="360" spans="9:17" x14ac:dyDescent="0.25">
      <c r="I360"/>
      <c r="J360"/>
      <c r="K360"/>
      <c r="L360"/>
      <c r="M360"/>
      <c r="N360"/>
      <c r="O360"/>
      <c r="P360"/>
      <c r="Q360"/>
    </row>
    <row r="361" spans="9:17" x14ac:dyDescent="0.25">
      <c r="I361"/>
      <c r="J361"/>
      <c r="K361"/>
      <c r="L361"/>
      <c r="M361"/>
      <c r="N361"/>
      <c r="O361"/>
      <c r="P361"/>
      <c r="Q361"/>
    </row>
    <row r="362" spans="9:17" x14ac:dyDescent="0.25">
      <c r="I362"/>
      <c r="J362"/>
      <c r="K362"/>
      <c r="L362"/>
      <c r="M362"/>
      <c r="N362"/>
      <c r="O362"/>
      <c r="P362"/>
      <c r="Q362"/>
    </row>
    <row r="363" spans="9:17" x14ac:dyDescent="0.25">
      <c r="I363"/>
      <c r="J363"/>
      <c r="K363"/>
      <c r="L363"/>
      <c r="M363"/>
      <c r="N363"/>
      <c r="O363"/>
      <c r="P363"/>
      <c r="Q363"/>
    </row>
    <row r="364" spans="9:17" x14ac:dyDescent="0.25">
      <c r="I364"/>
      <c r="J364"/>
      <c r="K364"/>
      <c r="L364"/>
      <c r="M364"/>
      <c r="N364"/>
      <c r="O364"/>
      <c r="P364"/>
      <c r="Q364"/>
    </row>
    <row r="365" spans="9:17" x14ac:dyDescent="0.25">
      <c r="I365"/>
      <c r="J365"/>
      <c r="K365"/>
      <c r="L365"/>
      <c r="M365"/>
      <c r="N365"/>
      <c r="O365"/>
      <c r="P365"/>
      <c r="Q365"/>
    </row>
    <row r="366" spans="9:17" x14ac:dyDescent="0.25">
      <c r="I366"/>
      <c r="J366"/>
      <c r="K366"/>
      <c r="L366"/>
      <c r="M366"/>
      <c r="N366"/>
      <c r="O366"/>
      <c r="P366"/>
      <c r="Q366"/>
    </row>
    <row r="367" spans="9:17" x14ac:dyDescent="0.25">
      <c r="I367"/>
      <c r="J367"/>
      <c r="K367"/>
      <c r="L367"/>
      <c r="M367"/>
      <c r="N367"/>
      <c r="O367"/>
      <c r="P367"/>
      <c r="Q367"/>
    </row>
    <row r="368" spans="9:17" x14ac:dyDescent="0.25">
      <c r="I368"/>
      <c r="J368"/>
      <c r="K368"/>
      <c r="L368"/>
      <c r="M368"/>
      <c r="N368"/>
      <c r="O368"/>
      <c r="P368"/>
      <c r="Q368"/>
    </row>
    <row r="369" spans="9:17" x14ac:dyDescent="0.25">
      <c r="I369"/>
      <c r="J369"/>
      <c r="K369"/>
      <c r="L369"/>
      <c r="M369"/>
      <c r="N369"/>
      <c r="O369"/>
      <c r="P369"/>
      <c r="Q369"/>
    </row>
    <row r="370" spans="9:17" x14ac:dyDescent="0.25">
      <c r="I370"/>
      <c r="J370"/>
      <c r="K370"/>
      <c r="L370"/>
      <c r="M370"/>
      <c r="N370"/>
      <c r="O370"/>
      <c r="P370"/>
      <c r="Q370"/>
    </row>
    <row r="371" spans="9:17" x14ac:dyDescent="0.25">
      <c r="I371"/>
      <c r="J371"/>
      <c r="K371"/>
      <c r="L371"/>
      <c r="M371"/>
      <c r="N371"/>
      <c r="O371"/>
      <c r="P371"/>
      <c r="Q371"/>
    </row>
    <row r="372" spans="9:17" x14ac:dyDescent="0.25">
      <c r="I372"/>
      <c r="J372"/>
      <c r="K372"/>
      <c r="L372"/>
      <c r="M372"/>
      <c r="N372"/>
      <c r="O372"/>
      <c r="P372"/>
      <c r="Q372"/>
    </row>
    <row r="373" spans="9:17" x14ac:dyDescent="0.25">
      <c r="I373"/>
      <c r="J373"/>
      <c r="K373"/>
      <c r="L373"/>
      <c r="M373"/>
      <c r="N373"/>
      <c r="O373"/>
      <c r="P373"/>
      <c r="Q373"/>
    </row>
    <row r="374" spans="9:17" x14ac:dyDescent="0.25">
      <c r="I374"/>
      <c r="J374"/>
      <c r="K374"/>
      <c r="L374"/>
      <c r="M374"/>
      <c r="N374"/>
      <c r="O374"/>
      <c r="P374"/>
      <c r="Q374"/>
    </row>
    <row r="375" spans="9:17" x14ac:dyDescent="0.25">
      <c r="I375"/>
      <c r="J375"/>
      <c r="K375"/>
      <c r="L375"/>
      <c r="M375"/>
      <c r="N375"/>
      <c r="O375"/>
      <c r="P375"/>
      <c r="Q375"/>
    </row>
    <row r="376" spans="9:17" x14ac:dyDescent="0.25">
      <c r="I376"/>
      <c r="J376"/>
      <c r="K376"/>
      <c r="L376"/>
      <c r="M376"/>
      <c r="N376"/>
      <c r="O376"/>
      <c r="P376"/>
      <c r="Q376"/>
    </row>
    <row r="377" spans="9:17" x14ac:dyDescent="0.25">
      <c r="I377"/>
      <c r="J377"/>
      <c r="K377"/>
      <c r="L377"/>
      <c r="M377"/>
      <c r="N377"/>
      <c r="O377"/>
      <c r="P377"/>
      <c r="Q377"/>
    </row>
    <row r="378" spans="9:17" x14ac:dyDescent="0.25">
      <c r="I378"/>
      <c r="J378"/>
      <c r="K378"/>
      <c r="L378"/>
      <c r="M378"/>
      <c r="N378"/>
      <c r="O378"/>
      <c r="P378"/>
      <c r="Q378"/>
    </row>
    <row r="379" spans="9:17" x14ac:dyDescent="0.25">
      <c r="I379"/>
      <c r="J379"/>
      <c r="K379"/>
      <c r="L379"/>
      <c r="M379"/>
      <c r="N379"/>
      <c r="O379"/>
      <c r="P379"/>
      <c r="Q379"/>
    </row>
    <row r="380" spans="9:17" x14ac:dyDescent="0.25">
      <c r="I380"/>
      <c r="J380"/>
      <c r="K380"/>
      <c r="L380"/>
      <c r="M380"/>
      <c r="N380"/>
      <c r="O380"/>
      <c r="P380"/>
      <c r="Q380"/>
    </row>
    <row r="381" spans="9:17" x14ac:dyDescent="0.25">
      <c r="I381"/>
      <c r="J381"/>
      <c r="K381"/>
      <c r="L381"/>
      <c r="M381"/>
      <c r="N381"/>
      <c r="O381"/>
      <c r="P381"/>
      <c r="Q381"/>
    </row>
    <row r="382" spans="9:17" x14ac:dyDescent="0.25">
      <c r="I382"/>
      <c r="J382"/>
      <c r="K382"/>
      <c r="L382"/>
      <c r="M382"/>
      <c r="N382"/>
      <c r="O382"/>
      <c r="P382"/>
      <c r="Q382"/>
    </row>
    <row r="383" spans="9:17" x14ac:dyDescent="0.25">
      <c r="I383"/>
      <c r="J383"/>
      <c r="K383"/>
      <c r="L383"/>
      <c r="M383"/>
      <c r="N383"/>
      <c r="O383"/>
      <c r="P383"/>
      <c r="Q383"/>
    </row>
    <row r="384" spans="9:17" x14ac:dyDescent="0.25">
      <c r="I384"/>
      <c r="J384"/>
      <c r="K384"/>
      <c r="L384"/>
      <c r="M384"/>
      <c r="N384"/>
      <c r="O384"/>
      <c r="P384"/>
      <c r="Q384"/>
    </row>
    <row r="385" spans="9:17" x14ac:dyDescent="0.25">
      <c r="I385"/>
      <c r="J385"/>
      <c r="K385"/>
      <c r="L385"/>
      <c r="M385"/>
      <c r="N385"/>
      <c r="O385"/>
      <c r="P385"/>
      <c r="Q385"/>
    </row>
    <row r="386" spans="9:17" x14ac:dyDescent="0.25">
      <c r="I386"/>
      <c r="J386"/>
      <c r="K386"/>
      <c r="L386"/>
      <c r="M386"/>
      <c r="N386"/>
      <c r="O386"/>
      <c r="P386"/>
      <c r="Q386"/>
    </row>
    <row r="387" spans="9:17" x14ac:dyDescent="0.25">
      <c r="I387"/>
      <c r="J387"/>
      <c r="K387"/>
      <c r="L387"/>
      <c r="M387"/>
      <c r="N387"/>
      <c r="O387"/>
      <c r="P387"/>
      <c r="Q387"/>
    </row>
    <row r="388" spans="9:17" x14ac:dyDescent="0.25">
      <c r="I388"/>
      <c r="J388"/>
      <c r="K388"/>
      <c r="L388"/>
      <c r="M388"/>
      <c r="N388"/>
      <c r="O388"/>
      <c r="P388"/>
      <c r="Q388"/>
    </row>
    <row r="389" spans="9:17" x14ac:dyDescent="0.25">
      <c r="I389"/>
      <c r="J389"/>
      <c r="K389"/>
      <c r="L389"/>
      <c r="M389"/>
      <c r="N389"/>
      <c r="O389"/>
      <c r="P389"/>
      <c r="Q389"/>
    </row>
    <row r="390" spans="9:17" x14ac:dyDescent="0.25">
      <c r="I390"/>
      <c r="J390"/>
      <c r="K390"/>
      <c r="L390"/>
      <c r="M390"/>
      <c r="N390"/>
      <c r="O390"/>
      <c r="P390"/>
      <c r="Q390"/>
    </row>
    <row r="391" spans="9:17" x14ac:dyDescent="0.25">
      <c r="I391"/>
      <c r="J391"/>
      <c r="K391"/>
      <c r="L391"/>
      <c r="M391"/>
      <c r="N391"/>
      <c r="O391"/>
      <c r="P391"/>
      <c r="Q391"/>
    </row>
    <row r="392" spans="9:17" x14ac:dyDescent="0.25">
      <c r="I392"/>
      <c r="J392"/>
      <c r="K392"/>
      <c r="L392"/>
      <c r="M392"/>
      <c r="N392"/>
      <c r="O392"/>
      <c r="P392"/>
      <c r="Q392"/>
    </row>
    <row r="393" spans="9:17" x14ac:dyDescent="0.25">
      <c r="I393"/>
      <c r="J393"/>
      <c r="K393"/>
      <c r="L393"/>
      <c r="M393"/>
      <c r="N393"/>
      <c r="O393"/>
      <c r="P393"/>
      <c r="Q393"/>
    </row>
    <row r="394" spans="9:17" x14ac:dyDescent="0.25">
      <c r="I394"/>
      <c r="J394"/>
      <c r="K394"/>
      <c r="L394"/>
      <c r="M394"/>
      <c r="N394"/>
      <c r="O394"/>
      <c r="P394"/>
      <c r="Q394"/>
    </row>
    <row r="395" spans="9:17" x14ac:dyDescent="0.25">
      <c r="I395"/>
      <c r="J395"/>
      <c r="K395"/>
      <c r="L395"/>
      <c r="M395"/>
      <c r="N395"/>
      <c r="O395"/>
      <c r="P395"/>
      <c r="Q395"/>
    </row>
    <row r="396" spans="9:17" x14ac:dyDescent="0.25">
      <c r="I396"/>
      <c r="J396"/>
      <c r="K396"/>
      <c r="L396"/>
      <c r="M396"/>
      <c r="N396"/>
      <c r="O396"/>
      <c r="P396"/>
      <c r="Q396"/>
    </row>
    <row r="397" spans="9:17" x14ac:dyDescent="0.25">
      <c r="I397"/>
      <c r="J397"/>
      <c r="K397"/>
      <c r="L397"/>
      <c r="M397"/>
      <c r="N397"/>
      <c r="O397"/>
      <c r="P397"/>
      <c r="Q397"/>
    </row>
    <row r="398" spans="9:17" x14ac:dyDescent="0.25">
      <c r="I398"/>
      <c r="J398"/>
      <c r="K398"/>
      <c r="L398"/>
      <c r="M398"/>
      <c r="N398"/>
      <c r="O398"/>
      <c r="P398"/>
      <c r="Q398"/>
    </row>
    <row r="399" spans="9:17" x14ac:dyDescent="0.25">
      <c r="I399"/>
      <c r="J399"/>
      <c r="K399"/>
      <c r="L399"/>
      <c r="M399"/>
      <c r="N399"/>
      <c r="O399"/>
      <c r="P399"/>
      <c r="Q399"/>
    </row>
    <row r="400" spans="9:17" x14ac:dyDescent="0.25">
      <c r="I400"/>
      <c r="J400"/>
      <c r="K400"/>
      <c r="L400"/>
      <c r="M400"/>
      <c r="N400"/>
      <c r="O400"/>
      <c r="P400"/>
      <c r="Q400"/>
    </row>
    <row r="401" spans="9:17" x14ac:dyDescent="0.25">
      <c r="I401"/>
      <c r="J401"/>
      <c r="K401"/>
      <c r="L401"/>
      <c r="M401"/>
      <c r="N401"/>
      <c r="O401"/>
      <c r="P401"/>
      <c r="Q401"/>
    </row>
    <row r="402" spans="9:17" x14ac:dyDescent="0.25">
      <c r="I402"/>
      <c r="J402"/>
      <c r="K402"/>
      <c r="L402"/>
      <c r="M402"/>
      <c r="N402"/>
      <c r="O402"/>
      <c r="P402"/>
      <c r="Q402"/>
    </row>
    <row r="403" spans="9:17" x14ac:dyDescent="0.25">
      <c r="I403"/>
      <c r="J403"/>
      <c r="K403"/>
      <c r="L403"/>
      <c r="M403"/>
      <c r="N403"/>
      <c r="O403"/>
      <c r="P403"/>
      <c r="Q403"/>
    </row>
    <row r="404" spans="9:17" x14ac:dyDescent="0.25">
      <c r="I404"/>
      <c r="J404"/>
      <c r="K404"/>
      <c r="L404"/>
      <c r="M404"/>
      <c r="N404"/>
      <c r="O404"/>
      <c r="P404"/>
      <c r="Q404"/>
    </row>
    <row r="405" spans="9:17" x14ac:dyDescent="0.25">
      <c r="I405"/>
      <c r="J405"/>
      <c r="K405"/>
      <c r="L405"/>
      <c r="M405"/>
      <c r="N405"/>
      <c r="O405"/>
      <c r="P405"/>
      <c r="Q405"/>
    </row>
    <row r="406" spans="9:17" x14ac:dyDescent="0.25">
      <c r="I406"/>
      <c r="J406"/>
      <c r="K406"/>
      <c r="L406"/>
      <c r="M406"/>
      <c r="N406"/>
      <c r="O406"/>
      <c r="P406"/>
      <c r="Q406"/>
    </row>
    <row r="407" spans="9:17" x14ac:dyDescent="0.25">
      <c r="I407"/>
      <c r="J407"/>
      <c r="K407"/>
      <c r="L407"/>
      <c r="M407"/>
      <c r="N407"/>
      <c r="O407"/>
      <c r="P407"/>
      <c r="Q407"/>
    </row>
    <row r="408" spans="9:17" x14ac:dyDescent="0.25">
      <c r="I408"/>
      <c r="J408"/>
      <c r="K408"/>
      <c r="L408"/>
      <c r="M408"/>
      <c r="N408"/>
      <c r="O408"/>
      <c r="P408"/>
      <c r="Q408"/>
    </row>
    <row r="409" spans="9:17" x14ac:dyDescent="0.25">
      <c r="I409"/>
      <c r="J409"/>
      <c r="K409"/>
      <c r="L409"/>
      <c r="M409"/>
      <c r="N409"/>
      <c r="O409"/>
      <c r="P409"/>
      <c r="Q409"/>
    </row>
    <row r="410" spans="9:17" x14ac:dyDescent="0.25">
      <c r="I410"/>
      <c r="J410"/>
      <c r="K410"/>
      <c r="L410"/>
      <c r="M410"/>
      <c r="N410"/>
      <c r="O410"/>
      <c r="P410"/>
      <c r="Q410"/>
    </row>
    <row r="411" spans="9:17" x14ac:dyDescent="0.25">
      <c r="I411"/>
      <c r="J411"/>
      <c r="K411"/>
      <c r="L411"/>
      <c r="M411"/>
      <c r="N411"/>
      <c r="O411"/>
      <c r="P411"/>
      <c r="Q411"/>
    </row>
    <row r="412" spans="9:17" x14ac:dyDescent="0.25">
      <c r="I412"/>
      <c r="J412"/>
      <c r="K412"/>
      <c r="L412"/>
      <c r="M412"/>
      <c r="N412"/>
      <c r="O412"/>
      <c r="P412"/>
      <c r="Q412"/>
    </row>
    <row r="413" spans="9:17" x14ac:dyDescent="0.25">
      <c r="I413"/>
      <c r="J413"/>
      <c r="K413"/>
      <c r="L413"/>
      <c r="M413"/>
      <c r="N413"/>
      <c r="O413"/>
      <c r="P413"/>
      <c r="Q413"/>
    </row>
    <row r="414" spans="9:17" x14ac:dyDescent="0.25">
      <c r="I414"/>
      <c r="J414"/>
      <c r="K414"/>
      <c r="L414"/>
      <c r="M414"/>
      <c r="N414"/>
      <c r="O414"/>
      <c r="P414"/>
      <c r="Q414"/>
    </row>
    <row r="415" spans="9:17" x14ac:dyDescent="0.25">
      <c r="I415"/>
      <c r="J415"/>
      <c r="K415"/>
      <c r="L415"/>
      <c r="M415"/>
      <c r="N415"/>
      <c r="O415"/>
      <c r="P415"/>
      <c r="Q415"/>
    </row>
    <row r="416" spans="9:17" x14ac:dyDescent="0.25">
      <c r="I416"/>
      <c r="J416"/>
      <c r="K416"/>
      <c r="L416"/>
      <c r="M416"/>
      <c r="N416"/>
      <c r="O416"/>
      <c r="P416"/>
      <c r="Q416"/>
    </row>
    <row r="417" spans="9:17" x14ac:dyDescent="0.25">
      <c r="I417"/>
      <c r="J417"/>
      <c r="K417"/>
      <c r="L417"/>
      <c r="M417"/>
      <c r="N417"/>
      <c r="O417"/>
      <c r="P417"/>
      <c r="Q417"/>
    </row>
    <row r="418" spans="9:17" x14ac:dyDescent="0.25">
      <c r="I418"/>
      <c r="J418"/>
      <c r="K418"/>
      <c r="L418"/>
      <c r="M418"/>
      <c r="N418"/>
      <c r="O418"/>
      <c r="P418"/>
      <c r="Q418"/>
    </row>
    <row r="419" spans="9:17" x14ac:dyDescent="0.25">
      <c r="I419"/>
      <c r="J419"/>
      <c r="K419"/>
      <c r="L419"/>
      <c r="M419"/>
      <c r="N419"/>
      <c r="O419"/>
      <c r="P419"/>
      <c r="Q419"/>
    </row>
    <row r="420" spans="9:17" x14ac:dyDescent="0.25">
      <c r="I420"/>
      <c r="J420"/>
      <c r="K420"/>
      <c r="L420"/>
      <c r="M420"/>
      <c r="N420"/>
      <c r="O420"/>
      <c r="P420"/>
      <c r="Q420"/>
    </row>
    <row r="421" spans="9:17" x14ac:dyDescent="0.25">
      <c r="I421"/>
      <c r="J421"/>
      <c r="K421"/>
      <c r="L421"/>
      <c r="M421"/>
      <c r="N421"/>
      <c r="O421"/>
      <c r="P421"/>
      <c r="Q421"/>
    </row>
    <row r="422" spans="9:17" x14ac:dyDescent="0.25">
      <c r="I422"/>
      <c r="J422"/>
      <c r="K422"/>
      <c r="L422"/>
      <c r="M422"/>
      <c r="N422"/>
      <c r="O422"/>
      <c r="P422"/>
      <c r="Q422"/>
    </row>
    <row r="423" spans="9:17" x14ac:dyDescent="0.25">
      <c r="I423"/>
      <c r="J423"/>
      <c r="K423"/>
      <c r="L423"/>
      <c r="M423"/>
      <c r="N423"/>
      <c r="O423"/>
      <c r="P423"/>
      <c r="Q423"/>
    </row>
    <row r="424" spans="9:17" x14ac:dyDescent="0.25">
      <c r="I424"/>
      <c r="J424"/>
      <c r="K424"/>
      <c r="L424"/>
      <c r="M424"/>
      <c r="N424"/>
      <c r="O424"/>
      <c r="P424"/>
      <c r="Q424"/>
    </row>
    <row r="425" spans="9:17" x14ac:dyDescent="0.25">
      <c r="I425"/>
      <c r="J425"/>
      <c r="K425"/>
      <c r="L425"/>
      <c r="M425"/>
      <c r="N425"/>
      <c r="O425"/>
      <c r="P425"/>
      <c r="Q425"/>
    </row>
    <row r="426" spans="9:17" x14ac:dyDescent="0.25">
      <c r="I426"/>
      <c r="J426"/>
      <c r="K426"/>
      <c r="L426"/>
      <c r="M426"/>
      <c r="N426"/>
      <c r="O426"/>
      <c r="P426"/>
      <c r="Q426"/>
    </row>
    <row r="427" spans="9:17" x14ac:dyDescent="0.25">
      <c r="I427"/>
      <c r="J427"/>
      <c r="K427"/>
      <c r="L427"/>
      <c r="M427"/>
      <c r="N427"/>
      <c r="O427"/>
      <c r="P427"/>
      <c r="Q427"/>
    </row>
    <row r="428" spans="9:17" x14ac:dyDescent="0.25">
      <c r="I428"/>
      <c r="J428"/>
      <c r="K428"/>
      <c r="L428"/>
      <c r="M428"/>
      <c r="N428"/>
      <c r="O428"/>
      <c r="P428"/>
      <c r="Q428"/>
    </row>
    <row r="429" spans="9:17" x14ac:dyDescent="0.25">
      <c r="I429"/>
      <c r="J429"/>
      <c r="K429"/>
      <c r="L429"/>
      <c r="M429"/>
      <c r="N429"/>
      <c r="O429"/>
      <c r="P429"/>
      <c r="Q429"/>
    </row>
    <row r="430" spans="9:17" x14ac:dyDescent="0.25">
      <c r="I430"/>
      <c r="J430"/>
      <c r="K430"/>
      <c r="L430"/>
      <c r="M430"/>
      <c r="N430"/>
      <c r="O430"/>
      <c r="P430"/>
      <c r="Q430"/>
    </row>
    <row r="431" spans="9:17" x14ac:dyDescent="0.25">
      <c r="I431"/>
      <c r="J431"/>
      <c r="K431"/>
      <c r="L431"/>
      <c r="M431"/>
      <c r="N431"/>
      <c r="O431"/>
      <c r="P431"/>
      <c r="Q431"/>
    </row>
    <row r="432" spans="9:17" x14ac:dyDescent="0.25">
      <c r="I432"/>
      <c r="J432"/>
      <c r="K432"/>
      <c r="L432"/>
      <c r="M432"/>
      <c r="N432"/>
      <c r="O432"/>
      <c r="P432"/>
      <c r="Q432"/>
    </row>
    <row r="433" spans="9:17" x14ac:dyDescent="0.25">
      <c r="I433"/>
      <c r="J433"/>
      <c r="K433"/>
      <c r="L433"/>
      <c r="M433"/>
      <c r="N433"/>
      <c r="O433"/>
      <c r="P433"/>
      <c r="Q433"/>
    </row>
    <row r="434" spans="9:17" x14ac:dyDescent="0.25">
      <c r="I434"/>
      <c r="J434"/>
      <c r="K434"/>
      <c r="L434"/>
      <c r="M434"/>
      <c r="N434"/>
      <c r="O434"/>
      <c r="P434"/>
      <c r="Q434"/>
    </row>
    <row r="435" spans="9:17" x14ac:dyDescent="0.25">
      <c r="I435"/>
      <c r="J435"/>
      <c r="K435"/>
      <c r="L435"/>
      <c r="M435"/>
      <c r="N435"/>
      <c r="O435"/>
      <c r="P435"/>
      <c r="Q435"/>
    </row>
    <row r="436" spans="9:17" x14ac:dyDescent="0.25">
      <c r="I436"/>
      <c r="J436"/>
      <c r="K436"/>
      <c r="L436"/>
      <c r="M436"/>
      <c r="N436"/>
      <c r="O436"/>
      <c r="P436"/>
      <c r="Q436"/>
    </row>
    <row r="437" spans="9:17" x14ac:dyDescent="0.25">
      <c r="I437"/>
      <c r="J437"/>
      <c r="K437"/>
      <c r="L437"/>
      <c r="M437"/>
      <c r="N437"/>
      <c r="O437"/>
      <c r="P437"/>
      <c r="Q437"/>
    </row>
    <row r="438" spans="9:17" x14ac:dyDescent="0.25">
      <c r="I438"/>
      <c r="J438"/>
      <c r="K438"/>
      <c r="L438"/>
      <c r="M438"/>
      <c r="N438"/>
      <c r="O438"/>
      <c r="P438"/>
      <c r="Q438"/>
    </row>
    <row r="439" spans="9:17" x14ac:dyDescent="0.25">
      <c r="I439"/>
      <c r="J439"/>
      <c r="K439"/>
      <c r="L439"/>
      <c r="M439"/>
      <c r="N439"/>
      <c r="O439"/>
      <c r="P439"/>
      <c r="Q439"/>
    </row>
    <row r="440" spans="9:17" x14ac:dyDescent="0.25">
      <c r="I440"/>
      <c r="J440"/>
      <c r="K440"/>
      <c r="L440"/>
      <c r="M440"/>
      <c r="N440"/>
      <c r="O440"/>
      <c r="P440"/>
      <c r="Q440"/>
    </row>
    <row r="441" spans="9:17" x14ac:dyDescent="0.25">
      <c r="I441"/>
      <c r="J441"/>
      <c r="K441"/>
      <c r="L441"/>
      <c r="M441"/>
      <c r="N441"/>
      <c r="O441"/>
      <c r="P441"/>
      <c r="Q441"/>
    </row>
    <row r="442" spans="9:17" x14ac:dyDescent="0.25">
      <c r="I442"/>
      <c r="J442"/>
      <c r="K442"/>
      <c r="L442"/>
      <c r="M442"/>
      <c r="N442"/>
      <c r="O442"/>
      <c r="P442"/>
      <c r="Q442"/>
    </row>
    <row r="443" spans="9:17" x14ac:dyDescent="0.25">
      <c r="I443"/>
      <c r="J443"/>
      <c r="K443"/>
      <c r="L443"/>
      <c r="M443"/>
      <c r="N443"/>
      <c r="O443"/>
      <c r="P443"/>
      <c r="Q443"/>
    </row>
    <row r="444" spans="9:17" x14ac:dyDescent="0.25">
      <c r="I444"/>
      <c r="J444"/>
      <c r="K444"/>
      <c r="L444"/>
      <c r="M444"/>
      <c r="N444"/>
      <c r="O444"/>
      <c r="P444"/>
      <c r="Q444"/>
    </row>
    <row r="445" spans="9:17" x14ac:dyDescent="0.25">
      <c r="I445"/>
      <c r="J445"/>
      <c r="K445"/>
      <c r="L445"/>
      <c r="M445"/>
      <c r="N445"/>
      <c r="O445"/>
      <c r="P445"/>
      <c r="Q445"/>
    </row>
    <row r="446" spans="9:17" x14ac:dyDescent="0.25">
      <c r="I446"/>
      <c r="J446"/>
      <c r="K446"/>
      <c r="L446"/>
      <c r="M446"/>
      <c r="N446"/>
      <c r="O446"/>
      <c r="P446"/>
      <c r="Q446"/>
    </row>
    <row r="447" spans="9:17" x14ac:dyDescent="0.25">
      <c r="I447"/>
      <c r="J447"/>
      <c r="K447"/>
      <c r="L447"/>
      <c r="M447"/>
      <c r="N447"/>
      <c r="O447"/>
      <c r="P447"/>
      <c r="Q447"/>
    </row>
    <row r="448" spans="9:17" x14ac:dyDescent="0.25">
      <c r="I448"/>
      <c r="J448"/>
      <c r="K448"/>
      <c r="L448"/>
      <c r="M448"/>
      <c r="N448"/>
      <c r="O448"/>
      <c r="P448"/>
      <c r="Q448"/>
    </row>
    <row r="449" spans="9:17" x14ac:dyDescent="0.25">
      <c r="I449"/>
      <c r="J449"/>
      <c r="K449"/>
      <c r="L449"/>
      <c r="M449"/>
      <c r="N449"/>
      <c r="O449"/>
      <c r="P449"/>
      <c r="Q449"/>
    </row>
    <row r="450" spans="9:17" x14ac:dyDescent="0.25">
      <c r="I450"/>
      <c r="J450"/>
      <c r="K450"/>
      <c r="L450"/>
      <c r="M450"/>
      <c r="N450"/>
      <c r="O450"/>
      <c r="P450"/>
      <c r="Q450"/>
    </row>
    <row r="451" spans="9:17" x14ac:dyDescent="0.25">
      <c r="I451"/>
      <c r="J451"/>
      <c r="K451"/>
      <c r="L451"/>
      <c r="M451"/>
      <c r="N451"/>
      <c r="O451"/>
      <c r="P451"/>
      <c r="Q451"/>
    </row>
    <row r="452" spans="9:17" x14ac:dyDescent="0.25">
      <c r="I452"/>
      <c r="J452"/>
      <c r="K452"/>
      <c r="L452"/>
      <c r="M452"/>
      <c r="N452"/>
      <c r="O452"/>
      <c r="P452"/>
      <c r="Q452"/>
    </row>
    <row r="453" spans="9:17" x14ac:dyDescent="0.25">
      <c r="I453"/>
      <c r="J453"/>
      <c r="K453"/>
      <c r="L453"/>
      <c r="M453"/>
      <c r="N453"/>
      <c r="O453"/>
      <c r="P453"/>
      <c r="Q453"/>
    </row>
    <row r="454" spans="9:17" x14ac:dyDescent="0.25">
      <c r="I454"/>
      <c r="J454"/>
      <c r="K454"/>
      <c r="L454"/>
      <c r="M454"/>
      <c r="N454"/>
      <c r="O454"/>
      <c r="P454"/>
      <c r="Q454"/>
    </row>
    <row r="455" spans="9:17" x14ac:dyDescent="0.25">
      <c r="I455"/>
      <c r="J455"/>
      <c r="K455"/>
      <c r="L455"/>
      <c r="M455"/>
      <c r="N455"/>
      <c r="O455"/>
      <c r="P455"/>
      <c r="Q455"/>
    </row>
    <row r="456" spans="9:17" x14ac:dyDescent="0.25">
      <c r="I456"/>
      <c r="J456"/>
      <c r="K456"/>
      <c r="L456"/>
      <c r="M456"/>
      <c r="N456"/>
      <c r="O456"/>
      <c r="P456"/>
      <c r="Q456"/>
    </row>
    <row r="457" spans="9:17" x14ac:dyDescent="0.25">
      <c r="I457"/>
      <c r="J457"/>
      <c r="K457"/>
      <c r="L457"/>
      <c r="M457"/>
      <c r="N457"/>
      <c r="O457"/>
      <c r="P457"/>
      <c r="Q457"/>
    </row>
    <row r="458" spans="9:17" x14ac:dyDescent="0.25">
      <c r="I458"/>
      <c r="J458"/>
      <c r="K458"/>
      <c r="L458"/>
      <c r="M458"/>
      <c r="N458"/>
      <c r="O458"/>
      <c r="P458"/>
      <c r="Q458"/>
    </row>
    <row r="459" spans="9:17" x14ac:dyDescent="0.25">
      <c r="I459"/>
      <c r="J459"/>
      <c r="K459"/>
      <c r="L459"/>
      <c r="M459"/>
      <c r="N459"/>
      <c r="O459"/>
      <c r="P459"/>
      <c r="Q459"/>
    </row>
    <row r="460" spans="9:17" x14ac:dyDescent="0.25">
      <c r="I460"/>
      <c r="J460"/>
      <c r="K460"/>
      <c r="L460"/>
      <c r="M460"/>
      <c r="N460"/>
      <c r="O460"/>
      <c r="P460"/>
      <c r="Q460"/>
    </row>
    <row r="461" spans="9:17" x14ac:dyDescent="0.25">
      <c r="I461"/>
      <c r="J461"/>
      <c r="K461"/>
      <c r="L461"/>
      <c r="M461"/>
      <c r="N461"/>
      <c r="O461"/>
      <c r="P461"/>
      <c r="Q461"/>
    </row>
    <row r="462" spans="9:17" x14ac:dyDescent="0.25">
      <c r="I462"/>
      <c r="J462"/>
      <c r="K462"/>
      <c r="L462"/>
      <c r="M462"/>
      <c r="N462"/>
      <c r="O462"/>
      <c r="P462"/>
      <c r="Q462"/>
    </row>
    <row r="463" spans="9:17" x14ac:dyDescent="0.25">
      <c r="I463"/>
      <c r="J463"/>
      <c r="K463"/>
      <c r="L463"/>
      <c r="M463"/>
      <c r="N463"/>
      <c r="O463"/>
      <c r="P463"/>
      <c r="Q463"/>
    </row>
    <row r="464" spans="9:17" x14ac:dyDescent="0.25">
      <c r="I464"/>
      <c r="J464"/>
      <c r="K464"/>
      <c r="L464"/>
      <c r="M464"/>
      <c r="N464"/>
      <c r="O464"/>
      <c r="P464"/>
      <c r="Q464"/>
    </row>
    <row r="465" spans="9:17" x14ac:dyDescent="0.25">
      <c r="I465"/>
      <c r="J465"/>
      <c r="K465"/>
      <c r="L465"/>
      <c r="M465"/>
      <c r="N465"/>
      <c r="O465"/>
      <c r="P465"/>
      <c r="Q465"/>
    </row>
    <row r="466" spans="9:17" x14ac:dyDescent="0.25">
      <c r="I466"/>
      <c r="J466"/>
      <c r="K466"/>
      <c r="L466"/>
      <c r="M466"/>
      <c r="N466"/>
      <c r="O466"/>
      <c r="P466"/>
      <c r="Q466"/>
    </row>
    <row r="467" spans="9:17" x14ac:dyDescent="0.25">
      <c r="I467"/>
      <c r="J467"/>
      <c r="K467"/>
      <c r="L467"/>
      <c r="M467"/>
      <c r="N467"/>
      <c r="O467"/>
      <c r="P467"/>
      <c r="Q467"/>
    </row>
    <row r="468" spans="9:17" x14ac:dyDescent="0.25">
      <c r="I468"/>
      <c r="J468"/>
      <c r="K468"/>
      <c r="L468"/>
      <c r="M468"/>
      <c r="N468"/>
      <c r="O468"/>
      <c r="P468"/>
      <c r="Q468"/>
    </row>
    <row r="469" spans="9:17" x14ac:dyDescent="0.25">
      <c r="I469"/>
      <c r="J469"/>
      <c r="K469"/>
      <c r="L469"/>
      <c r="M469"/>
      <c r="N469"/>
      <c r="O469"/>
      <c r="P469"/>
      <c r="Q469"/>
    </row>
    <row r="470" spans="9:17" x14ac:dyDescent="0.25">
      <c r="I470"/>
      <c r="J470"/>
      <c r="K470"/>
      <c r="L470"/>
      <c r="M470"/>
      <c r="N470"/>
      <c r="O470"/>
      <c r="P470"/>
      <c r="Q470"/>
    </row>
    <row r="471" spans="9:17" x14ac:dyDescent="0.25">
      <c r="I471"/>
      <c r="J471"/>
      <c r="K471"/>
      <c r="L471"/>
      <c r="M471"/>
      <c r="N471"/>
      <c r="O471"/>
      <c r="P471"/>
      <c r="Q471"/>
    </row>
    <row r="472" spans="9:17" x14ac:dyDescent="0.25">
      <c r="I472"/>
      <c r="J472"/>
      <c r="K472"/>
      <c r="L472"/>
      <c r="M472"/>
      <c r="N472"/>
      <c r="O472"/>
      <c r="P472"/>
      <c r="Q472"/>
    </row>
    <row r="473" spans="9:17" x14ac:dyDescent="0.25">
      <c r="I473"/>
      <c r="J473"/>
      <c r="K473"/>
      <c r="L473"/>
      <c r="M473"/>
      <c r="N473"/>
      <c r="O473"/>
      <c r="P473"/>
      <c r="Q473"/>
    </row>
    <row r="474" spans="9:17" x14ac:dyDescent="0.25">
      <c r="I474"/>
      <c r="J474"/>
      <c r="K474"/>
      <c r="L474"/>
      <c r="M474"/>
      <c r="N474"/>
      <c r="O474"/>
      <c r="P474"/>
      <c r="Q474"/>
    </row>
    <row r="475" spans="9:17" x14ac:dyDescent="0.25">
      <c r="I475"/>
      <c r="J475"/>
      <c r="K475"/>
      <c r="L475"/>
      <c r="M475"/>
      <c r="N475"/>
      <c r="O475"/>
      <c r="P475"/>
      <c r="Q475"/>
    </row>
    <row r="476" spans="9:17" x14ac:dyDescent="0.25">
      <c r="I476"/>
      <c r="J476"/>
      <c r="K476"/>
      <c r="L476"/>
      <c r="M476"/>
      <c r="N476"/>
      <c r="O476"/>
      <c r="P476"/>
      <c r="Q476"/>
    </row>
    <row r="477" spans="9:17" x14ac:dyDescent="0.25">
      <c r="I477"/>
      <c r="J477"/>
      <c r="K477"/>
      <c r="L477"/>
      <c r="M477"/>
      <c r="N477"/>
      <c r="O477"/>
      <c r="P477"/>
      <c r="Q477"/>
    </row>
    <row r="478" spans="9:17" x14ac:dyDescent="0.25">
      <c r="I478"/>
      <c r="J478"/>
      <c r="K478"/>
      <c r="L478"/>
      <c r="M478"/>
      <c r="N478"/>
      <c r="O478"/>
      <c r="P478"/>
      <c r="Q478"/>
    </row>
    <row r="479" spans="9:17" x14ac:dyDescent="0.25">
      <c r="I479"/>
      <c r="J479"/>
      <c r="K479"/>
      <c r="L479"/>
      <c r="M479"/>
      <c r="N479"/>
      <c r="O479"/>
      <c r="P479"/>
      <c r="Q479"/>
    </row>
    <row r="480" spans="9:17" x14ac:dyDescent="0.25">
      <c r="I480"/>
      <c r="J480"/>
      <c r="K480"/>
      <c r="L480"/>
      <c r="M480"/>
      <c r="N480"/>
      <c r="O480"/>
      <c r="P480"/>
      <c r="Q480"/>
    </row>
    <row r="481" spans="9:17" x14ac:dyDescent="0.25">
      <c r="I481"/>
      <c r="J481"/>
      <c r="K481"/>
      <c r="L481"/>
      <c r="M481"/>
      <c r="N481"/>
      <c r="O481"/>
      <c r="P481"/>
      <c r="Q481"/>
    </row>
    <row r="482" spans="9:17" x14ac:dyDescent="0.25">
      <c r="I482"/>
      <c r="J482"/>
      <c r="K482"/>
      <c r="L482"/>
      <c r="M482"/>
      <c r="N482"/>
      <c r="O482"/>
      <c r="P482"/>
      <c r="Q482"/>
    </row>
    <row r="483" spans="9:17" x14ac:dyDescent="0.25">
      <c r="I483"/>
      <c r="J483"/>
      <c r="K483"/>
      <c r="L483"/>
      <c r="M483"/>
      <c r="N483"/>
      <c r="O483"/>
      <c r="P483"/>
      <c r="Q483"/>
    </row>
    <row r="484" spans="9:17" x14ac:dyDescent="0.25">
      <c r="I484"/>
      <c r="J484"/>
      <c r="K484"/>
      <c r="L484"/>
      <c r="M484"/>
      <c r="N484"/>
      <c r="O484"/>
      <c r="P484"/>
      <c r="Q484"/>
    </row>
    <row r="485" spans="9:17" x14ac:dyDescent="0.25">
      <c r="I485"/>
      <c r="J485"/>
      <c r="K485"/>
      <c r="L485"/>
      <c r="M485"/>
      <c r="N485"/>
      <c r="O485"/>
      <c r="P485"/>
      <c r="Q485"/>
    </row>
    <row r="486" spans="9:17" x14ac:dyDescent="0.25">
      <c r="I486"/>
      <c r="J486"/>
      <c r="K486"/>
      <c r="L486"/>
      <c r="M486"/>
      <c r="N486"/>
      <c r="O486"/>
      <c r="P486"/>
      <c r="Q486"/>
    </row>
    <row r="487" spans="9:17" x14ac:dyDescent="0.25">
      <c r="I487"/>
      <c r="J487"/>
      <c r="K487"/>
      <c r="L487"/>
      <c r="M487"/>
      <c r="N487"/>
      <c r="O487"/>
      <c r="P487"/>
      <c r="Q487"/>
    </row>
    <row r="488" spans="9:17" x14ac:dyDescent="0.25">
      <c r="I488"/>
      <c r="J488"/>
      <c r="K488"/>
      <c r="L488"/>
      <c r="M488"/>
      <c r="N488"/>
      <c r="O488"/>
      <c r="P488"/>
      <c r="Q488"/>
    </row>
    <row r="489" spans="9:17" x14ac:dyDescent="0.25">
      <c r="I489"/>
      <c r="J489"/>
      <c r="K489"/>
      <c r="L489"/>
      <c r="M489"/>
      <c r="N489"/>
      <c r="O489"/>
      <c r="P489"/>
      <c r="Q489"/>
    </row>
    <row r="490" spans="9:17" x14ac:dyDescent="0.25">
      <c r="I490"/>
      <c r="J490"/>
      <c r="K490"/>
      <c r="L490"/>
      <c r="M490"/>
      <c r="N490"/>
      <c r="O490"/>
      <c r="P490"/>
      <c r="Q490"/>
    </row>
    <row r="491" spans="9:17" x14ac:dyDescent="0.25">
      <c r="I491"/>
      <c r="J491"/>
      <c r="K491"/>
      <c r="L491"/>
      <c r="M491"/>
      <c r="N491"/>
      <c r="O491"/>
      <c r="P491"/>
      <c r="Q491"/>
    </row>
    <row r="492" spans="9:17" x14ac:dyDescent="0.25">
      <c r="I492"/>
      <c r="J492"/>
      <c r="K492"/>
      <c r="L492"/>
      <c r="M492"/>
      <c r="N492"/>
      <c r="O492"/>
      <c r="P492"/>
      <c r="Q492"/>
    </row>
    <row r="493" spans="9:17" x14ac:dyDescent="0.25">
      <c r="I493"/>
      <c r="J493"/>
      <c r="K493"/>
      <c r="L493"/>
      <c r="M493"/>
      <c r="N493"/>
      <c r="O493"/>
      <c r="P493"/>
      <c r="Q493"/>
    </row>
    <row r="494" spans="9:17" x14ac:dyDescent="0.25">
      <c r="I494"/>
      <c r="J494"/>
      <c r="K494"/>
      <c r="L494"/>
      <c r="M494"/>
      <c r="N494"/>
      <c r="O494"/>
      <c r="P494"/>
      <c r="Q494"/>
    </row>
    <row r="495" spans="9:17" x14ac:dyDescent="0.25">
      <c r="I495"/>
      <c r="J495"/>
      <c r="K495"/>
      <c r="L495"/>
      <c r="M495"/>
      <c r="N495"/>
      <c r="O495"/>
      <c r="P495"/>
      <c r="Q495"/>
    </row>
    <row r="496" spans="9:17" x14ac:dyDescent="0.25">
      <c r="I496"/>
      <c r="J496"/>
      <c r="K496"/>
      <c r="L496"/>
      <c r="M496"/>
      <c r="N496"/>
      <c r="O496"/>
      <c r="P496"/>
      <c r="Q496"/>
    </row>
    <row r="497" spans="9:17" x14ac:dyDescent="0.25">
      <c r="I497"/>
      <c r="J497"/>
      <c r="K497"/>
      <c r="L497"/>
      <c r="M497"/>
      <c r="N497"/>
      <c r="O497"/>
      <c r="P497"/>
      <c r="Q497"/>
    </row>
    <row r="498" spans="9:17" x14ac:dyDescent="0.25">
      <c r="I498"/>
      <c r="J498"/>
      <c r="K498"/>
      <c r="L498"/>
      <c r="M498"/>
      <c r="N498"/>
      <c r="O498"/>
      <c r="P498"/>
      <c r="Q498"/>
    </row>
    <row r="499" spans="9:17" x14ac:dyDescent="0.25">
      <c r="I499"/>
      <c r="J499"/>
      <c r="K499"/>
      <c r="L499"/>
      <c r="M499"/>
      <c r="N499"/>
      <c r="O499"/>
      <c r="P499"/>
      <c r="Q499"/>
    </row>
    <row r="500" spans="9:17" x14ac:dyDescent="0.25">
      <c r="I500"/>
      <c r="J500"/>
      <c r="K500"/>
      <c r="L500"/>
      <c r="M500"/>
      <c r="N500"/>
      <c r="O500"/>
      <c r="P500"/>
      <c r="Q500"/>
    </row>
    <row r="501" spans="9:17" x14ac:dyDescent="0.25">
      <c r="I501"/>
      <c r="J501"/>
      <c r="K501"/>
      <c r="L501"/>
      <c r="M501"/>
      <c r="N501"/>
      <c r="O501"/>
      <c r="P501"/>
      <c r="Q501"/>
    </row>
    <row r="502" spans="9:17" x14ac:dyDescent="0.25">
      <c r="I502"/>
      <c r="J502"/>
      <c r="K502"/>
      <c r="L502"/>
      <c r="M502"/>
      <c r="N502"/>
      <c r="O502"/>
      <c r="P502"/>
      <c r="Q502"/>
    </row>
    <row r="503" spans="9:17" x14ac:dyDescent="0.25">
      <c r="I503"/>
      <c r="J503"/>
      <c r="K503"/>
      <c r="L503"/>
      <c r="M503"/>
      <c r="N503"/>
      <c r="O503"/>
      <c r="P503"/>
      <c r="Q503"/>
    </row>
    <row r="504" spans="9:17" x14ac:dyDescent="0.25">
      <c r="I504"/>
      <c r="J504"/>
      <c r="K504"/>
      <c r="L504"/>
      <c r="M504"/>
      <c r="N504"/>
      <c r="O504"/>
      <c r="P504"/>
      <c r="Q504"/>
    </row>
    <row r="505" spans="9:17" x14ac:dyDescent="0.25">
      <c r="I505"/>
      <c r="J505"/>
      <c r="K505"/>
      <c r="L505"/>
      <c r="M505"/>
      <c r="N505"/>
      <c r="O505"/>
      <c r="P505"/>
      <c r="Q505"/>
    </row>
    <row r="506" spans="9:17" x14ac:dyDescent="0.25">
      <c r="I506"/>
      <c r="J506"/>
      <c r="K506"/>
      <c r="L506"/>
      <c r="M506"/>
      <c r="N506"/>
      <c r="O506"/>
      <c r="P506"/>
      <c r="Q506"/>
    </row>
    <row r="507" spans="9:17" x14ac:dyDescent="0.25">
      <c r="I507"/>
      <c r="J507"/>
      <c r="K507"/>
      <c r="L507"/>
      <c r="M507"/>
      <c r="N507"/>
      <c r="O507"/>
      <c r="P507"/>
      <c r="Q507"/>
    </row>
    <row r="508" spans="9:17" x14ac:dyDescent="0.25">
      <c r="I508"/>
      <c r="J508"/>
      <c r="K508"/>
      <c r="L508"/>
      <c r="M508"/>
      <c r="N508"/>
      <c r="O508"/>
      <c r="P508"/>
      <c r="Q508"/>
    </row>
    <row r="509" spans="9:17" x14ac:dyDescent="0.25">
      <c r="I509"/>
      <c r="J509"/>
      <c r="K509"/>
      <c r="L509"/>
      <c r="M509"/>
      <c r="N509"/>
      <c r="O509"/>
      <c r="P509"/>
      <c r="Q509"/>
    </row>
    <row r="510" spans="9:17" x14ac:dyDescent="0.25">
      <c r="I510"/>
      <c r="J510"/>
      <c r="K510"/>
      <c r="L510"/>
      <c r="M510"/>
      <c r="N510"/>
      <c r="O510"/>
      <c r="P510"/>
      <c r="Q510"/>
    </row>
    <row r="511" spans="9:17" x14ac:dyDescent="0.25">
      <c r="I511"/>
      <c r="J511"/>
      <c r="K511"/>
      <c r="L511"/>
      <c r="M511"/>
      <c r="N511"/>
      <c r="O511"/>
      <c r="P511"/>
      <c r="Q511"/>
    </row>
    <row r="512" spans="9:17" x14ac:dyDescent="0.25">
      <c r="I512"/>
      <c r="J512"/>
      <c r="K512"/>
      <c r="L512"/>
      <c r="M512"/>
      <c r="N512"/>
      <c r="O512"/>
      <c r="P512"/>
      <c r="Q512"/>
    </row>
    <row r="513" spans="9:17" x14ac:dyDescent="0.25">
      <c r="I513"/>
      <c r="J513"/>
      <c r="K513"/>
      <c r="L513"/>
      <c r="M513"/>
      <c r="N513"/>
      <c r="O513"/>
      <c r="P513"/>
      <c r="Q513"/>
    </row>
    <row r="514" spans="9:17" x14ac:dyDescent="0.25">
      <c r="I514"/>
      <c r="J514"/>
      <c r="K514"/>
      <c r="L514"/>
      <c r="M514"/>
      <c r="N514"/>
      <c r="O514"/>
      <c r="P514"/>
      <c r="Q514"/>
    </row>
  </sheetData>
  <autoFilter ref="A2:Q23"/>
  <mergeCells count="2">
    <mergeCell ref="A1:Q1"/>
    <mergeCell ref="A24:H24"/>
  </mergeCells>
  <printOptions horizontalCentered="1"/>
  <pageMargins left="0" right="0" top="0.39370078740157483" bottom="0" header="0.31496062992125984" footer="0.31496062992125984"/>
  <pageSetup paperSize="9" scale="55" orientation="landscape"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85"/>
  <sheetViews>
    <sheetView showGridLines="0" zoomScale="81" zoomScaleNormal="81" workbookViewId="0">
      <pane xSplit="4" ySplit="2" topLeftCell="E3" activePane="bottomRight" state="frozen"/>
      <selection pane="topRight" activeCell="F1" sqref="F1"/>
      <selection pane="bottomLeft" activeCell="A4" sqref="A4"/>
      <selection pane="bottomRight" activeCell="L5" sqref="L5:L10"/>
    </sheetView>
  </sheetViews>
  <sheetFormatPr defaultRowHeight="15" x14ac:dyDescent="0.25"/>
  <cols>
    <col min="1" max="1" width="4.85546875" customWidth="1"/>
    <col min="2" max="2" width="11.5703125" style="8" customWidth="1"/>
    <col min="3" max="3" width="11.28515625" customWidth="1"/>
    <col min="4" max="4" width="19.140625" customWidth="1"/>
    <col min="5" max="5" width="10.42578125" customWidth="1"/>
    <col min="6" max="6" width="18.140625" customWidth="1"/>
    <col min="7" max="7" width="14.5703125" style="9" customWidth="1"/>
    <col min="8" max="8" width="18.5703125" customWidth="1"/>
    <col min="9" max="9" width="12.28515625" customWidth="1"/>
    <col min="10" max="11" width="15.28515625" style="11" customWidth="1"/>
    <col min="12" max="12" width="18.5703125" style="11" customWidth="1"/>
    <col min="13" max="13" width="15.28515625" style="11" bestFit="1" customWidth="1"/>
    <col min="14" max="14" width="15.28515625" style="11" customWidth="1"/>
    <col min="15" max="16" width="15.28515625" style="11" hidden="1" customWidth="1"/>
    <col min="17" max="17" width="0" hidden="1" customWidth="1"/>
  </cols>
  <sheetData>
    <row r="2" spans="1:17" ht="42" customHeight="1" x14ac:dyDescent="0.25">
      <c r="A2" s="842" t="s">
        <v>6</v>
      </c>
      <c r="B2" s="843" t="s">
        <v>0</v>
      </c>
      <c r="C2" s="842" t="s">
        <v>7</v>
      </c>
      <c r="D2" s="842" t="s">
        <v>8</v>
      </c>
      <c r="E2" s="842" t="s">
        <v>9</v>
      </c>
      <c r="F2" s="842" t="s">
        <v>9</v>
      </c>
      <c r="G2" s="844" t="s">
        <v>10</v>
      </c>
      <c r="H2" s="842" t="s">
        <v>11</v>
      </c>
      <c r="I2" s="845" t="s">
        <v>138</v>
      </c>
      <c r="J2" s="838" t="s">
        <v>49</v>
      </c>
      <c r="K2" s="840" t="s">
        <v>1108</v>
      </c>
      <c r="L2" s="841" t="s">
        <v>2</v>
      </c>
      <c r="M2" s="1063" t="s">
        <v>2884</v>
      </c>
      <c r="N2" s="1064"/>
      <c r="O2" s="1062" t="s">
        <v>2887</v>
      </c>
      <c r="P2" s="1062"/>
    </row>
    <row r="3" spans="1:17" ht="21" customHeight="1" x14ac:dyDescent="0.25">
      <c r="A3" s="842"/>
      <c r="B3" s="843"/>
      <c r="C3" s="842"/>
      <c r="D3" s="842"/>
      <c r="E3" s="842"/>
      <c r="F3" s="842"/>
      <c r="G3" s="844"/>
      <c r="H3" s="842"/>
      <c r="I3" s="845"/>
      <c r="J3" s="838"/>
      <c r="K3" s="840"/>
      <c r="L3" s="841"/>
      <c r="M3" s="840" t="s">
        <v>2886</v>
      </c>
      <c r="N3" s="840" t="s">
        <v>2885</v>
      </c>
      <c r="O3" s="671" t="s">
        <v>1109</v>
      </c>
      <c r="P3" s="671" t="s">
        <v>2888</v>
      </c>
    </row>
    <row r="4" spans="1:17" ht="28.5" customHeight="1" x14ac:dyDescent="0.25">
      <c r="A4" s="707">
        <v>1</v>
      </c>
      <c r="B4" s="194">
        <v>44427</v>
      </c>
      <c r="C4" s="348" t="s">
        <v>1832</v>
      </c>
      <c r="D4" s="717" t="s">
        <v>1949</v>
      </c>
      <c r="E4" s="39" t="s">
        <v>1833</v>
      </c>
      <c r="F4" s="715" t="s">
        <v>2081</v>
      </c>
      <c r="G4" s="423">
        <v>5000000</v>
      </c>
      <c r="H4" s="716" t="s">
        <v>1831</v>
      </c>
      <c r="I4" s="399">
        <v>44432</v>
      </c>
      <c r="J4" s="850">
        <f t="shared" ref="J4:J5" si="0">G4</f>
        <v>5000000</v>
      </c>
      <c r="K4" s="713">
        <v>5000000</v>
      </c>
      <c r="L4" s="192">
        <f>J4-K4</f>
        <v>0</v>
      </c>
      <c r="M4" s="402"/>
      <c r="N4" s="402">
        <v>44427</v>
      </c>
      <c r="O4" s="402">
        <v>44446</v>
      </c>
      <c r="P4" s="629">
        <v>10000000</v>
      </c>
      <c r="Q4" s="141" t="s">
        <v>2320</v>
      </c>
    </row>
    <row r="5" spans="1:17" ht="28.5" customHeight="1" x14ac:dyDescent="0.25">
      <c r="A5" s="1051">
        <v>2</v>
      </c>
      <c r="B5" s="1048">
        <v>44428</v>
      </c>
      <c r="C5" s="953"/>
      <c r="D5" s="1059" t="s">
        <v>1949</v>
      </c>
      <c r="E5" s="1057" t="s">
        <v>1950</v>
      </c>
      <c r="F5" s="1057" t="s">
        <v>2918</v>
      </c>
      <c r="G5" s="1054">
        <v>105000000</v>
      </c>
      <c r="H5" s="1044" t="s">
        <v>1951</v>
      </c>
      <c r="I5" s="1041">
        <v>44461</v>
      </c>
      <c r="J5" s="1038">
        <f t="shared" si="0"/>
        <v>105000000</v>
      </c>
      <c r="K5" s="713">
        <v>10000000</v>
      </c>
      <c r="L5" s="973">
        <f ca="1">J5-K5-K6-K7-K8-#REF!-L5</f>
        <v>0</v>
      </c>
      <c r="M5" s="402"/>
      <c r="N5" s="402">
        <v>44427</v>
      </c>
      <c r="O5" s="402">
        <v>44460</v>
      </c>
      <c r="P5" s="629">
        <v>15000000</v>
      </c>
      <c r="Q5" s="1037" t="s">
        <v>2320</v>
      </c>
    </row>
    <row r="6" spans="1:17" ht="28.5" customHeight="1" x14ac:dyDescent="0.25">
      <c r="A6" s="1052"/>
      <c r="B6" s="1049"/>
      <c r="C6" s="1047"/>
      <c r="D6" s="1060"/>
      <c r="E6" s="1058"/>
      <c r="F6" s="1058"/>
      <c r="G6" s="1055"/>
      <c r="H6" s="1045"/>
      <c r="I6" s="1042"/>
      <c r="J6" s="1039"/>
      <c r="K6" s="713">
        <v>20000000</v>
      </c>
      <c r="L6" s="973"/>
      <c r="M6" s="402"/>
      <c r="N6" s="402">
        <v>44458</v>
      </c>
      <c r="O6" s="402">
        <v>44470</v>
      </c>
      <c r="P6" s="629">
        <v>10000000</v>
      </c>
      <c r="Q6" s="1037"/>
    </row>
    <row r="7" spans="1:17" ht="28.5" customHeight="1" x14ac:dyDescent="0.25">
      <c r="A7" s="1052"/>
      <c r="B7" s="1049"/>
      <c r="C7" s="1047"/>
      <c r="D7" s="1060"/>
      <c r="E7" s="1058"/>
      <c r="F7" s="1058"/>
      <c r="G7" s="1055"/>
      <c r="H7" s="1045"/>
      <c r="I7" s="1042"/>
      <c r="J7" s="1039"/>
      <c r="K7" s="713">
        <v>15000000</v>
      </c>
      <c r="L7" s="973"/>
      <c r="M7" s="402"/>
      <c r="N7" s="402">
        <v>44443</v>
      </c>
      <c r="O7" s="402"/>
      <c r="P7" s="629"/>
      <c r="Q7" s="1037"/>
    </row>
    <row r="8" spans="1:17" ht="28.5" customHeight="1" x14ac:dyDescent="0.25">
      <c r="A8" s="1052"/>
      <c r="B8" s="1049"/>
      <c r="C8" s="1047"/>
      <c r="D8" s="1060"/>
      <c r="E8" s="1058"/>
      <c r="F8" s="1058"/>
      <c r="G8" s="1055"/>
      <c r="H8" s="1045"/>
      <c r="I8" s="1042"/>
      <c r="J8" s="1039"/>
      <c r="K8" s="713">
        <v>10000000</v>
      </c>
      <c r="L8" s="973"/>
      <c r="M8" s="402"/>
      <c r="N8" s="402">
        <v>44470</v>
      </c>
      <c r="O8" s="402"/>
      <c r="P8" s="629"/>
      <c r="Q8" s="1037"/>
    </row>
    <row r="9" spans="1:17" ht="28.5" customHeight="1" x14ac:dyDescent="0.25">
      <c r="A9" s="1052"/>
      <c r="B9" s="1049"/>
      <c r="C9" s="1047"/>
      <c r="D9" s="1060"/>
      <c r="E9" s="1058"/>
      <c r="F9" s="1058"/>
      <c r="G9" s="1055"/>
      <c r="H9" s="1045"/>
      <c r="I9" s="1042"/>
      <c r="J9" s="1039"/>
      <c r="K9" s="713">
        <v>20000000</v>
      </c>
      <c r="L9" s="973"/>
      <c r="M9" s="402"/>
      <c r="N9" s="402">
        <v>44490</v>
      </c>
      <c r="O9" s="402"/>
      <c r="P9" s="705"/>
      <c r="Q9" s="1037"/>
    </row>
    <row r="10" spans="1:17" ht="28.5" customHeight="1" x14ac:dyDescent="0.25">
      <c r="A10" s="1053"/>
      <c r="B10" s="1050"/>
      <c r="C10" s="954"/>
      <c r="D10" s="1061"/>
      <c r="E10" s="1058"/>
      <c r="F10" s="1058"/>
      <c r="G10" s="1056"/>
      <c r="H10" s="1046"/>
      <c r="I10" s="1043"/>
      <c r="J10" s="1040"/>
      <c r="K10" s="713">
        <v>30000000</v>
      </c>
      <c r="L10" s="973"/>
      <c r="M10" s="402"/>
      <c r="N10" s="402">
        <v>44491</v>
      </c>
      <c r="O10" s="402"/>
      <c r="P10" s="705"/>
      <c r="Q10" s="1037"/>
    </row>
    <row r="11" spans="1:17" ht="28.5" customHeight="1" x14ac:dyDescent="0.25">
      <c r="A11" s="707">
        <v>3</v>
      </c>
      <c r="B11" s="194">
        <v>44428</v>
      </c>
      <c r="C11" s="349" t="s">
        <v>1832</v>
      </c>
      <c r="D11" s="366" t="s">
        <v>1949</v>
      </c>
      <c r="E11" s="349" t="s">
        <v>1833</v>
      </c>
      <c r="F11" s="349" t="s">
        <v>2081</v>
      </c>
      <c r="G11" s="710">
        <v>7000000</v>
      </c>
      <c r="H11" s="714" t="s">
        <v>1960</v>
      </c>
      <c r="I11" s="708">
        <v>44466</v>
      </c>
      <c r="J11" s="850">
        <f t="shared" ref="J11:J19" si="1">G11</f>
        <v>7000000</v>
      </c>
      <c r="K11" s="713">
        <v>7000000</v>
      </c>
      <c r="L11" s="192">
        <f>J11-K11</f>
        <v>0</v>
      </c>
      <c r="M11" s="402">
        <v>44502</v>
      </c>
      <c r="N11" s="402"/>
      <c r="O11" s="402"/>
      <c r="P11" s="629"/>
      <c r="Q11" s="446" t="s">
        <v>2320</v>
      </c>
    </row>
    <row r="12" spans="1:17" ht="28.5" customHeight="1" x14ac:dyDescent="0.25">
      <c r="A12" s="1051">
        <v>4</v>
      </c>
      <c r="B12" s="1048">
        <v>44462</v>
      </c>
      <c r="C12" s="349" t="s">
        <v>2924</v>
      </c>
      <c r="D12" s="366" t="s">
        <v>1949</v>
      </c>
      <c r="E12" s="1057" t="s">
        <v>1950</v>
      </c>
      <c r="F12" s="1057" t="s">
        <v>2925</v>
      </c>
      <c r="G12" s="710">
        <v>23000000</v>
      </c>
      <c r="H12" s="1044" t="s">
        <v>1971</v>
      </c>
      <c r="I12" s="1041">
        <v>44468</v>
      </c>
      <c r="J12" s="851">
        <v>22000000</v>
      </c>
      <c r="K12" s="836">
        <v>22000000</v>
      </c>
      <c r="L12" s="192">
        <f>J12-K12</f>
        <v>0</v>
      </c>
      <c r="M12" s="682" t="s">
        <v>3955</v>
      </c>
      <c r="N12" s="402"/>
      <c r="O12" s="402"/>
      <c r="P12" s="629"/>
      <c r="Q12" s="706" t="s">
        <v>2320</v>
      </c>
    </row>
    <row r="13" spans="1:17" ht="28.5" customHeight="1" x14ac:dyDescent="0.25">
      <c r="A13" s="1053"/>
      <c r="B13" s="1050"/>
      <c r="C13" s="349"/>
      <c r="D13" s="366"/>
      <c r="E13" s="1065"/>
      <c r="F13" s="1065"/>
      <c r="G13" s="839">
        <v>1000000</v>
      </c>
      <c r="H13" s="1046"/>
      <c r="I13" s="1043"/>
      <c r="J13" s="854">
        <v>1000000</v>
      </c>
      <c r="K13" s="836">
        <v>1000000</v>
      </c>
      <c r="L13" s="192">
        <f>J13-K13</f>
        <v>0</v>
      </c>
      <c r="M13" s="402">
        <v>44446</v>
      </c>
      <c r="N13" s="402"/>
      <c r="O13" s="402"/>
      <c r="P13" s="836"/>
      <c r="Q13" s="837"/>
    </row>
    <row r="14" spans="1:17" ht="28.5" customHeight="1" x14ac:dyDescent="0.25">
      <c r="A14" s="1051">
        <v>5</v>
      </c>
      <c r="B14" s="331">
        <v>44463</v>
      </c>
      <c r="C14" s="349" t="s">
        <v>2920</v>
      </c>
      <c r="D14" s="366" t="s">
        <v>1949</v>
      </c>
      <c r="E14" s="349" t="s">
        <v>1833</v>
      </c>
      <c r="F14" s="349" t="s">
        <v>2080</v>
      </c>
      <c r="G14" s="1054">
        <v>24000000</v>
      </c>
      <c r="H14" s="1044" t="s">
        <v>1972</v>
      </c>
      <c r="I14" s="1041">
        <v>44468</v>
      </c>
      <c r="J14" s="1038">
        <f>G14</f>
        <v>24000000</v>
      </c>
      <c r="K14" s="835">
        <f>20000000</f>
        <v>20000000</v>
      </c>
      <c r="L14" s="1034">
        <f>J14-K14-K15-K16-K17-K18</f>
        <v>0</v>
      </c>
      <c r="M14" s="402">
        <v>44524</v>
      </c>
      <c r="N14" s="835"/>
      <c r="O14" s="704"/>
      <c r="P14" s="705"/>
      <c r="Q14" s="1037" t="s">
        <v>2321</v>
      </c>
    </row>
    <row r="15" spans="1:17" ht="28.5" customHeight="1" x14ac:dyDescent="0.25">
      <c r="A15" s="1052"/>
      <c r="B15" s="331">
        <v>44473</v>
      </c>
      <c r="C15" s="349" t="s">
        <v>2919</v>
      </c>
      <c r="D15" s="366" t="s">
        <v>1949</v>
      </c>
      <c r="E15" s="349" t="s">
        <v>1833</v>
      </c>
      <c r="F15" s="349" t="s">
        <v>2080</v>
      </c>
      <c r="G15" s="1055"/>
      <c r="H15" s="1045"/>
      <c r="I15" s="1042"/>
      <c r="J15" s="1039"/>
      <c r="K15" s="835">
        <v>4000000</v>
      </c>
      <c r="L15" s="1035"/>
      <c r="M15" s="402">
        <v>44446</v>
      </c>
      <c r="N15" s="835"/>
      <c r="O15" s="628"/>
      <c r="P15" s="629"/>
      <c r="Q15" s="1037"/>
    </row>
    <row r="16" spans="1:17" ht="28.5" customHeight="1" x14ac:dyDescent="0.25">
      <c r="A16" s="1052"/>
      <c r="B16" s="331">
        <v>44480</v>
      </c>
      <c r="C16" s="349" t="s">
        <v>2923</v>
      </c>
      <c r="D16" s="366" t="s">
        <v>1949</v>
      </c>
      <c r="E16" s="349" t="s">
        <v>1833</v>
      </c>
      <c r="F16" s="349" t="s">
        <v>2080</v>
      </c>
      <c r="G16" s="1055"/>
      <c r="H16" s="1045"/>
      <c r="I16" s="1042"/>
      <c r="J16" s="1039"/>
      <c r="K16" s="835"/>
      <c r="L16" s="1035"/>
      <c r="M16" s="835"/>
      <c r="N16" s="835"/>
      <c r="O16" s="704"/>
      <c r="P16" s="705"/>
      <c r="Q16" s="1037"/>
    </row>
    <row r="17" spans="1:17" ht="28.5" customHeight="1" x14ac:dyDescent="0.25">
      <c r="A17" s="1052"/>
      <c r="B17" s="331">
        <v>44492</v>
      </c>
      <c r="C17" s="349" t="s">
        <v>2921</v>
      </c>
      <c r="D17" s="366" t="s">
        <v>1949</v>
      </c>
      <c r="E17" s="349" t="s">
        <v>1833</v>
      </c>
      <c r="F17" s="349" t="s">
        <v>2080</v>
      </c>
      <c r="G17" s="1055"/>
      <c r="H17" s="1045"/>
      <c r="I17" s="1042"/>
      <c r="J17" s="1039"/>
      <c r="K17" s="835"/>
      <c r="L17" s="1035"/>
      <c r="M17" s="835"/>
      <c r="N17" s="835"/>
      <c r="O17" s="704"/>
      <c r="P17" s="705"/>
      <c r="Q17" s="1037"/>
    </row>
    <row r="18" spans="1:17" ht="28.5" customHeight="1" x14ac:dyDescent="0.25">
      <c r="A18" s="1053"/>
      <c r="B18" s="331">
        <v>44492</v>
      </c>
      <c r="C18" s="349" t="s">
        <v>2922</v>
      </c>
      <c r="D18" s="366" t="s">
        <v>1949</v>
      </c>
      <c r="E18" s="349" t="s">
        <v>1833</v>
      </c>
      <c r="F18" s="349" t="s">
        <v>2080</v>
      </c>
      <c r="G18" s="1056"/>
      <c r="H18" s="1046"/>
      <c r="I18" s="1043"/>
      <c r="J18" s="1040"/>
      <c r="K18" s="835"/>
      <c r="L18" s="1036"/>
      <c r="M18" s="835"/>
      <c r="N18" s="835"/>
      <c r="O18" s="704"/>
      <c r="P18" s="705"/>
      <c r="Q18" s="1037"/>
    </row>
    <row r="19" spans="1:17" ht="28.5" customHeight="1" x14ac:dyDescent="0.25">
      <c r="A19" s="707">
        <v>6</v>
      </c>
      <c r="B19" s="331">
        <v>44473</v>
      </c>
      <c r="C19" s="349" t="s">
        <v>2085</v>
      </c>
      <c r="D19" s="366" t="s">
        <v>1949</v>
      </c>
      <c r="E19" s="349" t="s">
        <v>1833</v>
      </c>
      <c r="F19" s="349" t="s">
        <v>2081</v>
      </c>
      <c r="G19" s="710">
        <v>5400000</v>
      </c>
      <c r="H19" s="714" t="s">
        <v>2084</v>
      </c>
      <c r="I19" s="708">
        <v>44484</v>
      </c>
      <c r="J19" s="850">
        <f t="shared" si="1"/>
        <v>5400000</v>
      </c>
      <c r="K19" s="836">
        <f>5000000+400000</f>
        <v>5400000</v>
      </c>
      <c r="L19" s="192">
        <f>J19-K19</f>
        <v>0</v>
      </c>
      <c r="M19" s="402">
        <v>44446</v>
      </c>
      <c r="N19" s="835"/>
      <c r="O19" s="628"/>
      <c r="P19" s="629"/>
      <c r="Q19" s="446" t="s">
        <v>2320</v>
      </c>
    </row>
    <row r="20" spans="1:17" ht="37.5" customHeight="1" x14ac:dyDescent="0.25">
      <c r="A20" s="707">
        <v>7</v>
      </c>
      <c r="B20" s="331">
        <v>44499</v>
      </c>
      <c r="C20" s="349" t="s">
        <v>2462</v>
      </c>
      <c r="D20" s="366" t="s">
        <v>1949</v>
      </c>
      <c r="E20" s="349" t="s">
        <v>2876</v>
      </c>
      <c r="F20" s="349" t="s">
        <v>2916</v>
      </c>
      <c r="G20" s="710">
        <v>18000000</v>
      </c>
      <c r="H20" s="709" t="s">
        <v>2917</v>
      </c>
      <c r="I20" s="708">
        <v>44545</v>
      </c>
      <c r="J20" s="850">
        <v>18000000</v>
      </c>
      <c r="K20" s="836">
        <f>15000000+3000000</f>
        <v>18000000</v>
      </c>
      <c r="L20" s="192">
        <f t="shared" ref="L20" si="2">J20-K20</f>
        <v>0</v>
      </c>
      <c r="M20" s="682" t="s">
        <v>3956</v>
      </c>
      <c r="N20" s="835"/>
      <c r="O20" s="704"/>
      <c r="P20" s="705"/>
      <c r="Q20" s="706"/>
    </row>
    <row r="21" spans="1:17" ht="38.25" customHeight="1" x14ac:dyDescent="0.25">
      <c r="A21" s="950" t="s">
        <v>788</v>
      </c>
      <c r="B21" s="951"/>
      <c r="C21" s="951"/>
      <c r="D21" s="951"/>
      <c r="E21" s="951"/>
      <c r="F21" s="951"/>
      <c r="G21" s="951"/>
      <c r="H21" s="951"/>
      <c r="I21" s="952"/>
      <c r="J21" s="240">
        <f>SUM(J4:J20)</f>
        <v>187400000</v>
      </c>
      <c r="K21" s="666">
        <f>SUM(K4:K20)</f>
        <v>187400000</v>
      </c>
      <c r="L21" s="106">
        <f>J21-K21</f>
        <v>0</v>
      </c>
      <c r="M21" s="239"/>
      <c r="N21" s="863"/>
      <c r="O21" s="239"/>
      <c r="P21" s="240">
        <f>SUM(P4:P19)</f>
        <v>35000000</v>
      </c>
    </row>
    <row r="22" spans="1:17" x14ac:dyDescent="0.25">
      <c r="A22" s="40"/>
      <c r="B22" s="41"/>
      <c r="C22" s="7"/>
      <c r="D22" s="7"/>
      <c r="E22" s="7"/>
      <c r="F22" s="7"/>
      <c r="G22" s="42"/>
      <c r="H22" s="7"/>
      <c r="I22" s="7"/>
      <c r="J22"/>
      <c r="K22"/>
      <c r="L22" s="16"/>
      <c r="M22"/>
      <c r="N22"/>
      <c r="O22"/>
      <c r="P22"/>
    </row>
    <row r="23" spans="1:17" x14ac:dyDescent="0.25">
      <c r="A23" s="40"/>
      <c r="B23" s="41"/>
      <c r="C23" s="7"/>
      <c r="D23" s="7"/>
      <c r="E23" s="7"/>
      <c r="F23" s="7"/>
      <c r="G23" s="42"/>
      <c r="H23" s="7"/>
      <c r="I23" s="7"/>
      <c r="J23"/>
      <c r="K23"/>
      <c r="L23" s="16"/>
      <c r="M23"/>
      <c r="N23"/>
      <c r="O23"/>
      <c r="P23"/>
    </row>
    <row r="24" spans="1:17" x14ac:dyDescent="0.25">
      <c r="A24" s="40"/>
      <c r="B24" s="41"/>
      <c r="C24" s="7"/>
      <c r="D24" s="7"/>
      <c r="E24" s="7"/>
      <c r="F24" s="848">
        <v>44446</v>
      </c>
      <c r="G24" s="7" t="s">
        <v>3952</v>
      </c>
      <c r="H24" s="852">
        <v>10000000</v>
      </c>
      <c r="I24" s="853"/>
      <c r="J24" s="16"/>
      <c r="K24"/>
      <c r="L24"/>
      <c r="M24"/>
      <c r="N24"/>
      <c r="O24"/>
      <c r="P24"/>
    </row>
    <row r="25" spans="1:17" x14ac:dyDescent="0.25">
      <c r="A25" s="40"/>
      <c r="B25" s="41"/>
      <c r="C25" s="7"/>
      <c r="D25" s="7"/>
      <c r="E25" s="7"/>
      <c r="F25" s="848">
        <v>44460</v>
      </c>
      <c r="G25" s="7" t="s">
        <v>3952</v>
      </c>
      <c r="H25" s="852">
        <v>15000000</v>
      </c>
      <c r="I25" s="7"/>
      <c r="J25"/>
      <c r="K25"/>
      <c r="L25"/>
      <c r="M25"/>
      <c r="N25"/>
      <c r="O25"/>
      <c r="P25"/>
    </row>
    <row r="26" spans="1:17" x14ac:dyDescent="0.25">
      <c r="A26" s="40"/>
      <c r="B26" s="41"/>
      <c r="C26" s="7"/>
      <c r="D26" s="7"/>
      <c r="E26" s="7"/>
      <c r="F26" s="848">
        <v>44502</v>
      </c>
      <c r="G26" s="7" t="s">
        <v>3953</v>
      </c>
      <c r="H26" s="852">
        <v>7000000</v>
      </c>
      <c r="I26" s="7"/>
      <c r="J26"/>
      <c r="K26"/>
      <c r="L26"/>
      <c r="M26"/>
      <c r="N26"/>
      <c r="O26"/>
      <c r="P26"/>
    </row>
    <row r="27" spans="1:17" x14ac:dyDescent="0.25">
      <c r="A27" s="40"/>
      <c r="B27" s="41"/>
      <c r="C27" s="7"/>
      <c r="D27" s="7"/>
      <c r="E27" s="7"/>
      <c r="F27" s="848">
        <v>44502</v>
      </c>
      <c r="G27" s="7" t="s">
        <v>3953</v>
      </c>
      <c r="H27" s="852">
        <v>9000000</v>
      </c>
      <c r="I27" s="7"/>
      <c r="J27"/>
      <c r="K27"/>
      <c r="L27"/>
      <c r="M27"/>
      <c r="N27"/>
      <c r="O27"/>
      <c r="P27"/>
    </row>
    <row r="28" spans="1:17" x14ac:dyDescent="0.25">
      <c r="A28" s="40"/>
      <c r="B28" s="41"/>
      <c r="C28" s="7"/>
      <c r="D28" s="7"/>
      <c r="E28" s="7"/>
      <c r="F28" s="848">
        <v>44509</v>
      </c>
      <c r="G28" s="7" t="s">
        <v>3954</v>
      </c>
      <c r="H28" s="852">
        <v>13000000</v>
      </c>
      <c r="I28" s="7"/>
      <c r="J28"/>
      <c r="K28"/>
      <c r="L28"/>
      <c r="M28"/>
      <c r="N28"/>
      <c r="O28"/>
      <c r="P28"/>
    </row>
    <row r="29" spans="1:17" x14ac:dyDescent="0.25">
      <c r="A29" s="40"/>
      <c r="B29" s="41"/>
      <c r="C29" s="7"/>
      <c r="D29" s="7"/>
      <c r="E29" s="7"/>
      <c r="F29" s="848">
        <v>44524</v>
      </c>
      <c r="G29" s="7" t="s">
        <v>3953</v>
      </c>
      <c r="H29" s="852">
        <v>20000000</v>
      </c>
      <c r="I29" s="7"/>
      <c r="J29"/>
      <c r="K29"/>
      <c r="L29"/>
      <c r="M29"/>
      <c r="N29"/>
      <c r="O29"/>
      <c r="P29"/>
    </row>
    <row r="30" spans="1:17" x14ac:dyDescent="0.25">
      <c r="A30" s="40"/>
      <c r="B30" s="41"/>
      <c r="C30" s="7"/>
      <c r="D30" s="7"/>
      <c r="E30" s="7"/>
      <c r="F30" s="848">
        <v>44580</v>
      </c>
      <c r="G30" s="7" t="s">
        <v>3953</v>
      </c>
      <c r="H30" s="852">
        <v>3400000</v>
      </c>
      <c r="I30" s="7"/>
      <c r="J30"/>
      <c r="K30"/>
      <c r="L30"/>
      <c r="M30"/>
      <c r="N30"/>
      <c r="O30"/>
      <c r="P30"/>
    </row>
    <row r="31" spans="1:17" x14ac:dyDescent="0.25">
      <c r="A31" s="40"/>
      <c r="B31" s="41"/>
      <c r="C31" s="7"/>
      <c r="D31" s="7"/>
      <c r="E31" s="7"/>
      <c r="F31" s="7"/>
      <c r="G31" s="7"/>
      <c r="H31" s="849">
        <f>SUM(H24:H30)</f>
        <v>77400000</v>
      </c>
      <c r="J31" s="853">
        <f>J21-H31</f>
        <v>110000000</v>
      </c>
      <c r="K31"/>
      <c r="L31"/>
      <c r="M31"/>
      <c r="N31"/>
      <c r="O31"/>
      <c r="P31"/>
    </row>
    <row r="32" spans="1:17" x14ac:dyDescent="0.25">
      <c r="A32" s="40"/>
      <c r="B32" s="41"/>
      <c r="C32" s="7"/>
      <c r="D32" s="7"/>
      <c r="E32" s="7"/>
      <c r="F32" s="7"/>
      <c r="G32" s="7"/>
      <c r="H32" s="7"/>
      <c r="I32" s="7"/>
      <c r="J32"/>
      <c r="K32"/>
      <c r="L32"/>
      <c r="M32"/>
      <c r="N32"/>
      <c r="O32"/>
      <c r="P32"/>
    </row>
    <row r="33" spans="1:16" x14ac:dyDescent="0.25">
      <c r="A33" s="40"/>
      <c r="B33" s="41"/>
      <c r="C33" s="7"/>
      <c r="D33" s="7"/>
      <c r="E33" s="7"/>
      <c r="H33" s="7"/>
      <c r="I33" s="7"/>
      <c r="J33"/>
      <c r="K33"/>
      <c r="L33"/>
      <c r="M33"/>
      <c r="N33"/>
      <c r="O33"/>
      <c r="P33"/>
    </row>
    <row r="34" spans="1:16" x14ac:dyDescent="0.25">
      <c r="A34" s="40"/>
      <c r="B34" s="41"/>
      <c r="C34" s="7"/>
      <c r="D34" s="7"/>
      <c r="E34" s="7"/>
      <c r="F34" s="7"/>
      <c r="G34" s="42"/>
      <c r="H34" s="7"/>
      <c r="I34" s="7"/>
      <c r="J34"/>
      <c r="K34"/>
      <c r="L34"/>
      <c r="M34"/>
      <c r="N34"/>
      <c r="O34"/>
      <c r="P34"/>
    </row>
    <row r="35" spans="1:16" x14ac:dyDescent="0.25">
      <c r="A35" s="40"/>
      <c r="B35" s="41"/>
      <c r="C35" s="7"/>
      <c r="D35" s="7"/>
      <c r="E35" s="7"/>
      <c r="F35" s="7"/>
      <c r="G35" s="42"/>
      <c r="H35" s="7"/>
      <c r="I35" s="7"/>
      <c r="J35"/>
      <c r="K35"/>
      <c r="L35"/>
      <c r="M35"/>
      <c r="N35"/>
      <c r="O35"/>
      <c r="P35"/>
    </row>
    <row r="36" spans="1:16" x14ac:dyDescent="0.25">
      <c r="A36" s="40"/>
      <c r="B36" s="41"/>
      <c r="C36" s="7"/>
      <c r="D36" s="7"/>
      <c r="E36" s="7"/>
      <c r="F36" s="7"/>
      <c r="G36" s="42"/>
      <c r="H36" s="7"/>
      <c r="I36" s="7"/>
      <c r="J36"/>
      <c r="K36"/>
      <c r="L36"/>
      <c r="M36"/>
      <c r="N36"/>
      <c r="O36"/>
      <c r="P36"/>
    </row>
    <row r="37" spans="1:16" x14ac:dyDescent="0.25">
      <c r="A37" s="40"/>
      <c r="B37" s="41"/>
      <c r="C37" s="7"/>
      <c r="D37" s="7"/>
      <c r="E37" s="7"/>
      <c r="F37" s="7"/>
      <c r="G37" s="42"/>
      <c r="H37" s="7"/>
      <c r="I37" s="7"/>
      <c r="J37"/>
      <c r="K37"/>
      <c r="L37"/>
      <c r="M37"/>
      <c r="N37"/>
      <c r="O37"/>
      <c r="P37"/>
    </row>
    <row r="38" spans="1:16" x14ac:dyDescent="0.25">
      <c r="A38" s="40"/>
      <c r="B38" s="41"/>
      <c r="C38" s="7"/>
      <c r="D38" s="7"/>
      <c r="E38" s="7"/>
      <c r="F38" s="7"/>
      <c r="G38" s="42"/>
      <c r="H38" s="7"/>
      <c r="I38" s="7"/>
      <c r="J38"/>
      <c r="K38"/>
      <c r="L38"/>
      <c r="M38"/>
      <c r="N38"/>
      <c r="O38"/>
      <c r="P38"/>
    </row>
    <row r="39" spans="1:16" x14ac:dyDescent="0.25">
      <c r="A39" s="40"/>
      <c r="B39" s="41"/>
      <c r="C39" s="7"/>
      <c r="D39" s="7"/>
      <c r="E39" s="7"/>
      <c r="F39" s="7"/>
      <c r="G39" s="42"/>
      <c r="H39" s="7"/>
      <c r="I39" s="7"/>
      <c r="J39"/>
      <c r="K39"/>
      <c r="L39"/>
      <c r="M39"/>
      <c r="N39"/>
      <c r="O39"/>
      <c r="P39"/>
    </row>
    <row r="40" spans="1:16" x14ac:dyDescent="0.25">
      <c r="A40" s="40"/>
      <c r="B40" s="41"/>
      <c r="C40" s="7"/>
      <c r="D40" s="7"/>
      <c r="E40" s="7"/>
      <c r="F40" s="7"/>
      <c r="G40" s="42"/>
      <c r="H40" s="7"/>
      <c r="I40" s="7"/>
      <c r="J40"/>
      <c r="K40"/>
      <c r="L40"/>
      <c r="M40"/>
      <c r="N40"/>
      <c r="O40"/>
      <c r="P40"/>
    </row>
    <row r="41" spans="1:16" x14ac:dyDescent="0.25">
      <c r="A41" s="40"/>
      <c r="B41" s="41"/>
      <c r="C41" s="7"/>
      <c r="D41" s="7"/>
      <c r="E41" s="7"/>
      <c r="F41" s="7"/>
      <c r="G41" s="42"/>
      <c r="H41" s="7"/>
      <c r="I41" s="7"/>
      <c r="J41"/>
      <c r="K41"/>
      <c r="L41"/>
      <c r="M41"/>
      <c r="N41"/>
      <c r="O41"/>
      <c r="P41"/>
    </row>
    <row r="42" spans="1:16" x14ac:dyDescent="0.25">
      <c r="A42" s="40"/>
      <c r="B42" s="41"/>
      <c r="C42" s="7"/>
      <c r="D42" s="7"/>
      <c r="E42" s="7"/>
      <c r="F42" s="7"/>
      <c r="G42" s="42"/>
      <c r="H42" s="7"/>
      <c r="I42" s="7"/>
      <c r="J42"/>
      <c r="K42"/>
      <c r="L42"/>
      <c r="M42"/>
      <c r="N42"/>
      <c r="O42"/>
      <c r="P42"/>
    </row>
    <row r="43" spans="1:16" x14ac:dyDescent="0.25">
      <c r="A43" s="40"/>
      <c r="B43" s="41"/>
      <c r="C43" s="7"/>
      <c r="D43" s="7"/>
      <c r="E43" s="7"/>
      <c r="F43" s="7"/>
      <c r="G43" s="42"/>
      <c r="H43" s="7"/>
      <c r="I43" s="7"/>
      <c r="J43"/>
      <c r="K43"/>
      <c r="L43"/>
      <c r="M43"/>
      <c r="N43"/>
      <c r="O43"/>
      <c r="P43"/>
    </row>
    <row r="44" spans="1:16" x14ac:dyDescent="0.25">
      <c r="A44" s="40"/>
      <c r="B44" s="41"/>
      <c r="C44" s="7"/>
      <c r="D44" s="7"/>
      <c r="E44" s="7"/>
      <c r="F44" s="7"/>
      <c r="G44" s="42"/>
      <c r="H44" s="7"/>
      <c r="I44" s="7"/>
      <c r="J44"/>
      <c r="K44"/>
      <c r="L44"/>
      <c r="M44"/>
      <c r="N44"/>
      <c r="O44"/>
      <c r="P44"/>
    </row>
    <row r="45" spans="1:16" x14ac:dyDescent="0.25">
      <c r="A45" s="40"/>
      <c r="B45" s="41"/>
      <c r="C45" s="7"/>
      <c r="D45" s="7"/>
      <c r="E45" s="7"/>
      <c r="F45" s="7"/>
      <c r="G45" s="42"/>
      <c r="H45" s="7"/>
      <c r="I45" s="7"/>
      <c r="J45"/>
      <c r="K45"/>
      <c r="L45"/>
      <c r="M45"/>
      <c r="N45"/>
      <c r="O45"/>
      <c r="P45"/>
    </row>
    <row r="46" spans="1:16" x14ac:dyDescent="0.25">
      <c r="A46" s="40"/>
      <c r="B46" s="41"/>
      <c r="C46" s="7"/>
      <c r="D46" s="7"/>
      <c r="E46" s="7"/>
      <c r="F46" s="7"/>
      <c r="G46" s="42"/>
      <c r="H46" s="7"/>
      <c r="I46" s="7"/>
      <c r="J46"/>
      <c r="K46"/>
      <c r="L46"/>
      <c r="M46"/>
      <c r="N46"/>
      <c r="O46"/>
      <c r="P46"/>
    </row>
    <row r="47" spans="1:16" x14ac:dyDescent="0.25">
      <c r="A47" s="40"/>
      <c r="B47" s="41"/>
      <c r="C47" s="7"/>
      <c r="D47" s="7"/>
      <c r="E47" s="7"/>
      <c r="F47" s="7"/>
      <c r="G47" s="42"/>
      <c r="H47" s="7"/>
      <c r="I47" s="7"/>
      <c r="J47"/>
      <c r="K47"/>
      <c r="L47"/>
      <c r="M47"/>
      <c r="N47"/>
      <c r="O47"/>
      <c r="P47"/>
    </row>
    <row r="48" spans="1:16" x14ac:dyDescent="0.25">
      <c r="A48" s="40"/>
      <c r="B48" s="41"/>
      <c r="C48" s="7"/>
      <c r="D48" s="7"/>
      <c r="E48" s="7"/>
      <c r="F48" s="7"/>
      <c r="G48" s="42"/>
      <c r="H48" s="7"/>
      <c r="I48" s="7"/>
      <c r="J48"/>
      <c r="K48"/>
      <c r="L48"/>
      <c r="M48"/>
      <c r="N48"/>
      <c r="O48"/>
      <c r="P48"/>
    </row>
    <row r="49" spans="1:16" x14ac:dyDescent="0.25">
      <c r="A49" s="40"/>
      <c r="B49" s="41"/>
      <c r="C49" s="7"/>
      <c r="D49" s="7"/>
      <c r="E49" s="7"/>
      <c r="F49" s="7"/>
      <c r="G49" s="42"/>
      <c r="H49" s="7"/>
      <c r="I49" s="7"/>
      <c r="J49"/>
      <c r="K49"/>
      <c r="L49"/>
      <c r="M49"/>
      <c r="N49"/>
      <c r="O49"/>
      <c r="P49"/>
    </row>
    <row r="50" spans="1:16" x14ac:dyDescent="0.25">
      <c r="A50" s="40"/>
      <c r="B50" s="41"/>
      <c r="C50" s="7"/>
      <c r="D50" s="7"/>
      <c r="E50" s="7"/>
      <c r="F50" s="7"/>
      <c r="G50" s="42"/>
      <c r="H50" s="7"/>
      <c r="I50" s="7"/>
      <c r="J50"/>
      <c r="K50"/>
      <c r="L50"/>
      <c r="M50"/>
      <c r="N50"/>
      <c r="O50"/>
      <c r="P50"/>
    </row>
    <row r="51" spans="1:16" x14ac:dyDescent="0.25">
      <c r="A51" s="40"/>
      <c r="B51" s="41"/>
      <c r="C51" s="7"/>
      <c r="D51" s="7"/>
      <c r="E51" s="7"/>
      <c r="F51" s="7"/>
      <c r="G51" s="42"/>
      <c r="H51" s="7"/>
      <c r="I51" s="7"/>
      <c r="J51"/>
      <c r="K51"/>
      <c r="L51"/>
      <c r="M51"/>
      <c r="N51"/>
      <c r="O51"/>
      <c r="P51"/>
    </row>
    <row r="52" spans="1:16" x14ac:dyDescent="0.25">
      <c r="A52" s="40"/>
      <c r="B52" s="41"/>
      <c r="C52" s="7"/>
      <c r="D52" s="7"/>
      <c r="E52" s="7"/>
      <c r="F52" s="7"/>
      <c r="G52" s="42"/>
      <c r="H52" s="7"/>
      <c r="I52" s="7"/>
      <c r="J52"/>
      <c r="K52"/>
      <c r="L52"/>
      <c r="M52"/>
      <c r="N52"/>
      <c r="O52"/>
      <c r="P52"/>
    </row>
    <row r="53" spans="1:16" x14ac:dyDescent="0.25">
      <c r="A53" s="40"/>
      <c r="B53" s="41"/>
      <c r="C53" s="7"/>
      <c r="D53" s="7"/>
      <c r="E53" s="7"/>
      <c r="F53" s="7"/>
      <c r="G53" s="42"/>
      <c r="H53" s="7"/>
      <c r="I53" s="7"/>
      <c r="J53"/>
      <c r="K53"/>
      <c r="L53"/>
      <c r="M53"/>
      <c r="N53"/>
      <c r="O53"/>
      <c r="P53"/>
    </row>
    <row r="54" spans="1:16" x14ac:dyDescent="0.25">
      <c r="A54" s="40"/>
      <c r="B54" s="41"/>
      <c r="C54" s="7"/>
      <c r="D54" s="7"/>
      <c r="E54" s="7"/>
      <c r="F54" s="7"/>
      <c r="G54" s="42"/>
      <c r="H54" s="7"/>
      <c r="I54" s="7"/>
      <c r="J54"/>
      <c r="K54"/>
      <c r="L54"/>
      <c r="M54"/>
      <c r="N54"/>
      <c r="O54"/>
      <c r="P54"/>
    </row>
    <row r="55" spans="1:16" x14ac:dyDescent="0.25">
      <c r="A55" s="40"/>
      <c r="B55" s="41"/>
      <c r="C55" s="7"/>
      <c r="D55" s="7"/>
      <c r="E55" s="7"/>
      <c r="F55" s="7"/>
      <c r="G55" s="42"/>
      <c r="H55" s="7"/>
      <c r="I55" s="7"/>
      <c r="J55"/>
      <c r="K55"/>
      <c r="L55"/>
      <c r="M55"/>
      <c r="N55"/>
      <c r="O55"/>
      <c r="P55"/>
    </row>
    <row r="56" spans="1:16" x14ac:dyDescent="0.25">
      <c r="A56" s="40"/>
      <c r="B56" s="41"/>
      <c r="C56" s="7"/>
      <c r="D56" s="7"/>
      <c r="E56" s="7"/>
      <c r="F56" s="7"/>
      <c r="G56" s="42"/>
      <c r="H56" s="7"/>
      <c r="I56" s="7"/>
      <c r="J56"/>
      <c r="K56"/>
      <c r="L56"/>
      <c r="M56"/>
      <c r="N56"/>
      <c r="O56"/>
      <c r="P56"/>
    </row>
    <row r="57" spans="1:16" x14ac:dyDescent="0.25">
      <c r="A57" s="40"/>
      <c r="B57" s="41"/>
      <c r="C57" s="7"/>
      <c r="D57" s="7"/>
      <c r="E57" s="7"/>
      <c r="F57" s="7"/>
      <c r="G57" s="42"/>
      <c r="H57" s="7"/>
      <c r="I57" s="7"/>
      <c r="J57"/>
      <c r="K57"/>
      <c r="L57"/>
      <c r="M57"/>
      <c r="N57"/>
      <c r="O57"/>
      <c r="P57"/>
    </row>
    <row r="58" spans="1:16" x14ac:dyDescent="0.25">
      <c r="A58" s="40"/>
      <c r="B58" s="41"/>
      <c r="C58" s="7"/>
      <c r="D58" s="7"/>
      <c r="E58" s="7"/>
      <c r="F58" s="7"/>
      <c r="G58" s="42"/>
      <c r="H58" s="7"/>
      <c r="I58" s="7"/>
      <c r="J58"/>
      <c r="K58"/>
      <c r="L58"/>
      <c r="M58"/>
      <c r="N58"/>
      <c r="O58"/>
      <c r="P58"/>
    </row>
    <row r="59" spans="1:16" x14ac:dyDescent="0.25">
      <c r="A59" s="40"/>
      <c r="B59" s="41"/>
      <c r="C59" s="7"/>
      <c r="D59" s="7"/>
      <c r="E59" s="7"/>
      <c r="F59" s="7"/>
      <c r="G59" s="42"/>
      <c r="H59" s="7"/>
      <c r="I59" s="7"/>
      <c r="J59"/>
      <c r="K59"/>
      <c r="L59"/>
      <c r="M59"/>
      <c r="N59"/>
      <c r="O59"/>
      <c r="P59"/>
    </row>
    <row r="60" spans="1:16" x14ac:dyDescent="0.25">
      <c r="A60" s="40"/>
      <c r="B60" s="41"/>
      <c r="C60" s="7"/>
      <c r="D60" s="7"/>
      <c r="E60" s="7"/>
      <c r="F60" s="7"/>
      <c r="G60" s="42"/>
      <c r="H60" s="7"/>
      <c r="I60" s="7"/>
      <c r="J60"/>
      <c r="K60"/>
      <c r="L60"/>
      <c r="M60"/>
      <c r="N60"/>
      <c r="O60"/>
      <c r="P60"/>
    </row>
    <row r="61" spans="1:16" x14ac:dyDescent="0.25">
      <c r="A61" s="40"/>
      <c r="B61" s="41"/>
      <c r="C61" s="7"/>
      <c r="D61" s="7"/>
      <c r="E61" s="7"/>
      <c r="F61" s="7"/>
      <c r="G61" s="42"/>
      <c r="H61" s="7"/>
      <c r="I61" s="7"/>
      <c r="J61"/>
      <c r="K61"/>
      <c r="L61"/>
      <c r="M61"/>
      <c r="N61"/>
      <c r="O61"/>
      <c r="P61"/>
    </row>
    <row r="62" spans="1:16" x14ac:dyDescent="0.25">
      <c r="A62" s="40"/>
      <c r="B62" s="41"/>
      <c r="C62" s="7"/>
      <c r="D62" s="7"/>
      <c r="E62" s="7"/>
      <c r="F62" s="7"/>
      <c r="G62" s="42"/>
      <c r="H62" s="7"/>
      <c r="I62" s="7"/>
      <c r="J62"/>
      <c r="K62"/>
      <c r="L62"/>
      <c r="M62"/>
      <c r="N62"/>
      <c r="O62"/>
      <c r="P62"/>
    </row>
    <row r="63" spans="1:16" x14ac:dyDescent="0.25">
      <c r="A63" s="40"/>
      <c r="B63" s="41"/>
      <c r="C63" s="7"/>
      <c r="D63" s="7"/>
      <c r="E63" s="7"/>
      <c r="F63" s="7"/>
      <c r="G63" s="42"/>
      <c r="H63" s="7"/>
      <c r="I63" s="7"/>
      <c r="J63"/>
      <c r="K63"/>
      <c r="L63"/>
      <c r="M63"/>
      <c r="N63"/>
      <c r="O63"/>
      <c r="P63"/>
    </row>
    <row r="64" spans="1:16" x14ac:dyDescent="0.25">
      <c r="A64" s="40"/>
      <c r="B64" s="41"/>
      <c r="C64" s="7"/>
      <c r="D64" s="7"/>
      <c r="E64" s="7"/>
      <c r="F64" s="7"/>
      <c r="G64" s="42"/>
      <c r="H64" s="7"/>
      <c r="I64" s="7"/>
      <c r="J64"/>
      <c r="K64"/>
      <c r="L64"/>
      <c r="M64"/>
      <c r="N64"/>
      <c r="O64"/>
      <c r="P64"/>
    </row>
    <row r="65" spans="1:16" x14ac:dyDescent="0.25">
      <c r="A65" s="40"/>
      <c r="B65" s="41"/>
      <c r="C65" s="7"/>
      <c r="D65" s="7"/>
      <c r="E65" s="7"/>
      <c r="F65" s="7"/>
      <c r="G65" s="42"/>
      <c r="H65" s="7"/>
      <c r="I65" s="7"/>
      <c r="J65"/>
      <c r="K65"/>
      <c r="L65"/>
      <c r="M65"/>
      <c r="N65"/>
      <c r="O65"/>
      <c r="P65"/>
    </row>
    <row r="66" spans="1:16" x14ac:dyDescent="0.25">
      <c r="A66" s="40"/>
      <c r="B66" s="41"/>
      <c r="C66" s="7"/>
      <c r="D66" s="7"/>
      <c r="E66" s="7"/>
      <c r="F66" s="7"/>
      <c r="G66" s="42"/>
      <c r="H66" s="7"/>
      <c r="I66" s="7"/>
      <c r="J66"/>
      <c r="K66"/>
      <c r="L66"/>
      <c r="M66"/>
      <c r="N66"/>
      <c r="O66"/>
      <c r="P66"/>
    </row>
    <row r="67" spans="1:16" x14ac:dyDescent="0.25">
      <c r="A67" s="40"/>
      <c r="B67" s="41"/>
      <c r="C67" s="7"/>
      <c r="D67" s="7"/>
      <c r="E67" s="7"/>
      <c r="F67" s="7"/>
      <c r="G67" s="42"/>
      <c r="H67" s="7"/>
      <c r="I67" s="7"/>
      <c r="J67"/>
      <c r="K67"/>
      <c r="L67"/>
      <c r="M67"/>
      <c r="N67"/>
      <c r="O67"/>
      <c r="P67"/>
    </row>
    <row r="68" spans="1:16" x14ac:dyDescent="0.25">
      <c r="A68" s="40"/>
      <c r="B68" s="41"/>
      <c r="C68" s="7"/>
      <c r="D68" s="7"/>
      <c r="E68" s="7"/>
      <c r="F68" s="7"/>
      <c r="G68" s="42"/>
      <c r="H68" s="7"/>
      <c r="I68" s="7"/>
      <c r="J68"/>
      <c r="K68"/>
      <c r="L68"/>
      <c r="M68"/>
      <c r="N68"/>
      <c r="O68"/>
      <c r="P68"/>
    </row>
    <row r="69" spans="1:16" x14ac:dyDescent="0.25">
      <c r="A69" s="40"/>
      <c r="B69" s="41"/>
      <c r="C69" s="7"/>
      <c r="D69" s="7"/>
      <c r="E69" s="7"/>
      <c r="F69" s="7"/>
      <c r="G69" s="42"/>
      <c r="H69" s="7"/>
      <c r="I69" s="7"/>
      <c r="J69"/>
      <c r="K69"/>
      <c r="L69"/>
      <c r="M69"/>
      <c r="N69"/>
      <c r="O69"/>
      <c r="P69"/>
    </row>
    <row r="70" spans="1:16" x14ac:dyDescent="0.25">
      <c r="A70" s="40"/>
      <c r="B70" s="41"/>
      <c r="C70" s="7"/>
      <c r="D70" s="7"/>
      <c r="E70" s="7"/>
      <c r="F70" s="7"/>
      <c r="G70" s="42"/>
      <c r="H70" s="7"/>
      <c r="I70" s="7"/>
      <c r="J70"/>
      <c r="K70"/>
      <c r="L70"/>
      <c r="M70"/>
      <c r="N70"/>
      <c r="O70"/>
      <c r="P70"/>
    </row>
    <row r="71" spans="1:16" x14ac:dyDescent="0.25">
      <c r="A71" s="40"/>
      <c r="B71" s="41"/>
      <c r="C71" s="7"/>
      <c r="D71" s="7"/>
      <c r="E71" s="7"/>
      <c r="F71" s="7"/>
      <c r="G71" s="42"/>
      <c r="H71" s="7"/>
      <c r="I71" s="7"/>
      <c r="J71"/>
      <c r="K71"/>
      <c r="L71"/>
      <c r="M71"/>
      <c r="N71"/>
      <c r="O71"/>
      <c r="P71"/>
    </row>
    <row r="72" spans="1:16" x14ac:dyDescent="0.25">
      <c r="A72" s="40"/>
      <c r="B72" s="41"/>
      <c r="C72" s="7"/>
      <c r="D72" s="7"/>
      <c r="E72" s="7"/>
      <c r="F72" s="7"/>
      <c r="G72" s="42"/>
      <c r="H72" s="7"/>
      <c r="I72" s="7"/>
      <c r="J72"/>
      <c r="K72"/>
      <c r="L72"/>
      <c r="M72"/>
      <c r="N72"/>
      <c r="O72"/>
      <c r="P72"/>
    </row>
    <row r="73" spans="1:16" x14ac:dyDescent="0.25">
      <c r="A73" s="40"/>
      <c r="B73" s="41"/>
      <c r="C73" s="7"/>
      <c r="D73" s="7"/>
      <c r="E73" s="7"/>
      <c r="F73" s="7"/>
      <c r="G73" s="42"/>
      <c r="H73" s="7"/>
      <c r="I73" s="7"/>
      <c r="J73"/>
      <c r="K73"/>
      <c r="L73"/>
      <c r="M73"/>
      <c r="N73"/>
      <c r="O73"/>
      <c r="P73"/>
    </row>
    <row r="74" spans="1:16" x14ac:dyDescent="0.25">
      <c r="A74" s="40"/>
      <c r="B74" s="41"/>
      <c r="C74" s="7"/>
      <c r="D74" s="7"/>
      <c r="E74" s="7"/>
      <c r="F74" s="7"/>
      <c r="G74" s="42"/>
      <c r="H74" s="7"/>
      <c r="I74" s="7"/>
      <c r="J74"/>
      <c r="K74"/>
      <c r="L74"/>
      <c r="M74"/>
      <c r="N74"/>
      <c r="O74"/>
      <c r="P74"/>
    </row>
    <row r="75" spans="1:16" x14ac:dyDescent="0.25">
      <c r="A75" s="40"/>
      <c r="B75" s="41"/>
      <c r="C75" s="7"/>
      <c r="D75" s="7"/>
      <c r="E75" s="7"/>
      <c r="F75" s="7"/>
      <c r="G75" s="42"/>
      <c r="H75" s="7"/>
      <c r="I75" s="7"/>
      <c r="J75"/>
      <c r="K75"/>
      <c r="L75"/>
      <c r="M75"/>
      <c r="N75"/>
      <c r="O75"/>
      <c r="P75"/>
    </row>
    <row r="76" spans="1:16" x14ac:dyDescent="0.25">
      <c r="A76" s="40"/>
      <c r="B76" s="41"/>
      <c r="C76" s="7"/>
      <c r="D76" s="7"/>
      <c r="E76" s="7"/>
      <c r="F76" s="7"/>
      <c r="G76" s="42"/>
      <c r="H76" s="7"/>
      <c r="I76" s="7"/>
      <c r="J76"/>
      <c r="K76"/>
      <c r="L76"/>
      <c r="M76"/>
      <c r="N76"/>
      <c r="O76"/>
      <c r="P76"/>
    </row>
    <row r="77" spans="1:16" x14ac:dyDescent="0.25">
      <c r="A77" s="40"/>
      <c r="B77" s="41"/>
      <c r="C77" s="7"/>
      <c r="D77" s="7"/>
      <c r="E77" s="7"/>
      <c r="F77" s="7"/>
      <c r="G77" s="42"/>
      <c r="H77" s="7"/>
      <c r="I77" s="7"/>
      <c r="J77"/>
      <c r="K77"/>
      <c r="L77"/>
      <c r="M77"/>
      <c r="N77"/>
      <c r="O77"/>
      <c r="P77"/>
    </row>
    <row r="78" spans="1:16" x14ac:dyDescent="0.25">
      <c r="A78" s="40"/>
      <c r="B78" s="41"/>
      <c r="C78" s="7"/>
      <c r="D78" s="7"/>
      <c r="E78" s="7"/>
      <c r="F78" s="7"/>
      <c r="G78" s="42"/>
      <c r="H78" s="7"/>
      <c r="I78" s="7"/>
      <c r="J78"/>
      <c r="K78"/>
      <c r="L78"/>
      <c r="M78"/>
      <c r="N78"/>
      <c r="O78"/>
      <c r="P78"/>
    </row>
    <row r="79" spans="1:16" x14ac:dyDescent="0.25">
      <c r="A79" s="40"/>
      <c r="B79" s="41"/>
      <c r="C79" s="7"/>
      <c r="D79" s="7"/>
      <c r="E79" s="7"/>
      <c r="F79" s="7"/>
      <c r="G79" s="42"/>
      <c r="H79" s="7"/>
      <c r="I79" s="7"/>
      <c r="J79"/>
      <c r="K79"/>
      <c r="L79"/>
      <c r="M79"/>
      <c r="N79"/>
      <c r="O79"/>
      <c r="P79"/>
    </row>
    <row r="80" spans="1:16" x14ac:dyDescent="0.25">
      <c r="A80" s="40"/>
      <c r="B80" s="41"/>
      <c r="C80" s="7"/>
      <c r="D80" s="7"/>
      <c r="E80" s="7"/>
      <c r="F80" s="7"/>
      <c r="G80" s="42"/>
      <c r="H80" s="7"/>
      <c r="I80" s="7"/>
      <c r="J80"/>
      <c r="K80"/>
      <c r="L80"/>
      <c r="M80"/>
      <c r="N80"/>
      <c r="O80"/>
      <c r="P80"/>
    </row>
    <row r="81" spans="1:16" x14ac:dyDescent="0.25">
      <c r="A81" s="40"/>
      <c r="B81" s="41"/>
      <c r="C81" s="7"/>
      <c r="D81" s="7"/>
      <c r="E81" s="7"/>
      <c r="F81" s="7"/>
      <c r="G81" s="42"/>
      <c r="H81" s="7"/>
      <c r="I81" s="7"/>
      <c r="J81"/>
      <c r="K81"/>
      <c r="L81"/>
      <c r="M81"/>
      <c r="N81"/>
      <c r="O81"/>
      <c r="P81"/>
    </row>
    <row r="82" spans="1:16" x14ac:dyDescent="0.25">
      <c r="A82" s="40"/>
      <c r="B82" s="41"/>
      <c r="C82" s="7"/>
      <c r="D82" s="7"/>
      <c r="E82" s="7"/>
      <c r="F82" s="7"/>
      <c r="G82" s="42"/>
      <c r="H82" s="7"/>
      <c r="I82" s="7"/>
      <c r="J82"/>
      <c r="K82"/>
      <c r="L82"/>
      <c r="M82"/>
      <c r="N82"/>
      <c r="O82"/>
      <c r="P82"/>
    </row>
    <row r="83" spans="1:16" x14ac:dyDescent="0.25">
      <c r="A83" s="40"/>
      <c r="B83" s="41"/>
      <c r="C83" s="7"/>
      <c r="D83" s="7"/>
      <c r="E83" s="7"/>
      <c r="F83" s="7"/>
      <c r="G83" s="42"/>
      <c r="H83" s="7"/>
      <c r="I83" s="7"/>
      <c r="J83"/>
      <c r="K83"/>
      <c r="L83"/>
      <c r="M83"/>
      <c r="N83"/>
      <c r="O83"/>
      <c r="P83"/>
    </row>
    <row r="84" spans="1:16" x14ac:dyDescent="0.25">
      <c r="A84" s="40"/>
      <c r="B84" s="41"/>
      <c r="C84" s="7"/>
      <c r="D84" s="7"/>
      <c r="E84" s="7"/>
      <c r="F84" s="7"/>
      <c r="G84" s="42"/>
      <c r="H84" s="7"/>
      <c r="I84" s="7"/>
      <c r="J84"/>
      <c r="K84"/>
      <c r="L84"/>
      <c r="M84"/>
      <c r="N84"/>
      <c r="O84"/>
      <c r="P84"/>
    </row>
    <row r="85" spans="1:16" x14ac:dyDescent="0.25">
      <c r="A85" s="40"/>
      <c r="B85" s="41"/>
      <c r="C85" s="7"/>
      <c r="D85" s="7"/>
      <c r="E85" s="7"/>
      <c r="F85" s="7"/>
      <c r="G85" s="42"/>
      <c r="H85" s="7"/>
      <c r="I85" s="7"/>
      <c r="J85"/>
      <c r="K85"/>
      <c r="L85"/>
      <c r="M85"/>
      <c r="N85"/>
      <c r="O85"/>
      <c r="P85"/>
    </row>
    <row r="86" spans="1:16" x14ac:dyDescent="0.25">
      <c r="A86" s="40"/>
      <c r="B86" s="41"/>
      <c r="C86" s="7"/>
      <c r="D86" s="7"/>
      <c r="E86" s="7"/>
      <c r="F86" s="7"/>
      <c r="G86" s="42"/>
      <c r="H86" s="7"/>
      <c r="I86" s="7"/>
      <c r="J86"/>
      <c r="K86"/>
      <c r="L86"/>
      <c r="M86"/>
      <c r="N86"/>
      <c r="O86"/>
      <c r="P86"/>
    </row>
    <row r="87" spans="1:16" x14ac:dyDescent="0.25">
      <c r="A87" s="40"/>
      <c r="B87" s="41"/>
      <c r="C87" s="7"/>
      <c r="D87" s="7"/>
      <c r="E87" s="7"/>
      <c r="F87" s="7"/>
      <c r="G87" s="42"/>
      <c r="H87" s="7"/>
      <c r="I87" s="7"/>
      <c r="J87"/>
      <c r="K87"/>
      <c r="L87"/>
      <c r="M87"/>
      <c r="N87"/>
      <c r="O87"/>
      <c r="P87"/>
    </row>
    <row r="88" spans="1:16" x14ac:dyDescent="0.25">
      <c r="A88" s="40"/>
      <c r="B88" s="41"/>
      <c r="C88" s="7"/>
      <c r="D88" s="7"/>
      <c r="E88" s="7"/>
      <c r="F88" s="7"/>
      <c r="G88" s="42"/>
      <c r="H88" s="7"/>
      <c r="I88" s="7"/>
      <c r="J88"/>
      <c r="K88"/>
      <c r="L88"/>
      <c r="M88"/>
      <c r="N88"/>
      <c r="O88"/>
      <c r="P88"/>
    </row>
    <row r="89" spans="1:16" x14ac:dyDescent="0.25">
      <c r="A89" s="40"/>
      <c r="B89" s="41"/>
      <c r="C89" s="7"/>
      <c r="D89" s="7"/>
      <c r="E89" s="7"/>
      <c r="F89" s="7"/>
      <c r="G89" s="42"/>
      <c r="H89" s="7"/>
      <c r="I89" s="7"/>
      <c r="J89"/>
      <c r="K89"/>
      <c r="L89"/>
      <c r="M89"/>
      <c r="N89"/>
      <c r="O89"/>
      <c r="P89"/>
    </row>
    <row r="90" spans="1:16" x14ac:dyDescent="0.25">
      <c r="A90" s="40"/>
      <c r="B90" s="41"/>
      <c r="C90" s="7"/>
      <c r="D90" s="7"/>
      <c r="E90" s="7"/>
      <c r="F90" s="7"/>
      <c r="G90" s="42"/>
      <c r="H90" s="7"/>
      <c r="I90" s="7"/>
      <c r="J90"/>
      <c r="K90"/>
      <c r="L90"/>
      <c r="M90"/>
      <c r="N90"/>
      <c r="O90"/>
      <c r="P90"/>
    </row>
    <row r="91" spans="1:16" x14ac:dyDescent="0.25">
      <c r="A91" s="40"/>
      <c r="B91" s="41"/>
      <c r="C91" s="7"/>
      <c r="D91" s="7"/>
      <c r="E91" s="7"/>
      <c r="F91" s="7"/>
      <c r="G91" s="42"/>
      <c r="H91" s="7"/>
      <c r="I91" s="7"/>
      <c r="J91"/>
      <c r="K91"/>
      <c r="L91"/>
      <c r="M91"/>
      <c r="N91"/>
      <c r="O91"/>
      <c r="P91"/>
    </row>
    <row r="92" spans="1:16" x14ac:dyDescent="0.25">
      <c r="A92" s="40"/>
      <c r="B92" s="41"/>
      <c r="C92" s="7"/>
      <c r="D92" s="7"/>
      <c r="E92" s="7"/>
      <c r="F92" s="7"/>
      <c r="G92" s="42"/>
      <c r="H92" s="7"/>
      <c r="I92" s="7"/>
      <c r="J92"/>
      <c r="K92"/>
      <c r="L92"/>
      <c r="M92"/>
      <c r="N92"/>
      <c r="O92"/>
      <c r="P92"/>
    </row>
    <row r="93" spans="1:16" x14ac:dyDescent="0.25">
      <c r="A93" s="40"/>
      <c r="B93" s="41"/>
      <c r="C93" s="7"/>
      <c r="D93" s="7"/>
      <c r="E93" s="7"/>
      <c r="F93" s="7"/>
      <c r="G93" s="42"/>
      <c r="H93" s="7"/>
      <c r="I93" s="7"/>
      <c r="J93"/>
      <c r="K93"/>
      <c r="L93"/>
      <c r="M93"/>
      <c r="N93"/>
      <c r="O93"/>
      <c r="P93"/>
    </row>
    <row r="94" spans="1:16" x14ac:dyDescent="0.25">
      <c r="A94" s="40"/>
      <c r="B94" s="41"/>
      <c r="C94" s="7"/>
      <c r="D94" s="7"/>
      <c r="E94" s="7"/>
      <c r="F94" s="7"/>
      <c r="G94" s="42"/>
      <c r="H94" s="7"/>
      <c r="I94" s="7"/>
      <c r="J94"/>
      <c r="K94"/>
      <c r="L94"/>
      <c r="M94"/>
      <c r="N94"/>
      <c r="O94"/>
      <c r="P94"/>
    </row>
    <row r="95" spans="1:16" x14ac:dyDescent="0.25">
      <c r="A95" s="40"/>
      <c r="B95" s="41"/>
      <c r="C95" s="7"/>
      <c r="D95" s="7"/>
      <c r="E95" s="7"/>
      <c r="F95" s="7"/>
      <c r="G95" s="42"/>
      <c r="H95" s="7"/>
      <c r="I95" s="7"/>
      <c r="J95"/>
      <c r="K95"/>
      <c r="L95"/>
      <c r="M95"/>
      <c r="N95"/>
      <c r="O95"/>
      <c r="P95"/>
    </row>
    <row r="96" spans="1:16" x14ac:dyDescent="0.25">
      <c r="A96" s="40"/>
      <c r="B96" s="41"/>
      <c r="C96" s="7"/>
      <c r="D96" s="7"/>
      <c r="E96" s="7"/>
      <c r="F96" s="7"/>
      <c r="G96" s="42"/>
      <c r="H96" s="7"/>
      <c r="I96" s="7"/>
      <c r="J96"/>
      <c r="K96"/>
      <c r="L96"/>
      <c r="M96"/>
      <c r="N96"/>
      <c r="O96"/>
      <c r="P96"/>
    </row>
    <row r="97" spans="1:16" x14ac:dyDescent="0.25">
      <c r="A97" s="40"/>
      <c r="B97" s="41"/>
      <c r="C97" s="7"/>
      <c r="D97" s="7"/>
      <c r="E97" s="7"/>
      <c r="F97" s="7"/>
      <c r="G97" s="42"/>
      <c r="H97" s="7"/>
      <c r="I97" s="7"/>
      <c r="J97"/>
      <c r="K97"/>
      <c r="L97"/>
      <c r="M97"/>
      <c r="N97"/>
      <c r="O97"/>
      <c r="P97"/>
    </row>
    <row r="98" spans="1:16" x14ac:dyDescent="0.25">
      <c r="A98" s="40"/>
      <c r="B98" s="41"/>
      <c r="C98" s="7"/>
      <c r="D98" s="7"/>
      <c r="E98" s="7"/>
      <c r="F98" s="7"/>
      <c r="G98" s="42"/>
      <c r="H98" s="7"/>
      <c r="I98" s="7"/>
      <c r="J98"/>
      <c r="K98"/>
      <c r="L98"/>
      <c r="M98"/>
      <c r="N98"/>
      <c r="O98"/>
      <c r="P98"/>
    </row>
    <row r="99" spans="1:16" x14ac:dyDescent="0.25">
      <c r="A99" s="40"/>
      <c r="B99" s="41"/>
      <c r="C99" s="7"/>
      <c r="D99" s="7"/>
      <c r="E99" s="7"/>
      <c r="F99" s="7"/>
      <c r="G99" s="42"/>
      <c r="H99" s="7"/>
      <c r="I99" s="7"/>
      <c r="J99"/>
      <c r="K99"/>
      <c r="L99"/>
      <c r="M99"/>
      <c r="N99"/>
      <c r="O99"/>
      <c r="P99"/>
    </row>
    <row r="100" spans="1:16" x14ac:dyDescent="0.25">
      <c r="J100"/>
      <c r="K100" s="19"/>
      <c r="L100"/>
      <c r="M100" s="19"/>
      <c r="N100" s="19"/>
      <c r="O100" s="19"/>
      <c r="P100" s="19"/>
    </row>
    <row r="101" spans="1:16" x14ac:dyDescent="0.25">
      <c r="J101"/>
      <c r="K101" s="7"/>
      <c r="L101"/>
      <c r="M101" s="7"/>
      <c r="N101" s="7"/>
      <c r="O101" s="7"/>
      <c r="P101" s="7"/>
    </row>
    <row r="102" spans="1:16" x14ac:dyDescent="0.25">
      <c r="J102"/>
      <c r="K102"/>
      <c r="L102"/>
      <c r="M102"/>
      <c r="N102"/>
      <c r="O102"/>
      <c r="P102"/>
    </row>
    <row r="103" spans="1:16" x14ac:dyDescent="0.25">
      <c r="J103"/>
      <c r="K103"/>
      <c r="L103"/>
      <c r="M103"/>
      <c r="N103"/>
      <c r="O103"/>
      <c r="P103"/>
    </row>
    <row r="104" spans="1:16" x14ac:dyDescent="0.25">
      <c r="J104"/>
      <c r="K104"/>
      <c r="L104"/>
      <c r="M104"/>
      <c r="N104"/>
      <c r="O104"/>
      <c r="P104"/>
    </row>
    <row r="105" spans="1:16" x14ac:dyDescent="0.25">
      <c r="J105"/>
      <c r="K105"/>
      <c r="L105"/>
      <c r="M105"/>
      <c r="N105"/>
      <c r="O105"/>
      <c r="P105"/>
    </row>
    <row r="106" spans="1:16" x14ac:dyDescent="0.25">
      <c r="J106"/>
      <c r="K106"/>
      <c r="L106"/>
      <c r="M106"/>
      <c r="N106"/>
      <c r="O106"/>
      <c r="P106"/>
    </row>
    <row r="107" spans="1:16" x14ac:dyDescent="0.25">
      <c r="J107"/>
      <c r="K107"/>
      <c r="L107"/>
      <c r="M107"/>
      <c r="N107"/>
      <c r="O107"/>
      <c r="P107"/>
    </row>
    <row r="108" spans="1:16" x14ac:dyDescent="0.25">
      <c r="J108"/>
      <c r="K108"/>
      <c r="L108"/>
      <c r="M108"/>
      <c r="N108"/>
      <c r="O108"/>
      <c r="P108"/>
    </row>
    <row r="109" spans="1:16" x14ac:dyDescent="0.25">
      <c r="J109"/>
      <c r="K109"/>
      <c r="L109"/>
      <c r="M109"/>
      <c r="N109"/>
      <c r="O109"/>
      <c r="P109"/>
    </row>
    <row r="110" spans="1:16" x14ac:dyDescent="0.25">
      <c r="J110"/>
      <c r="K110"/>
      <c r="L110"/>
      <c r="M110"/>
      <c r="N110"/>
      <c r="O110"/>
      <c r="P110"/>
    </row>
    <row r="111" spans="1:16" x14ac:dyDescent="0.25">
      <c r="J111"/>
      <c r="K111"/>
      <c r="L111"/>
      <c r="M111"/>
      <c r="N111"/>
      <c r="O111"/>
      <c r="P111"/>
    </row>
    <row r="112" spans="1:16" x14ac:dyDescent="0.25">
      <c r="J112"/>
      <c r="K112"/>
      <c r="L112"/>
      <c r="M112"/>
      <c r="N112"/>
      <c r="O112"/>
      <c r="P112"/>
    </row>
    <row r="113" spans="10:16" x14ac:dyDescent="0.25">
      <c r="J113"/>
      <c r="K113"/>
      <c r="L113"/>
      <c r="M113"/>
      <c r="N113"/>
      <c r="O113"/>
      <c r="P113"/>
    </row>
    <row r="114" spans="10:16" x14ac:dyDescent="0.25">
      <c r="J114"/>
      <c r="K114"/>
      <c r="L114"/>
      <c r="M114"/>
      <c r="N114"/>
      <c r="O114"/>
      <c r="P114"/>
    </row>
    <row r="115" spans="10:16" x14ac:dyDescent="0.25">
      <c r="J115"/>
      <c r="K115"/>
      <c r="L115"/>
      <c r="M115"/>
      <c r="N115"/>
      <c r="O115"/>
      <c r="P115"/>
    </row>
    <row r="116" spans="10:16" x14ac:dyDescent="0.25">
      <c r="J116"/>
      <c r="K116"/>
      <c r="L116"/>
      <c r="M116"/>
      <c r="N116"/>
      <c r="O116"/>
      <c r="P116"/>
    </row>
    <row r="117" spans="10:16" x14ac:dyDescent="0.25">
      <c r="J117"/>
      <c r="K117"/>
      <c r="L117"/>
      <c r="M117"/>
      <c r="N117"/>
      <c r="O117"/>
      <c r="P117"/>
    </row>
    <row r="118" spans="10:16" x14ac:dyDescent="0.25">
      <c r="J118"/>
      <c r="K118"/>
      <c r="L118"/>
      <c r="M118"/>
      <c r="N118"/>
      <c r="O118"/>
      <c r="P118"/>
    </row>
    <row r="119" spans="10:16" x14ac:dyDescent="0.25">
      <c r="J119"/>
      <c r="K119"/>
      <c r="L119"/>
      <c r="M119"/>
      <c r="N119"/>
      <c r="O119"/>
      <c r="P119"/>
    </row>
    <row r="120" spans="10:16" x14ac:dyDescent="0.25">
      <c r="J120"/>
      <c r="K120"/>
      <c r="L120"/>
      <c r="M120"/>
      <c r="N120"/>
      <c r="O120"/>
      <c r="P120"/>
    </row>
    <row r="121" spans="10:16" x14ac:dyDescent="0.25">
      <c r="J121"/>
      <c r="K121"/>
      <c r="L121"/>
      <c r="M121"/>
      <c r="N121"/>
      <c r="O121"/>
      <c r="P121"/>
    </row>
    <row r="122" spans="10:16" x14ac:dyDescent="0.25">
      <c r="J122"/>
      <c r="K122"/>
      <c r="L122"/>
      <c r="M122"/>
      <c r="N122"/>
      <c r="O122"/>
      <c r="P122"/>
    </row>
    <row r="123" spans="10:16" x14ac:dyDescent="0.25">
      <c r="J123"/>
      <c r="K123"/>
      <c r="L123"/>
      <c r="M123"/>
      <c r="N123"/>
      <c r="O123"/>
      <c r="P123"/>
    </row>
    <row r="124" spans="10:16" x14ac:dyDescent="0.25">
      <c r="J124"/>
      <c r="K124"/>
      <c r="L124"/>
      <c r="M124"/>
      <c r="N124"/>
      <c r="O124"/>
      <c r="P124"/>
    </row>
    <row r="125" spans="10:16" x14ac:dyDescent="0.25">
      <c r="J125"/>
      <c r="K125"/>
      <c r="L125"/>
      <c r="M125"/>
      <c r="N125"/>
      <c r="O125"/>
      <c r="P125"/>
    </row>
    <row r="126" spans="10:16" x14ac:dyDescent="0.25">
      <c r="J126"/>
      <c r="K126"/>
      <c r="L126"/>
      <c r="M126"/>
      <c r="N126"/>
      <c r="O126"/>
      <c r="P126"/>
    </row>
    <row r="127" spans="10:16" x14ac:dyDescent="0.25">
      <c r="J127"/>
      <c r="K127"/>
      <c r="L127"/>
      <c r="M127"/>
      <c r="N127"/>
      <c r="O127"/>
      <c r="P127"/>
    </row>
    <row r="128" spans="10:16" x14ac:dyDescent="0.25">
      <c r="J128"/>
      <c r="K128"/>
      <c r="L128"/>
      <c r="M128"/>
      <c r="N128"/>
      <c r="O128"/>
      <c r="P128"/>
    </row>
    <row r="129" spans="10:16" x14ac:dyDescent="0.25">
      <c r="J129"/>
      <c r="K129"/>
      <c r="L129"/>
      <c r="M129"/>
      <c r="N129"/>
      <c r="O129"/>
      <c r="P129"/>
    </row>
    <row r="130" spans="10:16" x14ac:dyDescent="0.25">
      <c r="J130"/>
      <c r="K130"/>
      <c r="L130"/>
      <c r="M130"/>
      <c r="N130"/>
      <c r="O130"/>
      <c r="P130"/>
    </row>
    <row r="131" spans="10:16" x14ac:dyDescent="0.25">
      <c r="J131"/>
      <c r="K131"/>
      <c r="L131"/>
      <c r="M131"/>
      <c r="N131"/>
      <c r="O131"/>
      <c r="P131"/>
    </row>
    <row r="132" spans="10:16" x14ac:dyDescent="0.25">
      <c r="J132"/>
      <c r="K132"/>
      <c r="L132"/>
      <c r="M132"/>
      <c r="N132"/>
      <c r="O132"/>
      <c r="P132"/>
    </row>
    <row r="133" spans="10:16" x14ac:dyDescent="0.25">
      <c r="J133"/>
      <c r="K133"/>
      <c r="L133"/>
      <c r="M133"/>
      <c r="N133"/>
      <c r="O133"/>
      <c r="P133"/>
    </row>
    <row r="134" spans="10:16" x14ac:dyDescent="0.25">
      <c r="J134"/>
      <c r="K134"/>
      <c r="L134"/>
      <c r="M134"/>
      <c r="N134"/>
      <c r="O134"/>
      <c r="P134"/>
    </row>
    <row r="135" spans="10:16" x14ac:dyDescent="0.25">
      <c r="J135"/>
      <c r="K135"/>
      <c r="L135"/>
      <c r="M135"/>
      <c r="N135"/>
      <c r="O135"/>
      <c r="P135"/>
    </row>
    <row r="136" spans="10:16" x14ac:dyDescent="0.25">
      <c r="J136"/>
      <c r="K136"/>
      <c r="L136"/>
      <c r="M136"/>
      <c r="N136"/>
      <c r="O136"/>
      <c r="P136"/>
    </row>
    <row r="137" spans="10:16" x14ac:dyDescent="0.25">
      <c r="J137"/>
      <c r="K137"/>
      <c r="L137"/>
      <c r="M137"/>
      <c r="N137"/>
      <c r="O137"/>
      <c r="P137"/>
    </row>
    <row r="138" spans="10:16" x14ac:dyDescent="0.25">
      <c r="J138"/>
      <c r="K138"/>
      <c r="L138"/>
      <c r="M138"/>
      <c r="N138"/>
      <c r="O138"/>
      <c r="P138"/>
    </row>
    <row r="139" spans="10:16" x14ac:dyDescent="0.25">
      <c r="J139"/>
      <c r="K139"/>
      <c r="L139"/>
      <c r="M139"/>
      <c r="N139"/>
      <c r="O139"/>
      <c r="P139"/>
    </row>
    <row r="140" spans="10:16" x14ac:dyDescent="0.25">
      <c r="J140"/>
      <c r="K140"/>
      <c r="L140"/>
      <c r="M140"/>
      <c r="N140"/>
      <c r="O140"/>
      <c r="P140"/>
    </row>
    <row r="141" spans="10:16" x14ac:dyDescent="0.25">
      <c r="J141"/>
      <c r="K141"/>
      <c r="L141"/>
      <c r="M141"/>
      <c r="N141"/>
      <c r="O141"/>
      <c r="P141"/>
    </row>
    <row r="142" spans="10:16" x14ac:dyDescent="0.25">
      <c r="J142"/>
      <c r="K142"/>
      <c r="L142"/>
      <c r="M142"/>
      <c r="N142"/>
      <c r="O142"/>
      <c r="P142"/>
    </row>
    <row r="143" spans="10:16" x14ac:dyDescent="0.25">
      <c r="J143"/>
      <c r="K143"/>
      <c r="L143"/>
      <c r="M143"/>
      <c r="N143"/>
      <c r="O143"/>
      <c r="P143"/>
    </row>
    <row r="144" spans="10:16" x14ac:dyDescent="0.25">
      <c r="J144"/>
      <c r="K144"/>
      <c r="L144"/>
      <c r="M144"/>
      <c r="N144"/>
      <c r="O144"/>
      <c r="P144"/>
    </row>
    <row r="145" spans="10:16" x14ac:dyDescent="0.25">
      <c r="J145"/>
      <c r="K145"/>
      <c r="L145"/>
      <c r="M145"/>
      <c r="N145"/>
      <c r="O145"/>
      <c r="P145"/>
    </row>
    <row r="146" spans="10:16" x14ac:dyDescent="0.25">
      <c r="J146"/>
      <c r="K146"/>
      <c r="L146"/>
      <c r="M146"/>
      <c r="N146"/>
      <c r="O146"/>
      <c r="P146"/>
    </row>
    <row r="147" spans="10:16" x14ac:dyDescent="0.25">
      <c r="J147"/>
      <c r="K147"/>
      <c r="L147"/>
      <c r="M147"/>
      <c r="N147"/>
      <c r="O147"/>
      <c r="P147"/>
    </row>
    <row r="148" spans="10:16" x14ac:dyDescent="0.25">
      <c r="J148"/>
      <c r="K148"/>
      <c r="L148"/>
      <c r="M148"/>
      <c r="N148"/>
      <c r="O148"/>
      <c r="P148"/>
    </row>
    <row r="149" spans="10:16" x14ac:dyDescent="0.25">
      <c r="J149"/>
      <c r="K149"/>
      <c r="L149"/>
      <c r="M149"/>
      <c r="N149"/>
      <c r="O149"/>
      <c r="P149"/>
    </row>
    <row r="150" spans="10:16" x14ac:dyDescent="0.25">
      <c r="J150"/>
      <c r="K150"/>
      <c r="L150"/>
      <c r="M150"/>
      <c r="N150"/>
      <c r="O150"/>
      <c r="P150"/>
    </row>
    <row r="151" spans="10:16" x14ac:dyDescent="0.25">
      <c r="J151"/>
      <c r="K151"/>
      <c r="L151"/>
      <c r="M151"/>
      <c r="N151"/>
      <c r="O151"/>
      <c r="P151"/>
    </row>
    <row r="152" spans="10:16" x14ac:dyDescent="0.25">
      <c r="J152"/>
      <c r="K152"/>
      <c r="L152"/>
      <c r="M152"/>
      <c r="N152"/>
      <c r="O152"/>
      <c r="P152"/>
    </row>
    <row r="153" spans="10:16" x14ac:dyDescent="0.25">
      <c r="J153"/>
      <c r="K153"/>
      <c r="L153"/>
      <c r="M153"/>
      <c r="N153"/>
      <c r="O153"/>
      <c r="P153"/>
    </row>
    <row r="154" spans="10:16" x14ac:dyDescent="0.25">
      <c r="J154"/>
      <c r="K154"/>
      <c r="L154"/>
      <c r="M154"/>
      <c r="N154"/>
      <c r="O154"/>
      <c r="P154"/>
    </row>
    <row r="155" spans="10:16" x14ac:dyDescent="0.25">
      <c r="J155"/>
      <c r="K155"/>
      <c r="L155"/>
      <c r="M155"/>
      <c r="N155"/>
      <c r="O155"/>
      <c r="P155"/>
    </row>
    <row r="156" spans="10:16" x14ac:dyDescent="0.25">
      <c r="J156"/>
      <c r="K156"/>
      <c r="L156"/>
      <c r="M156"/>
      <c r="N156"/>
      <c r="O156"/>
      <c r="P156"/>
    </row>
    <row r="157" spans="10:16" x14ac:dyDescent="0.25">
      <c r="J157"/>
      <c r="K157"/>
      <c r="L157"/>
      <c r="M157"/>
      <c r="N157"/>
      <c r="O157"/>
      <c r="P157"/>
    </row>
    <row r="158" spans="10:16" x14ac:dyDescent="0.25">
      <c r="J158"/>
      <c r="K158"/>
      <c r="L158"/>
      <c r="M158"/>
      <c r="N158"/>
      <c r="O158"/>
      <c r="P158"/>
    </row>
    <row r="159" spans="10:16" x14ac:dyDescent="0.25">
      <c r="J159"/>
      <c r="K159"/>
      <c r="L159"/>
      <c r="M159"/>
      <c r="N159"/>
      <c r="O159"/>
      <c r="P159"/>
    </row>
    <row r="160" spans="10:16" x14ac:dyDescent="0.25">
      <c r="J160"/>
      <c r="K160"/>
      <c r="L160"/>
      <c r="M160"/>
      <c r="N160"/>
      <c r="O160"/>
      <c r="P160"/>
    </row>
    <row r="161" spans="10:16" x14ac:dyDescent="0.25">
      <c r="J161"/>
      <c r="K161"/>
      <c r="L161"/>
      <c r="M161"/>
      <c r="N161"/>
      <c r="O161"/>
      <c r="P161"/>
    </row>
    <row r="162" spans="10:16" x14ac:dyDescent="0.25">
      <c r="J162"/>
      <c r="K162"/>
      <c r="L162"/>
      <c r="M162"/>
      <c r="N162"/>
      <c r="O162"/>
      <c r="P162"/>
    </row>
    <row r="163" spans="10:16" x14ac:dyDescent="0.25">
      <c r="J163"/>
      <c r="K163"/>
      <c r="L163"/>
      <c r="M163"/>
      <c r="N163"/>
      <c r="O163"/>
      <c r="P163"/>
    </row>
    <row r="164" spans="10:16" x14ac:dyDescent="0.25">
      <c r="J164"/>
      <c r="K164"/>
      <c r="L164"/>
      <c r="M164"/>
      <c r="N164"/>
      <c r="O164"/>
      <c r="P164"/>
    </row>
    <row r="165" spans="10:16" x14ac:dyDescent="0.25">
      <c r="J165"/>
      <c r="K165"/>
      <c r="L165"/>
      <c r="M165"/>
      <c r="N165"/>
      <c r="O165"/>
      <c r="P165"/>
    </row>
    <row r="166" spans="10:16" x14ac:dyDescent="0.25">
      <c r="J166"/>
      <c r="K166"/>
      <c r="L166"/>
      <c r="M166"/>
      <c r="N166"/>
      <c r="O166"/>
      <c r="P166"/>
    </row>
    <row r="167" spans="10:16" x14ac:dyDescent="0.25">
      <c r="J167"/>
      <c r="K167"/>
      <c r="L167"/>
      <c r="M167"/>
      <c r="N167"/>
      <c r="O167"/>
      <c r="P167"/>
    </row>
    <row r="168" spans="10:16" x14ac:dyDescent="0.25">
      <c r="J168"/>
      <c r="K168"/>
      <c r="L168"/>
      <c r="M168"/>
      <c r="N168"/>
      <c r="O168"/>
      <c r="P168"/>
    </row>
    <row r="169" spans="10:16" x14ac:dyDescent="0.25">
      <c r="J169"/>
      <c r="K169"/>
      <c r="L169"/>
      <c r="M169"/>
      <c r="N169"/>
      <c r="O169"/>
      <c r="P169"/>
    </row>
    <row r="170" spans="10:16" x14ac:dyDescent="0.25">
      <c r="J170"/>
      <c r="K170"/>
      <c r="L170"/>
      <c r="M170"/>
      <c r="N170"/>
      <c r="O170"/>
      <c r="P170"/>
    </row>
    <row r="171" spans="10:16" x14ac:dyDescent="0.25">
      <c r="J171"/>
      <c r="K171"/>
      <c r="L171"/>
      <c r="M171"/>
      <c r="N171"/>
      <c r="O171"/>
      <c r="P171"/>
    </row>
    <row r="172" spans="10:16" x14ac:dyDescent="0.25">
      <c r="J172"/>
      <c r="K172"/>
      <c r="L172"/>
      <c r="M172"/>
      <c r="N172"/>
      <c r="O172"/>
      <c r="P172"/>
    </row>
    <row r="173" spans="10:16" x14ac:dyDescent="0.25">
      <c r="J173"/>
      <c r="K173"/>
      <c r="L173"/>
      <c r="M173"/>
      <c r="N173"/>
      <c r="O173"/>
      <c r="P173"/>
    </row>
    <row r="174" spans="10:16" x14ac:dyDescent="0.25">
      <c r="J174"/>
      <c r="K174"/>
      <c r="L174"/>
      <c r="M174"/>
      <c r="N174"/>
      <c r="O174"/>
      <c r="P174"/>
    </row>
    <row r="175" spans="10:16" x14ac:dyDescent="0.25">
      <c r="J175"/>
      <c r="K175"/>
      <c r="L175"/>
      <c r="M175"/>
      <c r="N175"/>
      <c r="O175"/>
      <c r="P175"/>
    </row>
    <row r="176" spans="10:16" x14ac:dyDescent="0.25">
      <c r="J176"/>
      <c r="K176"/>
      <c r="L176"/>
      <c r="M176"/>
      <c r="N176"/>
      <c r="O176"/>
      <c r="P176"/>
    </row>
    <row r="177" spans="10:16" x14ac:dyDescent="0.25">
      <c r="J177"/>
      <c r="K177"/>
      <c r="L177"/>
      <c r="M177"/>
      <c r="N177"/>
      <c r="O177"/>
      <c r="P177"/>
    </row>
    <row r="178" spans="10:16" x14ac:dyDescent="0.25">
      <c r="J178"/>
      <c r="K178"/>
      <c r="L178"/>
      <c r="M178"/>
      <c r="N178"/>
      <c r="O178"/>
      <c r="P178"/>
    </row>
    <row r="179" spans="10:16" x14ac:dyDescent="0.25">
      <c r="J179"/>
      <c r="K179"/>
      <c r="L179"/>
      <c r="M179"/>
      <c r="N179"/>
      <c r="O179"/>
      <c r="P179"/>
    </row>
    <row r="180" spans="10:16" x14ac:dyDescent="0.25">
      <c r="J180"/>
      <c r="K180"/>
      <c r="L180"/>
      <c r="M180"/>
      <c r="N180"/>
      <c r="O180"/>
      <c r="P180"/>
    </row>
    <row r="181" spans="10:16" x14ac:dyDescent="0.25">
      <c r="J181"/>
      <c r="K181"/>
      <c r="L181"/>
      <c r="M181"/>
      <c r="N181"/>
      <c r="O181"/>
      <c r="P181"/>
    </row>
    <row r="182" spans="10:16" x14ac:dyDescent="0.25">
      <c r="J182"/>
      <c r="K182"/>
      <c r="L182"/>
      <c r="M182"/>
      <c r="N182"/>
      <c r="O182"/>
      <c r="P182"/>
    </row>
    <row r="183" spans="10:16" x14ac:dyDescent="0.25">
      <c r="J183"/>
      <c r="K183"/>
      <c r="L183"/>
      <c r="M183"/>
      <c r="N183"/>
      <c r="O183"/>
      <c r="P183"/>
    </row>
    <row r="184" spans="10:16" x14ac:dyDescent="0.25">
      <c r="J184"/>
      <c r="K184"/>
      <c r="L184"/>
      <c r="M184"/>
      <c r="N184"/>
      <c r="O184"/>
      <c r="P184"/>
    </row>
    <row r="185" spans="10:16" x14ac:dyDescent="0.25">
      <c r="J185"/>
      <c r="K185"/>
      <c r="L185"/>
      <c r="M185"/>
      <c r="N185"/>
      <c r="O185"/>
      <c r="P185"/>
    </row>
    <row r="186" spans="10:16" x14ac:dyDescent="0.25">
      <c r="J186"/>
      <c r="K186"/>
      <c r="L186"/>
      <c r="M186"/>
      <c r="N186"/>
      <c r="O186"/>
      <c r="P186"/>
    </row>
    <row r="187" spans="10:16" x14ac:dyDescent="0.25">
      <c r="J187"/>
      <c r="K187"/>
      <c r="L187"/>
      <c r="M187"/>
      <c r="N187"/>
      <c r="O187"/>
      <c r="P187"/>
    </row>
    <row r="188" spans="10:16" x14ac:dyDescent="0.25">
      <c r="J188"/>
      <c r="K188"/>
      <c r="L188"/>
      <c r="M188"/>
      <c r="N188"/>
      <c r="O188"/>
      <c r="P188"/>
    </row>
    <row r="189" spans="10:16" x14ac:dyDescent="0.25">
      <c r="J189"/>
      <c r="K189"/>
      <c r="L189"/>
      <c r="M189"/>
      <c r="N189"/>
      <c r="O189"/>
      <c r="P189"/>
    </row>
    <row r="190" spans="10:16" x14ac:dyDescent="0.25">
      <c r="J190"/>
      <c r="K190"/>
      <c r="L190"/>
      <c r="M190"/>
      <c r="N190"/>
      <c r="O190"/>
      <c r="P190"/>
    </row>
    <row r="191" spans="10:16" x14ac:dyDescent="0.25">
      <c r="J191"/>
      <c r="K191"/>
      <c r="L191"/>
      <c r="M191"/>
      <c r="N191"/>
      <c r="O191"/>
      <c r="P191"/>
    </row>
    <row r="192" spans="10:16" x14ac:dyDescent="0.25">
      <c r="J192"/>
      <c r="K192"/>
      <c r="L192"/>
      <c r="M192"/>
      <c r="N192"/>
      <c r="O192"/>
      <c r="P192"/>
    </row>
    <row r="193" spans="10:16" x14ac:dyDescent="0.25">
      <c r="J193"/>
      <c r="K193"/>
      <c r="L193"/>
      <c r="M193"/>
      <c r="N193"/>
      <c r="O193"/>
      <c r="P193"/>
    </row>
    <row r="194" spans="10:16" x14ac:dyDescent="0.25">
      <c r="J194"/>
      <c r="K194"/>
      <c r="L194"/>
      <c r="M194"/>
      <c r="N194"/>
      <c r="O194"/>
      <c r="P194"/>
    </row>
    <row r="195" spans="10:16" x14ac:dyDescent="0.25">
      <c r="J195"/>
      <c r="K195"/>
      <c r="L195"/>
      <c r="M195"/>
      <c r="N195"/>
      <c r="O195"/>
      <c r="P195"/>
    </row>
    <row r="196" spans="10:16" x14ac:dyDescent="0.25">
      <c r="J196"/>
      <c r="K196"/>
      <c r="L196"/>
      <c r="M196"/>
      <c r="N196"/>
      <c r="O196"/>
      <c r="P196"/>
    </row>
    <row r="197" spans="10:16" x14ac:dyDescent="0.25">
      <c r="J197"/>
      <c r="K197"/>
      <c r="L197"/>
      <c r="M197"/>
      <c r="N197"/>
      <c r="O197"/>
      <c r="P197"/>
    </row>
    <row r="198" spans="10:16" x14ac:dyDescent="0.25">
      <c r="J198"/>
      <c r="K198"/>
      <c r="L198"/>
      <c r="M198"/>
      <c r="N198"/>
      <c r="O198"/>
      <c r="P198"/>
    </row>
    <row r="199" spans="10:16" x14ac:dyDescent="0.25">
      <c r="J199"/>
      <c r="K199"/>
      <c r="L199"/>
      <c r="M199"/>
      <c r="N199"/>
      <c r="O199"/>
      <c r="P199"/>
    </row>
    <row r="200" spans="10:16" x14ac:dyDescent="0.25">
      <c r="J200"/>
      <c r="K200"/>
      <c r="L200"/>
      <c r="M200"/>
      <c r="N200"/>
      <c r="O200"/>
      <c r="P200"/>
    </row>
    <row r="201" spans="10:16" x14ac:dyDescent="0.25">
      <c r="J201"/>
      <c r="K201"/>
      <c r="L201"/>
      <c r="M201"/>
      <c r="N201"/>
      <c r="O201"/>
      <c r="P201"/>
    </row>
    <row r="202" spans="10:16" x14ac:dyDescent="0.25">
      <c r="J202"/>
      <c r="K202"/>
      <c r="L202"/>
      <c r="M202"/>
      <c r="N202"/>
      <c r="O202"/>
      <c r="P202"/>
    </row>
    <row r="203" spans="10:16" x14ac:dyDescent="0.25">
      <c r="J203"/>
      <c r="K203"/>
      <c r="L203"/>
      <c r="M203"/>
      <c r="N203"/>
      <c r="O203"/>
      <c r="P203"/>
    </row>
    <row r="204" spans="10:16" x14ac:dyDescent="0.25">
      <c r="J204"/>
      <c r="K204"/>
      <c r="L204"/>
      <c r="M204"/>
      <c r="N204"/>
      <c r="O204"/>
      <c r="P204"/>
    </row>
    <row r="205" spans="10:16" x14ac:dyDescent="0.25">
      <c r="J205"/>
      <c r="K205"/>
      <c r="L205"/>
      <c r="M205"/>
      <c r="N205"/>
      <c r="O205"/>
      <c r="P205"/>
    </row>
    <row r="206" spans="10:16" x14ac:dyDescent="0.25">
      <c r="J206"/>
      <c r="K206"/>
      <c r="L206"/>
      <c r="M206"/>
      <c r="N206"/>
      <c r="O206"/>
      <c r="P206"/>
    </row>
    <row r="207" spans="10:16" x14ac:dyDescent="0.25">
      <c r="J207"/>
      <c r="K207"/>
      <c r="L207"/>
      <c r="M207"/>
      <c r="N207"/>
      <c r="O207"/>
      <c r="P207"/>
    </row>
    <row r="208" spans="10:16" x14ac:dyDescent="0.25">
      <c r="J208"/>
      <c r="K208"/>
      <c r="L208"/>
      <c r="M208"/>
      <c r="N208"/>
      <c r="O208"/>
      <c r="P208"/>
    </row>
    <row r="209" spans="10:16" x14ac:dyDescent="0.25">
      <c r="J209"/>
      <c r="K209"/>
      <c r="L209"/>
      <c r="M209"/>
      <c r="N209"/>
      <c r="O209"/>
      <c r="P209"/>
    </row>
    <row r="210" spans="10:16" x14ac:dyDescent="0.25">
      <c r="J210"/>
      <c r="K210"/>
      <c r="L210"/>
      <c r="M210"/>
      <c r="N210"/>
      <c r="O210"/>
      <c r="P210"/>
    </row>
    <row r="211" spans="10:16" x14ac:dyDescent="0.25">
      <c r="J211"/>
      <c r="K211"/>
      <c r="L211"/>
      <c r="M211"/>
      <c r="N211"/>
      <c r="O211"/>
      <c r="P211"/>
    </row>
    <row r="212" spans="10:16" x14ac:dyDescent="0.25">
      <c r="J212"/>
      <c r="K212"/>
      <c r="L212"/>
      <c r="M212"/>
      <c r="N212"/>
      <c r="O212"/>
      <c r="P212"/>
    </row>
    <row r="213" spans="10:16" x14ac:dyDescent="0.25">
      <c r="J213"/>
      <c r="K213"/>
      <c r="L213"/>
      <c r="M213"/>
      <c r="N213"/>
      <c r="O213"/>
      <c r="P213"/>
    </row>
    <row r="214" spans="10:16" x14ac:dyDescent="0.25">
      <c r="J214"/>
      <c r="K214"/>
      <c r="L214"/>
      <c r="M214"/>
      <c r="N214"/>
      <c r="O214"/>
      <c r="P214"/>
    </row>
    <row r="215" spans="10:16" x14ac:dyDescent="0.25">
      <c r="J215"/>
      <c r="K215"/>
      <c r="L215"/>
      <c r="M215"/>
      <c r="N215"/>
      <c r="O215"/>
      <c r="P215"/>
    </row>
    <row r="216" spans="10:16" x14ac:dyDescent="0.25">
      <c r="J216"/>
      <c r="K216"/>
      <c r="L216"/>
      <c r="M216"/>
      <c r="N216"/>
      <c r="O216"/>
      <c r="P216"/>
    </row>
    <row r="217" spans="10:16" x14ac:dyDescent="0.25">
      <c r="J217"/>
      <c r="K217"/>
      <c r="L217"/>
      <c r="M217"/>
      <c r="N217"/>
      <c r="O217"/>
      <c r="P217"/>
    </row>
    <row r="218" spans="10:16" x14ac:dyDescent="0.25">
      <c r="J218"/>
      <c r="K218"/>
      <c r="L218"/>
      <c r="M218"/>
      <c r="N218"/>
      <c r="O218"/>
      <c r="P218"/>
    </row>
    <row r="219" spans="10:16" x14ac:dyDescent="0.25">
      <c r="J219"/>
      <c r="K219"/>
      <c r="L219"/>
      <c r="M219"/>
      <c r="N219"/>
      <c r="O219"/>
      <c r="P219"/>
    </row>
    <row r="220" spans="10:16" x14ac:dyDescent="0.25">
      <c r="J220"/>
      <c r="K220"/>
      <c r="L220"/>
      <c r="M220"/>
      <c r="N220"/>
      <c r="O220"/>
      <c r="P220"/>
    </row>
    <row r="221" spans="10:16" x14ac:dyDescent="0.25">
      <c r="J221"/>
      <c r="K221"/>
      <c r="L221"/>
      <c r="M221"/>
      <c r="N221"/>
      <c r="O221"/>
      <c r="P221"/>
    </row>
    <row r="222" spans="10:16" x14ac:dyDescent="0.25">
      <c r="J222"/>
      <c r="K222"/>
      <c r="L222"/>
      <c r="M222"/>
      <c r="N222"/>
      <c r="O222"/>
      <c r="P222"/>
    </row>
    <row r="223" spans="10:16" x14ac:dyDescent="0.25">
      <c r="J223"/>
      <c r="K223"/>
      <c r="L223"/>
      <c r="M223"/>
      <c r="N223"/>
      <c r="O223"/>
      <c r="P223"/>
    </row>
    <row r="224" spans="10:16" x14ac:dyDescent="0.25">
      <c r="J224"/>
      <c r="K224"/>
      <c r="L224"/>
      <c r="M224"/>
      <c r="N224"/>
      <c r="O224"/>
      <c r="P224"/>
    </row>
    <row r="225" spans="10:16" x14ac:dyDescent="0.25">
      <c r="J225"/>
      <c r="K225"/>
      <c r="L225"/>
      <c r="M225"/>
      <c r="N225"/>
      <c r="O225"/>
      <c r="P225"/>
    </row>
    <row r="226" spans="10:16" x14ac:dyDescent="0.25">
      <c r="J226"/>
      <c r="K226"/>
      <c r="L226"/>
      <c r="M226"/>
      <c r="N226"/>
      <c r="O226"/>
      <c r="P226"/>
    </row>
    <row r="227" spans="10:16" x14ac:dyDescent="0.25">
      <c r="J227"/>
      <c r="K227"/>
      <c r="L227"/>
      <c r="M227"/>
      <c r="N227"/>
      <c r="O227"/>
      <c r="P227"/>
    </row>
    <row r="228" spans="10:16" x14ac:dyDescent="0.25">
      <c r="J228"/>
      <c r="K228"/>
      <c r="L228"/>
      <c r="M228"/>
      <c r="N228"/>
      <c r="O228"/>
      <c r="P228"/>
    </row>
    <row r="229" spans="10:16" x14ac:dyDescent="0.25">
      <c r="J229"/>
      <c r="K229"/>
      <c r="L229"/>
      <c r="M229"/>
      <c r="N229"/>
      <c r="O229"/>
      <c r="P229"/>
    </row>
    <row r="230" spans="10:16" x14ac:dyDescent="0.25">
      <c r="J230"/>
      <c r="K230"/>
      <c r="L230"/>
      <c r="M230"/>
      <c r="N230"/>
      <c r="O230"/>
      <c r="P230"/>
    </row>
    <row r="231" spans="10:16" x14ac:dyDescent="0.25">
      <c r="J231"/>
      <c r="K231"/>
      <c r="L231"/>
      <c r="M231"/>
      <c r="N231"/>
      <c r="O231"/>
      <c r="P231"/>
    </row>
    <row r="232" spans="10:16" x14ac:dyDescent="0.25">
      <c r="J232"/>
      <c r="K232"/>
      <c r="L232"/>
      <c r="M232"/>
      <c r="N232"/>
      <c r="O232"/>
      <c r="P232"/>
    </row>
    <row r="233" spans="10:16" x14ac:dyDescent="0.25">
      <c r="J233"/>
      <c r="K233"/>
      <c r="L233"/>
      <c r="M233"/>
      <c r="N233"/>
      <c r="O233"/>
      <c r="P233"/>
    </row>
    <row r="234" spans="10:16" x14ac:dyDescent="0.25">
      <c r="J234"/>
      <c r="K234"/>
      <c r="L234"/>
      <c r="M234"/>
      <c r="N234"/>
      <c r="O234"/>
      <c r="P234"/>
    </row>
    <row r="235" spans="10:16" x14ac:dyDescent="0.25">
      <c r="J235"/>
      <c r="K235"/>
      <c r="L235"/>
      <c r="M235"/>
      <c r="N235"/>
      <c r="O235"/>
      <c r="P235"/>
    </row>
    <row r="236" spans="10:16" x14ac:dyDescent="0.25">
      <c r="J236"/>
      <c r="K236"/>
      <c r="L236"/>
      <c r="M236"/>
      <c r="N236"/>
      <c r="O236"/>
      <c r="P236"/>
    </row>
    <row r="237" spans="10:16" x14ac:dyDescent="0.25">
      <c r="J237"/>
      <c r="K237"/>
      <c r="L237"/>
      <c r="M237"/>
      <c r="N237"/>
      <c r="O237"/>
      <c r="P237"/>
    </row>
    <row r="238" spans="10:16" x14ac:dyDescent="0.25">
      <c r="J238"/>
      <c r="K238"/>
      <c r="L238"/>
      <c r="M238"/>
      <c r="N238"/>
      <c r="O238"/>
      <c r="P238"/>
    </row>
    <row r="239" spans="10:16" x14ac:dyDescent="0.25">
      <c r="J239"/>
      <c r="K239"/>
      <c r="L239"/>
      <c r="M239"/>
      <c r="N239"/>
      <c r="O239"/>
      <c r="P239"/>
    </row>
    <row r="240" spans="10:16" x14ac:dyDescent="0.25">
      <c r="J240"/>
      <c r="K240"/>
      <c r="L240"/>
      <c r="M240"/>
      <c r="N240"/>
      <c r="O240"/>
      <c r="P240"/>
    </row>
    <row r="241" spans="10:16" x14ac:dyDescent="0.25">
      <c r="J241"/>
      <c r="K241"/>
      <c r="L241"/>
      <c r="M241"/>
      <c r="N241"/>
      <c r="O241"/>
      <c r="P241"/>
    </row>
    <row r="242" spans="10:16" x14ac:dyDescent="0.25">
      <c r="J242"/>
      <c r="K242"/>
      <c r="L242"/>
      <c r="M242"/>
      <c r="N242"/>
      <c r="O242"/>
      <c r="P242"/>
    </row>
    <row r="243" spans="10:16" x14ac:dyDescent="0.25">
      <c r="J243"/>
      <c r="K243"/>
      <c r="L243"/>
      <c r="M243"/>
      <c r="N243"/>
      <c r="O243"/>
      <c r="P243"/>
    </row>
    <row r="244" spans="10:16" x14ac:dyDescent="0.25">
      <c r="J244"/>
      <c r="K244"/>
      <c r="L244"/>
      <c r="M244"/>
      <c r="N244"/>
      <c r="O244"/>
      <c r="P244"/>
    </row>
    <row r="245" spans="10:16" x14ac:dyDescent="0.25">
      <c r="J245"/>
      <c r="K245"/>
      <c r="L245"/>
      <c r="M245"/>
      <c r="N245"/>
      <c r="O245"/>
      <c r="P245"/>
    </row>
    <row r="246" spans="10:16" x14ac:dyDescent="0.25">
      <c r="J246"/>
      <c r="K246"/>
      <c r="L246"/>
      <c r="M246"/>
      <c r="N246"/>
      <c r="O246"/>
      <c r="P246"/>
    </row>
    <row r="247" spans="10:16" x14ac:dyDescent="0.25">
      <c r="J247"/>
      <c r="K247"/>
      <c r="L247"/>
      <c r="M247"/>
      <c r="N247"/>
      <c r="O247"/>
      <c r="P247"/>
    </row>
    <row r="248" spans="10:16" x14ac:dyDescent="0.25">
      <c r="J248"/>
      <c r="K248"/>
      <c r="L248"/>
      <c r="M248"/>
      <c r="N248"/>
      <c r="O248"/>
      <c r="P248"/>
    </row>
    <row r="249" spans="10:16" x14ac:dyDescent="0.25">
      <c r="J249"/>
      <c r="K249"/>
      <c r="L249"/>
      <c r="M249"/>
      <c r="N249"/>
      <c r="O249"/>
      <c r="P249"/>
    </row>
    <row r="250" spans="10:16" x14ac:dyDescent="0.25">
      <c r="J250"/>
      <c r="K250"/>
      <c r="L250"/>
      <c r="M250"/>
      <c r="N250"/>
      <c r="O250"/>
      <c r="P250"/>
    </row>
    <row r="251" spans="10:16" x14ac:dyDescent="0.25">
      <c r="J251"/>
      <c r="K251"/>
      <c r="L251"/>
      <c r="M251"/>
      <c r="N251"/>
      <c r="O251"/>
      <c r="P251"/>
    </row>
    <row r="252" spans="10:16" x14ac:dyDescent="0.25">
      <c r="J252"/>
      <c r="K252"/>
      <c r="L252"/>
      <c r="M252"/>
      <c r="N252"/>
      <c r="O252"/>
      <c r="P252"/>
    </row>
    <row r="253" spans="10:16" x14ac:dyDescent="0.25">
      <c r="J253"/>
      <c r="K253"/>
      <c r="L253"/>
      <c r="M253"/>
      <c r="N253"/>
      <c r="O253"/>
      <c r="P253"/>
    </row>
    <row r="254" spans="10:16" x14ac:dyDescent="0.25">
      <c r="J254"/>
      <c r="K254"/>
      <c r="L254"/>
      <c r="M254"/>
      <c r="N254"/>
      <c r="O254"/>
      <c r="P254"/>
    </row>
    <row r="255" spans="10:16" x14ac:dyDescent="0.25">
      <c r="J255"/>
      <c r="K255"/>
      <c r="L255"/>
      <c r="M255"/>
      <c r="N255"/>
      <c r="O255"/>
      <c r="P255"/>
    </row>
    <row r="256" spans="10:16" x14ac:dyDescent="0.25">
      <c r="J256"/>
      <c r="K256"/>
      <c r="L256"/>
      <c r="M256"/>
      <c r="N256"/>
      <c r="O256"/>
      <c r="P256"/>
    </row>
    <row r="257" spans="10:16" x14ac:dyDescent="0.25">
      <c r="J257"/>
      <c r="K257"/>
      <c r="L257"/>
      <c r="M257"/>
      <c r="N257"/>
      <c r="O257"/>
      <c r="P257"/>
    </row>
    <row r="258" spans="10:16" x14ac:dyDescent="0.25">
      <c r="J258"/>
      <c r="K258"/>
      <c r="L258"/>
      <c r="M258"/>
      <c r="N258"/>
      <c r="O258"/>
      <c r="P258"/>
    </row>
    <row r="259" spans="10:16" x14ac:dyDescent="0.25">
      <c r="J259"/>
      <c r="K259"/>
      <c r="L259"/>
      <c r="M259"/>
      <c r="N259"/>
      <c r="O259"/>
      <c r="P259"/>
    </row>
    <row r="260" spans="10:16" x14ac:dyDescent="0.25">
      <c r="J260"/>
      <c r="K260"/>
      <c r="L260"/>
      <c r="M260"/>
      <c r="N260"/>
      <c r="O260"/>
      <c r="P260"/>
    </row>
    <row r="261" spans="10:16" x14ac:dyDescent="0.25">
      <c r="J261"/>
      <c r="K261"/>
      <c r="L261"/>
      <c r="M261"/>
      <c r="N261"/>
      <c r="O261"/>
      <c r="P261"/>
    </row>
    <row r="262" spans="10:16" x14ac:dyDescent="0.25">
      <c r="J262"/>
      <c r="K262"/>
      <c r="L262"/>
      <c r="M262"/>
      <c r="N262"/>
      <c r="O262"/>
      <c r="P262"/>
    </row>
    <row r="263" spans="10:16" x14ac:dyDescent="0.25">
      <c r="J263"/>
      <c r="K263"/>
      <c r="L263"/>
      <c r="M263"/>
      <c r="N263"/>
      <c r="O263"/>
      <c r="P263"/>
    </row>
    <row r="264" spans="10:16" x14ac:dyDescent="0.25">
      <c r="J264"/>
      <c r="K264"/>
      <c r="L264"/>
      <c r="M264"/>
      <c r="N264"/>
      <c r="O264"/>
      <c r="P264"/>
    </row>
    <row r="265" spans="10:16" x14ac:dyDescent="0.25">
      <c r="J265"/>
      <c r="K265"/>
      <c r="L265"/>
      <c r="M265"/>
      <c r="N265"/>
      <c r="O265"/>
      <c r="P265"/>
    </row>
    <row r="266" spans="10:16" x14ac:dyDescent="0.25">
      <c r="J266"/>
      <c r="K266"/>
      <c r="L266"/>
      <c r="M266"/>
      <c r="N266"/>
      <c r="O266"/>
      <c r="P266"/>
    </row>
    <row r="267" spans="10:16" x14ac:dyDescent="0.25">
      <c r="J267"/>
      <c r="K267"/>
      <c r="L267"/>
      <c r="M267"/>
      <c r="N267"/>
      <c r="O267"/>
      <c r="P267"/>
    </row>
    <row r="268" spans="10:16" x14ac:dyDescent="0.25">
      <c r="J268"/>
      <c r="K268"/>
      <c r="L268"/>
      <c r="M268"/>
      <c r="N268"/>
      <c r="O268"/>
      <c r="P268"/>
    </row>
    <row r="269" spans="10:16" x14ac:dyDescent="0.25">
      <c r="J269"/>
      <c r="K269"/>
      <c r="L269"/>
      <c r="M269"/>
      <c r="N269"/>
      <c r="O269"/>
      <c r="P269"/>
    </row>
    <row r="270" spans="10:16" x14ac:dyDescent="0.25">
      <c r="J270"/>
      <c r="K270"/>
      <c r="L270"/>
      <c r="M270"/>
      <c r="N270"/>
      <c r="O270"/>
      <c r="P270"/>
    </row>
    <row r="271" spans="10:16" x14ac:dyDescent="0.25">
      <c r="J271"/>
      <c r="K271"/>
      <c r="L271"/>
      <c r="M271"/>
      <c r="N271"/>
      <c r="O271"/>
      <c r="P271"/>
    </row>
    <row r="272" spans="10:16" x14ac:dyDescent="0.25">
      <c r="J272"/>
      <c r="K272"/>
      <c r="L272"/>
      <c r="M272"/>
      <c r="N272"/>
      <c r="O272"/>
      <c r="P272"/>
    </row>
    <row r="273" spans="10:16" x14ac:dyDescent="0.25">
      <c r="J273"/>
      <c r="K273"/>
      <c r="L273"/>
      <c r="M273"/>
      <c r="N273"/>
      <c r="O273"/>
      <c r="P273"/>
    </row>
    <row r="274" spans="10:16" x14ac:dyDescent="0.25">
      <c r="J274"/>
      <c r="K274"/>
      <c r="L274"/>
      <c r="M274"/>
      <c r="N274"/>
      <c r="O274"/>
      <c r="P274"/>
    </row>
    <row r="275" spans="10:16" x14ac:dyDescent="0.25">
      <c r="J275"/>
      <c r="K275"/>
      <c r="L275"/>
      <c r="M275"/>
      <c r="N275"/>
      <c r="O275"/>
      <c r="P275"/>
    </row>
    <row r="276" spans="10:16" x14ac:dyDescent="0.25">
      <c r="J276"/>
      <c r="K276"/>
      <c r="L276"/>
      <c r="M276"/>
      <c r="N276"/>
      <c r="O276"/>
      <c r="P276"/>
    </row>
    <row r="277" spans="10:16" x14ac:dyDescent="0.25">
      <c r="J277"/>
      <c r="K277"/>
      <c r="L277"/>
      <c r="M277"/>
      <c r="N277"/>
      <c r="O277"/>
      <c r="P277"/>
    </row>
    <row r="278" spans="10:16" x14ac:dyDescent="0.25">
      <c r="J278"/>
      <c r="K278"/>
      <c r="L278"/>
      <c r="M278"/>
      <c r="N278"/>
      <c r="O278"/>
      <c r="P278"/>
    </row>
    <row r="279" spans="10:16" x14ac:dyDescent="0.25">
      <c r="J279"/>
      <c r="K279"/>
      <c r="L279"/>
      <c r="M279"/>
      <c r="N279"/>
      <c r="O279"/>
      <c r="P279"/>
    </row>
    <row r="280" spans="10:16" x14ac:dyDescent="0.25">
      <c r="J280"/>
      <c r="K280"/>
      <c r="L280"/>
      <c r="M280"/>
      <c r="N280"/>
      <c r="O280"/>
      <c r="P280"/>
    </row>
    <row r="281" spans="10:16" x14ac:dyDescent="0.25">
      <c r="J281"/>
      <c r="K281"/>
      <c r="L281"/>
      <c r="M281"/>
      <c r="N281"/>
      <c r="O281"/>
      <c r="P281"/>
    </row>
    <row r="282" spans="10:16" x14ac:dyDescent="0.25">
      <c r="J282"/>
      <c r="K282"/>
      <c r="L282"/>
      <c r="M282"/>
      <c r="N282"/>
      <c r="O282"/>
      <c r="P282"/>
    </row>
    <row r="283" spans="10:16" x14ac:dyDescent="0.25">
      <c r="J283"/>
      <c r="K283"/>
      <c r="L283"/>
      <c r="M283"/>
      <c r="N283"/>
      <c r="O283"/>
      <c r="P283"/>
    </row>
    <row r="284" spans="10:16" x14ac:dyDescent="0.25">
      <c r="J284"/>
      <c r="K284"/>
      <c r="L284"/>
      <c r="M284"/>
      <c r="N284"/>
      <c r="O284"/>
      <c r="P284"/>
    </row>
    <row r="285" spans="10:16" x14ac:dyDescent="0.25">
      <c r="J285"/>
      <c r="K285"/>
      <c r="L285"/>
      <c r="M285"/>
      <c r="N285"/>
      <c r="O285"/>
      <c r="P285"/>
    </row>
    <row r="286" spans="10:16" x14ac:dyDescent="0.25">
      <c r="J286"/>
      <c r="K286"/>
      <c r="L286"/>
      <c r="M286"/>
      <c r="N286"/>
      <c r="O286"/>
      <c r="P286"/>
    </row>
    <row r="287" spans="10:16" x14ac:dyDescent="0.25">
      <c r="J287"/>
      <c r="K287"/>
      <c r="L287"/>
      <c r="M287"/>
      <c r="N287"/>
      <c r="O287"/>
      <c r="P287"/>
    </row>
    <row r="288" spans="10:16" x14ac:dyDescent="0.25">
      <c r="J288"/>
      <c r="K288"/>
      <c r="L288"/>
      <c r="M288"/>
      <c r="N288"/>
      <c r="O288"/>
      <c r="P288"/>
    </row>
    <row r="289" spans="10:16" x14ac:dyDescent="0.25">
      <c r="J289"/>
      <c r="K289"/>
      <c r="L289"/>
      <c r="M289"/>
      <c r="N289"/>
      <c r="O289"/>
      <c r="P289"/>
    </row>
    <row r="290" spans="10:16" x14ac:dyDescent="0.25">
      <c r="J290"/>
      <c r="K290"/>
      <c r="L290"/>
      <c r="M290"/>
      <c r="N290"/>
      <c r="O290"/>
      <c r="P290"/>
    </row>
    <row r="291" spans="10:16" x14ac:dyDescent="0.25">
      <c r="J291"/>
      <c r="K291"/>
      <c r="L291"/>
      <c r="M291"/>
      <c r="N291"/>
      <c r="O291"/>
      <c r="P291"/>
    </row>
    <row r="292" spans="10:16" x14ac:dyDescent="0.25">
      <c r="J292"/>
      <c r="K292"/>
      <c r="L292"/>
      <c r="M292"/>
      <c r="N292"/>
      <c r="O292"/>
      <c r="P292"/>
    </row>
    <row r="293" spans="10:16" x14ac:dyDescent="0.25">
      <c r="J293"/>
      <c r="K293"/>
      <c r="L293"/>
      <c r="M293"/>
      <c r="N293"/>
      <c r="O293"/>
      <c r="P293"/>
    </row>
    <row r="294" spans="10:16" x14ac:dyDescent="0.25">
      <c r="J294"/>
      <c r="K294"/>
      <c r="L294"/>
      <c r="M294"/>
      <c r="N294"/>
      <c r="O294"/>
      <c r="P294"/>
    </row>
    <row r="295" spans="10:16" x14ac:dyDescent="0.25">
      <c r="J295"/>
      <c r="K295"/>
      <c r="L295"/>
      <c r="M295"/>
      <c r="N295"/>
      <c r="O295"/>
      <c r="P295"/>
    </row>
    <row r="296" spans="10:16" x14ac:dyDescent="0.25">
      <c r="J296"/>
      <c r="K296"/>
      <c r="L296"/>
      <c r="M296"/>
      <c r="N296"/>
      <c r="O296"/>
      <c r="P296"/>
    </row>
    <row r="297" spans="10:16" x14ac:dyDescent="0.25">
      <c r="J297"/>
      <c r="K297"/>
      <c r="L297"/>
      <c r="M297"/>
      <c r="N297"/>
      <c r="O297"/>
      <c r="P297"/>
    </row>
    <row r="298" spans="10:16" x14ac:dyDescent="0.25">
      <c r="J298"/>
      <c r="K298"/>
      <c r="L298"/>
      <c r="M298"/>
      <c r="N298"/>
      <c r="O298"/>
      <c r="P298"/>
    </row>
    <row r="299" spans="10:16" x14ac:dyDescent="0.25">
      <c r="J299"/>
      <c r="K299"/>
      <c r="L299"/>
      <c r="M299"/>
      <c r="N299"/>
      <c r="O299"/>
      <c r="P299"/>
    </row>
    <row r="300" spans="10:16" x14ac:dyDescent="0.25">
      <c r="J300"/>
      <c r="K300"/>
      <c r="L300"/>
      <c r="M300"/>
      <c r="N300"/>
      <c r="O300"/>
      <c r="P300"/>
    </row>
    <row r="301" spans="10:16" x14ac:dyDescent="0.25">
      <c r="J301"/>
      <c r="K301"/>
      <c r="L301"/>
      <c r="M301"/>
      <c r="N301"/>
      <c r="O301"/>
      <c r="P301"/>
    </row>
    <row r="302" spans="10:16" x14ac:dyDescent="0.25">
      <c r="J302"/>
      <c r="K302"/>
      <c r="L302"/>
      <c r="M302"/>
      <c r="N302"/>
      <c r="O302"/>
      <c r="P302"/>
    </row>
    <row r="303" spans="10:16" x14ac:dyDescent="0.25">
      <c r="J303"/>
      <c r="K303"/>
      <c r="L303"/>
      <c r="M303"/>
      <c r="N303"/>
      <c r="O303"/>
      <c r="P303"/>
    </row>
    <row r="304" spans="10:16" x14ac:dyDescent="0.25">
      <c r="J304"/>
      <c r="K304"/>
      <c r="L304"/>
      <c r="M304"/>
      <c r="N304"/>
      <c r="O304"/>
      <c r="P304"/>
    </row>
    <row r="305" spans="10:16" x14ac:dyDescent="0.25">
      <c r="J305"/>
      <c r="K305"/>
      <c r="L305"/>
      <c r="M305"/>
      <c r="N305"/>
      <c r="O305"/>
      <c r="P305"/>
    </row>
    <row r="306" spans="10:16" x14ac:dyDescent="0.25">
      <c r="J306"/>
      <c r="K306"/>
      <c r="L306"/>
      <c r="M306"/>
      <c r="N306"/>
      <c r="O306"/>
      <c r="P306"/>
    </row>
    <row r="307" spans="10:16" x14ac:dyDescent="0.25">
      <c r="J307"/>
      <c r="K307"/>
      <c r="L307"/>
      <c r="M307"/>
      <c r="N307"/>
      <c r="O307"/>
      <c r="P307"/>
    </row>
    <row r="308" spans="10:16" x14ac:dyDescent="0.25">
      <c r="J308"/>
      <c r="K308"/>
      <c r="L308"/>
      <c r="M308"/>
      <c r="N308"/>
      <c r="O308"/>
      <c r="P308"/>
    </row>
    <row r="309" spans="10:16" x14ac:dyDescent="0.25">
      <c r="J309"/>
      <c r="K309"/>
      <c r="L309"/>
      <c r="M309"/>
      <c r="N309"/>
      <c r="O309"/>
      <c r="P309"/>
    </row>
    <row r="310" spans="10:16" x14ac:dyDescent="0.25">
      <c r="J310"/>
      <c r="K310"/>
      <c r="L310"/>
      <c r="M310"/>
      <c r="N310"/>
      <c r="O310"/>
      <c r="P310"/>
    </row>
    <row r="311" spans="10:16" x14ac:dyDescent="0.25">
      <c r="J311"/>
      <c r="K311"/>
      <c r="L311"/>
      <c r="M311"/>
      <c r="N311"/>
      <c r="O311"/>
      <c r="P311"/>
    </row>
    <row r="312" spans="10:16" x14ac:dyDescent="0.25">
      <c r="J312"/>
      <c r="K312"/>
      <c r="L312"/>
      <c r="M312"/>
      <c r="N312"/>
      <c r="O312"/>
      <c r="P312"/>
    </row>
    <row r="313" spans="10:16" x14ac:dyDescent="0.25">
      <c r="J313"/>
      <c r="K313"/>
      <c r="L313"/>
      <c r="M313"/>
      <c r="N313"/>
      <c r="O313"/>
      <c r="P313"/>
    </row>
    <row r="314" spans="10:16" x14ac:dyDescent="0.25">
      <c r="J314"/>
      <c r="K314"/>
      <c r="L314"/>
      <c r="M314"/>
      <c r="N314"/>
      <c r="O314"/>
      <c r="P314"/>
    </row>
    <row r="315" spans="10:16" x14ac:dyDescent="0.25">
      <c r="J315"/>
      <c r="K315"/>
      <c r="L315"/>
      <c r="M315"/>
      <c r="N315"/>
      <c r="O315"/>
      <c r="P315"/>
    </row>
    <row r="316" spans="10:16" x14ac:dyDescent="0.25">
      <c r="J316"/>
      <c r="K316"/>
      <c r="L316"/>
      <c r="M316"/>
      <c r="N316"/>
      <c r="O316"/>
      <c r="P316"/>
    </row>
    <row r="317" spans="10:16" x14ac:dyDescent="0.25">
      <c r="J317"/>
      <c r="K317"/>
      <c r="L317"/>
      <c r="M317"/>
      <c r="N317"/>
      <c r="O317"/>
      <c r="P317"/>
    </row>
    <row r="318" spans="10:16" x14ac:dyDescent="0.25">
      <c r="J318"/>
      <c r="K318"/>
      <c r="L318"/>
      <c r="M318"/>
      <c r="N318"/>
      <c r="O318"/>
      <c r="P318"/>
    </row>
    <row r="319" spans="10:16" x14ac:dyDescent="0.25">
      <c r="J319"/>
      <c r="K319"/>
      <c r="L319"/>
      <c r="M319"/>
      <c r="N319"/>
      <c r="O319"/>
      <c r="P319"/>
    </row>
    <row r="320" spans="10:16" x14ac:dyDescent="0.25">
      <c r="J320"/>
      <c r="K320"/>
      <c r="L320"/>
      <c r="M320"/>
      <c r="N320"/>
      <c r="O320"/>
      <c r="P320"/>
    </row>
    <row r="321" spans="10:16" x14ac:dyDescent="0.25">
      <c r="J321"/>
      <c r="K321"/>
      <c r="L321"/>
      <c r="M321"/>
      <c r="N321"/>
      <c r="O321"/>
      <c r="P321"/>
    </row>
    <row r="322" spans="10:16" x14ac:dyDescent="0.25">
      <c r="J322"/>
      <c r="K322"/>
      <c r="L322"/>
      <c r="M322"/>
      <c r="N322"/>
      <c r="O322"/>
      <c r="P322"/>
    </row>
    <row r="323" spans="10:16" x14ac:dyDescent="0.25">
      <c r="J323"/>
      <c r="K323"/>
      <c r="L323"/>
      <c r="M323"/>
      <c r="N323"/>
      <c r="O323"/>
      <c r="P323"/>
    </row>
    <row r="324" spans="10:16" x14ac:dyDescent="0.25">
      <c r="J324"/>
      <c r="K324"/>
      <c r="L324"/>
      <c r="M324"/>
      <c r="N324"/>
      <c r="O324"/>
      <c r="P324"/>
    </row>
    <row r="325" spans="10:16" x14ac:dyDescent="0.25">
      <c r="J325"/>
      <c r="K325"/>
      <c r="L325"/>
      <c r="M325"/>
      <c r="N325"/>
      <c r="O325"/>
      <c r="P325"/>
    </row>
    <row r="326" spans="10:16" x14ac:dyDescent="0.25">
      <c r="J326"/>
      <c r="K326"/>
      <c r="L326"/>
      <c r="M326"/>
      <c r="N326"/>
      <c r="O326"/>
      <c r="P326"/>
    </row>
    <row r="327" spans="10:16" x14ac:dyDescent="0.25">
      <c r="J327"/>
      <c r="K327"/>
      <c r="L327"/>
      <c r="M327"/>
      <c r="N327"/>
      <c r="O327"/>
      <c r="P327"/>
    </row>
    <row r="328" spans="10:16" x14ac:dyDescent="0.25">
      <c r="J328"/>
      <c r="K328"/>
      <c r="L328"/>
      <c r="M328"/>
      <c r="N328"/>
      <c r="O328"/>
      <c r="P328"/>
    </row>
    <row r="329" spans="10:16" x14ac:dyDescent="0.25">
      <c r="J329"/>
      <c r="K329"/>
      <c r="L329"/>
      <c r="M329"/>
      <c r="N329"/>
      <c r="O329"/>
      <c r="P329"/>
    </row>
    <row r="330" spans="10:16" x14ac:dyDescent="0.25">
      <c r="J330"/>
      <c r="K330"/>
      <c r="L330"/>
      <c r="M330"/>
      <c r="N330"/>
      <c r="O330"/>
      <c r="P330"/>
    </row>
    <row r="331" spans="10:16" x14ac:dyDescent="0.25">
      <c r="J331"/>
      <c r="K331"/>
      <c r="L331"/>
      <c r="M331"/>
      <c r="N331"/>
      <c r="O331"/>
      <c r="P331"/>
    </row>
    <row r="332" spans="10:16" x14ac:dyDescent="0.25">
      <c r="J332"/>
      <c r="K332"/>
      <c r="L332"/>
      <c r="M332"/>
      <c r="N332"/>
      <c r="O332"/>
      <c r="P332"/>
    </row>
    <row r="333" spans="10:16" x14ac:dyDescent="0.25">
      <c r="J333"/>
      <c r="K333"/>
      <c r="L333"/>
      <c r="M333"/>
      <c r="N333"/>
      <c r="O333"/>
      <c r="P333"/>
    </row>
    <row r="334" spans="10:16" x14ac:dyDescent="0.25">
      <c r="J334"/>
      <c r="K334"/>
      <c r="L334"/>
      <c r="M334"/>
      <c r="N334"/>
      <c r="O334"/>
      <c r="P334"/>
    </row>
    <row r="335" spans="10:16" x14ac:dyDescent="0.25">
      <c r="J335"/>
      <c r="K335"/>
      <c r="L335"/>
      <c r="M335"/>
      <c r="N335"/>
      <c r="O335"/>
      <c r="P335"/>
    </row>
    <row r="336" spans="10:16" x14ac:dyDescent="0.25">
      <c r="J336"/>
      <c r="K336"/>
      <c r="L336"/>
      <c r="M336"/>
      <c r="N336"/>
      <c r="O336"/>
      <c r="P336"/>
    </row>
    <row r="337" spans="10:16" x14ac:dyDescent="0.25">
      <c r="J337"/>
      <c r="K337"/>
      <c r="L337"/>
      <c r="M337"/>
      <c r="N337"/>
      <c r="O337"/>
      <c r="P337"/>
    </row>
    <row r="338" spans="10:16" x14ac:dyDescent="0.25">
      <c r="J338"/>
      <c r="K338"/>
      <c r="L338"/>
      <c r="M338"/>
      <c r="N338"/>
      <c r="O338"/>
      <c r="P338"/>
    </row>
    <row r="339" spans="10:16" x14ac:dyDescent="0.25">
      <c r="J339"/>
      <c r="K339"/>
      <c r="L339"/>
      <c r="M339"/>
      <c r="N339"/>
      <c r="O339"/>
      <c r="P339"/>
    </row>
    <row r="340" spans="10:16" x14ac:dyDescent="0.25">
      <c r="J340"/>
      <c r="K340"/>
      <c r="L340"/>
      <c r="M340"/>
      <c r="N340"/>
      <c r="O340"/>
      <c r="P340"/>
    </row>
    <row r="341" spans="10:16" x14ac:dyDescent="0.25">
      <c r="J341"/>
      <c r="K341"/>
      <c r="L341"/>
      <c r="M341"/>
      <c r="N341"/>
      <c r="O341"/>
      <c r="P341"/>
    </row>
    <row r="342" spans="10:16" x14ac:dyDescent="0.25">
      <c r="J342"/>
      <c r="K342"/>
      <c r="L342"/>
      <c r="M342"/>
      <c r="N342"/>
      <c r="O342"/>
      <c r="P342"/>
    </row>
    <row r="343" spans="10:16" x14ac:dyDescent="0.25">
      <c r="J343"/>
      <c r="K343"/>
      <c r="L343"/>
      <c r="M343"/>
      <c r="N343"/>
      <c r="O343"/>
      <c r="P343"/>
    </row>
    <row r="344" spans="10:16" x14ac:dyDescent="0.25">
      <c r="J344"/>
      <c r="K344"/>
      <c r="L344"/>
      <c r="M344"/>
      <c r="N344"/>
      <c r="O344"/>
      <c r="P344"/>
    </row>
    <row r="345" spans="10:16" x14ac:dyDescent="0.25">
      <c r="J345"/>
      <c r="K345"/>
      <c r="L345"/>
      <c r="M345"/>
      <c r="N345"/>
      <c r="O345"/>
      <c r="P345"/>
    </row>
    <row r="346" spans="10:16" x14ac:dyDescent="0.25">
      <c r="J346"/>
      <c r="K346"/>
      <c r="L346"/>
      <c r="M346"/>
      <c r="N346"/>
      <c r="O346"/>
      <c r="P346"/>
    </row>
    <row r="347" spans="10:16" x14ac:dyDescent="0.25">
      <c r="J347"/>
      <c r="K347"/>
      <c r="L347"/>
      <c r="M347"/>
      <c r="N347"/>
      <c r="O347"/>
      <c r="P347"/>
    </row>
    <row r="348" spans="10:16" x14ac:dyDescent="0.25">
      <c r="J348"/>
      <c r="K348"/>
      <c r="L348"/>
      <c r="M348"/>
      <c r="N348"/>
      <c r="O348"/>
      <c r="P348"/>
    </row>
    <row r="349" spans="10:16" x14ac:dyDescent="0.25">
      <c r="J349"/>
      <c r="K349"/>
      <c r="L349"/>
      <c r="M349"/>
      <c r="N349"/>
      <c r="O349"/>
      <c r="P349"/>
    </row>
    <row r="350" spans="10:16" x14ac:dyDescent="0.25">
      <c r="J350"/>
      <c r="K350"/>
      <c r="L350"/>
      <c r="M350"/>
      <c r="N350"/>
      <c r="O350"/>
      <c r="P350"/>
    </row>
    <row r="351" spans="10:16" x14ac:dyDescent="0.25">
      <c r="J351"/>
      <c r="K351"/>
      <c r="L351"/>
      <c r="M351"/>
      <c r="N351"/>
      <c r="O351"/>
      <c r="P351"/>
    </row>
    <row r="352" spans="10:16" x14ac:dyDescent="0.25">
      <c r="J352"/>
      <c r="K352"/>
      <c r="L352"/>
      <c r="M352"/>
      <c r="N352"/>
      <c r="O352"/>
      <c r="P352"/>
    </row>
    <row r="353" spans="10:16" x14ac:dyDescent="0.25">
      <c r="J353"/>
      <c r="K353"/>
      <c r="L353"/>
      <c r="M353"/>
      <c r="N353"/>
      <c r="O353"/>
      <c r="P353"/>
    </row>
    <row r="354" spans="10:16" x14ac:dyDescent="0.25">
      <c r="J354"/>
      <c r="K354"/>
      <c r="L354"/>
      <c r="M354"/>
      <c r="N354"/>
      <c r="O354"/>
      <c r="P354"/>
    </row>
    <row r="355" spans="10:16" x14ac:dyDescent="0.25">
      <c r="J355"/>
      <c r="K355"/>
      <c r="L355"/>
      <c r="M355"/>
      <c r="N355"/>
      <c r="O355"/>
      <c r="P355"/>
    </row>
    <row r="356" spans="10:16" x14ac:dyDescent="0.25">
      <c r="J356"/>
      <c r="K356"/>
      <c r="L356"/>
      <c r="M356"/>
      <c r="N356"/>
      <c r="O356"/>
      <c r="P356"/>
    </row>
    <row r="357" spans="10:16" x14ac:dyDescent="0.25">
      <c r="J357"/>
      <c r="K357"/>
      <c r="L357"/>
      <c r="M357"/>
      <c r="N357"/>
      <c r="O357"/>
      <c r="P357"/>
    </row>
    <row r="358" spans="10:16" x14ac:dyDescent="0.25">
      <c r="J358"/>
      <c r="K358"/>
      <c r="L358"/>
      <c r="M358"/>
      <c r="N358"/>
      <c r="O358"/>
      <c r="P358"/>
    </row>
    <row r="359" spans="10:16" x14ac:dyDescent="0.25">
      <c r="J359"/>
      <c r="K359"/>
      <c r="L359"/>
      <c r="M359"/>
      <c r="N359"/>
      <c r="O359"/>
      <c r="P359"/>
    </row>
    <row r="360" spans="10:16" x14ac:dyDescent="0.25">
      <c r="J360"/>
      <c r="K360"/>
      <c r="L360"/>
      <c r="M360"/>
      <c r="N360"/>
      <c r="O360"/>
      <c r="P360"/>
    </row>
    <row r="361" spans="10:16" x14ac:dyDescent="0.25">
      <c r="J361"/>
      <c r="K361"/>
      <c r="L361"/>
      <c r="M361"/>
      <c r="N361"/>
      <c r="O361"/>
      <c r="P361"/>
    </row>
    <row r="362" spans="10:16" x14ac:dyDescent="0.25">
      <c r="J362"/>
      <c r="K362"/>
      <c r="L362"/>
      <c r="M362"/>
      <c r="N362"/>
      <c r="O362"/>
      <c r="P362"/>
    </row>
    <row r="363" spans="10:16" x14ac:dyDescent="0.25">
      <c r="J363"/>
      <c r="K363"/>
      <c r="L363"/>
      <c r="M363"/>
      <c r="N363"/>
      <c r="O363"/>
      <c r="P363"/>
    </row>
    <row r="364" spans="10:16" x14ac:dyDescent="0.25">
      <c r="J364"/>
      <c r="K364"/>
      <c r="L364"/>
      <c r="M364"/>
      <c r="N364"/>
      <c r="O364"/>
      <c r="P364"/>
    </row>
    <row r="365" spans="10:16" x14ac:dyDescent="0.25">
      <c r="J365"/>
      <c r="K365"/>
      <c r="L365"/>
      <c r="M365"/>
      <c r="N365"/>
      <c r="O365"/>
      <c r="P365"/>
    </row>
    <row r="366" spans="10:16" x14ac:dyDescent="0.25">
      <c r="J366"/>
      <c r="K366"/>
      <c r="L366"/>
      <c r="M366"/>
      <c r="N366"/>
      <c r="O366"/>
      <c r="P366"/>
    </row>
    <row r="367" spans="10:16" x14ac:dyDescent="0.25">
      <c r="J367"/>
      <c r="K367"/>
      <c r="L367"/>
      <c r="M367"/>
      <c r="N367"/>
      <c r="O367"/>
      <c r="P367"/>
    </row>
    <row r="368" spans="10:16" x14ac:dyDescent="0.25">
      <c r="J368"/>
      <c r="K368"/>
      <c r="L368"/>
      <c r="M368"/>
      <c r="N368"/>
      <c r="O368"/>
      <c r="P368"/>
    </row>
    <row r="369" spans="10:16" x14ac:dyDescent="0.25">
      <c r="J369"/>
      <c r="K369"/>
      <c r="L369"/>
      <c r="M369"/>
      <c r="N369"/>
      <c r="O369"/>
      <c r="P369"/>
    </row>
    <row r="370" spans="10:16" x14ac:dyDescent="0.25">
      <c r="J370"/>
      <c r="K370"/>
      <c r="L370"/>
      <c r="M370"/>
      <c r="N370"/>
      <c r="O370"/>
      <c r="P370"/>
    </row>
    <row r="371" spans="10:16" x14ac:dyDescent="0.25">
      <c r="J371"/>
      <c r="K371"/>
      <c r="L371"/>
      <c r="M371"/>
      <c r="N371"/>
      <c r="O371"/>
      <c r="P371"/>
    </row>
    <row r="372" spans="10:16" x14ac:dyDescent="0.25">
      <c r="J372"/>
      <c r="K372"/>
      <c r="L372"/>
      <c r="M372"/>
      <c r="N372"/>
      <c r="O372"/>
      <c r="P372"/>
    </row>
    <row r="373" spans="10:16" x14ac:dyDescent="0.25">
      <c r="J373"/>
      <c r="K373"/>
      <c r="L373"/>
      <c r="M373"/>
      <c r="N373"/>
      <c r="O373"/>
      <c r="P373"/>
    </row>
    <row r="374" spans="10:16" x14ac:dyDescent="0.25">
      <c r="J374"/>
      <c r="K374"/>
      <c r="L374"/>
      <c r="M374"/>
      <c r="N374"/>
      <c r="O374"/>
      <c r="P374"/>
    </row>
    <row r="375" spans="10:16" x14ac:dyDescent="0.25">
      <c r="J375"/>
      <c r="K375"/>
      <c r="L375"/>
      <c r="M375"/>
      <c r="N375"/>
      <c r="O375"/>
      <c r="P375"/>
    </row>
    <row r="376" spans="10:16" x14ac:dyDescent="0.25">
      <c r="J376"/>
      <c r="K376"/>
      <c r="L376"/>
      <c r="M376"/>
      <c r="N376"/>
      <c r="O376"/>
      <c r="P376"/>
    </row>
    <row r="377" spans="10:16" x14ac:dyDescent="0.25">
      <c r="J377"/>
      <c r="K377"/>
      <c r="L377"/>
      <c r="M377"/>
      <c r="N377"/>
      <c r="O377"/>
      <c r="P377"/>
    </row>
    <row r="378" spans="10:16" x14ac:dyDescent="0.25">
      <c r="J378"/>
      <c r="K378"/>
      <c r="L378"/>
      <c r="M378"/>
      <c r="N378"/>
      <c r="O378"/>
      <c r="P378"/>
    </row>
    <row r="379" spans="10:16" x14ac:dyDescent="0.25">
      <c r="J379"/>
      <c r="K379"/>
      <c r="L379"/>
      <c r="M379"/>
      <c r="N379"/>
      <c r="O379"/>
      <c r="P379"/>
    </row>
    <row r="380" spans="10:16" x14ac:dyDescent="0.25">
      <c r="J380"/>
      <c r="K380"/>
      <c r="L380"/>
      <c r="M380"/>
      <c r="N380"/>
      <c r="O380"/>
      <c r="P380"/>
    </row>
    <row r="381" spans="10:16" x14ac:dyDescent="0.25">
      <c r="J381"/>
      <c r="K381"/>
      <c r="L381"/>
      <c r="M381"/>
      <c r="N381"/>
      <c r="O381"/>
      <c r="P381"/>
    </row>
    <row r="382" spans="10:16" x14ac:dyDescent="0.25">
      <c r="J382"/>
      <c r="K382"/>
      <c r="L382"/>
      <c r="M382"/>
      <c r="N382"/>
      <c r="O382"/>
      <c r="P382"/>
    </row>
    <row r="383" spans="10:16" x14ac:dyDescent="0.25">
      <c r="J383"/>
      <c r="K383"/>
      <c r="L383"/>
      <c r="M383"/>
      <c r="N383"/>
      <c r="O383"/>
      <c r="P383"/>
    </row>
    <row r="384" spans="10:16" x14ac:dyDescent="0.25">
      <c r="J384"/>
      <c r="K384"/>
      <c r="L384"/>
      <c r="M384"/>
      <c r="N384"/>
      <c r="O384"/>
      <c r="P384"/>
    </row>
    <row r="385" spans="10:16" x14ac:dyDescent="0.25">
      <c r="J385"/>
      <c r="K385"/>
      <c r="L385"/>
      <c r="M385"/>
      <c r="N385"/>
      <c r="O385"/>
      <c r="P385"/>
    </row>
    <row r="386" spans="10:16" x14ac:dyDescent="0.25">
      <c r="J386"/>
      <c r="K386"/>
      <c r="L386"/>
      <c r="M386"/>
      <c r="N386"/>
      <c r="O386"/>
      <c r="P386"/>
    </row>
    <row r="387" spans="10:16" x14ac:dyDescent="0.25">
      <c r="J387"/>
      <c r="K387"/>
      <c r="L387"/>
      <c r="M387"/>
      <c r="N387"/>
      <c r="O387"/>
      <c r="P387"/>
    </row>
    <row r="388" spans="10:16" x14ac:dyDescent="0.25">
      <c r="J388"/>
      <c r="K388"/>
      <c r="L388"/>
      <c r="M388"/>
      <c r="N388"/>
      <c r="O388"/>
      <c r="P388"/>
    </row>
    <row r="389" spans="10:16" x14ac:dyDescent="0.25">
      <c r="J389"/>
      <c r="K389"/>
      <c r="L389"/>
      <c r="M389"/>
      <c r="N389"/>
      <c r="O389"/>
      <c r="P389"/>
    </row>
    <row r="390" spans="10:16" x14ac:dyDescent="0.25">
      <c r="J390"/>
      <c r="K390"/>
      <c r="L390"/>
      <c r="M390"/>
      <c r="N390"/>
      <c r="O390"/>
      <c r="P390"/>
    </row>
    <row r="391" spans="10:16" x14ac:dyDescent="0.25">
      <c r="J391"/>
      <c r="K391"/>
      <c r="L391"/>
      <c r="M391"/>
      <c r="N391"/>
      <c r="O391"/>
      <c r="P391"/>
    </row>
    <row r="392" spans="10:16" x14ac:dyDescent="0.25">
      <c r="J392"/>
      <c r="K392"/>
      <c r="L392"/>
      <c r="M392"/>
      <c r="N392"/>
      <c r="O392"/>
      <c r="P392"/>
    </row>
    <row r="393" spans="10:16" x14ac:dyDescent="0.25">
      <c r="J393"/>
      <c r="K393"/>
      <c r="L393"/>
      <c r="M393"/>
      <c r="N393"/>
      <c r="O393"/>
      <c r="P393"/>
    </row>
    <row r="394" spans="10:16" x14ac:dyDescent="0.25">
      <c r="J394"/>
      <c r="K394"/>
      <c r="L394"/>
      <c r="M394"/>
      <c r="N394"/>
      <c r="O394"/>
      <c r="P394"/>
    </row>
    <row r="395" spans="10:16" x14ac:dyDescent="0.25">
      <c r="J395"/>
      <c r="K395"/>
      <c r="L395"/>
      <c r="M395"/>
      <c r="N395"/>
      <c r="O395"/>
      <c r="P395"/>
    </row>
    <row r="396" spans="10:16" x14ac:dyDescent="0.25">
      <c r="J396"/>
      <c r="K396"/>
      <c r="L396"/>
      <c r="M396"/>
      <c r="N396"/>
      <c r="O396"/>
      <c r="P396"/>
    </row>
    <row r="397" spans="10:16" x14ac:dyDescent="0.25">
      <c r="J397"/>
      <c r="K397"/>
      <c r="L397"/>
      <c r="M397"/>
      <c r="N397"/>
      <c r="O397"/>
      <c r="P397"/>
    </row>
    <row r="398" spans="10:16" x14ac:dyDescent="0.25">
      <c r="J398"/>
      <c r="K398"/>
      <c r="L398"/>
      <c r="M398"/>
      <c r="N398"/>
      <c r="O398"/>
      <c r="P398"/>
    </row>
    <row r="399" spans="10:16" x14ac:dyDescent="0.25">
      <c r="J399"/>
      <c r="K399"/>
      <c r="L399"/>
      <c r="M399"/>
      <c r="N399"/>
      <c r="O399"/>
      <c r="P399"/>
    </row>
    <row r="400" spans="10:16" x14ac:dyDescent="0.25">
      <c r="J400"/>
      <c r="K400"/>
      <c r="L400"/>
      <c r="M400"/>
      <c r="N400"/>
      <c r="O400"/>
      <c r="P400"/>
    </row>
    <row r="401" spans="10:16" x14ac:dyDescent="0.25">
      <c r="J401"/>
      <c r="K401"/>
      <c r="L401"/>
      <c r="M401"/>
      <c r="N401"/>
      <c r="O401"/>
      <c r="P401"/>
    </row>
    <row r="402" spans="10:16" x14ac:dyDescent="0.25">
      <c r="J402"/>
      <c r="K402"/>
      <c r="L402"/>
      <c r="M402"/>
      <c r="N402"/>
      <c r="O402"/>
      <c r="P402"/>
    </row>
    <row r="403" spans="10:16" x14ac:dyDescent="0.25">
      <c r="J403"/>
      <c r="K403"/>
      <c r="L403"/>
      <c r="M403"/>
      <c r="N403"/>
      <c r="O403"/>
      <c r="P403"/>
    </row>
    <row r="404" spans="10:16" x14ac:dyDescent="0.25">
      <c r="J404"/>
      <c r="K404"/>
      <c r="L404"/>
      <c r="M404"/>
      <c r="N404"/>
      <c r="O404"/>
      <c r="P404"/>
    </row>
    <row r="405" spans="10:16" x14ac:dyDescent="0.25">
      <c r="J405"/>
      <c r="K405"/>
      <c r="L405"/>
      <c r="M405"/>
      <c r="N405"/>
      <c r="O405"/>
      <c r="P405"/>
    </row>
    <row r="406" spans="10:16" x14ac:dyDescent="0.25">
      <c r="J406"/>
      <c r="K406"/>
      <c r="L406"/>
      <c r="M406"/>
      <c r="N406"/>
      <c r="O406"/>
      <c r="P406"/>
    </row>
    <row r="407" spans="10:16" x14ac:dyDescent="0.25">
      <c r="J407"/>
      <c r="K407"/>
      <c r="L407"/>
      <c r="M407"/>
      <c r="N407"/>
      <c r="O407"/>
      <c r="P407"/>
    </row>
    <row r="408" spans="10:16" x14ac:dyDescent="0.25">
      <c r="J408"/>
      <c r="K408"/>
      <c r="L408"/>
      <c r="M408"/>
      <c r="N408"/>
      <c r="O408"/>
      <c r="P408"/>
    </row>
    <row r="409" spans="10:16" x14ac:dyDescent="0.25">
      <c r="J409"/>
      <c r="K409"/>
      <c r="L409"/>
      <c r="M409"/>
      <c r="N409"/>
      <c r="O409"/>
      <c r="P409"/>
    </row>
    <row r="410" spans="10:16" x14ac:dyDescent="0.25">
      <c r="J410"/>
      <c r="K410"/>
      <c r="L410"/>
      <c r="M410"/>
      <c r="N410"/>
      <c r="O410"/>
      <c r="P410"/>
    </row>
    <row r="411" spans="10:16" x14ac:dyDescent="0.25">
      <c r="J411"/>
      <c r="K411"/>
      <c r="L411"/>
      <c r="M411"/>
      <c r="N411"/>
      <c r="O411"/>
      <c r="P411"/>
    </row>
    <row r="412" spans="10:16" x14ac:dyDescent="0.25">
      <c r="J412"/>
      <c r="K412"/>
      <c r="L412"/>
      <c r="M412"/>
      <c r="N412"/>
      <c r="O412"/>
      <c r="P412"/>
    </row>
    <row r="413" spans="10:16" x14ac:dyDescent="0.25">
      <c r="J413"/>
      <c r="K413"/>
      <c r="L413"/>
      <c r="M413"/>
      <c r="N413"/>
      <c r="O413"/>
      <c r="P413"/>
    </row>
    <row r="414" spans="10:16" x14ac:dyDescent="0.25">
      <c r="J414"/>
      <c r="K414"/>
      <c r="L414"/>
      <c r="M414"/>
      <c r="N414"/>
      <c r="O414"/>
      <c r="P414"/>
    </row>
    <row r="415" spans="10:16" x14ac:dyDescent="0.25">
      <c r="J415"/>
      <c r="K415"/>
      <c r="L415"/>
      <c r="M415"/>
      <c r="N415"/>
      <c r="O415"/>
      <c r="P415"/>
    </row>
    <row r="416" spans="10:16" x14ac:dyDescent="0.25">
      <c r="J416"/>
      <c r="K416"/>
      <c r="L416"/>
      <c r="M416"/>
      <c r="N416"/>
      <c r="O416"/>
      <c r="P416"/>
    </row>
    <row r="417" spans="10:16" x14ac:dyDescent="0.25">
      <c r="J417"/>
      <c r="K417"/>
      <c r="L417"/>
      <c r="M417"/>
      <c r="N417"/>
      <c r="O417"/>
      <c r="P417"/>
    </row>
    <row r="418" spans="10:16" x14ac:dyDescent="0.25">
      <c r="J418"/>
      <c r="K418"/>
      <c r="L418"/>
      <c r="M418"/>
      <c r="N418"/>
      <c r="O418"/>
      <c r="P418"/>
    </row>
    <row r="419" spans="10:16" x14ac:dyDescent="0.25">
      <c r="J419"/>
      <c r="K419"/>
      <c r="L419"/>
      <c r="M419"/>
      <c r="N419"/>
      <c r="O419"/>
      <c r="P419"/>
    </row>
    <row r="420" spans="10:16" x14ac:dyDescent="0.25">
      <c r="J420"/>
      <c r="K420"/>
      <c r="L420"/>
      <c r="M420"/>
      <c r="N420"/>
      <c r="O420"/>
      <c r="P420"/>
    </row>
    <row r="421" spans="10:16" x14ac:dyDescent="0.25">
      <c r="J421"/>
      <c r="K421"/>
      <c r="L421"/>
      <c r="M421"/>
      <c r="N421"/>
      <c r="O421"/>
      <c r="P421"/>
    </row>
    <row r="422" spans="10:16" x14ac:dyDescent="0.25">
      <c r="J422"/>
      <c r="K422"/>
      <c r="L422"/>
      <c r="M422"/>
      <c r="N422"/>
      <c r="O422"/>
      <c r="P422"/>
    </row>
    <row r="423" spans="10:16" x14ac:dyDescent="0.25">
      <c r="J423"/>
      <c r="K423"/>
      <c r="L423"/>
      <c r="M423"/>
      <c r="N423"/>
      <c r="O423"/>
      <c r="P423"/>
    </row>
    <row r="424" spans="10:16" x14ac:dyDescent="0.25">
      <c r="J424"/>
      <c r="K424"/>
      <c r="L424"/>
      <c r="M424"/>
      <c r="N424"/>
      <c r="O424"/>
      <c r="P424"/>
    </row>
    <row r="425" spans="10:16" x14ac:dyDescent="0.25">
      <c r="J425"/>
      <c r="K425"/>
      <c r="L425"/>
      <c r="M425"/>
      <c r="N425"/>
      <c r="O425"/>
      <c r="P425"/>
    </row>
    <row r="426" spans="10:16" x14ac:dyDescent="0.25">
      <c r="J426"/>
      <c r="K426"/>
      <c r="L426"/>
      <c r="M426"/>
      <c r="N426"/>
      <c r="O426"/>
      <c r="P426"/>
    </row>
    <row r="427" spans="10:16" x14ac:dyDescent="0.25">
      <c r="J427"/>
      <c r="K427"/>
      <c r="L427"/>
      <c r="M427"/>
      <c r="N427"/>
      <c r="O427"/>
      <c r="P427"/>
    </row>
    <row r="428" spans="10:16" x14ac:dyDescent="0.25">
      <c r="J428"/>
      <c r="K428"/>
      <c r="L428"/>
      <c r="M428"/>
      <c r="N428"/>
      <c r="O428"/>
      <c r="P428"/>
    </row>
    <row r="429" spans="10:16" x14ac:dyDescent="0.25">
      <c r="J429"/>
      <c r="K429"/>
      <c r="L429"/>
      <c r="M429"/>
      <c r="N429"/>
      <c r="O429"/>
      <c r="P429"/>
    </row>
    <row r="430" spans="10:16" x14ac:dyDescent="0.25">
      <c r="J430"/>
      <c r="K430"/>
      <c r="L430"/>
      <c r="M430"/>
      <c r="N430"/>
      <c r="O430"/>
      <c r="P430"/>
    </row>
    <row r="431" spans="10:16" x14ac:dyDescent="0.25">
      <c r="J431"/>
      <c r="K431"/>
      <c r="L431"/>
      <c r="M431"/>
      <c r="N431"/>
      <c r="O431"/>
      <c r="P431"/>
    </row>
    <row r="432" spans="10:16" x14ac:dyDescent="0.25">
      <c r="J432"/>
      <c r="K432"/>
      <c r="L432"/>
      <c r="M432"/>
      <c r="N432"/>
      <c r="O432"/>
      <c r="P432"/>
    </row>
    <row r="433" spans="10:16" x14ac:dyDescent="0.25">
      <c r="J433"/>
      <c r="K433"/>
      <c r="L433"/>
      <c r="M433"/>
      <c r="N433"/>
      <c r="O433"/>
      <c r="P433"/>
    </row>
    <row r="434" spans="10:16" x14ac:dyDescent="0.25">
      <c r="J434"/>
      <c r="K434"/>
      <c r="L434"/>
      <c r="M434"/>
      <c r="N434"/>
      <c r="O434"/>
      <c r="P434"/>
    </row>
    <row r="435" spans="10:16" x14ac:dyDescent="0.25">
      <c r="J435"/>
      <c r="K435"/>
      <c r="L435"/>
      <c r="M435"/>
      <c r="N435"/>
      <c r="O435"/>
      <c r="P435"/>
    </row>
    <row r="436" spans="10:16" x14ac:dyDescent="0.25">
      <c r="J436"/>
      <c r="K436"/>
      <c r="L436"/>
      <c r="M436"/>
      <c r="N436"/>
      <c r="O436"/>
      <c r="P436"/>
    </row>
    <row r="437" spans="10:16" x14ac:dyDescent="0.25">
      <c r="J437"/>
      <c r="K437"/>
      <c r="L437"/>
      <c r="M437"/>
      <c r="N437"/>
      <c r="O437"/>
      <c r="P437"/>
    </row>
    <row r="438" spans="10:16" x14ac:dyDescent="0.25">
      <c r="J438"/>
      <c r="K438"/>
      <c r="L438"/>
      <c r="M438"/>
      <c r="N438"/>
      <c r="O438"/>
      <c r="P438"/>
    </row>
    <row r="439" spans="10:16" x14ac:dyDescent="0.25">
      <c r="J439"/>
      <c r="K439"/>
      <c r="L439"/>
      <c r="M439"/>
      <c r="N439"/>
      <c r="O439"/>
      <c r="P439"/>
    </row>
    <row r="440" spans="10:16" x14ac:dyDescent="0.25">
      <c r="J440"/>
      <c r="K440"/>
      <c r="L440"/>
      <c r="M440"/>
      <c r="N440"/>
      <c r="O440"/>
      <c r="P440"/>
    </row>
    <row r="441" spans="10:16" x14ac:dyDescent="0.25">
      <c r="J441"/>
      <c r="K441"/>
      <c r="L441"/>
      <c r="M441"/>
      <c r="N441"/>
      <c r="O441"/>
      <c r="P441"/>
    </row>
    <row r="442" spans="10:16" x14ac:dyDescent="0.25">
      <c r="J442"/>
      <c r="K442"/>
      <c r="L442"/>
      <c r="M442"/>
      <c r="N442"/>
      <c r="O442"/>
      <c r="P442"/>
    </row>
    <row r="443" spans="10:16" x14ac:dyDescent="0.25">
      <c r="J443"/>
      <c r="K443"/>
      <c r="L443"/>
      <c r="M443"/>
      <c r="N443"/>
      <c r="O443"/>
      <c r="P443"/>
    </row>
    <row r="444" spans="10:16" x14ac:dyDescent="0.25">
      <c r="J444"/>
      <c r="K444"/>
      <c r="L444"/>
      <c r="M444"/>
      <c r="N444"/>
      <c r="O444"/>
      <c r="P444"/>
    </row>
    <row r="445" spans="10:16" x14ac:dyDescent="0.25">
      <c r="J445"/>
      <c r="K445"/>
      <c r="L445"/>
      <c r="M445"/>
      <c r="N445"/>
      <c r="O445"/>
      <c r="P445"/>
    </row>
    <row r="446" spans="10:16" x14ac:dyDescent="0.25">
      <c r="J446"/>
      <c r="K446"/>
      <c r="L446"/>
      <c r="M446"/>
      <c r="N446"/>
      <c r="O446"/>
      <c r="P446"/>
    </row>
    <row r="447" spans="10:16" x14ac:dyDescent="0.25">
      <c r="J447"/>
      <c r="K447"/>
      <c r="L447"/>
      <c r="M447"/>
      <c r="N447"/>
      <c r="O447"/>
      <c r="P447"/>
    </row>
    <row r="448" spans="10:16" x14ac:dyDescent="0.25">
      <c r="J448"/>
      <c r="K448"/>
      <c r="L448"/>
      <c r="M448"/>
      <c r="N448"/>
      <c r="O448"/>
      <c r="P448"/>
    </row>
    <row r="449" spans="10:16" x14ac:dyDescent="0.25">
      <c r="J449"/>
      <c r="K449"/>
      <c r="L449"/>
      <c r="M449"/>
      <c r="N449"/>
      <c r="O449"/>
      <c r="P449"/>
    </row>
    <row r="450" spans="10:16" x14ac:dyDescent="0.25">
      <c r="J450"/>
      <c r="K450"/>
      <c r="L450"/>
      <c r="M450"/>
      <c r="N450"/>
      <c r="O450"/>
      <c r="P450"/>
    </row>
    <row r="451" spans="10:16" x14ac:dyDescent="0.25">
      <c r="J451"/>
      <c r="K451"/>
      <c r="L451"/>
      <c r="M451"/>
      <c r="N451"/>
      <c r="O451"/>
      <c r="P451"/>
    </row>
    <row r="452" spans="10:16" x14ac:dyDescent="0.25">
      <c r="J452"/>
      <c r="K452"/>
      <c r="L452"/>
      <c r="M452"/>
      <c r="N452"/>
      <c r="O452"/>
      <c r="P452"/>
    </row>
    <row r="453" spans="10:16" x14ac:dyDescent="0.25">
      <c r="J453"/>
      <c r="K453"/>
      <c r="L453"/>
      <c r="M453"/>
      <c r="N453"/>
      <c r="O453"/>
      <c r="P453"/>
    </row>
    <row r="454" spans="10:16" x14ac:dyDescent="0.25">
      <c r="J454"/>
      <c r="K454"/>
      <c r="L454"/>
      <c r="M454"/>
      <c r="N454"/>
      <c r="O454"/>
      <c r="P454"/>
    </row>
    <row r="455" spans="10:16" x14ac:dyDescent="0.25">
      <c r="J455"/>
      <c r="K455"/>
      <c r="L455"/>
      <c r="M455"/>
      <c r="N455"/>
      <c r="O455"/>
      <c r="P455"/>
    </row>
    <row r="456" spans="10:16" x14ac:dyDescent="0.25">
      <c r="J456"/>
      <c r="K456"/>
      <c r="L456"/>
      <c r="M456"/>
      <c r="N456"/>
      <c r="O456"/>
      <c r="P456"/>
    </row>
    <row r="457" spans="10:16" x14ac:dyDescent="0.25">
      <c r="J457"/>
      <c r="K457"/>
      <c r="L457"/>
      <c r="M457"/>
      <c r="N457"/>
      <c r="O457"/>
      <c r="P457"/>
    </row>
    <row r="458" spans="10:16" x14ac:dyDescent="0.25">
      <c r="J458"/>
      <c r="K458"/>
      <c r="L458"/>
      <c r="M458"/>
      <c r="N458"/>
      <c r="O458"/>
      <c r="P458"/>
    </row>
    <row r="459" spans="10:16" x14ac:dyDescent="0.25">
      <c r="J459"/>
      <c r="K459"/>
      <c r="L459"/>
      <c r="M459"/>
      <c r="N459"/>
      <c r="O459"/>
      <c r="P459"/>
    </row>
    <row r="460" spans="10:16" x14ac:dyDescent="0.25">
      <c r="J460"/>
      <c r="K460"/>
      <c r="L460"/>
      <c r="M460"/>
      <c r="N460"/>
      <c r="O460"/>
      <c r="P460"/>
    </row>
    <row r="461" spans="10:16" x14ac:dyDescent="0.25">
      <c r="J461"/>
      <c r="K461"/>
      <c r="L461"/>
      <c r="M461"/>
      <c r="N461"/>
      <c r="O461"/>
      <c r="P461"/>
    </row>
    <row r="462" spans="10:16" x14ac:dyDescent="0.25">
      <c r="J462"/>
      <c r="K462"/>
      <c r="L462"/>
      <c r="M462"/>
      <c r="N462"/>
      <c r="O462"/>
      <c r="P462"/>
    </row>
    <row r="463" spans="10:16" x14ac:dyDescent="0.25">
      <c r="J463"/>
      <c r="K463"/>
      <c r="L463"/>
      <c r="M463"/>
      <c r="N463"/>
      <c r="O463"/>
      <c r="P463"/>
    </row>
    <row r="464" spans="10:16" x14ac:dyDescent="0.25">
      <c r="J464"/>
      <c r="K464"/>
      <c r="L464"/>
      <c r="M464"/>
      <c r="N464"/>
      <c r="O464"/>
      <c r="P464"/>
    </row>
    <row r="465" spans="10:16" x14ac:dyDescent="0.25">
      <c r="J465"/>
      <c r="K465"/>
      <c r="L465"/>
      <c r="M465"/>
      <c r="N465"/>
      <c r="O465"/>
      <c r="P465"/>
    </row>
    <row r="466" spans="10:16" x14ac:dyDescent="0.25">
      <c r="J466"/>
      <c r="K466"/>
      <c r="L466"/>
      <c r="M466"/>
      <c r="N466"/>
      <c r="O466"/>
      <c r="P466"/>
    </row>
    <row r="467" spans="10:16" x14ac:dyDescent="0.25">
      <c r="J467"/>
      <c r="K467"/>
      <c r="L467"/>
      <c r="M467"/>
      <c r="N467"/>
      <c r="O467"/>
      <c r="P467"/>
    </row>
    <row r="468" spans="10:16" x14ac:dyDescent="0.25">
      <c r="J468"/>
      <c r="K468"/>
      <c r="L468"/>
      <c r="M468"/>
      <c r="N468"/>
      <c r="O468"/>
      <c r="P468"/>
    </row>
    <row r="469" spans="10:16" x14ac:dyDescent="0.25">
      <c r="J469"/>
      <c r="K469"/>
      <c r="L469"/>
      <c r="M469"/>
      <c r="N469"/>
      <c r="O469"/>
      <c r="P469"/>
    </row>
    <row r="470" spans="10:16" x14ac:dyDescent="0.25">
      <c r="J470"/>
      <c r="K470"/>
      <c r="L470"/>
      <c r="M470"/>
      <c r="N470"/>
      <c r="O470"/>
      <c r="P470"/>
    </row>
    <row r="471" spans="10:16" x14ac:dyDescent="0.25">
      <c r="J471"/>
      <c r="K471"/>
      <c r="L471"/>
      <c r="M471"/>
      <c r="N471"/>
      <c r="O471"/>
      <c r="P471"/>
    </row>
    <row r="472" spans="10:16" x14ac:dyDescent="0.25">
      <c r="J472"/>
      <c r="K472"/>
      <c r="L472"/>
      <c r="M472"/>
      <c r="N472"/>
      <c r="O472"/>
      <c r="P472"/>
    </row>
    <row r="473" spans="10:16" x14ac:dyDescent="0.25">
      <c r="J473"/>
      <c r="K473"/>
      <c r="L473"/>
      <c r="M473"/>
      <c r="N473"/>
      <c r="O473"/>
      <c r="P473"/>
    </row>
    <row r="474" spans="10:16" x14ac:dyDescent="0.25">
      <c r="J474"/>
      <c r="K474"/>
      <c r="L474"/>
      <c r="M474"/>
      <c r="N474"/>
      <c r="O474"/>
      <c r="P474"/>
    </row>
    <row r="475" spans="10:16" x14ac:dyDescent="0.25">
      <c r="J475"/>
      <c r="K475"/>
      <c r="L475"/>
      <c r="M475"/>
      <c r="N475"/>
      <c r="O475"/>
      <c r="P475"/>
    </row>
    <row r="476" spans="10:16" x14ac:dyDescent="0.25">
      <c r="J476"/>
      <c r="K476"/>
      <c r="L476"/>
      <c r="M476"/>
      <c r="N476"/>
      <c r="O476"/>
      <c r="P476"/>
    </row>
    <row r="477" spans="10:16" x14ac:dyDescent="0.25">
      <c r="J477"/>
      <c r="K477"/>
      <c r="L477"/>
      <c r="M477"/>
      <c r="N477"/>
      <c r="O477"/>
      <c r="P477"/>
    </row>
    <row r="478" spans="10:16" x14ac:dyDescent="0.25">
      <c r="J478"/>
      <c r="K478"/>
      <c r="L478"/>
      <c r="M478"/>
      <c r="N478"/>
      <c r="O478"/>
      <c r="P478"/>
    </row>
    <row r="479" spans="10:16" x14ac:dyDescent="0.25">
      <c r="J479"/>
      <c r="K479"/>
      <c r="L479"/>
      <c r="M479"/>
      <c r="N479"/>
      <c r="O479"/>
      <c r="P479"/>
    </row>
    <row r="480" spans="10:16" x14ac:dyDescent="0.25">
      <c r="J480"/>
      <c r="K480"/>
      <c r="L480"/>
      <c r="M480"/>
      <c r="N480"/>
      <c r="O480"/>
      <c r="P480"/>
    </row>
    <row r="481" spans="10:16" x14ac:dyDescent="0.25">
      <c r="J481"/>
      <c r="K481"/>
      <c r="L481"/>
      <c r="M481"/>
      <c r="N481"/>
      <c r="O481"/>
      <c r="P481"/>
    </row>
    <row r="482" spans="10:16" x14ac:dyDescent="0.25">
      <c r="J482"/>
      <c r="K482"/>
      <c r="L482"/>
      <c r="M482"/>
      <c r="N482"/>
      <c r="O482"/>
      <c r="P482"/>
    </row>
    <row r="483" spans="10:16" x14ac:dyDescent="0.25">
      <c r="J483"/>
      <c r="K483"/>
      <c r="L483"/>
      <c r="M483"/>
      <c r="N483"/>
      <c r="O483"/>
      <c r="P483"/>
    </row>
    <row r="484" spans="10:16" x14ac:dyDescent="0.25">
      <c r="J484"/>
      <c r="K484"/>
      <c r="L484"/>
      <c r="M484"/>
      <c r="N484"/>
      <c r="O484"/>
      <c r="P484"/>
    </row>
    <row r="485" spans="10:16" x14ac:dyDescent="0.25">
      <c r="J485"/>
      <c r="K485"/>
      <c r="L485"/>
      <c r="M485"/>
      <c r="N485"/>
      <c r="O485"/>
      <c r="P485"/>
    </row>
  </sheetData>
  <mergeCells count="28">
    <mergeCell ref="F12:F13"/>
    <mergeCell ref="E12:E13"/>
    <mergeCell ref="B12:B13"/>
    <mergeCell ref="A12:A13"/>
    <mergeCell ref="I12:I13"/>
    <mergeCell ref="H12:H13"/>
    <mergeCell ref="O2:P2"/>
    <mergeCell ref="I5:I10"/>
    <mergeCell ref="H5:H10"/>
    <mergeCell ref="G5:G10"/>
    <mergeCell ref="F5:F10"/>
    <mergeCell ref="M2:N2"/>
    <mergeCell ref="L14:L18"/>
    <mergeCell ref="Q5:Q10"/>
    <mergeCell ref="Q14:Q18"/>
    <mergeCell ref="A21:I21"/>
    <mergeCell ref="J14:J18"/>
    <mergeCell ref="I14:I18"/>
    <mergeCell ref="H14:H18"/>
    <mergeCell ref="C5:C10"/>
    <mergeCell ref="B5:B10"/>
    <mergeCell ref="A5:A10"/>
    <mergeCell ref="A14:A18"/>
    <mergeCell ref="G14:G18"/>
    <mergeCell ref="L5:L10"/>
    <mergeCell ref="J5:J10"/>
    <mergeCell ref="E5:E10"/>
    <mergeCell ref="D5:D10"/>
  </mergeCells>
  <printOptions horizontalCentered="1"/>
  <pageMargins left="0.39370078740157483" right="0.19685039370078741" top="0.39370078740157483" bottom="0" header="0.31496062992125984" footer="0.31496062992125984"/>
  <pageSetup paperSize="9" scale="65" orientation="landscape"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0" workbookViewId="0">
      <selection activeCell="H19" sqref="H19"/>
    </sheetView>
  </sheetViews>
  <sheetFormatPr defaultRowHeight="15" x14ac:dyDescent="0.25"/>
  <cols>
    <col min="1" max="1" width="5.7109375" customWidth="1"/>
    <col min="2" max="2" width="15.42578125" style="667" customWidth="1"/>
    <col min="3" max="3" width="31.28515625" customWidth="1"/>
    <col min="4" max="4" width="21.140625" customWidth="1"/>
    <col min="5" max="5" width="18.7109375" customWidth="1"/>
    <col min="6" max="6" width="17.5703125" bestFit="1" customWidth="1"/>
    <col min="7" max="9" width="14.28515625" bestFit="1" customWidth="1"/>
  </cols>
  <sheetData>
    <row r="1" spans="1:9" ht="32.25" customHeight="1" x14ac:dyDescent="0.25">
      <c r="A1" s="1066" t="s">
        <v>2890</v>
      </c>
      <c r="B1" s="1066"/>
      <c r="C1" s="1066"/>
      <c r="D1" s="1066"/>
      <c r="E1" s="1066"/>
      <c r="F1" s="1066"/>
    </row>
    <row r="2" spans="1:9" ht="24.75" customHeight="1" x14ac:dyDescent="0.25">
      <c r="A2" s="740" t="s">
        <v>6</v>
      </c>
      <c r="B2" s="741" t="s">
        <v>1109</v>
      </c>
      <c r="C2" s="740" t="s">
        <v>2895</v>
      </c>
      <c r="D2" s="740" t="s">
        <v>9</v>
      </c>
      <c r="E2" s="740" t="s">
        <v>742</v>
      </c>
      <c r="F2" s="740" t="s">
        <v>2888</v>
      </c>
    </row>
    <row r="3" spans="1:9" ht="30" x14ac:dyDescent="0.25">
      <c r="A3" s="683">
        <v>1</v>
      </c>
      <c r="B3" s="684">
        <v>44215</v>
      </c>
      <c r="C3" s="685" t="s">
        <v>266</v>
      </c>
      <c r="D3" s="686" t="s">
        <v>14</v>
      </c>
      <c r="E3" s="683"/>
      <c r="F3" s="687">
        <v>12000000</v>
      </c>
    </row>
    <row r="4" spans="1:9" ht="42" customHeight="1" x14ac:dyDescent="0.25">
      <c r="A4" s="683">
        <v>2</v>
      </c>
      <c r="B4" s="684">
        <v>44355</v>
      </c>
      <c r="C4" s="685" t="s">
        <v>1975</v>
      </c>
      <c r="D4" s="685" t="s">
        <v>2894</v>
      </c>
      <c r="E4" s="683" t="s">
        <v>1031</v>
      </c>
      <c r="F4" s="687">
        <v>14000000</v>
      </c>
    </row>
    <row r="5" spans="1:9" x14ac:dyDescent="0.25">
      <c r="A5" s="683">
        <v>3</v>
      </c>
      <c r="B5" s="684">
        <v>44377</v>
      </c>
      <c r="C5" s="685" t="s">
        <v>1112</v>
      </c>
      <c r="D5" s="685" t="s">
        <v>1284</v>
      </c>
      <c r="E5" s="683" t="s">
        <v>1285</v>
      </c>
      <c r="F5" s="687">
        <v>3500000</v>
      </c>
    </row>
    <row r="6" spans="1:9" x14ac:dyDescent="0.25">
      <c r="A6" s="683">
        <v>4</v>
      </c>
      <c r="B6" s="684">
        <v>44385</v>
      </c>
      <c r="C6" s="685" t="s">
        <v>1112</v>
      </c>
      <c r="D6" s="685" t="s">
        <v>653</v>
      </c>
      <c r="E6" s="683" t="s">
        <v>1299</v>
      </c>
      <c r="F6" s="687">
        <v>3500000</v>
      </c>
    </row>
    <row r="7" spans="1:9" x14ac:dyDescent="0.25">
      <c r="A7" s="683">
        <v>5</v>
      </c>
      <c r="B7" s="684" t="s">
        <v>1321</v>
      </c>
      <c r="C7" s="685" t="s">
        <v>1324</v>
      </c>
      <c r="D7" s="685" t="s">
        <v>163</v>
      </c>
      <c r="E7" s="683" t="s">
        <v>1323</v>
      </c>
      <c r="F7" s="687">
        <v>1000000</v>
      </c>
    </row>
    <row r="8" spans="1:9" x14ac:dyDescent="0.25">
      <c r="A8" s="683">
        <v>6</v>
      </c>
      <c r="B8" s="684">
        <v>44413</v>
      </c>
      <c r="C8" s="685" t="s">
        <v>1112</v>
      </c>
      <c r="D8" s="685" t="s">
        <v>1731</v>
      </c>
      <c r="E8" s="683" t="s">
        <v>1730</v>
      </c>
      <c r="F8" s="687">
        <v>590000</v>
      </c>
    </row>
    <row r="9" spans="1:9" x14ac:dyDescent="0.25">
      <c r="A9" s="683">
        <v>7</v>
      </c>
      <c r="B9" s="684">
        <v>44463</v>
      </c>
      <c r="C9" s="685" t="s">
        <v>1840</v>
      </c>
      <c r="D9" s="685" t="s">
        <v>1989</v>
      </c>
      <c r="E9" s="683" t="s">
        <v>1988</v>
      </c>
      <c r="F9" s="687">
        <v>8000000</v>
      </c>
    </row>
    <row r="10" spans="1:9" x14ac:dyDescent="0.25">
      <c r="A10" s="683">
        <v>8</v>
      </c>
      <c r="B10" s="684">
        <v>44467</v>
      </c>
      <c r="C10" s="685" t="s">
        <v>1840</v>
      </c>
      <c r="D10" s="685" t="s">
        <v>1991</v>
      </c>
      <c r="E10" s="683" t="s">
        <v>1990</v>
      </c>
      <c r="F10" s="687">
        <v>4000000</v>
      </c>
    </row>
    <row r="11" spans="1:9" s="697" customFormat="1" x14ac:dyDescent="0.25">
      <c r="A11" s="693">
        <v>9</v>
      </c>
      <c r="B11" s="694">
        <v>44468</v>
      </c>
      <c r="C11" s="695" t="s">
        <v>1840</v>
      </c>
      <c r="D11" s="695" t="s">
        <v>1880</v>
      </c>
      <c r="E11" s="693" t="s">
        <v>1992</v>
      </c>
      <c r="F11" s="696">
        <v>7500000</v>
      </c>
    </row>
    <row r="12" spans="1:9" s="697" customFormat="1" ht="30" x14ac:dyDescent="0.25">
      <c r="A12" s="693">
        <v>10</v>
      </c>
      <c r="B12" s="694">
        <v>44479</v>
      </c>
      <c r="C12" s="695" t="s">
        <v>2790</v>
      </c>
      <c r="D12" s="695" t="s">
        <v>2145</v>
      </c>
      <c r="E12" s="693" t="s">
        <v>2144</v>
      </c>
      <c r="F12" s="696">
        <v>1500000</v>
      </c>
    </row>
    <row r="13" spans="1:9" s="697" customFormat="1" x14ac:dyDescent="0.25">
      <c r="A13" s="693">
        <v>11</v>
      </c>
      <c r="B13" s="694">
        <v>44489</v>
      </c>
      <c r="C13" s="695" t="s">
        <v>2324</v>
      </c>
      <c r="D13" s="695" t="s">
        <v>1920</v>
      </c>
      <c r="E13" s="693" t="s">
        <v>2326</v>
      </c>
      <c r="F13" s="696">
        <v>4000000</v>
      </c>
    </row>
    <row r="14" spans="1:9" s="697" customFormat="1" x14ac:dyDescent="0.25">
      <c r="A14" s="693">
        <v>12</v>
      </c>
      <c r="B14" s="694">
        <v>44491</v>
      </c>
      <c r="C14" s="695" t="s">
        <v>1975</v>
      </c>
      <c r="D14" s="695" t="s">
        <v>653</v>
      </c>
      <c r="E14" s="693" t="s">
        <v>2339</v>
      </c>
      <c r="F14" s="696">
        <v>1800000</v>
      </c>
    </row>
    <row r="15" spans="1:9" s="697" customFormat="1" ht="30" x14ac:dyDescent="0.25">
      <c r="A15" s="693">
        <v>17</v>
      </c>
      <c r="B15" s="694">
        <v>44495</v>
      </c>
      <c r="C15" s="695" t="s">
        <v>1840</v>
      </c>
      <c r="D15" s="695" t="s">
        <v>2485</v>
      </c>
      <c r="E15" s="693" t="s">
        <v>2484</v>
      </c>
      <c r="F15" s="696">
        <v>3000000</v>
      </c>
      <c r="G15" s="847"/>
      <c r="I15" s="728"/>
    </row>
    <row r="16" spans="1:9" s="697" customFormat="1" ht="30" x14ac:dyDescent="0.25">
      <c r="A16" s="693">
        <v>18</v>
      </c>
      <c r="B16" s="694">
        <v>44516</v>
      </c>
      <c r="C16" s="695" t="s">
        <v>2790</v>
      </c>
      <c r="D16" s="695" t="s">
        <v>665</v>
      </c>
      <c r="E16" s="693" t="s">
        <v>2748</v>
      </c>
      <c r="F16" s="696">
        <v>1000000</v>
      </c>
    </row>
    <row r="17" spans="1:8" s="697" customFormat="1" x14ac:dyDescent="0.25">
      <c r="A17" s="693">
        <v>19</v>
      </c>
      <c r="B17" s="694">
        <v>44505</v>
      </c>
      <c r="C17" s="695" t="s">
        <v>1840</v>
      </c>
      <c r="D17" s="695" t="s">
        <v>2762</v>
      </c>
      <c r="E17" s="693" t="s">
        <v>2761</v>
      </c>
      <c r="F17" s="696">
        <v>7500000</v>
      </c>
    </row>
    <row r="18" spans="1:8" s="697" customFormat="1" x14ac:dyDescent="0.25">
      <c r="A18" s="693">
        <v>20</v>
      </c>
      <c r="B18" s="694"/>
      <c r="C18" s="695" t="s">
        <v>3957</v>
      </c>
      <c r="D18" s="695" t="s">
        <v>136</v>
      </c>
      <c r="E18" s="693" t="s">
        <v>136</v>
      </c>
      <c r="F18" s="696">
        <v>110000000</v>
      </c>
    </row>
    <row r="19" spans="1:8" ht="30" customHeight="1" x14ac:dyDescent="0.25">
      <c r="A19" s="688"/>
      <c r="B19" s="689"/>
      <c r="C19" s="690"/>
      <c r="D19" s="690"/>
      <c r="E19" s="688"/>
      <c r="F19" s="691">
        <f>SUM(F3:F18)</f>
        <v>182890000</v>
      </c>
      <c r="G19" s="692"/>
      <c r="H19" s="692"/>
    </row>
    <row r="20" spans="1:8" x14ac:dyDescent="0.25">
      <c r="A20" s="670"/>
      <c r="B20" s="680"/>
      <c r="C20" s="670"/>
      <c r="D20" s="681"/>
      <c r="E20" s="670"/>
      <c r="F20" s="670"/>
    </row>
    <row r="21" spans="1:8" x14ac:dyDescent="0.25">
      <c r="A21" s="670"/>
      <c r="B21" s="680"/>
      <c r="C21" s="670"/>
      <c r="D21" s="670"/>
      <c r="E21" s="670"/>
      <c r="F21" s="670"/>
    </row>
  </sheetData>
  <mergeCells count="1">
    <mergeCell ref="A1:F1"/>
  </mergeCells>
  <printOptions horizontalCentered="1"/>
  <pageMargins left="0.31496062992125984" right="0.31496062992125984" top="0.55118110236220474" bottom="0.35433070866141736" header="0.31496062992125984" footer="0.31496062992125984"/>
  <pageSetup paperSize="9" orientation="landscape" horizontalDpi="4294967293"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AH512"/>
  <sheetViews>
    <sheetView showGridLines="0" zoomScale="81" zoomScaleNormal="81" workbookViewId="0">
      <pane xSplit="4" ySplit="3" topLeftCell="E4" activePane="bottomRight" state="frozen"/>
      <selection pane="topRight" activeCell="F1" sqref="F1"/>
      <selection pane="bottomLeft" activeCell="A4" sqref="A4"/>
      <selection pane="bottomRight" activeCell="G23" sqref="G23"/>
    </sheetView>
  </sheetViews>
  <sheetFormatPr defaultRowHeight="15" x14ac:dyDescent="0.25"/>
  <cols>
    <col min="1" max="1" width="5.5703125" customWidth="1"/>
    <col min="2" max="2" width="14.28515625" style="8" customWidth="1"/>
    <col min="3" max="3" width="12.140625" customWidth="1"/>
    <col min="4" max="4" width="16.7109375" customWidth="1"/>
    <col min="5" max="5" width="18" customWidth="1"/>
    <col min="6" max="6" width="13.28515625" style="9" customWidth="1"/>
    <col min="7" max="7" width="16.5703125" customWidth="1"/>
    <col min="8" max="8" width="13.140625" customWidth="1"/>
    <col min="9" max="9" width="13.140625" style="11" customWidth="1"/>
    <col min="10" max="10" width="15.28515625" style="11" bestFit="1" customWidth="1"/>
    <col min="11" max="11" width="15.28515625" style="11" customWidth="1"/>
    <col min="12" max="12" width="20" style="11" customWidth="1"/>
  </cols>
  <sheetData>
    <row r="2" spans="1:27" ht="42" customHeight="1" x14ac:dyDescent="0.25">
      <c r="A2" s="970" t="s">
        <v>6</v>
      </c>
      <c r="B2" s="983" t="s">
        <v>0</v>
      </c>
      <c r="C2" s="970" t="s">
        <v>7</v>
      </c>
      <c r="D2" s="970" t="s">
        <v>8</v>
      </c>
      <c r="E2" s="970" t="s">
        <v>9</v>
      </c>
      <c r="F2" s="971" t="s">
        <v>10</v>
      </c>
      <c r="G2" s="970" t="s">
        <v>11</v>
      </c>
      <c r="H2" s="1067" t="s">
        <v>138</v>
      </c>
      <c r="I2" s="1068" t="s">
        <v>49</v>
      </c>
      <c r="J2" s="993" t="s">
        <v>1</v>
      </c>
      <c r="K2" s="867" t="s">
        <v>815</v>
      </c>
      <c r="L2" s="974" t="s">
        <v>2</v>
      </c>
    </row>
    <row r="3" spans="1:27" ht="21" customHeight="1" x14ac:dyDescent="0.25">
      <c r="A3" s="970"/>
      <c r="B3" s="983"/>
      <c r="C3" s="970"/>
      <c r="D3" s="970"/>
      <c r="E3" s="970"/>
      <c r="F3" s="971"/>
      <c r="G3" s="970"/>
      <c r="H3" s="1067"/>
      <c r="I3" s="1068"/>
      <c r="J3" s="994"/>
      <c r="K3" s="868"/>
      <c r="L3" s="974"/>
    </row>
    <row r="4" spans="1:27" s="10" customFormat="1" x14ac:dyDescent="0.25">
      <c r="A4" s="90">
        <v>1</v>
      </c>
      <c r="B4" s="72">
        <v>44092</v>
      </c>
      <c r="C4" s="90"/>
      <c r="D4" s="23" t="s">
        <v>77</v>
      </c>
      <c r="E4" s="6" t="s">
        <v>392</v>
      </c>
      <c r="F4" s="101">
        <v>22500000</v>
      </c>
      <c r="G4" s="90" t="s">
        <v>59</v>
      </c>
      <c r="H4" s="25">
        <v>44110</v>
      </c>
      <c r="I4" s="4">
        <f>F4</f>
        <v>22500000</v>
      </c>
      <c r="J4" s="28">
        <f>16500000+2200000+2000000</f>
        <v>20700000</v>
      </c>
      <c r="K4" s="28">
        <v>1800000</v>
      </c>
      <c r="L4" s="4">
        <f>I4-J4-K4</f>
        <v>0</v>
      </c>
      <c r="M4"/>
      <c r="N4"/>
      <c r="O4"/>
      <c r="P4"/>
      <c r="Q4"/>
      <c r="R4"/>
      <c r="S4"/>
      <c r="T4"/>
      <c r="U4"/>
      <c r="V4"/>
      <c r="W4"/>
      <c r="X4"/>
      <c r="Y4"/>
      <c r="Z4"/>
      <c r="AA4"/>
    </row>
    <row r="5" spans="1:27" s="10" customFormat="1" x14ac:dyDescent="0.25">
      <c r="A5" s="90">
        <v>2</v>
      </c>
      <c r="B5" s="72">
        <v>44078</v>
      </c>
      <c r="C5" s="67">
        <v>400000</v>
      </c>
      <c r="D5" s="23" t="s">
        <v>77</v>
      </c>
      <c r="E5" s="102" t="s">
        <v>209</v>
      </c>
      <c r="F5" s="101">
        <v>6500000</v>
      </c>
      <c r="G5" s="66" t="s">
        <v>52</v>
      </c>
      <c r="H5" s="25"/>
      <c r="I5" s="4">
        <f>F5</f>
        <v>6500000</v>
      </c>
      <c r="J5" s="28">
        <v>4300000</v>
      </c>
      <c r="K5" s="28">
        <v>2200000</v>
      </c>
      <c r="L5" s="4">
        <f>I5-J5-K5</f>
        <v>0</v>
      </c>
      <c r="M5"/>
      <c r="N5"/>
      <c r="O5"/>
      <c r="P5"/>
      <c r="Q5"/>
      <c r="R5"/>
      <c r="S5"/>
      <c r="T5"/>
      <c r="U5"/>
      <c r="V5"/>
      <c r="W5"/>
      <c r="X5"/>
      <c r="Y5"/>
      <c r="Z5"/>
      <c r="AA5"/>
    </row>
    <row r="6" spans="1:27" s="10" customFormat="1" ht="32.25" customHeight="1" x14ac:dyDescent="0.25">
      <c r="A6" s="966" t="s">
        <v>207</v>
      </c>
      <c r="B6" s="967"/>
      <c r="C6" s="967"/>
      <c r="D6" s="967"/>
      <c r="E6" s="967"/>
      <c r="F6" s="967"/>
      <c r="G6" s="967"/>
      <c r="H6" s="967"/>
      <c r="I6" s="967"/>
      <c r="J6" s="967"/>
      <c r="K6" s="93"/>
      <c r="L6" s="65">
        <f>SUM(L4:L5)</f>
        <v>0</v>
      </c>
      <c r="M6"/>
      <c r="N6"/>
      <c r="O6"/>
      <c r="P6"/>
      <c r="Q6"/>
      <c r="R6"/>
      <c r="S6"/>
      <c r="T6"/>
      <c r="U6"/>
      <c r="V6"/>
      <c r="W6"/>
      <c r="X6"/>
      <c r="Y6"/>
      <c r="Z6"/>
      <c r="AA6"/>
    </row>
    <row r="7" spans="1:27" s="10" customFormat="1" x14ac:dyDescent="0.25">
      <c r="A7" s="90">
        <v>3</v>
      </c>
      <c r="B7" s="27">
        <v>37546</v>
      </c>
      <c r="C7" s="90"/>
      <c r="D7" s="23" t="s">
        <v>77</v>
      </c>
      <c r="E7" s="30" t="s">
        <v>148</v>
      </c>
      <c r="F7" s="91">
        <v>10000000</v>
      </c>
      <c r="G7" s="90"/>
      <c r="H7" s="72"/>
      <c r="I7" s="26">
        <f t="shared" ref="I7:I25" si="0">F7</f>
        <v>10000000</v>
      </c>
      <c r="J7" s="28">
        <f>I7*60%</f>
        <v>6000000</v>
      </c>
      <c r="K7" s="28">
        <v>4000000</v>
      </c>
      <c r="L7" s="4">
        <f t="shared" ref="L7:L25" si="1">I7-J7-K7</f>
        <v>0</v>
      </c>
      <c r="M7"/>
      <c r="N7"/>
      <c r="O7"/>
      <c r="P7"/>
      <c r="Q7"/>
      <c r="R7"/>
      <c r="S7"/>
      <c r="T7"/>
      <c r="U7"/>
      <c r="V7"/>
      <c r="W7"/>
      <c r="X7"/>
      <c r="Y7"/>
      <c r="Z7"/>
      <c r="AA7"/>
    </row>
    <row r="8" spans="1:27" s="10" customFormat="1" x14ac:dyDescent="0.25">
      <c r="A8" s="90">
        <f>A7+1</f>
        <v>4</v>
      </c>
      <c r="B8" s="27">
        <v>44125</v>
      </c>
      <c r="C8" s="35" t="s">
        <v>149</v>
      </c>
      <c r="D8" s="23" t="s">
        <v>77</v>
      </c>
      <c r="E8" s="30" t="s">
        <v>30</v>
      </c>
      <c r="F8" s="91">
        <v>750000</v>
      </c>
      <c r="G8" s="977"/>
      <c r="H8" s="987"/>
      <c r="I8" s="978">
        <f>F8+F9+F10</f>
        <v>2250000</v>
      </c>
      <c r="J8" s="979">
        <f>I8*60%</f>
        <v>1350000</v>
      </c>
      <c r="K8" s="980">
        <v>900000</v>
      </c>
      <c r="L8" s="1075" t="s">
        <v>1119</v>
      </c>
      <c r="M8"/>
      <c r="N8"/>
      <c r="O8"/>
      <c r="P8"/>
      <c r="Q8"/>
      <c r="R8"/>
      <c r="S8"/>
      <c r="T8"/>
      <c r="U8"/>
      <c r="V8"/>
      <c r="W8"/>
      <c r="X8"/>
      <c r="Y8"/>
      <c r="Z8"/>
      <c r="AA8"/>
    </row>
    <row r="9" spans="1:27" s="10" customFormat="1" x14ac:dyDescent="0.25">
      <c r="A9" s="90">
        <f>A8+1</f>
        <v>5</v>
      </c>
      <c r="B9" s="27">
        <v>44125</v>
      </c>
      <c r="C9" s="35" t="s">
        <v>150</v>
      </c>
      <c r="D9" s="23" t="s">
        <v>77</v>
      </c>
      <c r="E9" s="30" t="s">
        <v>30</v>
      </c>
      <c r="F9" s="91">
        <v>750000</v>
      </c>
      <c r="G9" s="977"/>
      <c r="H9" s="988"/>
      <c r="I9" s="978"/>
      <c r="J9" s="979"/>
      <c r="K9" s="981"/>
      <c r="L9" s="1076"/>
      <c r="M9"/>
      <c r="N9"/>
      <c r="O9"/>
      <c r="P9"/>
      <c r="Q9"/>
      <c r="R9"/>
      <c r="S9"/>
      <c r="T9"/>
      <c r="U9"/>
      <c r="V9"/>
      <c r="W9"/>
      <c r="X9"/>
      <c r="Y9"/>
      <c r="Z9"/>
      <c r="AA9"/>
    </row>
    <row r="10" spans="1:27" s="10" customFormat="1" x14ac:dyDescent="0.25">
      <c r="A10" s="90">
        <f>A9+1</f>
        <v>6</v>
      </c>
      <c r="B10" s="27">
        <v>44125</v>
      </c>
      <c r="C10" s="35" t="s">
        <v>151</v>
      </c>
      <c r="D10" s="23" t="s">
        <v>77</v>
      </c>
      <c r="E10" s="30" t="s">
        <v>152</v>
      </c>
      <c r="F10" s="91">
        <v>750000</v>
      </c>
      <c r="G10" s="977"/>
      <c r="H10" s="989"/>
      <c r="I10" s="978"/>
      <c r="J10" s="979"/>
      <c r="K10" s="982"/>
      <c r="L10" s="1077"/>
      <c r="M10"/>
      <c r="N10"/>
      <c r="O10"/>
      <c r="P10"/>
      <c r="Q10"/>
      <c r="R10"/>
      <c r="S10"/>
      <c r="T10"/>
      <c r="U10"/>
      <c r="V10"/>
      <c r="W10"/>
      <c r="X10"/>
      <c r="Y10"/>
      <c r="Z10"/>
      <c r="AA10"/>
    </row>
    <row r="11" spans="1:27" s="10" customFormat="1" x14ac:dyDescent="0.25">
      <c r="A11" s="90">
        <v>7</v>
      </c>
      <c r="B11" s="27">
        <v>44126</v>
      </c>
      <c r="C11" s="35"/>
      <c r="D11" s="23" t="s">
        <v>77</v>
      </c>
      <c r="E11" s="30" t="s">
        <v>24</v>
      </c>
      <c r="F11" s="91">
        <v>6200000</v>
      </c>
      <c r="G11" s="90"/>
      <c r="H11" s="72"/>
      <c r="I11" s="26">
        <f t="shared" si="0"/>
        <v>6200000</v>
      </c>
      <c r="J11" s="28">
        <v>3900000</v>
      </c>
      <c r="K11" s="4">
        <v>2300000</v>
      </c>
      <c r="L11" s="4">
        <f t="shared" si="1"/>
        <v>0</v>
      </c>
      <c r="M11"/>
      <c r="N11"/>
      <c r="O11"/>
      <c r="P11"/>
      <c r="Q11"/>
      <c r="R11"/>
      <c r="S11"/>
      <c r="T11"/>
      <c r="U11"/>
      <c r="V11"/>
      <c r="W11"/>
      <c r="X11"/>
      <c r="Y11"/>
      <c r="Z11"/>
      <c r="AA11"/>
    </row>
    <row r="12" spans="1:27" s="10" customFormat="1" x14ac:dyDescent="0.25">
      <c r="A12" s="90">
        <f>A11+1</f>
        <v>8</v>
      </c>
      <c r="B12" s="27">
        <v>44134</v>
      </c>
      <c r="C12" s="35">
        <v>401670</v>
      </c>
      <c r="D12" s="23" t="s">
        <v>77</v>
      </c>
      <c r="E12" s="30" t="s">
        <v>148</v>
      </c>
      <c r="F12" s="91">
        <v>8000000</v>
      </c>
      <c r="G12" s="90"/>
      <c r="H12" s="72"/>
      <c r="I12" s="26">
        <f t="shared" si="0"/>
        <v>8000000</v>
      </c>
      <c r="J12" s="28">
        <f>5000000+2000000</f>
        <v>7000000</v>
      </c>
      <c r="K12" s="28"/>
      <c r="L12" s="4">
        <f t="shared" si="1"/>
        <v>1000000</v>
      </c>
      <c r="M12"/>
      <c r="N12"/>
      <c r="O12"/>
      <c r="P12"/>
      <c r="Q12"/>
      <c r="R12"/>
      <c r="S12"/>
      <c r="T12"/>
      <c r="U12"/>
      <c r="V12"/>
      <c r="W12"/>
      <c r="X12"/>
      <c r="Y12"/>
      <c r="Z12"/>
      <c r="AA12"/>
    </row>
    <row r="13" spans="1:27" s="10" customFormat="1" ht="31.5" customHeight="1" x14ac:dyDescent="0.25">
      <c r="A13" s="966" t="s">
        <v>206</v>
      </c>
      <c r="B13" s="975"/>
      <c r="C13" s="975"/>
      <c r="D13" s="975"/>
      <c r="E13" s="975"/>
      <c r="F13" s="975"/>
      <c r="G13" s="975"/>
      <c r="H13" s="975"/>
      <c r="I13" s="975"/>
      <c r="J13" s="975"/>
      <c r="K13" s="94"/>
      <c r="L13" s="65">
        <f>SUM(L7:L12)</f>
        <v>1000000</v>
      </c>
      <c r="M13"/>
      <c r="N13"/>
      <c r="O13"/>
      <c r="P13"/>
      <c r="Q13"/>
      <c r="R13"/>
      <c r="S13"/>
      <c r="T13"/>
      <c r="U13"/>
      <c r="V13"/>
      <c r="W13"/>
      <c r="X13"/>
      <c r="Y13"/>
      <c r="Z13"/>
      <c r="AA13"/>
    </row>
    <row r="14" spans="1:27" x14ac:dyDescent="0.25">
      <c r="A14" s="90">
        <v>9</v>
      </c>
      <c r="B14" s="56">
        <v>44140</v>
      </c>
      <c r="C14" s="90"/>
      <c r="D14" s="23" t="s">
        <v>77</v>
      </c>
      <c r="E14" s="6" t="s">
        <v>24</v>
      </c>
      <c r="F14" s="13">
        <v>6500000</v>
      </c>
      <c r="G14" s="90"/>
      <c r="H14" s="25"/>
      <c r="I14" s="28">
        <f t="shared" si="0"/>
        <v>6500000</v>
      </c>
      <c r="J14" s="26">
        <v>4500000</v>
      </c>
      <c r="K14" s="26">
        <v>2000000</v>
      </c>
      <c r="L14" s="4">
        <f t="shared" si="1"/>
        <v>0</v>
      </c>
    </row>
    <row r="15" spans="1:27" x14ac:dyDescent="0.25">
      <c r="A15" s="90">
        <f>A14+1</f>
        <v>10</v>
      </c>
      <c r="B15" s="25">
        <v>44149</v>
      </c>
      <c r="C15" s="90"/>
      <c r="D15" s="23" t="s">
        <v>77</v>
      </c>
      <c r="E15" s="6" t="s">
        <v>23</v>
      </c>
      <c r="F15" s="101">
        <v>8000000</v>
      </c>
      <c r="G15" s="90"/>
      <c r="H15" s="25"/>
      <c r="I15" s="28">
        <f t="shared" si="0"/>
        <v>8000000</v>
      </c>
      <c r="J15" s="26">
        <v>5000000</v>
      </c>
      <c r="K15" s="26">
        <v>3000000</v>
      </c>
      <c r="L15" s="4">
        <f t="shared" si="1"/>
        <v>0</v>
      </c>
    </row>
    <row r="16" spans="1:27" x14ac:dyDescent="0.25">
      <c r="A16" s="90">
        <v>11</v>
      </c>
      <c r="B16" s="25">
        <v>44153</v>
      </c>
      <c r="C16" s="70">
        <v>400142</v>
      </c>
      <c r="D16" s="23" t="s">
        <v>77</v>
      </c>
      <c r="E16" s="53" t="s">
        <v>30</v>
      </c>
      <c r="F16" s="13">
        <v>1000000</v>
      </c>
      <c r="G16" s="90"/>
      <c r="H16" s="25"/>
      <c r="I16" s="28">
        <f t="shared" si="0"/>
        <v>1000000</v>
      </c>
      <c r="J16" s="26">
        <f t="shared" ref="J16:J19" si="2">I16*60%</f>
        <v>600000</v>
      </c>
      <c r="K16" s="26"/>
      <c r="L16" s="4">
        <f t="shared" si="1"/>
        <v>400000</v>
      </c>
    </row>
    <row r="17" spans="1:34" x14ac:dyDescent="0.25">
      <c r="A17" s="90">
        <f>A16+1</f>
        <v>12</v>
      </c>
      <c r="B17" s="72">
        <v>44154</v>
      </c>
      <c r="C17" s="90"/>
      <c r="D17" s="23" t="s">
        <v>77</v>
      </c>
      <c r="E17" s="6" t="s">
        <v>176</v>
      </c>
      <c r="F17" s="101">
        <v>3500000</v>
      </c>
      <c r="G17" s="90"/>
      <c r="H17" s="25"/>
      <c r="I17" s="28">
        <f t="shared" si="0"/>
        <v>3500000</v>
      </c>
      <c r="J17" s="26">
        <f t="shared" si="2"/>
        <v>2100000</v>
      </c>
      <c r="K17" s="26">
        <v>1400000</v>
      </c>
      <c r="L17" s="1072" t="s">
        <v>1118</v>
      </c>
    </row>
    <row r="18" spans="1:34" x14ac:dyDescent="0.25">
      <c r="A18" s="90">
        <f>A17+1</f>
        <v>13</v>
      </c>
      <c r="B18" s="72">
        <v>44154</v>
      </c>
      <c r="C18" s="90"/>
      <c r="D18" s="23" t="s">
        <v>77</v>
      </c>
      <c r="E18" s="6" t="s">
        <v>177</v>
      </c>
      <c r="F18" s="101">
        <v>3500000</v>
      </c>
      <c r="G18" s="90"/>
      <c r="H18" s="25"/>
      <c r="I18" s="28">
        <f t="shared" si="0"/>
        <v>3500000</v>
      </c>
      <c r="J18" s="26">
        <f t="shared" si="2"/>
        <v>2100000</v>
      </c>
      <c r="K18" s="26">
        <v>1400000</v>
      </c>
      <c r="L18" s="1073" t="s">
        <v>1118</v>
      </c>
    </row>
    <row r="19" spans="1:34" x14ac:dyDescent="0.25">
      <c r="A19" s="90">
        <v>14</v>
      </c>
      <c r="B19" s="72">
        <v>44162</v>
      </c>
      <c r="C19" s="90"/>
      <c r="D19" s="23" t="s">
        <v>77</v>
      </c>
      <c r="E19" s="53" t="s">
        <v>23</v>
      </c>
      <c r="F19" s="101">
        <v>8000000</v>
      </c>
      <c r="G19" s="90"/>
      <c r="H19" s="25"/>
      <c r="I19" s="28">
        <f t="shared" si="0"/>
        <v>8000000</v>
      </c>
      <c r="J19" s="26">
        <f t="shared" si="2"/>
        <v>4800000</v>
      </c>
      <c r="K19" s="26"/>
      <c r="L19" s="4">
        <f t="shared" si="1"/>
        <v>3200000</v>
      </c>
    </row>
    <row r="20" spans="1:34" ht="27.75" customHeight="1" x14ac:dyDescent="0.25">
      <c r="A20" s="966" t="s">
        <v>205</v>
      </c>
      <c r="B20" s="967"/>
      <c r="C20" s="967"/>
      <c r="D20" s="967"/>
      <c r="E20" s="967"/>
      <c r="F20" s="967"/>
      <c r="G20" s="967"/>
      <c r="H20" s="967"/>
      <c r="I20" s="967"/>
      <c r="J20" s="967"/>
      <c r="K20" s="93"/>
      <c r="L20" s="51">
        <f>SUM(L14:L19)</f>
        <v>3600000</v>
      </c>
    </row>
    <row r="21" spans="1:34" x14ac:dyDescent="0.25">
      <c r="A21" s="90">
        <v>15</v>
      </c>
      <c r="B21" s="72">
        <v>44168</v>
      </c>
      <c r="C21" s="90"/>
      <c r="D21" s="23" t="s">
        <v>77</v>
      </c>
      <c r="E21" s="54" t="s">
        <v>26</v>
      </c>
      <c r="F21" s="101">
        <v>9500000</v>
      </c>
      <c r="G21" s="90"/>
      <c r="H21" s="25"/>
      <c r="I21" s="28">
        <f t="shared" si="0"/>
        <v>9500000</v>
      </c>
      <c r="J21" s="28">
        <v>6700000</v>
      </c>
      <c r="K21" s="28">
        <v>2600000</v>
      </c>
      <c r="L21" s="4">
        <f t="shared" si="1"/>
        <v>200000</v>
      </c>
    </row>
    <row r="22" spans="1:34" x14ac:dyDescent="0.25">
      <c r="A22" s="188">
        <v>16</v>
      </c>
      <c r="B22" s="24">
        <v>44184</v>
      </c>
      <c r="C22" s="90"/>
      <c r="D22" s="23" t="s">
        <v>77</v>
      </c>
      <c r="E22" s="69" t="s">
        <v>26</v>
      </c>
      <c r="F22" s="26">
        <v>14000000</v>
      </c>
      <c r="G22" s="90" t="s">
        <v>123</v>
      </c>
      <c r="H22" s="24">
        <v>44186</v>
      </c>
      <c r="I22" s="28">
        <f t="shared" si="0"/>
        <v>14000000</v>
      </c>
      <c r="J22" s="4">
        <v>8400000</v>
      </c>
      <c r="K22" s="4">
        <v>2000000</v>
      </c>
      <c r="L22" s="4">
        <f t="shared" si="1"/>
        <v>3600000</v>
      </c>
    </row>
    <row r="23" spans="1:34" x14ac:dyDescent="0.25">
      <c r="A23" s="188">
        <v>17</v>
      </c>
      <c r="B23" s="24">
        <v>44184</v>
      </c>
      <c r="C23" s="90"/>
      <c r="D23" s="23" t="s">
        <v>77</v>
      </c>
      <c r="E23" s="6" t="s">
        <v>21</v>
      </c>
      <c r="F23" s="26">
        <v>10000000</v>
      </c>
      <c r="G23" s="90" t="s">
        <v>126</v>
      </c>
      <c r="H23" s="24">
        <v>44186</v>
      </c>
      <c r="I23" s="28">
        <f t="shared" si="0"/>
        <v>10000000</v>
      </c>
      <c r="J23" s="3">
        <v>6000000</v>
      </c>
      <c r="K23" s="3"/>
      <c r="L23" s="4">
        <f t="shared" si="1"/>
        <v>4000000</v>
      </c>
    </row>
    <row r="24" spans="1:34" x14ac:dyDescent="0.25">
      <c r="A24" s="188">
        <v>18</v>
      </c>
      <c r="B24" s="24">
        <v>44189</v>
      </c>
      <c r="C24" s="90"/>
      <c r="D24" s="23" t="s">
        <v>77</v>
      </c>
      <c r="E24" s="6" t="s">
        <v>23</v>
      </c>
      <c r="F24" s="26">
        <v>9500000</v>
      </c>
      <c r="G24" s="90" t="s">
        <v>203</v>
      </c>
      <c r="H24" s="24">
        <v>44191</v>
      </c>
      <c r="I24" s="3">
        <f t="shared" si="0"/>
        <v>9500000</v>
      </c>
      <c r="J24" s="4">
        <v>5700000</v>
      </c>
      <c r="K24" s="4"/>
      <c r="L24" s="4">
        <f t="shared" si="1"/>
        <v>3800000</v>
      </c>
    </row>
    <row r="25" spans="1:34" x14ac:dyDescent="0.25">
      <c r="A25" s="188">
        <v>19</v>
      </c>
      <c r="B25" s="24">
        <v>44184</v>
      </c>
      <c r="C25" s="90"/>
      <c r="D25" s="23" t="s">
        <v>77</v>
      </c>
      <c r="E25" s="6" t="s">
        <v>25</v>
      </c>
      <c r="F25" s="26">
        <v>8000000</v>
      </c>
      <c r="G25" s="90" t="s">
        <v>124</v>
      </c>
      <c r="H25" s="24">
        <v>44186</v>
      </c>
      <c r="I25" s="3">
        <f t="shared" si="0"/>
        <v>8000000</v>
      </c>
      <c r="J25" s="4">
        <v>4800000</v>
      </c>
      <c r="K25" s="4"/>
      <c r="L25" s="4">
        <f t="shared" si="1"/>
        <v>3200000</v>
      </c>
    </row>
    <row r="26" spans="1:34" ht="27.75" customHeight="1" x14ac:dyDescent="0.25">
      <c r="A26" s="966" t="s">
        <v>204</v>
      </c>
      <c r="B26" s="967"/>
      <c r="C26" s="967"/>
      <c r="D26" s="967"/>
      <c r="E26" s="967"/>
      <c r="F26" s="967"/>
      <c r="G26" s="967"/>
      <c r="H26" s="967"/>
      <c r="I26" s="967"/>
      <c r="J26" s="967"/>
      <c r="K26" s="93"/>
      <c r="L26" s="51">
        <f>SUM(L21:L25)</f>
        <v>14800000</v>
      </c>
    </row>
    <row r="27" spans="1:34" ht="38.25" customHeight="1" x14ac:dyDescent="0.25">
      <c r="A27" s="1074" t="s">
        <v>208</v>
      </c>
      <c r="B27" s="1074"/>
      <c r="C27" s="1074"/>
      <c r="D27" s="1074"/>
      <c r="E27" s="1074"/>
      <c r="F27" s="1074"/>
      <c r="G27" s="1074"/>
      <c r="H27" s="1074"/>
      <c r="I27" s="1074"/>
      <c r="J27" s="1074"/>
      <c r="K27" s="95"/>
      <c r="L27" s="106">
        <f>L6+L13+L20+L26</f>
        <v>19400000</v>
      </c>
    </row>
    <row r="28" spans="1:34" s="10" customFormat="1" x14ac:dyDescent="0.25">
      <c r="A28" s="617">
        <v>20</v>
      </c>
      <c r="B28" s="74">
        <v>44204</v>
      </c>
      <c r="C28" s="74"/>
      <c r="D28" s="23" t="s">
        <v>215</v>
      </c>
      <c r="E28" s="23" t="s">
        <v>26</v>
      </c>
      <c r="F28" s="75">
        <v>13000000</v>
      </c>
      <c r="G28" s="39" t="s">
        <v>216</v>
      </c>
      <c r="H28" s="76">
        <v>44207</v>
      </c>
      <c r="I28" s="75">
        <f>F28</f>
        <v>13000000</v>
      </c>
      <c r="J28" s="75">
        <v>7800000</v>
      </c>
      <c r="K28" s="119"/>
      <c r="L28" s="4">
        <f>I28-J28-K28</f>
        <v>5200000</v>
      </c>
      <c r="M28"/>
      <c r="N28"/>
      <c r="O28"/>
      <c r="P28"/>
      <c r="Q28"/>
      <c r="R28"/>
      <c r="S28"/>
      <c r="T28"/>
      <c r="U28"/>
      <c r="V28"/>
      <c r="W28"/>
      <c r="X28"/>
      <c r="Y28"/>
      <c r="Z28"/>
      <c r="AA28"/>
      <c r="AB28"/>
      <c r="AC28"/>
      <c r="AD28"/>
      <c r="AE28"/>
      <c r="AF28"/>
      <c r="AG28"/>
      <c r="AH28"/>
    </row>
    <row r="29" spans="1:34" s="10" customFormat="1" x14ac:dyDescent="0.25">
      <c r="A29" s="617">
        <v>21</v>
      </c>
      <c r="B29" s="56">
        <v>44204</v>
      </c>
      <c r="C29" s="56"/>
      <c r="D29" s="23" t="s">
        <v>215</v>
      </c>
      <c r="E29" s="23" t="s">
        <v>25</v>
      </c>
      <c r="F29" s="75">
        <v>7500000</v>
      </c>
      <c r="G29" s="39" t="s">
        <v>217</v>
      </c>
      <c r="H29" s="76">
        <v>44207</v>
      </c>
      <c r="I29" s="423">
        <f t="shared" ref="I29:I35" si="3">F29</f>
        <v>7500000</v>
      </c>
      <c r="J29" s="75">
        <v>4500000</v>
      </c>
      <c r="K29" s="119"/>
      <c r="L29" s="4">
        <f>I29-J29-K29</f>
        <v>3000000</v>
      </c>
      <c r="M29"/>
      <c r="N29"/>
      <c r="O29"/>
      <c r="P29"/>
      <c r="Q29"/>
      <c r="R29"/>
      <c r="S29"/>
      <c r="T29"/>
      <c r="U29"/>
      <c r="V29"/>
      <c r="W29"/>
      <c r="X29"/>
      <c r="Y29"/>
      <c r="Z29"/>
      <c r="AA29"/>
      <c r="AB29"/>
      <c r="AC29"/>
      <c r="AD29"/>
      <c r="AE29"/>
      <c r="AF29"/>
      <c r="AG29"/>
      <c r="AH29"/>
    </row>
    <row r="30" spans="1:34" s="10" customFormat="1" x14ac:dyDescent="0.25">
      <c r="A30" s="617">
        <v>22</v>
      </c>
      <c r="B30" s="77">
        <v>44211</v>
      </c>
      <c r="C30" s="77"/>
      <c r="D30" s="23" t="s">
        <v>215</v>
      </c>
      <c r="E30" s="23" t="s">
        <v>23</v>
      </c>
      <c r="F30" s="101">
        <v>9300000</v>
      </c>
      <c r="G30" s="35" t="s">
        <v>237</v>
      </c>
      <c r="H30" s="81">
        <v>44221</v>
      </c>
      <c r="I30" s="423">
        <f t="shared" si="3"/>
        <v>9300000</v>
      </c>
      <c r="J30" s="28">
        <v>5600000</v>
      </c>
      <c r="K30" s="28"/>
      <c r="L30" s="4">
        <f>I30-J30-K30</f>
        <v>3700000</v>
      </c>
      <c r="M30"/>
      <c r="N30"/>
      <c r="O30"/>
      <c r="P30"/>
      <c r="Q30"/>
      <c r="R30"/>
      <c r="S30"/>
      <c r="T30"/>
      <c r="U30"/>
      <c r="V30"/>
      <c r="W30"/>
      <c r="X30"/>
      <c r="Y30"/>
      <c r="Z30"/>
      <c r="AA30"/>
      <c r="AB30"/>
      <c r="AC30"/>
      <c r="AD30"/>
      <c r="AE30"/>
      <c r="AF30"/>
      <c r="AG30"/>
      <c r="AH30"/>
    </row>
    <row r="31" spans="1:34" s="10" customFormat="1" x14ac:dyDescent="0.25">
      <c r="A31" s="617">
        <v>23</v>
      </c>
      <c r="B31" s="74">
        <v>44217</v>
      </c>
      <c r="C31" s="74"/>
      <c r="D31" s="23" t="s">
        <v>215</v>
      </c>
      <c r="E31" s="31" t="s">
        <v>26</v>
      </c>
      <c r="F31" s="101">
        <v>8500000</v>
      </c>
      <c r="G31" s="39" t="s">
        <v>238</v>
      </c>
      <c r="H31" s="76">
        <v>44221</v>
      </c>
      <c r="I31" s="423">
        <f t="shared" si="3"/>
        <v>8500000</v>
      </c>
      <c r="J31" s="28">
        <v>5500000</v>
      </c>
      <c r="K31" s="28"/>
      <c r="L31" s="4">
        <f>I31-J31-K31</f>
        <v>3000000</v>
      </c>
      <c r="M31"/>
      <c r="N31"/>
      <c r="O31"/>
      <c r="P31"/>
      <c r="Q31"/>
      <c r="R31"/>
      <c r="S31"/>
      <c r="T31"/>
      <c r="U31"/>
      <c r="V31"/>
      <c r="W31"/>
      <c r="X31"/>
      <c r="Y31"/>
      <c r="Z31"/>
      <c r="AA31"/>
      <c r="AB31"/>
      <c r="AC31"/>
      <c r="AD31"/>
      <c r="AE31"/>
      <c r="AF31"/>
      <c r="AG31"/>
      <c r="AH31"/>
    </row>
    <row r="32" spans="1:34" s="10" customFormat="1" x14ac:dyDescent="0.25">
      <c r="A32" s="617">
        <v>24</v>
      </c>
      <c r="B32" s="77">
        <v>44218</v>
      </c>
      <c r="C32" s="77"/>
      <c r="D32" s="33" t="s">
        <v>215</v>
      </c>
      <c r="E32" s="33" t="s">
        <v>25</v>
      </c>
      <c r="F32" s="101">
        <v>7300000</v>
      </c>
      <c r="G32" s="39" t="s">
        <v>252</v>
      </c>
      <c r="H32" s="76">
        <v>44226</v>
      </c>
      <c r="I32" s="423">
        <f t="shared" si="3"/>
        <v>7300000</v>
      </c>
      <c r="J32" s="28">
        <v>5000000</v>
      </c>
      <c r="K32" s="28"/>
      <c r="L32" s="4">
        <f>I32-J32-K32</f>
        <v>2300000</v>
      </c>
      <c r="M32"/>
      <c r="N32"/>
      <c r="O32"/>
      <c r="P32"/>
      <c r="Q32"/>
      <c r="R32"/>
      <c r="S32"/>
      <c r="T32"/>
      <c r="U32"/>
      <c r="V32"/>
      <c r="W32"/>
      <c r="X32"/>
      <c r="Y32"/>
      <c r="Z32"/>
      <c r="AA32"/>
      <c r="AB32"/>
      <c r="AC32"/>
      <c r="AD32"/>
      <c r="AE32"/>
      <c r="AF32"/>
      <c r="AG32"/>
      <c r="AH32"/>
    </row>
    <row r="33" spans="1:34" s="10" customFormat="1" x14ac:dyDescent="0.25">
      <c r="A33" s="617">
        <v>25</v>
      </c>
      <c r="B33" s="77">
        <v>44288</v>
      </c>
      <c r="C33" s="77"/>
      <c r="D33" s="33" t="s">
        <v>215</v>
      </c>
      <c r="E33" s="33" t="s">
        <v>26</v>
      </c>
      <c r="F33" s="101">
        <v>5000000</v>
      </c>
      <c r="G33" s="39" t="s">
        <v>288</v>
      </c>
      <c r="H33" s="76">
        <v>44226</v>
      </c>
      <c r="I33" s="423">
        <f t="shared" si="3"/>
        <v>5000000</v>
      </c>
      <c r="J33" s="28">
        <v>4000000</v>
      </c>
      <c r="K33" s="28"/>
      <c r="L33" s="4">
        <f t="shared" ref="L33:L35" si="4">I33-J33-K33</f>
        <v>1000000</v>
      </c>
      <c r="M33"/>
      <c r="N33"/>
      <c r="O33"/>
      <c r="P33"/>
      <c r="Q33"/>
      <c r="R33"/>
      <c r="S33"/>
      <c r="T33"/>
      <c r="U33"/>
      <c r="V33"/>
      <c r="W33"/>
      <c r="X33"/>
      <c r="Y33"/>
      <c r="Z33"/>
      <c r="AA33"/>
      <c r="AB33"/>
      <c r="AC33"/>
      <c r="AD33"/>
      <c r="AE33"/>
      <c r="AF33"/>
      <c r="AG33"/>
      <c r="AH33"/>
    </row>
    <row r="34" spans="1:34" s="10" customFormat="1" x14ac:dyDescent="0.25">
      <c r="A34" s="617">
        <v>26</v>
      </c>
      <c r="B34" s="77">
        <v>44532</v>
      </c>
      <c r="C34" s="77"/>
      <c r="D34" s="33" t="s">
        <v>215</v>
      </c>
      <c r="E34" s="33" t="s">
        <v>21</v>
      </c>
      <c r="F34" s="101">
        <v>29900000</v>
      </c>
      <c r="G34" s="39" t="s">
        <v>309</v>
      </c>
      <c r="H34" s="76">
        <v>44226</v>
      </c>
      <c r="I34" s="423">
        <f t="shared" si="3"/>
        <v>29900000</v>
      </c>
      <c r="J34" s="28">
        <v>20000000</v>
      </c>
      <c r="K34" s="28"/>
      <c r="L34" s="4">
        <f t="shared" si="4"/>
        <v>9900000</v>
      </c>
      <c r="M34"/>
      <c r="N34"/>
      <c r="O34"/>
      <c r="P34"/>
      <c r="Q34"/>
      <c r="R34"/>
      <c r="S34"/>
      <c r="T34"/>
      <c r="U34"/>
      <c r="V34"/>
      <c r="W34"/>
      <c r="X34"/>
      <c r="Y34"/>
      <c r="Z34"/>
      <c r="AA34"/>
      <c r="AB34"/>
      <c r="AC34"/>
      <c r="AD34"/>
      <c r="AE34"/>
      <c r="AF34"/>
      <c r="AG34"/>
      <c r="AH34"/>
    </row>
    <row r="35" spans="1:34" s="10" customFormat="1" x14ac:dyDescent="0.25">
      <c r="A35" s="617">
        <v>27</v>
      </c>
      <c r="B35" s="77">
        <v>44279</v>
      </c>
      <c r="C35" s="77"/>
      <c r="D35" s="33" t="s">
        <v>215</v>
      </c>
      <c r="E35" s="33" t="s">
        <v>537</v>
      </c>
      <c r="F35" s="101">
        <v>2500000</v>
      </c>
      <c r="G35" s="39" t="s">
        <v>535</v>
      </c>
      <c r="H35" s="76">
        <v>44226</v>
      </c>
      <c r="I35" s="423">
        <f t="shared" si="3"/>
        <v>2500000</v>
      </c>
      <c r="J35" s="28">
        <v>1750000</v>
      </c>
      <c r="K35" s="28"/>
      <c r="L35" s="4">
        <f t="shared" si="4"/>
        <v>750000</v>
      </c>
      <c r="M35"/>
      <c r="N35"/>
      <c r="O35"/>
      <c r="P35"/>
      <c r="Q35"/>
      <c r="R35"/>
      <c r="S35"/>
      <c r="T35"/>
      <c r="U35"/>
      <c r="V35"/>
      <c r="W35"/>
      <c r="X35"/>
      <c r="Y35"/>
      <c r="Z35"/>
      <c r="AA35"/>
      <c r="AB35"/>
      <c r="AC35"/>
      <c r="AD35"/>
      <c r="AE35"/>
      <c r="AF35"/>
      <c r="AG35"/>
      <c r="AH35"/>
    </row>
    <row r="36" spans="1:34" ht="24" customHeight="1" thickBot="1" x14ac:dyDescent="0.3">
      <c r="A36" s="1071" t="s">
        <v>270</v>
      </c>
      <c r="B36" s="1071"/>
      <c r="C36" s="1071"/>
      <c r="D36" s="1071"/>
      <c r="E36" s="1071"/>
      <c r="F36" s="1071"/>
      <c r="G36" s="1071"/>
      <c r="H36" s="1071"/>
      <c r="I36" s="1071"/>
      <c r="J36" s="1071"/>
      <c r="K36" s="809"/>
      <c r="L36" s="810">
        <f>SUM(L28:L35)</f>
        <v>28850000</v>
      </c>
    </row>
    <row r="37" spans="1:34" ht="36" customHeight="1" thickBot="1" x14ac:dyDescent="0.3">
      <c r="A37" s="1069" t="s">
        <v>1940</v>
      </c>
      <c r="B37" s="1070"/>
      <c r="C37" s="1070"/>
      <c r="D37" s="1070"/>
      <c r="E37" s="1070"/>
      <c r="F37" s="1070"/>
      <c r="G37" s="1070"/>
      <c r="H37" s="1070"/>
      <c r="I37" s="1070"/>
      <c r="J37" s="1070"/>
      <c r="K37" s="1070"/>
      <c r="L37" s="811">
        <f>L27+L36</f>
        <v>48250000</v>
      </c>
    </row>
    <row r="38" spans="1:34" ht="22.5" customHeight="1" x14ac:dyDescent="0.25">
      <c r="A38" s="40"/>
      <c r="B38" s="41"/>
      <c r="C38" s="7"/>
      <c r="D38" s="7"/>
      <c r="E38" s="7"/>
      <c r="F38" s="42"/>
      <c r="G38" s="7"/>
      <c r="H38" s="7"/>
      <c r="I38"/>
      <c r="J38"/>
      <c r="K38"/>
    </row>
    <row r="39" spans="1:34" x14ac:dyDescent="0.25">
      <c r="A39" s="40"/>
      <c r="B39" s="41"/>
      <c r="C39" s="7"/>
      <c r="D39" s="7"/>
      <c r="E39" s="7"/>
      <c r="F39" s="42"/>
      <c r="G39" s="7"/>
      <c r="H39" s="7"/>
      <c r="I39"/>
      <c r="J39"/>
      <c r="K39"/>
      <c r="L39"/>
    </row>
    <row r="40" spans="1:34" x14ac:dyDescent="0.25">
      <c r="A40" s="40"/>
      <c r="B40" s="41"/>
      <c r="C40" s="7"/>
      <c r="D40" s="7"/>
      <c r="E40" s="7"/>
      <c r="F40" s="42"/>
      <c r="G40" s="7"/>
      <c r="H40" s="7"/>
      <c r="I40"/>
      <c r="J40"/>
      <c r="K40"/>
      <c r="L40" s="16"/>
    </row>
    <row r="41" spans="1:34" x14ac:dyDescent="0.25">
      <c r="A41" s="40"/>
      <c r="B41" s="41"/>
      <c r="C41" s="7"/>
      <c r="D41" s="7"/>
      <c r="E41" s="7"/>
      <c r="F41" s="42"/>
      <c r="G41" s="7"/>
      <c r="H41" s="7"/>
      <c r="I41"/>
      <c r="J41"/>
      <c r="K41"/>
      <c r="L41"/>
    </row>
    <row r="42" spans="1:34" x14ac:dyDescent="0.25">
      <c r="A42" s="40"/>
      <c r="B42" s="41"/>
      <c r="C42" s="7"/>
      <c r="D42" s="7"/>
      <c r="E42" s="7"/>
      <c r="F42" s="42"/>
      <c r="G42" s="7"/>
      <c r="H42" s="7"/>
      <c r="I42"/>
      <c r="J42"/>
      <c r="K42"/>
      <c r="L42"/>
    </row>
    <row r="43" spans="1:34" x14ac:dyDescent="0.25">
      <c r="A43" s="40"/>
      <c r="B43" s="41"/>
      <c r="C43" s="7"/>
      <c r="D43" s="7"/>
      <c r="E43" s="7"/>
      <c r="F43" s="42"/>
      <c r="G43" s="7"/>
      <c r="H43" s="7"/>
      <c r="I43"/>
      <c r="J43"/>
      <c r="K43"/>
      <c r="L43"/>
    </row>
    <row r="44" spans="1:34" x14ac:dyDescent="0.25">
      <c r="A44" s="40"/>
      <c r="B44" s="41"/>
      <c r="C44" s="7"/>
      <c r="D44" s="7"/>
      <c r="E44" s="7"/>
      <c r="F44" s="42"/>
      <c r="G44" s="7"/>
      <c r="H44" s="7"/>
      <c r="I44"/>
      <c r="J44"/>
      <c r="K44"/>
      <c r="L44"/>
    </row>
    <row r="45" spans="1:34" x14ac:dyDescent="0.25">
      <c r="A45" s="40"/>
      <c r="B45" s="41"/>
      <c r="C45" s="7"/>
      <c r="D45" s="7"/>
      <c r="E45" s="7"/>
      <c r="F45" s="42"/>
      <c r="G45" s="7"/>
      <c r="H45" s="7"/>
      <c r="I45"/>
      <c r="J45"/>
      <c r="K45"/>
      <c r="L45"/>
    </row>
    <row r="46" spans="1:34" x14ac:dyDescent="0.25">
      <c r="A46" s="40"/>
      <c r="B46" s="41"/>
      <c r="C46" s="7"/>
      <c r="D46" s="7"/>
      <c r="E46" s="7"/>
      <c r="F46" s="42"/>
      <c r="G46" s="7"/>
      <c r="H46" s="7"/>
      <c r="I46"/>
      <c r="J46"/>
      <c r="K46"/>
      <c r="L46"/>
    </row>
    <row r="47" spans="1:34" x14ac:dyDescent="0.25">
      <c r="A47" s="40"/>
      <c r="B47" s="41"/>
      <c r="C47" s="7"/>
      <c r="D47" s="7"/>
      <c r="E47" s="7"/>
      <c r="F47" s="42"/>
      <c r="G47" s="7"/>
      <c r="H47" s="7"/>
      <c r="I47"/>
      <c r="J47"/>
      <c r="K47"/>
      <c r="L47"/>
    </row>
    <row r="48" spans="1:34" x14ac:dyDescent="0.25">
      <c r="A48" s="40"/>
      <c r="B48" s="41"/>
      <c r="C48" s="7"/>
      <c r="D48" s="7"/>
      <c r="E48" s="7"/>
      <c r="F48" s="42"/>
      <c r="G48" s="7"/>
      <c r="H48" s="7"/>
      <c r="I48"/>
      <c r="J48"/>
      <c r="K48"/>
      <c r="L48"/>
    </row>
    <row r="49" spans="1:12" x14ac:dyDescent="0.25">
      <c r="A49" s="40"/>
      <c r="B49" s="41"/>
      <c r="C49" s="7"/>
      <c r="D49" s="7"/>
      <c r="E49" s="7"/>
      <c r="F49" s="42"/>
      <c r="G49" s="7"/>
      <c r="H49" s="7"/>
      <c r="I49"/>
      <c r="J49"/>
      <c r="K49"/>
      <c r="L49"/>
    </row>
    <row r="50" spans="1:12" x14ac:dyDescent="0.25">
      <c r="A50" s="40"/>
      <c r="B50" s="41"/>
      <c r="C50" s="7"/>
      <c r="D50" s="7"/>
      <c r="E50" s="7"/>
      <c r="F50" s="42"/>
      <c r="G50" s="7"/>
      <c r="H50" s="7"/>
      <c r="I50"/>
      <c r="J50"/>
      <c r="K50"/>
      <c r="L50"/>
    </row>
    <row r="51" spans="1:12" x14ac:dyDescent="0.25">
      <c r="A51" s="40"/>
      <c r="B51" s="41"/>
      <c r="C51" s="7"/>
      <c r="D51" s="7"/>
      <c r="E51" s="7"/>
      <c r="F51" s="42"/>
      <c r="G51" s="7"/>
      <c r="H51" s="7"/>
      <c r="I51"/>
      <c r="J51"/>
      <c r="K51"/>
      <c r="L51"/>
    </row>
    <row r="52" spans="1:12" x14ac:dyDescent="0.25">
      <c r="A52" s="40"/>
      <c r="B52" s="41"/>
      <c r="C52" s="7"/>
      <c r="D52" s="7"/>
      <c r="E52" s="7"/>
      <c r="F52" s="42"/>
      <c r="G52" s="7"/>
      <c r="H52" s="7"/>
      <c r="I52"/>
      <c r="J52"/>
      <c r="K52"/>
      <c r="L52"/>
    </row>
    <row r="53" spans="1:12" x14ac:dyDescent="0.25">
      <c r="A53" s="40"/>
      <c r="B53" s="41"/>
      <c r="C53" s="7"/>
      <c r="D53" s="7"/>
      <c r="E53" s="7"/>
      <c r="F53" s="42"/>
      <c r="G53" s="7"/>
      <c r="H53" s="7"/>
      <c r="I53"/>
      <c r="J53"/>
      <c r="K53"/>
      <c r="L53"/>
    </row>
    <row r="54" spans="1:12" x14ac:dyDescent="0.25">
      <c r="A54" s="40"/>
      <c r="B54" s="41"/>
      <c r="C54" s="7"/>
      <c r="D54" s="7"/>
      <c r="E54" s="7"/>
      <c r="F54" s="42"/>
      <c r="G54" s="7"/>
      <c r="H54" s="7"/>
      <c r="I54"/>
      <c r="J54"/>
      <c r="K54"/>
      <c r="L54"/>
    </row>
    <row r="55" spans="1:12" x14ac:dyDescent="0.25">
      <c r="A55" s="40"/>
      <c r="B55" s="41"/>
      <c r="C55" s="7"/>
      <c r="D55" s="7"/>
      <c r="E55" s="7"/>
      <c r="F55" s="42"/>
      <c r="G55" s="7"/>
      <c r="H55" s="7"/>
      <c r="I55"/>
      <c r="J55"/>
      <c r="K55"/>
      <c r="L55"/>
    </row>
    <row r="56" spans="1:12" x14ac:dyDescent="0.25">
      <c r="A56" s="40"/>
      <c r="B56" s="41"/>
      <c r="C56" s="7"/>
      <c r="D56" s="7"/>
      <c r="E56" s="7"/>
      <c r="F56" s="42"/>
      <c r="G56" s="7"/>
      <c r="H56" s="7"/>
      <c r="I56"/>
      <c r="J56"/>
      <c r="K56"/>
      <c r="L56"/>
    </row>
    <row r="57" spans="1:12" x14ac:dyDescent="0.25">
      <c r="A57" s="40"/>
      <c r="B57" s="41"/>
      <c r="C57" s="7"/>
      <c r="D57" s="7"/>
      <c r="E57" s="7"/>
      <c r="F57" s="42"/>
      <c r="G57" s="7"/>
      <c r="H57" s="7"/>
      <c r="I57"/>
      <c r="J57"/>
      <c r="K57"/>
      <c r="L57"/>
    </row>
    <row r="58" spans="1:12" x14ac:dyDescent="0.25">
      <c r="A58" s="40"/>
      <c r="B58" s="41"/>
      <c r="C58" s="7"/>
      <c r="D58" s="7"/>
      <c r="E58" s="7"/>
      <c r="F58" s="42"/>
      <c r="G58" s="7"/>
      <c r="H58" s="7"/>
      <c r="I58"/>
      <c r="J58"/>
      <c r="K58"/>
      <c r="L58"/>
    </row>
    <row r="59" spans="1:12" x14ac:dyDescent="0.25">
      <c r="A59" s="40"/>
      <c r="B59" s="41"/>
      <c r="C59" s="7"/>
      <c r="D59" s="7"/>
      <c r="E59" s="7"/>
      <c r="F59" s="42"/>
      <c r="G59" s="7"/>
      <c r="H59" s="7"/>
      <c r="I59"/>
      <c r="J59"/>
      <c r="K59"/>
      <c r="L59"/>
    </row>
    <row r="60" spans="1:12" x14ac:dyDescent="0.25">
      <c r="A60" s="40"/>
      <c r="B60" s="41"/>
      <c r="C60" s="7"/>
      <c r="D60" s="7"/>
      <c r="E60" s="7"/>
      <c r="F60" s="42"/>
      <c r="G60" s="7"/>
      <c r="H60" s="7"/>
      <c r="I60"/>
      <c r="J60"/>
      <c r="K60"/>
      <c r="L60"/>
    </row>
    <row r="61" spans="1:12" x14ac:dyDescent="0.25">
      <c r="A61" s="40"/>
      <c r="B61" s="41"/>
      <c r="C61" s="7"/>
      <c r="D61" s="7"/>
      <c r="E61" s="7"/>
      <c r="F61" s="42"/>
      <c r="G61" s="7"/>
      <c r="H61" s="7"/>
      <c r="I61"/>
      <c r="J61"/>
      <c r="K61"/>
      <c r="L61"/>
    </row>
    <row r="62" spans="1:12" x14ac:dyDescent="0.25">
      <c r="A62" s="40"/>
      <c r="B62" s="41"/>
      <c r="C62" s="7"/>
      <c r="D62" s="7"/>
      <c r="E62" s="7"/>
      <c r="F62" s="42"/>
      <c r="G62" s="7"/>
      <c r="H62" s="7"/>
      <c r="I62"/>
      <c r="J62"/>
      <c r="K62"/>
      <c r="L62"/>
    </row>
    <row r="63" spans="1:12" x14ac:dyDescent="0.25">
      <c r="A63" s="40"/>
      <c r="B63" s="41"/>
      <c r="C63" s="7"/>
      <c r="D63" s="7"/>
      <c r="E63" s="7"/>
      <c r="F63" s="42"/>
      <c r="G63" s="7"/>
      <c r="H63" s="7"/>
      <c r="I63"/>
      <c r="J63"/>
      <c r="K63"/>
      <c r="L63"/>
    </row>
    <row r="64" spans="1:12" x14ac:dyDescent="0.25">
      <c r="A64" s="40"/>
      <c r="B64" s="41"/>
      <c r="C64" s="7"/>
      <c r="D64" s="7"/>
      <c r="E64" s="7"/>
      <c r="F64" s="42"/>
      <c r="G64" s="7"/>
      <c r="H64" s="7"/>
      <c r="I64"/>
      <c r="J64"/>
      <c r="K64"/>
      <c r="L64"/>
    </row>
    <row r="65" spans="1:12" x14ac:dyDescent="0.25">
      <c r="A65" s="40"/>
      <c r="B65" s="41"/>
      <c r="C65" s="7"/>
      <c r="D65" s="7"/>
      <c r="E65" s="7"/>
      <c r="F65" s="42"/>
      <c r="G65" s="7"/>
      <c r="H65" s="7"/>
      <c r="I65"/>
      <c r="J65"/>
      <c r="K65"/>
      <c r="L65"/>
    </row>
    <row r="66" spans="1:12" x14ac:dyDescent="0.25">
      <c r="A66" s="40"/>
      <c r="B66" s="41"/>
      <c r="C66" s="7"/>
      <c r="D66" s="7"/>
      <c r="E66" s="7"/>
      <c r="F66" s="42"/>
      <c r="G66" s="7"/>
      <c r="H66" s="7"/>
      <c r="I66"/>
      <c r="J66"/>
      <c r="K66"/>
      <c r="L66"/>
    </row>
    <row r="67" spans="1:12" x14ac:dyDescent="0.25">
      <c r="A67" s="40"/>
      <c r="B67" s="41"/>
      <c r="C67" s="7"/>
      <c r="D67" s="7"/>
      <c r="E67" s="7"/>
      <c r="F67" s="42"/>
      <c r="G67" s="7"/>
      <c r="H67" s="7"/>
      <c r="I67"/>
      <c r="J67"/>
      <c r="K67"/>
      <c r="L67"/>
    </row>
    <row r="68" spans="1:12" x14ac:dyDescent="0.25">
      <c r="A68" s="40"/>
      <c r="B68" s="41"/>
      <c r="C68" s="7"/>
      <c r="D68" s="7"/>
      <c r="E68" s="7"/>
      <c r="F68" s="42"/>
      <c r="G68" s="7"/>
      <c r="H68" s="7"/>
      <c r="I68"/>
      <c r="J68"/>
      <c r="K68"/>
      <c r="L68"/>
    </row>
    <row r="69" spans="1:12" x14ac:dyDescent="0.25">
      <c r="A69" s="40"/>
      <c r="B69" s="41"/>
      <c r="C69" s="7"/>
      <c r="D69" s="7"/>
      <c r="E69" s="7"/>
      <c r="F69" s="42"/>
      <c r="G69" s="7"/>
      <c r="H69" s="7"/>
      <c r="I69"/>
      <c r="J69"/>
      <c r="K69"/>
      <c r="L69"/>
    </row>
    <row r="70" spans="1:12" x14ac:dyDescent="0.25">
      <c r="A70" s="40"/>
      <c r="B70" s="41"/>
      <c r="C70" s="7"/>
      <c r="D70" s="7"/>
      <c r="E70" s="7"/>
      <c r="F70" s="42"/>
      <c r="G70" s="7"/>
      <c r="H70" s="7"/>
      <c r="I70"/>
      <c r="J70"/>
      <c r="K70"/>
      <c r="L70"/>
    </row>
    <row r="71" spans="1:12" x14ac:dyDescent="0.25">
      <c r="A71" s="40"/>
      <c r="B71" s="41"/>
      <c r="C71" s="7"/>
      <c r="D71" s="7"/>
      <c r="E71" s="7"/>
      <c r="F71" s="42"/>
      <c r="G71" s="7"/>
      <c r="H71" s="7"/>
      <c r="I71"/>
      <c r="J71"/>
      <c r="K71"/>
      <c r="L71"/>
    </row>
    <row r="72" spans="1:12" x14ac:dyDescent="0.25">
      <c r="A72" s="40"/>
      <c r="B72" s="41"/>
      <c r="C72" s="7"/>
      <c r="D72" s="7"/>
      <c r="E72" s="7"/>
      <c r="F72" s="42"/>
      <c r="G72" s="7"/>
      <c r="H72" s="7"/>
      <c r="I72"/>
      <c r="J72"/>
      <c r="K72"/>
      <c r="L72"/>
    </row>
    <row r="73" spans="1:12" x14ac:dyDescent="0.25">
      <c r="A73" s="40"/>
      <c r="B73" s="41"/>
      <c r="C73" s="7"/>
      <c r="D73" s="7"/>
      <c r="E73" s="7"/>
      <c r="F73" s="42"/>
      <c r="G73" s="7"/>
      <c r="H73" s="7"/>
      <c r="I73"/>
      <c r="J73"/>
      <c r="K73"/>
      <c r="L73"/>
    </row>
    <row r="74" spans="1:12" x14ac:dyDescent="0.25">
      <c r="A74" s="40"/>
      <c r="B74" s="41"/>
      <c r="C74" s="7"/>
      <c r="D74" s="7"/>
      <c r="E74" s="7"/>
      <c r="F74" s="42"/>
      <c r="G74" s="7"/>
      <c r="H74" s="7"/>
      <c r="I74"/>
      <c r="J74"/>
      <c r="K74"/>
      <c r="L74"/>
    </row>
    <row r="75" spans="1:12" x14ac:dyDescent="0.25">
      <c r="A75" s="40"/>
      <c r="B75" s="41"/>
      <c r="C75" s="7"/>
      <c r="D75" s="7"/>
      <c r="E75" s="7"/>
      <c r="F75" s="42"/>
      <c r="G75" s="7"/>
      <c r="H75" s="7"/>
      <c r="I75"/>
      <c r="J75"/>
      <c r="K75"/>
      <c r="L75"/>
    </row>
    <row r="76" spans="1:12" x14ac:dyDescent="0.25">
      <c r="A76" s="40"/>
      <c r="B76" s="41"/>
      <c r="C76" s="7"/>
      <c r="D76" s="7"/>
      <c r="E76" s="7"/>
      <c r="F76" s="42"/>
      <c r="G76" s="7"/>
      <c r="H76" s="7"/>
      <c r="I76"/>
      <c r="J76"/>
      <c r="K76"/>
      <c r="L76"/>
    </row>
    <row r="77" spans="1:12" x14ac:dyDescent="0.25">
      <c r="A77" s="40"/>
      <c r="B77" s="41"/>
      <c r="C77" s="7"/>
      <c r="D77" s="7"/>
      <c r="E77" s="7"/>
      <c r="F77" s="42"/>
      <c r="G77" s="7"/>
      <c r="H77" s="7"/>
      <c r="I77"/>
      <c r="J77"/>
      <c r="K77"/>
      <c r="L77"/>
    </row>
    <row r="78" spans="1:12" x14ac:dyDescent="0.25">
      <c r="A78" s="40"/>
      <c r="B78" s="41"/>
      <c r="C78" s="7"/>
      <c r="D78" s="7"/>
      <c r="E78" s="7"/>
      <c r="F78" s="42"/>
      <c r="G78" s="7"/>
      <c r="H78" s="7"/>
      <c r="I78"/>
      <c r="J78"/>
      <c r="K78"/>
      <c r="L78"/>
    </row>
    <row r="79" spans="1:12" x14ac:dyDescent="0.25">
      <c r="A79" s="40"/>
      <c r="B79" s="41"/>
      <c r="C79" s="7"/>
      <c r="D79" s="7"/>
      <c r="E79" s="7"/>
      <c r="F79" s="42"/>
      <c r="G79" s="7"/>
      <c r="H79" s="7"/>
      <c r="I79"/>
      <c r="J79"/>
      <c r="K79"/>
      <c r="L79"/>
    </row>
    <row r="80" spans="1:12" x14ac:dyDescent="0.25">
      <c r="A80" s="40"/>
      <c r="B80" s="41"/>
      <c r="C80" s="7"/>
      <c r="D80" s="7"/>
      <c r="E80" s="7"/>
      <c r="F80" s="42"/>
      <c r="G80" s="7"/>
      <c r="H80" s="7"/>
      <c r="I80"/>
      <c r="J80"/>
      <c r="K80"/>
      <c r="L80"/>
    </row>
    <row r="81" spans="1:12" x14ac:dyDescent="0.25">
      <c r="A81" s="40"/>
      <c r="B81" s="41"/>
      <c r="C81" s="7"/>
      <c r="D81" s="7"/>
      <c r="E81" s="7"/>
      <c r="F81" s="42"/>
      <c r="G81" s="7"/>
      <c r="H81" s="7"/>
      <c r="I81"/>
      <c r="J81"/>
      <c r="K81"/>
      <c r="L81"/>
    </row>
    <row r="82" spans="1:12" x14ac:dyDescent="0.25">
      <c r="A82" s="40"/>
      <c r="B82" s="41"/>
      <c r="C82" s="7"/>
      <c r="D82" s="7"/>
      <c r="E82" s="7"/>
      <c r="F82" s="42"/>
      <c r="G82" s="7"/>
      <c r="H82" s="7"/>
      <c r="I82"/>
      <c r="J82"/>
      <c r="K82"/>
      <c r="L82"/>
    </row>
    <row r="83" spans="1:12" x14ac:dyDescent="0.25">
      <c r="A83" s="40"/>
      <c r="B83" s="41"/>
      <c r="C83" s="7"/>
      <c r="D83" s="7"/>
      <c r="E83" s="7"/>
      <c r="F83" s="42"/>
      <c r="G83" s="7"/>
      <c r="H83" s="7"/>
      <c r="I83"/>
      <c r="J83"/>
      <c r="K83"/>
      <c r="L83"/>
    </row>
    <row r="84" spans="1:12" x14ac:dyDescent="0.25">
      <c r="A84" s="40"/>
      <c r="B84" s="41"/>
      <c r="C84" s="7"/>
      <c r="D84" s="7"/>
      <c r="E84" s="7"/>
      <c r="F84" s="42"/>
      <c r="G84" s="7"/>
      <c r="H84" s="7"/>
      <c r="I84"/>
      <c r="J84"/>
      <c r="K84"/>
      <c r="L84"/>
    </row>
    <row r="85" spans="1:12" x14ac:dyDescent="0.25">
      <c r="A85" s="40"/>
      <c r="B85" s="41"/>
      <c r="C85" s="7"/>
      <c r="D85" s="7"/>
      <c r="E85" s="7"/>
      <c r="F85" s="42"/>
      <c r="G85" s="7"/>
      <c r="H85" s="7"/>
      <c r="I85"/>
      <c r="J85"/>
      <c r="K85"/>
      <c r="L85"/>
    </row>
    <row r="86" spans="1:12" x14ac:dyDescent="0.25">
      <c r="A86" s="40"/>
      <c r="B86" s="41"/>
      <c r="C86" s="7"/>
      <c r="D86" s="7"/>
      <c r="E86" s="7"/>
      <c r="F86" s="42"/>
      <c r="G86" s="7"/>
      <c r="H86" s="7"/>
      <c r="I86"/>
      <c r="J86"/>
      <c r="K86"/>
      <c r="L86"/>
    </row>
    <row r="87" spans="1:12" x14ac:dyDescent="0.25">
      <c r="A87" s="40"/>
      <c r="B87" s="41"/>
      <c r="C87" s="7"/>
      <c r="D87" s="7"/>
      <c r="E87" s="7"/>
      <c r="F87" s="42"/>
      <c r="G87" s="7"/>
      <c r="H87" s="7"/>
      <c r="I87"/>
      <c r="J87"/>
      <c r="K87"/>
      <c r="L87"/>
    </row>
    <row r="88" spans="1:12" x14ac:dyDescent="0.25">
      <c r="A88" s="40"/>
      <c r="B88" s="41"/>
      <c r="C88" s="7"/>
      <c r="D88" s="7"/>
      <c r="E88" s="7"/>
      <c r="F88" s="42"/>
      <c r="G88" s="7"/>
      <c r="H88" s="7"/>
      <c r="I88"/>
      <c r="J88"/>
      <c r="K88"/>
      <c r="L88"/>
    </row>
    <row r="89" spans="1:12" x14ac:dyDescent="0.25">
      <c r="A89" s="40"/>
      <c r="B89" s="41"/>
      <c r="C89" s="7"/>
      <c r="D89" s="7"/>
      <c r="E89" s="7"/>
      <c r="F89" s="42"/>
      <c r="G89" s="7"/>
      <c r="H89" s="7"/>
      <c r="I89"/>
      <c r="J89"/>
      <c r="K89"/>
      <c r="L89"/>
    </row>
    <row r="90" spans="1:12" x14ac:dyDescent="0.25">
      <c r="A90" s="40"/>
      <c r="B90" s="41"/>
      <c r="C90" s="7"/>
      <c r="D90" s="7"/>
      <c r="E90" s="7"/>
      <c r="F90" s="42"/>
      <c r="G90" s="7"/>
      <c r="H90" s="7"/>
      <c r="I90"/>
      <c r="J90"/>
      <c r="K90"/>
      <c r="L90"/>
    </row>
    <row r="91" spans="1:12" x14ac:dyDescent="0.25">
      <c r="A91" s="40"/>
      <c r="B91" s="41"/>
      <c r="C91" s="7"/>
      <c r="D91" s="7"/>
      <c r="E91" s="7"/>
      <c r="F91" s="42"/>
      <c r="G91" s="7"/>
      <c r="H91" s="7"/>
      <c r="I91"/>
      <c r="J91"/>
      <c r="K91"/>
      <c r="L91"/>
    </row>
    <row r="92" spans="1:12" x14ac:dyDescent="0.25">
      <c r="A92" s="40"/>
      <c r="B92" s="41"/>
      <c r="C92" s="7"/>
      <c r="D92" s="7"/>
      <c r="E92" s="7"/>
      <c r="F92" s="42"/>
      <c r="G92" s="7"/>
      <c r="H92" s="7"/>
      <c r="I92"/>
      <c r="J92"/>
      <c r="K92"/>
      <c r="L92"/>
    </row>
    <row r="93" spans="1:12" x14ac:dyDescent="0.25">
      <c r="A93" s="40"/>
      <c r="B93" s="41"/>
      <c r="C93" s="7"/>
      <c r="D93" s="7"/>
      <c r="E93" s="7"/>
      <c r="F93" s="42"/>
      <c r="G93" s="7"/>
      <c r="H93" s="7"/>
      <c r="I93"/>
      <c r="J93"/>
      <c r="K93"/>
      <c r="L93"/>
    </row>
    <row r="94" spans="1:12" x14ac:dyDescent="0.25">
      <c r="A94" s="40"/>
      <c r="B94" s="41"/>
      <c r="C94" s="7"/>
      <c r="D94" s="7"/>
      <c r="E94" s="7"/>
      <c r="F94" s="42"/>
      <c r="G94" s="7"/>
      <c r="H94" s="7"/>
      <c r="I94"/>
      <c r="J94"/>
      <c r="K94"/>
      <c r="L94"/>
    </row>
    <row r="95" spans="1:12" x14ac:dyDescent="0.25">
      <c r="A95" s="40"/>
      <c r="B95" s="41"/>
      <c r="C95" s="7"/>
      <c r="D95" s="7"/>
      <c r="E95" s="7"/>
      <c r="F95" s="42"/>
      <c r="G95" s="7"/>
      <c r="H95" s="7"/>
      <c r="I95"/>
      <c r="J95"/>
      <c r="K95"/>
      <c r="L95"/>
    </row>
    <row r="96" spans="1:12" x14ac:dyDescent="0.25">
      <c r="A96" s="40"/>
      <c r="B96" s="41"/>
      <c r="C96" s="7"/>
      <c r="D96" s="7"/>
      <c r="E96" s="7"/>
      <c r="F96" s="42"/>
      <c r="G96" s="7"/>
      <c r="H96" s="7"/>
      <c r="I96"/>
      <c r="J96"/>
      <c r="K96"/>
      <c r="L96"/>
    </row>
    <row r="97" spans="1:12" x14ac:dyDescent="0.25">
      <c r="A97" s="40"/>
      <c r="B97" s="41"/>
      <c r="C97" s="7"/>
      <c r="D97" s="7"/>
      <c r="E97" s="7"/>
      <c r="F97" s="42"/>
      <c r="G97" s="7"/>
      <c r="H97" s="7"/>
      <c r="I97"/>
      <c r="J97"/>
      <c r="K97"/>
      <c r="L97"/>
    </row>
    <row r="98" spans="1:12" x14ac:dyDescent="0.25">
      <c r="A98" s="40"/>
      <c r="B98" s="41"/>
      <c r="C98" s="7"/>
      <c r="D98" s="7"/>
      <c r="E98" s="7"/>
      <c r="F98" s="42"/>
      <c r="G98" s="7"/>
      <c r="H98" s="7"/>
      <c r="I98"/>
      <c r="J98"/>
      <c r="K98"/>
      <c r="L98"/>
    </row>
    <row r="99" spans="1:12" x14ac:dyDescent="0.25">
      <c r="A99" s="40"/>
      <c r="B99" s="41"/>
      <c r="C99" s="7"/>
      <c r="D99" s="7"/>
      <c r="E99" s="7"/>
      <c r="F99" s="42"/>
      <c r="G99" s="7"/>
      <c r="H99" s="7"/>
      <c r="I99"/>
      <c r="J99"/>
      <c r="K99"/>
      <c r="L99"/>
    </row>
    <row r="100" spans="1:12" x14ac:dyDescent="0.25">
      <c r="A100" s="40"/>
      <c r="B100" s="41"/>
      <c r="C100" s="7"/>
      <c r="D100" s="7"/>
      <c r="E100" s="7"/>
      <c r="F100" s="42"/>
      <c r="G100" s="7"/>
      <c r="H100" s="7"/>
      <c r="I100"/>
      <c r="J100"/>
      <c r="K100"/>
      <c r="L100"/>
    </row>
    <row r="101" spans="1:12" x14ac:dyDescent="0.25">
      <c r="A101" s="40"/>
      <c r="B101" s="41"/>
      <c r="C101" s="7"/>
      <c r="D101" s="7"/>
      <c r="E101" s="7"/>
      <c r="F101" s="42"/>
      <c r="G101" s="7"/>
      <c r="H101" s="7"/>
      <c r="I101"/>
      <c r="J101"/>
      <c r="K101"/>
      <c r="L101"/>
    </row>
    <row r="102" spans="1:12" x14ac:dyDescent="0.25">
      <c r="A102" s="40"/>
      <c r="B102" s="41"/>
      <c r="C102" s="7"/>
      <c r="D102" s="7"/>
      <c r="E102" s="7"/>
      <c r="F102" s="42"/>
      <c r="G102" s="7"/>
      <c r="H102" s="7"/>
      <c r="I102"/>
      <c r="J102"/>
      <c r="K102"/>
      <c r="L102"/>
    </row>
    <row r="103" spans="1:12" x14ac:dyDescent="0.25">
      <c r="A103" s="40"/>
      <c r="B103" s="41"/>
      <c r="C103" s="7"/>
      <c r="D103" s="7"/>
      <c r="E103" s="7"/>
      <c r="F103" s="42"/>
      <c r="G103" s="7"/>
      <c r="H103" s="7"/>
      <c r="I103"/>
      <c r="J103"/>
      <c r="K103"/>
      <c r="L103"/>
    </row>
    <row r="104" spans="1:12" x14ac:dyDescent="0.25">
      <c r="A104" s="40"/>
      <c r="B104" s="41"/>
      <c r="C104" s="7"/>
      <c r="D104" s="7"/>
      <c r="E104" s="7"/>
      <c r="F104" s="42"/>
      <c r="G104" s="7"/>
      <c r="H104" s="7"/>
      <c r="I104"/>
      <c r="J104"/>
      <c r="K104"/>
      <c r="L104"/>
    </row>
    <row r="105" spans="1:12" x14ac:dyDescent="0.25">
      <c r="A105" s="40"/>
      <c r="B105" s="41"/>
      <c r="C105" s="7"/>
      <c r="D105" s="7"/>
      <c r="E105" s="7"/>
      <c r="F105" s="42"/>
      <c r="G105" s="7"/>
      <c r="H105" s="7"/>
      <c r="I105"/>
      <c r="J105"/>
      <c r="K105"/>
      <c r="L105"/>
    </row>
    <row r="106" spans="1:12" x14ac:dyDescent="0.25">
      <c r="A106" s="40"/>
      <c r="B106" s="41"/>
      <c r="C106" s="7"/>
      <c r="D106" s="7"/>
      <c r="E106" s="7"/>
      <c r="F106" s="42"/>
      <c r="G106" s="7"/>
      <c r="H106" s="7"/>
      <c r="I106"/>
      <c r="J106"/>
      <c r="K106"/>
      <c r="L106"/>
    </row>
    <row r="107" spans="1:12" x14ac:dyDescent="0.25">
      <c r="A107" s="40"/>
      <c r="B107" s="41"/>
      <c r="C107" s="7"/>
      <c r="D107" s="7"/>
      <c r="E107" s="7"/>
      <c r="F107" s="42"/>
      <c r="G107" s="7"/>
      <c r="H107" s="7"/>
      <c r="I107"/>
      <c r="J107"/>
      <c r="K107"/>
      <c r="L107"/>
    </row>
    <row r="108" spans="1:12" x14ac:dyDescent="0.25">
      <c r="A108" s="40"/>
      <c r="B108" s="41"/>
      <c r="C108" s="7"/>
      <c r="D108" s="7"/>
      <c r="E108" s="7"/>
      <c r="F108" s="42"/>
      <c r="G108" s="7"/>
      <c r="H108" s="7"/>
      <c r="I108"/>
      <c r="J108"/>
      <c r="K108"/>
      <c r="L108"/>
    </row>
    <row r="109" spans="1:12" x14ac:dyDescent="0.25">
      <c r="A109" s="40"/>
      <c r="B109" s="41"/>
      <c r="C109" s="7"/>
      <c r="D109" s="7"/>
      <c r="E109" s="7"/>
      <c r="F109" s="42"/>
      <c r="G109" s="7"/>
      <c r="H109" s="7"/>
      <c r="I109"/>
      <c r="J109"/>
      <c r="K109"/>
      <c r="L109"/>
    </row>
    <row r="110" spans="1:12" x14ac:dyDescent="0.25">
      <c r="A110" s="40"/>
      <c r="B110" s="41"/>
      <c r="C110" s="7"/>
      <c r="D110" s="7"/>
      <c r="E110" s="7"/>
      <c r="F110" s="42"/>
      <c r="G110" s="7"/>
      <c r="H110" s="7"/>
      <c r="I110"/>
      <c r="J110"/>
      <c r="K110"/>
      <c r="L110"/>
    </row>
    <row r="111" spans="1:12" x14ac:dyDescent="0.25">
      <c r="A111" s="40"/>
      <c r="B111" s="41"/>
      <c r="C111" s="7"/>
      <c r="D111" s="7"/>
      <c r="E111" s="7"/>
      <c r="F111" s="42"/>
      <c r="G111" s="7"/>
      <c r="H111" s="7"/>
      <c r="I111"/>
      <c r="J111"/>
      <c r="K111"/>
      <c r="L111"/>
    </row>
    <row r="112" spans="1:12" x14ac:dyDescent="0.25">
      <c r="A112" s="40"/>
      <c r="B112" s="41"/>
      <c r="C112" s="7"/>
      <c r="D112" s="7"/>
      <c r="E112" s="7"/>
      <c r="F112" s="42"/>
      <c r="G112" s="7"/>
      <c r="H112" s="7"/>
      <c r="I112"/>
      <c r="J112"/>
      <c r="K112"/>
      <c r="L112"/>
    </row>
    <row r="113" spans="1:12" x14ac:dyDescent="0.25">
      <c r="A113" s="40"/>
      <c r="B113" s="41"/>
      <c r="C113" s="7"/>
      <c r="D113" s="7"/>
      <c r="E113" s="7"/>
      <c r="F113" s="42"/>
      <c r="G113" s="7"/>
      <c r="H113" s="7"/>
      <c r="I113"/>
      <c r="J113"/>
      <c r="K113"/>
      <c r="L113"/>
    </row>
    <row r="114" spans="1:12" x14ac:dyDescent="0.25">
      <c r="A114" s="40"/>
      <c r="B114" s="41"/>
      <c r="C114" s="7"/>
      <c r="D114" s="7"/>
      <c r="E114" s="7"/>
      <c r="F114" s="42"/>
      <c r="G114" s="7"/>
      <c r="H114" s="7"/>
      <c r="I114"/>
      <c r="J114"/>
      <c r="K114"/>
      <c r="L114"/>
    </row>
    <row r="115" spans="1:12" x14ac:dyDescent="0.25">
      <c r="A115" s="40"/>
      <c r="B115" s="41"/>
      <c r="C115" s="7"/>
      <c r="D115" s="7"/>
      <c r="E115" s="7"/>
      <c r="F115" s="42"/>
      <c r="G115" s="7"/>
      <c r="H115" s="7"/>
      <c r="I115"/>
      <c r="J115"/>
      <c r="K115"/>
      <c r="L115"/>
    </row>
    <row r="116" spans="1:12" x14ac:dyDescent="0.25">
      <c r="A116" s="40"/>
      <c r="B116" s="41"/>
      <c r="C116" s="7"/>
      <c r="D116" s="7"/>
      <c r="E116" s="7"/>
      <c r="F116" s="42"/>
      <c r="G116" s="7"/>
      <c r="H116" s="7"/>
      <c r="I116"/>
      <c r="J116"/>
      <c r="K116"/>
      <c r="L116"/>
    </row>
    <row r="117" spans="1:12" x14ac:dyDescent="0.25">
      <c r="A117" s="40"/>
      <c r="B117" s="41"/>
      <c r="C117" s="7"/>
      <c r="D117" s="7"/>
      <c r="E117" s="7"/>
      <c r="F117" s="42"/>
      <c r="G117" s="7"/>
      <c r="H117" s="7"/>
      <c r="I117"/>
      <c r="J117"/>
      <c r="K117"/>
      <c r="L117"/>
    </row>
    <row r="118" spans="1:12" x14ac:dyDescent="0.25">
      <c r="A118" s="40"/>
      <c r="B118" s="41"/>
      <c r="C118" s="7"/>
      <c r="D118" s="7"/>
      <c r="E118" s="7"/>
      <c r="F118" s="42"/>
      <c r="G118" s="7"/>
      <c r="H118" s="7"/>
      <c r="I118"/>
      <c r="J118"/>
      <c r="K118"/>
      <c r="L118"/>
    </row>
    <row r="119" spans="1:12" x14ac:dyDescent="0.25">
      <c r="A119" s="40"/>
      <c r="B119" s="41"/>
      <c r="C119" s="7"/>
      <c r="D119" s="7"/>
      <c r="E119" s="7"/>
      <c r="F119" s="42"/>
      <c r="G119" s="7"/>
      <c r="H119" s="7"/>
      <c r="I119"/>
      <c r="J119"/>
      <c r="K119"/>
      <c r="L119"/>
    </row>
    <row r="120" spans="1:12" x14ac:dyDescent="0.25">
      <c r="I120"/>
      <c r="J120" s="19"/>
      <c r="K120" s="19"/>
      <c r="L120"/>
    </row>
    <row r="121" spans="1:12" x14ac:dyDescent="0.25">
      <c r="I121"/>
      <c r="J121" s="19"/>
      <c r="K121" s="19"/>
      <c r="L121"/>
    </row>
    <row r="122" spans="1:12" x14ac:dyDescent="0.25">
      <c r="I122"/>
      <c r="J122" s="7"/>
      <c r="K122" s="7"/>
      <c r="L122"/>
    </row>
    <row r="123" spans="1:12" x14ac:dyDescent="0.25">
      <c r="I123"/>
      <c r="J123" s="19"/>
      <c r="K123" s="19"/>
      <c r="L123"/>
    </row>
    <row r="124" spans="1:12" x14ac:dyDescent="0.25">
      <c r="I124"/>
      <c r="J124" s="19"/>
      <c r="K124" s="19"/>
      <c r="L124"/>
    </row>
    <row r="125" spans="1:12" x14ac:dyDescent="0.25">
      <c r="I125"/>
      <c r="J125" s="7"/>
      <c r="K125" s="7"/>
      <c r="L125"/>
    </row>
    <row r="126" spans="1:12" x14ac:dyDescent="0.25">
      <c r="I126"/>
      <c r="J126" s="19"/>
      <c r="K126" s="19"/>
      <c r="L126"/>
    </row>
    <row r="127" spans="1:12" x14ac:dyDescent="0.25">
      <c r="I127"/>
      <c r="J127" s="19"/>
      <c r="K127" s="19"/>
      <c r="L127"/>
    </row>
    <row r="128" spans="1:12" x14ac:dyDescent="0.25">
      <c r="I128"/>
      <c r="J128" s="7"/>
      <c r="K128" s="7"/>
      <c r="L128"/>
    </row>
    <row r="129" spans="9:12" x14ac:dyDescent="0.25">
      <c r="I129"/>
      <c r="J129"/>
      <c r="K129"/>
      <c r="L129"/>
    </row>
    <row r="130" spans="9:12" x14ac:dyDescent="0.25">
      <c r="I130"/>
      <c r="J130"/>
      <c r="K130"/>
      <c r="L130"/>
    </row>
    <row r="131" spans="9:12" x14ac:dyDescent="0.25">
      <c r="I131"/>
      <c r="J131"/>
      <c r="K131"/>
      <c r="L131"/>
    </row>
    <row r="132" spans="9:12" x14ac:dyDescent="0.25">
      <c r="I132"/>
      <c r="J132"/>
      <c r="K132"/>
      <c r="L132"/>
    </row>
    <row r="133" spans="9:12" x14ac:dyDescent="0.25">
      <c r="I133"/>
      <c r="J133"/>
      <c r="K133"/>
      <c r="L133"/>
    </row>
    <row r="134" spans="9:12" x14ac:dyDescent="0.25">
      <c r="I134"/>
      <c r="J134"/>
      <c r="K134"/>
      <c r="L134"/>
    </row>
    <row r="135" spans="9:12" x14ac:dyDescent="0.25">
      <c r="I135"/>
      <c r="J135"/>
      <c r="K135"/>
      <c r="L135"/>
    </row>
    <row r="136" spans="9:12" x14ac:dyDescent="0.25">
      <c r="I136"/>
      <c r="J136"/>
      <c r="K136"/>
      <c r="L136"/>
    </row>
    <row r="137" spans="9:12" x14ac:dyDescent="0.25">
      <c r="I137"/>
      <c r="J137"/>
      <c r="K137"/>
      <c r="L137"/>
    </row>
    <row r="138" spans="9:12" x14ac:dyDescent="0.25">
      <c r="I138"/>
      <c r="J138"/>
      <c r="K138"/>
      <c r="L138"/>
    </row>
    <row r="139" spans="9:12" x14ac:dyDescent="0.25">
      <c r="I139"/>
      <c r="J139"/>
      <c r="K139"/>
      <c r="L139"/>
    </row>
    <row r="140" spans="9:12" x14ac:dyDescent="0.25">
      <c r="I140"/>
      <c r="J140"/>
      <c r="K140"/>
      <c r="L140"/>
    </row>
    <row r="141" spans="9:12" x14ac:dyDescent="0.25">
      <c r="I141"/>
      <c r="J141"/>
      <c r="K141"/>
      <c r="L141"/>
    </row>
    <row r="142" spans="9:12" x14ac:dyDescent="0.25">
      <c r="I142"/>
      <c r="J142"/>
      <c r="K142"/>
      <c r="L142"/>
    </row>
    <row r="143" spans="9:12" x14ac:dyDescent="0.25">
      <c r="I143"/>
      <c r="J143"/>
      <c r="K143"/>
      <c r="L143"/>
    </row>
    <row r="144" spans="9:12" x14ac:dyDescent="0.25">
      <c r="I144"/>
      <c r="J144"/>
      <c r="K144"/>
      <c r="L144"/>
    </row>
    <row r="145" spans="9:12" x14ac:dyDescent="0.25">
      <c r="I145"/>
      <c r="J145"/>
      <c r="K145"/>
      <c r="L145"/>
    </row>
    <row r="146" spans="9:12" x14ac:dyDescent="0.25">
      <c r="I146"/>
      <c r="J146"/>
      <c r="K146"/>
      <c r="L146"/>
    </row>
    <row r="147" spans="9:12" x14ac:dyDescent="0.25">
      <c r="I147"/>
      <c r="J147"/>
      <c r="K147"/>
      <c r="L147"/>
    </row>
    <row r="148" spans="9:12" x14ac:dyDescent="0.25">
      <c r="I148"/>
      <c r="J148"/>
      <c r="K148"/>
      <c r="L148"/>
    </row>
    <row r="149" spans="9:12" x14ac:dyDescent="0.25">
      <c r="I149"/>
      <c r="J149"/>
      <c r="K149"/>
      <c r="L149"/>
    </row>
    <row r="150" spans="9:12" x14ac:dyDescent="0.25">
      <c r="I150"/>
      <c r="J150"/>
      <c r="K150"/>
      <c r="L150"/>
    </row>
    <row r="151" spans="9:12" x14ac:dyDescent="0.25">
      <c r="I151"/>
      <c r="J151"/>
      <c r="K151"/>
      <c r="L151"/>
    </row>
    <row r="152" spans="9:12" x14ac:dyDescent="0.25">
      <c r="I152"/>
      <c r="J152"/>
      <c r="K152"/>
      <c r="L152"/>
    </row>
    <row r="153" spans="9:12" x14ac:dyDescent="0.25">
      <c r="I153"/>
      <c r="J153"/>
      <c r="K153"/>
      <c r="L153"/>
    </row>
    <row r="154" spans="9:12" x14ac:dyDescent="0.25">
      <c r="I154"/>
      <c r="J154"/>
      <c r="K154"/>
      <c r="L154"/>
    </row>
    <row r="155" spans="9:12" x14ac:dyDescent="0.25">
      <c r="I155"/>
      <c r="J155"/>
      <c r="K155"/>
      <c r="L155"/>
    </row>
    <row r="156" spans="9:12" x14ac:dyDescent="0.25">
      <c r="I156"/>
      <c r="J156"/>
      <c r="K156"/>
      <c r="L156"/>
    </row>
    <row r="157" spans="9:12" x14ac:dyDescent="0.25">
      <c r="I157"/>
      <c r="J157"/>
      <c r="K157"/>
      <c r="L157"/>
    </row>
    <row r="158" spans="9:12" x14ac:dyDescent="0.25">
      <c r="I158"/>
      <c r="J158"/>
      <c r="K158"/>
      <c r="L158"/>
    </row>
    <row r="159" spans="9:12" x14ac:dyDescent="0.25">
      <c r="I159"/>
      <c r="J159"/>
      <c r="K159"/>
      <c r="L159"/>
    </row>
    <row r="160" spans="9:12" x14ac:dyDescent="0.25">
      <c r="I160"/>
      <c r="J160"/>
      <c r="K160"/>
      <c r="L160"/>
    </row>
    <row r="161" spans="9:12" x14ac:dyDescent="0.25">
      <c r="I161"/>
      <c r="J161"/>
      <c r="K161"/>
      <c r="L161"/>
    </row>
    <row r="162" spans="9:12" x14ac:dyDescent="0.25">
      <c r="I162"/>
      <c r="J162"/>
      <c r="K162"/>
      <c r="L162"/>
    </row>
    <row r="163" spans="9:12" x14ac:dyDescent="0.25">
      <c r="I163"/>
      <c r="J163"/>
      <c r="K163"/>
      <c r="L163"/>
    </row>
    <row r="164" spans="9:12" x14ac:dyDescent="0.25">
      <c r="I164"/>
      <c r="J164"/>
      <c r="K164"/>
      <c r="L164"/>
    </row>
    <row r="165" spans="9:12" x14ac:dyDescent="0.25">
      <c r="I165"/>
      <c r="J165"/>
      <c r="K165"/>
      <c r="L165"/>
    </row>
    <row r="166" spans="9:12" x14ac:dyDescent="0.25">
      <c r="I166"/>
      <c r="J166"/>
      <c r="K166"/>
      <c r="L166"/>
    </row>
    <row r="167" spans="9:12" x14ac:dyDescent="0.25">
      <c r="I167"/>
      <c r="J167"/>
      <c r="K167"/>
      <c r="L167"/>
    </row>
    <row r="168" spans="9:12" x14ac:dyDescent="0.25">
      <c r="I168"/>
      <c r="J168"/>
      <c r="K168"/>
      <c r="L168"/>
    </row>
    <row r="169" spans="9:12" x14ac:dyDescent="0.25">
      <c r="I169"/>
      <c r="J169"/>
      <c r="K169"/>
      <c r="L169"/>
    </row>
    <row r="170" spans="9:12" x14ac:dyDescent="0.25">
      <c r="I170"/>
      <c r="J170"/>
      <c r="K170"/>
      <c r="L170"/>
    </row>
    <row r="171" spans="9:12" x14ac:dyDescent="0.25">
      <c r="I171"/>
      <c r="J171"/>
      <c r="K171"/>
      <c r="L171"/>
    </row>
    <row r="172" spans="9:12" x14ac:dyDescent="0.25">
      <c r="I172"/>
      <c r="J172"/>
      <c r="K172"/>
      <c r="L172"/>
    </row>
    <row r="173" spans="9:12" x14ac:dyDescent="0.25">
      <c r="I173"/>
      <c r="J173"/>
      <c r="K173"/>
      <c r="L173"/>
    </row>
    <row r="174" spans="9:12" x14ac:dyDescent="0.25">
      <c r="I174"/>
      <c r="J174"/>
      <c r="K174"/>
      <c r="L174"/>
    </row>
    <row r="175" spans="9:12" x14ac:dyDescent="0.25">
      <c r="I175"/>
      <c r="J175"/>
      <c r="K175"/>
      <c r="L175"/>
    </row>
    <row r="176" spans="9:12" x14ac:dyDescent="0.25">
      <c r="I176"/>
      <c r="J176"/>
      <c r="K176"/>
      <c r="L176"/>
    </row>
    <row r="177" spans="9:12" x14ac:dyDescent="0.25">
      <c r="I177"/>
      <c r="J177"/>
      <c r="K177"/>
      <c r="L177"/>
    </row>
    <row r="178" spans="9:12" x14ac:dyDescent="0.25">
      <c r="I178"/>
      <c r="J178"/>
      <c r="K178"/>
      <c r="L178"/>
    </row>
    <row r="179" spans="9:12" x14ac:dyDescent="0.25">
      <c r="I179"/>
      <c r="J179"/>
      <c r="K179"/>
      <c r="L179"/>
    </row>
    <row r="180" spans="9:12" x14ac:dyDescent="0.25">
      <c r="I180"/>
      <c r="J180"/>
      <c r="K180"/>
      <c r="L180"/>
    </row>
    <row r="181" spans="9:12" x14ac:dyDescent="0.25">
      <c r="I181"/>
      <c r="J181"/>
      <c r="K181"/>
      <c r="L181"/>
    </row>
    <row r="182" spans="9:12" x14ac:dyDescent="0.25">
      <c r="I182"/>
      <c r="J182"/>
      <c r="K182"/>
      <c r="L182"/>
    </row>
    <row r="183" spans="9:12" x14ac:dyDescent="0.25">
      <c r="I183"/>
      <c r="J183"/>
      <c r="K183"/>
      <c r="L183"/>
    </row>
    <row r="184" spans="9:12" x14ac:dyDescent="0.25">
      <c r="I184"/>
      <c r="J184"/>
      <c r="K184"/>
      <c r="L184"/>
    </row>
    <row r="185" spans="9:12" x14ac:dyDescent="0.25">
      <c r="I185"/>
      <c r="J185"/>
      <c r="K185"/>
      <c r="L185"/>
    </row>
    <row r="186" spans="9:12" x14ac:dyDescent="0.25">
      <c r="I186"/>
      <c r="J186"/>
      <c r="K186"/>
      <c r="L186"/>
    </row>
    <row r="187" spans="9:12" x14ac:dyDescent="0.25">
      <c r="I187"/>
      <c r="J187"/>
      <c r="K187"/>
      <c r="L187"/>
    </row>
    <row r="188" spans="9:12" x14ac:dyDescent="0.25">
      <c r="I188"/>
      <c r="J188"/>
      <c r="K188"/>
      <c r="L188"/>
    </row>
    <row r="189" spans="9:12" x14ac:dyDescent="0.25">
      <c r="I189"/>
      <c r="J189"/>
      <c r="K189"/>
      <c r="L189"/>
    </row>
    <row r="190" spans="9:12" x14ac:dyDescent="0.25">
      <c r="I190"/>
      <c r="J190"/>
      <c r="K190"/>
      <c r="L190"/>
    </row>
    <row r="191" spans="9:12" x14ac:dyDescent="0.25">
      <c r="I191"/>
      <c r="J191"/>
      <c r="K191"/>
      <c r="L191"/>
    </row>
    <row r="192" spans="9:12" x14ac:dyDescent="0.25">
      <c r="I192"/>
      <c r="J192"/>
      <c r="K192"/>
      <c r="L192"/>
    </row>
    <row r="193" spans="9:12" x14ac:dyDescent="0.25">
      <c r="I193"/>
      <c r="J193"/>
      <c r="K193"/>
      <c r="L193"/>
    </row>
    <row r="194" spans="9:12" x14ac:dyDescent="0.25">
      <c r="I194"/>
      <c r="J194"/>
      <c r="K194"/>
      <c r="L194"/>
    </row>
    <row r="195" spans="9:12" x14ac:dyDescent="0.25">
      <c r="I195"/>
      <c r="J195"/>
      <c r="K195"/>
      <c r="L195"/>
    </row>
    <row r="196" spans="9:12" x14ac:dyDescent="0.25">
      <c r="I196"/>
      <c r="J196"/>
      <c r="K196"/>
      <c r="L196"/>
    </row>
    <row r="197" spans="9:12" x14ac:dyDescent="0.25">
      <c r="I197"/>
      <c r="J197"/>
      <c r="K197"/>
      <c r="L197"/>
    </row>
    <row r="198" spans="9:12" x14ac:dyDescent="0.25">
      <c r="I198"/>
      <c r="J198"/>
      <c r="K198"/>
      <c r="L198"/>
    </row>
    <row r="199" spans="9:12" x14ac:dyDescent="0.25">
      <c r="I199"/>
      <c r="J199"/>
      <c r="K199"/>
      <c r="L199"/>
    </row>
    <row r="200" spans="9:12" x14ac:dyDescent="0.25">
      <c r="I200"/>
      <c r="J200"/>
      <c r="K200"/>
      <c r="L200"/>
    </row>
    <row r="201" spans="9:12" x14ac:dyDescent="0.25">
      <c r="I201"/>
      <c r="J201"/>
      <c r="K201"/>
      <c r="L201"/>
    </row>
    <row r="202" spans="9:12" x14ac:dyDescent="0.25">
      <c r="I202"/>
      <c r="J202"/>
      <c r="K202"/>
      <c r="L202"/>
    </row>
    <row r="203" spans="9:12" x14ac:dyDescent="0.25">
      <c r="I203"/>
      <c r="J203"/>
      <c r="K203"/>
      <c r="L203"/>
    </row>
    <row r="204" spans="9:12" x14ac:dyDescent="0.25">
      <c r="I204"/>
      <c r="J204"/>
      <c r="K204"/>
      <c r="L204"/>
    </row>
    <row r="205" spans="9:12" x14ac:dyDescent="0.25">
      <c r="I205"/>
      <c r="J205"/>
      <c r="K205"/>
      <c r="L205"/>
    </row>
    <row r="206" spans="9:12" x14ac:dyDescent="0.25">
      <c r="I206"/>
      <c r="J206"/>
      <c r="K206"/>
      <c r="L206"/>
    </row>
    <row r="207" spans="9:12" x14ac:dyDescent="0.25">
      <c r="I207"/>
      <c r="J207"/>
      <c r="K207"/>
      <c r="L207"/>
    </row>
    <row r="208" spans="9:12" x14ac:dyDescent="0.25">
      <c r="I208"/>
      <c r="J208"/>
      <c r="K208"/>
      <c r="L208"/>
    </row>
    <row r="209" spans="9:12" x14ac:dyDescent="0.25">
      <c r="I209"/>
      <c r="J209"/>
      <c r="K209"/>
      <c r="L209"/>
    </row>
    <row r="210" spans="9:12" x14ac:dyDescent="0.25">
      <c r="I210"/>
      <c r="J210"/>
      <c r="K210"/>
      <c r="L210"/>
    </row>
    <row r="211" spans="9:12" x14ac:dyDescent="0.25">
      <c r="I211"/>
      <c r="J211"/>
      <c r="K211"/>
      <c r="L211"/>
    </row>
    <row r="212" spans="9:12" x14ac:dyDescent="0.25">
      <c r="I212"/>
      <c r="J212"/>
      <c r="K212"/>
      <c r="L212"/>
    </row>
    <row r="213" spans="9:12" x14ac:dyDescent="0.25">
      <c r="I213"/>
      <c r="J213"/>
      <c r="K213"/>
      <c r="L213"/>
    </row>
    <row r="214" spans="9:12" x14ac:dyDescent="0.25">
      <c r="I214"/>
      <c r="J214"/>
      <c r="K214"/>
      <c r="L214"/>
    </row>
    <row r="215" spans="9:12" x14ac:dyDescent="0.25">
      <c r="I215"/>
      <c r="J215"/>
      <c r="K215"/>
      <c r="L215"/>
    </row>
    <row r="216" spans="9:12" x14ac:dyDescent="0.25">
      <c r="I216"/>
      <c r="J216"/>
      <c r="K216"/>
      <c r="L216"/>
    </row>
    <row r="217" spans="9:12" x14ac:dyDescent="0.25">
      <c r="I217"/>
      <c r="J217"/>
      <c r="K217"/>
      <c r="L217"/>
    </row>
    <row r="218" spans="9:12" x14ac:dyDescent="0.25">
      <c r="I218"/>
      <c r="J218"/>
      <c r="K218"/>
      <c r="L218"/>
    </row>
    <row r="219" spans="9:12" x14ac:dyDescent="0.25">
      <c r="I219"/>
      <c r="J219"/>
      <c r="K219"/>
      <c r="L219"/>
    </row>
    <row r="220" spans="9:12" x14ac:dyDescent="0.25">
      <c r="I220"/>
      <c r="J220"/>
      <c r="K220"/>
      <c r="L220"/>
    </row>
    <row r="221" spans="9:12" x14ac:dyDescent="0.25">
      <c r="I221"/>
      <c r="J221"/>
      <c r="K221"/>
      <c r="L221"/>
    </row>
    <row r="222" spans="9:12" x14ac:dyDescent="0.25">
      <c r="I222"/>
      <c r="J222"/>
      <c r="K222"/>
      <c r="L222"/>
    </row>
    <row r="223" spans="9:12" x14ac:dyDescent="0.25">
      <c r="I223"/>
      <c r="J223"/>
      <c r="K223"/>
      <c r="L223"/>
    </row>
    <row r="224" spans="9:12" x14ac:dyDescent="0.25">
      <c r="I224"/>
      <c r="J224"/>
      <c r="K224"/>
      <c r="L224"/>
    </row>
    <row r="225" spans="9:12" x14ac:dyDescent="0.25">
      <c r="I225"/>
      <c r="J225"/>
      <c r="K225"/>
      <c r="L225"/>
    </row>
    <row r="226" spans="9:12" x14ac:dyDescent="0.25">
      <c r="I226"/>
      <c r="J226"/>
      <c r="K226"/>
      <c r="L226"/>
    </row>
    <row r="227" spans="9:12" x14ac:dyDescent="0.25">
      <c r="I227"/>
      <c r="J227"/>
      <c r="K227"/>
      <c r="L227"/>
    </row>
    <row r="228" spans="9:12" x14ac:dyDescent="0.25">
      <c r="I228"/>
      <c r="J228"/>
      <c r="K228"/>
      <c r="L228"/>
    </row>
    <row r="229" spans="9:12" x14ac:dyDescent="0.25">
      <c r="I229"/>
      <c r="J229"/>
      <c r="K229"/>
      <c r="L229"/>
    </row>
    <row r="230" spans="9:12" x14ac:dyDescent="0.25">
      <c r="I230"/>
      <c r="J230"/>
      <c r="K230"/>
      <c r="L230"/>
    </row>
    <row r="231" spans="9:12" x14ac:dyDescent="0.25">
      <c r="I231"/>
      <c r="J231"/>
      <c r="K231"/>
      <c r="L231"/>
    </row>
    <row r="232" spans="9:12" x14ac:dyDescent="0.25">
      <c r="I232"/>
      <c r="J232"/>
      <c r="K232"/>
      <c r="L232"/>
    </row>
    <row r="233" spans="9:12" x14ac:dyDescent="0.25">
      <c r="I233"/>
      <c r="J233"/>
      <c r="K233"/>
      <c r="L233"/>
    </row>
    <row r="234" spans="9:12" x14ac:dyDescent="0.25">
      <c r="I234"/>
      <c r="J234"/>
      <c r="K234"/>
      <c r="L234"/>
    </row>
    <row r="235" spans="9:12" x14ac:dyDescent="0.25">
      <c r="I235"/>
      <c r="J235"/>
      <c r="K235"/>
      <c r="L235"/>
    </row>
    <row r="236" spans="9:12" x14ac:dyDescent="0.25">
      <c r="I236"/>
      <c r="J236"/>
      <c r="K236"/>
      <c r="L236"/>
    </row>
    <row r="237" spans="9:12" x14ac:dyDescent="0.25">
      <c r="I237"/>
      <c r="J237"/>
      <c r="K237"/>
      <c r="L237"/>
    </row>
    <row r="238" spans="9:12" x14ac:dyDescent="0.25">
      <c r="I238"/>
      <c r="J238"/>
      <c r="K238"/>
      <c r="L238"/>
    </row>
    <row r="239" spans="9:12" x14ac:dyDescent="0.25">
      <c r="I239"/>
      <c r="J239"/>
      <c r="K239"/>
      <c r="L239"/>
    </row>
    <row r="240" spans="9:12" x14ac:dyDescent="0.25">
      <c r="I240"/>
      <c r="J240"/>
      <c r="K240"/>
      <c r="L240"/>
    </row>
    <row r="241" spans="9:12" x14ac:dyDescent="0.25">
      <c r="I241"/>
      <c r="J241"/>
      <c r="K241"/>
      <c r="L241"/>
    </row>
    <row r="242" spans="9:12" x14ac:dyDescent="0.25">
      <c r="I242"/>
      <c r="J242"/>
      <c r="K242"/>
      <c r="L242"/>
    </row>
    <row r="243" spans="9:12" x14ac:dyDescent="0.25">
      <c r="I243"/>
      <c r="J243"/>
      <c r="K243"/>
      <c r="L243"/>
    </row>
    <row r="244" spans="9:12" x14ac:dyDescent="0.25">
      <c r="I244"/>
      <c r="J244"/>
      <c r="K244"/>
      <c r="L244"/>
    </row>
    <row r="245" spans="9:12" x14ac:dyDescent="0.25">
      <c r="I245"/>
      <c r="J245"/>
      <c r="K245"/>
      <c r="L245"/>
    </row>
    <row r="246" spans="9:12" x14ac:dyDescent="0.25">
      <c r="I246"/>
      <c r="J246"/>
      <c r="K246"/>
      <c r="L246"/>
    </row>
    <row r="247" spans="9:12" x14ac:dyDescent="0.25">
      <c r="I247"/>
      <c r="J247"/>
      <c r="K247"/>
      <c r="L247"/>
    </row>
    <row r="248" spans="9:12" x14ac:dyDescent="0.25">
      <c r="I248"/>
      <c r="J248"/>
      <c r="K248"/>
      <c r="L248"/>
    </row>
    <row r="249" spans="9:12" x14ac:dyDescent="0.25">
      <c r="I249"/>
      <c r="J249"/>
      <c r="K249"/>
      <c r="L249"/>
    </row>
    <row r="250" spans="9:12" x14ac:dyDescent="0.25">
      <c r="I250"/>
      <c r="J250"/>
      <c r="K250"/>
      <c r="L250"/>
    </row>
    <row r="251" spans="9:12" x14ac:dyDescent="0.25">
      <c r="I251"/>
      <c r="J251"/>
      <c r="K251"/>
      <c r="L251"/>
    </row>
    <row r="252" spans="9:12" x14ac:dyDescent="0.25">
      <c r="I252"/>
      <c r="J252"/>
      <c r="K252"/>
      <c r="L252"/>
    </row>
    <row r="253" spans="9:12" x14ac:dyDescent="0.25">
      <c r="I253"/>
      <c r="J253"/>
      <c r="K253"/>
      <c r="L253"/>
    </row>
    <row r="254" spans="9:12" x14ac:dyDescent="0.25">
      <c r="I254"/>
      <c r="J254"/>
      <c r="K254"/>
      <c r="L254"/>
    </row>
    <row r="255" spans="9:12" x14ac:dyDescent="0.25">
      <c r="I255"/>
      <c r="J255"/>
      <c r="K255"/>
      <c r="L255"/>
    </row>
    <row r="256" spans="9:12" x14ac:dyDescent="0.25">
      <c r="I256"/>
      <c r="J256"/>
      <c r="K256"/>
      <c r="L256"/>
    </row>
    <row r="257" spans="9:12" x14ac:dyDescent="0.25">
      <c r="I257"/>
      <c r="J257"/>
      <c r="K257"/>
      <c r="L257"/>
    </row>
    <row r="258" spans="9:12" x14ac:dyDescent="0.25">
      <c r="I258"/>
      <c r="J258"/>
      <c r="K258"/>
      <c r="L258"/>
    </row>
    <row r="259" spans="9:12" x14ac:dyDescent="0.25">
      <c r="I259"/>
      <c r="J259"/>
      <c r="K259"/>
      <c r="L259"/>
    </row>
    <row r="260" spans="9:12" x14ac:dyDescent="0.25">
      <c r="I260"/>
      <c r="J260"/>
      <c r="K260"/>
      <c r="L260"/>
    </row>
    <row r="261" spans="9:12" x14ac:dyDescent="0.25">
      <c r="I261"/>
      <c r="J261"/>
      <c r="K261"/>
      <c r="L261"/>
    </row>
    <row r="262" spans="9:12" x14ac:dyDescent="0.25">
      <c r="I262"/>
      <c r="J262"/>
      <c r="K262"/>
      <c r="L262"/>
    </row>
    <row r="263" spans="9:12" x14ac:dyDescent="0.25">
      <c r="I263"/>
      <c r="J263"/>
      <c r="K263"/>
      <c r="L263"/>
    </row>
    <row r="264" spans="9:12" x14ac:dyDescent="0.25">
      <c r="I264"/>
      <c r="J264"/>
      <c r="K264"/>
      <c r="L264"/>
    </row>
    <row r="265" spans="9:12" x14ac:dyDescent="0.25">
      <c r="I265"/>
      <c r="J265"/>
      <c r="K265"/>
      <c r="L265"/>
    </row>
    <row r="266" spans="9:12" x14ac:dyDescent="0.25">
      <c r="I266"/>
      <c r="J266"/>
      <c r="K266"/>
      <c r="L266"/>
    </row>
    <row r="267" spans="9:12" x14ac:dyDescent="0.25">
      <c r="I267"/>
      <c r="J267"/>
      <c r="K267"/>
      <c r="L267"/>
    </row>
    <row r="268" spans="9:12" x14ac:dyDescent="0.25">
      <c r="I268"/>
      <c r="J268"/>
      <c r="K268"/>
      <c r="L268"/>
    </row>
    <row r="269" spans="9:12" x14ac:dyDescent="0.25">
      <c r="I269"/>
      <c r="J269"/>
      <c r="K269"/>
      <c r="L269"/>
    </row>
    <row r="270" spans="9:12" x14ac:dyDescent="0.25">
      <c r="I270"/>
      <c r="J270"/>
      <c r="K270"/>
      <c r="L270"/>
    </row>
    <row r="271" spans="9:12" x14ac:dyDescent="0.25">
      <c r="I271"/>
      <c r="J271"/>
      <c r="K271"/>
      <c r="L271"/>
    </row>
    <row r="272" spans="9:12" x14ac:dyDescent="0.25">
      <c r="I272"/>
      <c r="J272"/>
      <c r="K272"/>
      <c r="L272"/>
    </row>
    <row r="273" spans="9:12" x14ac:dyDescent="0.25">
      <c r="I273"/>
      <c r="J273"/>
      <c r="K273"/>
      <c r="L273"/>
    </row>
    <row r="274" spans="9:12" x14ac:dyDescent="0.25">
      <c r="I274"/>
      <c r="J274"/>
      <c r="K274"/>
      <c r="L274"/>
    </row>
    <row r="275" spans="9:12" x14ac:dyDescent="0.25">
      <c r="I275"/>
      <c r="J275"/>
      <c r="K275"/>
      <c r="L275"/>
    </row>
    <row r="276" spans="9:12" x14ac:dyDescent="0.25">
      <c r="I276"/>
      <c r="J276"/>
      <c r="K276"/>
      <c r="L276"/>
    </row>
    <row r="277" spans="9:12" x14ac:dyDescent="0.25">
      <c r="I277"/>
      <c r="J277"/>
      <c r="K277"/>
      <c r="L277"/>
    </row>
    <row r="278" spans="9:12" x14ac:dyDescent="0.25">
      <c r="I278"/>
      <c r="J278"/>
      <c r="K278"/>
      <c r="L278"/>
    </row>
    <row r="279" spans="9:12" x14ac:dyDescent="0.25">
      <c r="I279"/>
      <c r="J279"/>
      <c r="K279"/>
      <c r="L279"/>
    </row>
    <row r="280" spans="9:12" x14ac:dyDescent="0.25">
      <c r="I280"/>
      <c r="J280"/>
      <c r="K280"/>
      <c r="L280"/>
    </row>
    <row r="281" spans="9:12" x14ac:dyDescent="0.25">
      <c r="I281"/>
      <c r="J281"/>
      <c r="K281"/>
      <c r="L281"/>
    </row>
    <row r="282" spans="9:12" x14ac:dyDescent="0.25">
      <c r="I282"/>
      <c r="J282"/>
      <c r="K282"/>
      <c r="L282"/>
    </row>
    <row r="283" spans="9:12" x14ac:dyDescent="0.25">
      <c r="I283"/>
      <c r="J283"/>
      <c r="K283"/>
      <c r="L283"/>
    </row>
    <row r="284" spans="9:12" x14ac:dyDescent="0.25">
      <c r="I284"/>
      <c r="J284"/>
      <c r="K284"/>
      <c r="L284"/>
    </row>
    <row r="285" spans="9:12" x14ac:dyDescent="0.25">
      <c r="I285"/>
      <c r="J285"/>
      <c r="K285"/>
      <c r="L285"/>
    </row>
    <row r="286" spans="9:12" x14ac:dyDescent="0.25">
      <c r="I286"/>
      <c r="J286"/>
      <c r="K286"/>
      <c r="L286"/>
    </row>
    <row r="287" spans="9:12" x14ac:dyDescent="0.25">
      <c r="I287"/>
      <c r="J287"/>
      <c r="K287"/>
      <c r="L287"/>
    </row>
    <row r="288" spans="9:12" x14ac:dyDescent="0.25">
      <c r="I288"/>
      <c r="J288"/>
      <c r="K288"/>
      <c r="L288"/>
    </row>
    <row r="289" spans="9:12" x14ac:dyDescent="0.25">
      <c r="I289"/>
      <c r="J289"/>
      <c r="K289"/>
      <c r="L289"/>
    </row>
    <row r="290" spans="9:12" x14ac:dyDescent="0.25">
      <c r="I290"/>
      <c r="J290"/>
      <c r="K290"/>
      <c r="L290"/>
    </row>
    <row r="291" spans="9:12" x14ac:dyDescent="0.25">
      <c r="I291"/>
      <c r="J291"/>
      <c r="K291"/>
      <c r="L291"/>
    </row>
    <row r="292" spans="9:12" x14ac:dyDescent="0.25">
      <c r="I292"/>
      <c r="J292"/>
      <c r="K292"/>
      <c r="L292"/>
    </row>
    <row r="293" spans="9:12" x14ac:dyDescent="0.25">
      <c r="I293"/>
      <c r="J293"/>
      <c r="K293"/>
      <c r="L293"/>
    </row>
    <row r="294" spans="9:12" x14ac:dyDescent="0.25">
      <c r="I294"/>
      <c r="J294"/>
      <c r="K294"/>
      <c r="L294"/>
    </row>
    <row r="295" spans="9:12" x14ac:dyDescent="0.25">
      <c r="I295"/>
      <c r="J295"/>
      <c r="K295"/>
      <c r="L295"/>
    </row>
    <row r="296" spans="9:12" x14ac:dyDescent="0.25">
      <c r="I296"/>
      <c r="J296"/>
      <c r="K296"/>
      <c r="L296"/>
    </row>
    <row r="297" spans="9:12" x14ac:dyDescent="0.25">
      <c r="I297"/>
      <c r="J297"/>
      <c r="K297"/>
      <c r="L297"/>
    </row>
    <row r="298" spans="9:12" x14ac:dyDescent="0.25">
      <c r="I298"/>
      <c r="J298"/>
      <c r="K298"/>
      <c r="L298"/>
    </row>
    <row r="299" spans="9:12" x14ac:dyDescent="0.25">
      <c r="I299"/>
      <c r="J299"/>
      <c r="K299"/>
      <c r="L299"/>
    </row>
    <row r="300" spans="9:12" x14ac:dyDescent="0.25">
      <c r="I300"/>
      <c r="J300"/>
      <c r="K300"/>
      <c r="L300"/>
    </row>
    <row r="301" spans="9:12" x14ac:dyDescent="0.25">
      <c r="I301"/>
      <c r="J301"/>
      <c r="K301"/>
      <c r="L301"/>
    </row>
    <row r="302" spans="9:12" x14ac:dyDescent="0.25">
      <c r="I302"/>
      <c r="J302"/>
      <c r="K302"/>
      <c r="L302"/>
    </row>
    <row r="303" spans="9:12" x14ac:dyDescent="0.25">
      <c r="I303"/>
      <c r="J303"/>
      <c r="K303"/>
      <c r="L303"/>
    </row>
    <row r="304" spans="9:12" x14ac:dyDescent="0.25">
      <c r="I304"/>
      <c r="J304"/>
      <c r="K304"/>
      <c r="L304"/>
    </row>
    <row r="305" spans="9:12" x14ac:dyDescent="0.25">
      <c r="I305"/>
      <c r="J305"/>
      <c r="K305"/>
      <c r="L305"/>
    </row>
    <row r="306" spans="9:12" x14ac:dyDescent="0.25">
      <c r="I306"/>
      <c r="J306"/>
      <c r="K306"/>
      <c r="L306"/>
    </row>
    <row r="307" spans="9:12" x14ac:dyDescent="0.25">
      <c r="I307"/>
      <c r="J307"/>
      <c r="K307"/>
      <c r="L307"/>
    </row>
    <row r="308" spans="9:12" x14ac:dyDescent="0.25">
      <c r="I308"/>
      <c r="J308"/>
      <c r="K308"/>
      <c r="L308"/>
    </row>
    <row r="309" spans="9:12" x14ac:dyDescent="0.25">
      <c r="I309"/>
      <c r="J309"/>
      <c r="K309"/>
      <c r="L309"/>
    </row>
    <row r="310" spans="9:12" x14ac:dyDescent="0.25">
      <c r="I310"/>
      <c r="J310"/>
      <c r="K310"/>
      <c r="L310"/>
    </row>
    <row r="311" spans="9:12" x14ac:dyDescent="0.25">
      <c r="I311"/>
      <c r="J311"/>
      <c r="K311"/>
      <c r="L311"/>
    </row>
    <row r="312" spans="9:12" x14ac:dyDescent="0.25">
      <c r="I312"/>
      <c r="J312"/>
      <c r="K312"/>
      <c r="L312"/>
    </row>
    <row r="313" spans="9:12" x14ac:dyDescent="0.25">
      <c r="I313"/>
      <c r="J313"/>
      <c r="K313"/>
      <c r="L313"/>
    </row>
    <row r="314" spans="9:12" x14ac:dyDescent="0.25">
      <c r="I314"/>
      <c r="J314"/>
      <c r="K314"/>
      <c r="L314"/>
    </row>
    <row r="315" spans="9:12" x14ac:dyDescent="0.25">
      <c r="I315"/>
      <c r="J315"/>
      <c r="K315"/>
      <c r="L315"/>
    </row>
    <row r="316" spans="9:12" x14ac:dyDescent="0.25">
      <c r="I316"/>
      <c r="J316"/>
      <c r="K316"/>
      <c r="L316"/>
    </row>
    <row r="317" spans="9:12" x14ac:dyDescent="0.25">
      <c r="I317"/>
      <c r="J317"/>
      <c r="K317"/>
      <c r="L317"/>
    </row>
    <row r="318" spans="9:12" x14ac:dyDescent="0.25">
      <c r="I318"/>
      <c r="J318"/>
      <c r="K318"/>
      <c r="L318"/>
    </row>
    <row r="319" spans="9:12" x14ac:dyDescent="0.25">
      <c r="I319"/>
      <c r="J319"/>
      <c r="K319"/>
      <c r="L319"/>
    </row>
    <row r="320" spans="9:12" x14ac:dyDescent="0.25">
      <c r="I320"/>
      <c r="J320"/>
      <c r="K320"/>
      <c r="L320"/>
    </row>
    <row r="321" spans="9:12" x14ac:dyDescent="0.25">
      <c r="I321"/>
      <c r="J321"/>
      <c r="K321"/>
      <c r="L321"/>
    </row>
    <row r="322" spans="9:12" x14ac:dyDescent="0.25">
      <c r="I322"/>
      <c r="J322"/>
      <c r="K322"/>
      <c r="L322"/>
    </row>
    <row r="323" spans="9:12" x14ac:dyDescent="0.25">
      <c r="I323"/>
      <c r="J323"/>
      <c r="K323"/>
      <c r="L323"/>
    </row>
    <row r="324" spans="9:12" x14ac:dyDescent="0.25">
      <c r="I324"/>
      <c r="J324"/>
      <c r="K324"/>
      <c r="L324"/>
    </row>
    <row r="325" spans="9:12" x14ac:dyDescent="0.25">
      <c r="I325"/>
      <c r="J325"/>
      <c r="K325"/>
      <c r="L325"/>
    </row>
    <row r="326" spans="9:12" x14ac:dyDescent="0.25">
      <c r="I326"/>
      <c r="J326"/>
      <c r="K326"/>
      <c r="L326"/>
    </row>
    <row r="327" spans="9:12" x14ac:dyDescent="0.25">
      <c r="I327"/>
      <c r="J327"/>
      <c r="K327"/>
      <c r="L327"/>
    </row>
    <row r="328" spans="9:12" x14ac:dyDescent="0.25">
      <c r="I328"/>
      <c r="J328"/>
      <c r="K328"/>
      <c r="L328"/>
    </row>
    <row r="329" spans="9:12" x14ac:dyDescent="0.25">
      <c r="I329"/>
      <c r="J329"/>
      <c r="K329"/>
      <c r="L329"/>
    </row>
    <row r="330" spans="9:12" x14ac:dyDescent="0.25">
      <c r="I330"/>
      <c r="J330"/>
      <c r="K330"/>
      <c r="L330"/>
    </row>
    <row r="331" spans="9:12" x14ac:dyDescent="0.25">
      <c r="I331"/>
      <c r="J331"/>
      <c r="K331"/>
      <c r="L331"/>
    </row>
    <row r="332" spans="9:12" x14ac:dyDescent="0.25">
      <c r="I332"/>
      <c r="J332"/>
      <c r="K332"/>
      <c r="L332"/>
    </row>
    <row r="333" spans="9:12" x14ac:dyDescent="0.25">
      <c r="I333"/>
      <c r="J333"/>
      <c r="K333"/>
      <c r="L333"/>
    </row>
    <row r="334" spans="9:12" x14ac:dyDescent="0.25">
      <c r="I334"/>
      <c r="J334"/>
      <c r="K334"/>
      <c r="L334"/>
    </row>
    <row r="335" spans="9:12" x14ac:dyDescent="0.25">
      <c r="I335"/>
      <c r="J335"/>
      <c r="K335"/>
      <c r="L335"/>
    </row>
    <row r="336" spans="9:12" x14ac:dyDescent="0.25">
      <c r="I336"/>
      <c r="J336"/>
      <c r="K336"/>
      <c r="L336"/>
    </row>
    <row r="337" spans="9:12" x14ac:dyDescent="0.25">
      <c r="I337"/>
      <c r="J337"/>
      <c r="K337"/>
      <c r="L337"/>
    </row>
    <row r="338" spans="9:12" x14ac:dyDescent="0.25">
      <c r="I338"/>
      <c r="J338"/>
      <c r="K338"/>
      <c r="L338"/>
    </row>
    <row r="339" spans="9:12" x14ac:dyDescent="0.25">
      <c r="I339"/>
      <c r="J339"/>
      <c r="K339"/>
      <c r="L339"/>
    </row>
    <row r="340" spans="9:12" x14ac:dyDescent="0.25">
      <c r="I340"/>
      <c r="J340"/>
      <c r="K340"/>
      <c r="L340"/>
    </row>
    <row r="341" spans="9:12" x14ac:dyDescent="0.25">
      <c r="I341"/>
      <c r="J341"/>
      <c r="K341"/>
      <c r="L341"/>
    </row>
    <row r="342" spans="9:12" x14ac:dyDescent="0.25">
      <c r="I342"/>
      <c r="J342"/>
      <c r="K342"/>
      <c r="L342"/>
    </row>
    <row r="343" spans="9:12" x14ac:dyDescent="0.25">
      <c r="I343"/>
      <c r="J343"/>
      <c r="K343"/>
      <c r="L343"/>
    </row>
    <row r="344" spans="9:12" x14ac:dyDescent="0.25">
      <c r="I344"/>
      <c r="J344"/>
      <c r="K344"/>
      <c r="L344"/>
    </row>
    <row r="345" spans="9:12" x14ac:dyDescent="0.25">
      <c r="I345"/>
      <c r="J345"/>
      <c r="K345"/>
      <c r="L345"/>
    </row>
    <row r="346" spans="9:12" x14ac:dyDescent="0.25">
      <c r="I346"/>
      <c r="J346"/>
      <c r="K346"/>
      <c r="L346"/>
    </row>
    <row r="347" spans="9:12" x14ac:dyDescent="0.25">
      <c r="I347"/>
      <c r="J347"/>
      <c r="K347"/>
      <c r="L347"/>
    </row>
    <row r="348" spans="9:12" x14ac:dyDescent="0.25">
      <c r="I348"/>
      <c r="J348"/>
      <c r="K348"/>
      <c r="L348"/>
    </row>
    <row r="349" spans="9:12" x14ac:dyDescent="0.25">
      <c r="I349"/>
      <c r="J349"/>
      <c r="K349"/>
      <c r="L349"/>
    </row>
    <row r="350" spans="9:12" x14ac:dyDescent="0.25">
      <c r="I350"/>
      <c r="J350"/>
      <c r="K350"/>
      <c r="L350"/>
    </row>
    <row r="351" spans="9:12" x14ac:dyDescent="0.25">
      <c r="I351"/>
      <c r="J351"/>
      <c r="K351"/>
      <c r="L351"/>
    </row>
    <row r="352" spans="9:12" x14ac:dyDescent="0.25">
      <c r="I352"/>
      <c r="J352"/>
      <c r="K352"/>
      <c r="L352"/>
    </row>
    <row r="353" spans="9:12" x14ac:dyDescent="0.25">
      <c r="I353"/>
      <c r="J353"/>
      <c r="K353"/>
      <c r="L353"/>
    </row>
    <row r="354" spans="9:12" x14ac:dyDescent="0.25">
      <c r="I354"/>
      <c r="J354"/>
      <c r="K354"/>
      <c r="L354"/>
    </row>
    <row r="355" spans="9:12" x14ac:dyDescent="0.25">
      <c r="I355"/>
      <c r="J355"/>
      <c r="K355"/>
      <c r="L355"/>
    </row>
    <row r="356" spans="9:12" x14ac:dyDescent="0.25">
      <c r="I356"/>
      <c r="J356"/>
      <c r="K356"/>
      <c r="L356"/>
    </row>
    <row r="357" spans="9:12" x14ac:dyDescent="0.25">
      <c r="I357"/>
      <c r="J357"/>
      <c r="K357"/>
      <c r="L357"/>
    </row>
    <row r="358" spans="9:12" x14ac:dyDescent="0.25">
      <c r="I358"/>
      <c r="J358"/>
      <c r="K358"/>
      <c r="L358"/>
    </row>
    <row r="359" spans="9:12" x14ac:dyDescent="0.25">
      <c r="I359"/>
      <c r="J359"/>
      <c r="K359"/>
      <c r="L359"/>
    </row>
    <row r="360" spans="9:12" x14ac:dyDescent="0.25">
      <c r="I360"/>
      <c r="J360"/>
      <c r="K360"/>
      <c r="L360"/>
    </row>
    <row r="361" spans="9:12" x14ac:dyDescent="0.25">
      <c r="I361"/>
      <c r="J361"/>
      <c r="K361"/>
      <c r="L361"/>
    </row>
    <row r="362" spans="9:12" x14ac:dyDescent="0.25">
      <c r="I362"/>
      <c r="J362"/>
      <c r="K362"/>
      <c r="L362"/>
    </row>
    <row r="363" spans="9:12" x14ac:dyDescent="0.25">
      <c r="I363"/>
      <c r="J363"/>
      <c r="K363"/>
      <c r="L363"/>
    </row>
    <row r="364" spans="9:12" x14ac:dyDescent="0.25">
      <c r="I364"/>
      <c r="J364"/>
      <c r="K364"/>
      <c r="L364"/>
    </row>
    <row r="365" spans="9:12" x14ac:dyDescent="0.25">
      <c r="I365"/>
      <c r="J365"/>
      <c r="K365"/>
      <c r="L365"/>
    </row>
    <row r="366" spans="9:12" x14ac:dyDescent="0.25">
      <c r="I366"/>
      <c r="J366"/>
      <c r="K366"/>
      <c r="L366"/>
    </row>
    <row r="367" spans="9:12" x14ac:dyDescent="0.25">
      <c r="I367"/>
      <c r="J367"/>
      <c r="K367"/>
      <c r="L367"/>
    </row>
    <row r="368" spans="9:12" x14ac:dyDescent="0.25">
      <c r="I368"/>
      <c r="J368"/>
      <c r="K368"/>
      <c r="L368"/>
    </row>
    <row r="369" spans="9:12" x14ac:dyDescent="0.25">
      <c r="I369"/>
      <c r="J369"/>
      <c r="K369"/>
      <c r="L369"/>
    </row>
    <row r="370" spans="9:12" x14ac:dyDescent="0.25">
      <c r="I370"/>
      <c r="J370"/>
      <c r="K370"/>
      <c r="L370"/>
    </row>
    <row r="371" spans="9:12" x14ac:dyDescent="0.25">
      <c r="I371"/>
      <c r="J371"/>
      <c r="K371"/>
      <c r="L371"/>
    </row>
    <row r="372" spans="9:12" x14ac:dyDescent="0.25">
      <c r="I372"/>
      <c r="J372"/>
      <c r="K372"/>
      <c r="L372"/>
    </row>
    <row r="373" spans="9:12" x14ac:dyDescent="0.25">
      <c r="I373"/>
      <c r="J373"/>
      <c r="K373"/>
      <c r="L373"/>
    </row>
    <row r="374" spans="9:12" x14ac:dyDescent="0.25">
      <c r="I374"/>
      <c r="J374"/>
      <c r="K374"/>
      <c r="L374"/>
    </row>
    <row r="375" spans="9:12" x14ac:dyDescent="0.25">
      <c r="I375"/>
      <c r="J375"/>
      <c r="K375"/>
      <c r="L375"/>
    </row>
    <row r="376" spans="9:12" x14ac:dyDescent="0.25">
      <c r="I376"/>
      <c r="J376"/>
      <c r="K376"/>
      <c r="L376"/>
    </row>
    <row r="377" spans="9:12" x14ac:dyDescent="0.25">
      <c r="I377"/>
      <c r="J377"/>
      <c r="K377"/>
      <c r="L377"/>
    </row>
    <row r="378" spans="9:12" x14ac:dyDescent="0.25">
      <c r="I378"/>
      <c r="J378"/>
      <c r="K378"/>
      <c r="L378"/>
    </row>
    <row r="379" spans="9:12" x14ac:dyDescent="0.25">
      <c r="I379"/>
      <c r="J379"/>
      <c r="K379"/>
      <c r="L379"/>
    </row>
    <row r="380" spans="9:12" x14ac:dyDescent="0.25">
      <c r="I380"/>
      <c r="J380"/>
      <c r="K380"/>
      <c r="L380"/>
    </row>
    <row r="381" spans="9:12" x14ac:dyDescent="0.25">
      <c r="I381"/>
      <c r="J381"/>
      <c r="K381"/>
      <c r="L381"/>
    </row>
    <row r="382" spans="9:12" x14ac:dyDescent="0.25">
      <c r="I382"/>
      <c r="J382"/>
      <c r="K382"/>
      <c r="L382"/>
    </row>
    <row r="383" spans="9:12" x14ac:dyDescent="0.25">
      <c r="I383"/>
      <c r="J383"/>
      <c r="K383"/>
      <c r="L383"/>
    </row>
    <row r="384" spans="9:12" x14ac:dyDescent="0.25">
      <c r="I384"/>
      <c r="J384"/>
      <c r="K384"/>
      <c r="L384"/>
    </row>
    <row r="385" spans="9:12" x14ac:dyDescent="0.25">
      <c r="I385"/>
      <c r="J385"/>
      <c r="K385"/>
      <c r="L385"/>
    </row>
    <row r="386" spans="9:12" x14ac:dyDescent="0.25">
      <c r="I386"/>
      <c r="J386"/>
      <c r="K386"/>
      <c r="L386"/>
    </row>
    <row r="387" spans="9:12" x14ac:dyDescent="0.25">
      <c r="I387"/>
      <c r="J387"/>
      <c r="K387"/>
      <c r="L387"/>
    </row>
    <row r="388" spans="9:12" x14ac:dyDescent="0.25">
      <c r="I388"/>
      <c r="J388"/>
      <c r="K388"/>
      <c r="L388"/>
    </row>
    <row r="389" spans="9:12" x14ac:dyDescent="0.25">
      <c r="I389"/>
      <c r="J389"/>
      <c r="K389"/>
      <c r="L389"/>
    </row>
    <row r="390" spans="9:12" x14ac:dyDescent="0.25">
      <c r="I390"/>
      <c r="J390"/>
      <c r="K390"/>
      <c r="L390"/>
    </row>
    <row r="391" spans="9:12" x14ac:dyDescent="0.25">
      <c r="I391"/>
      <c r="J391"/>
      <c r="K391"/>
      <c r="L391"/>
    </row>
    <row r="392" spans="9:12" x14ac:dyDescent="0.25">
      <c r="I392"/>
      <c r="J392"/>
      <c r="K392"/>
      <c r="L392"/>
    </row>
    <row r="393" spans="9:12" x14ac:dyDescent="0.25">
      <c r="I393"/>
      <c r="J393"/>
      <c r="K393"/>
      <c r="L393"/>
    </row>
    <row r="394" spans="9:12" x14ac:dyDescent="0.25">
      <c r="I394"/>
      <c r="J394"/>
      <c r="K394"/>
      <c r="L394"/>
    </row>
    <row r="395" spans="9:12" x14ac:dyDescent="0.25">
      <c r="I395"/>
      <c r="J395"/>
      <c r="K395"/>
      <c r="L395"/>
    </row>
    <row r="396" spans="9:12" x14ac:dyDescent="0.25">
      <c r="I396"/>
      <c r="J396"/>
      <c r="K396"/>
      <c r="L396"/>
    </row>
    <row r="397" spans="9:12" x14ac:dyDescent="0.25">
      <c r="I397"/>
      <c r="J397"/>
      <c r="K397"/>
      <c r="L397"/>
    </row>
    <row r="398" spans="9:12" x14ac:dyDescent="0.25">
      <c r="I398"/>
      <c r="J398"/>
      <c r="K398"/>
      <c r="L398"/>
    </row>
    <row r="399" spans="9:12" x14ac:dyDescent="0.25">
      <c r="I399"/>
      <c r="J399"/>
      <c r="K399"/>
      <c r="L399"/>
    </row>
    <row r="400" spans="9:12" x14ac:dyDescent="0.25">
      <c r="I400"/>
      <c r="J400"/>
      <c r="K400"/>
      <c r="L400"/>
    </row>
    <row r="401" spans="9:12" x14ac:dyDescent="0.25">
      <c r="I401"/>
      <c r="J401"/>
      <c r="K401"/>
      <c r="L401"/>
    </row>
    <row r="402" spans="9:12" x14ac:dyDescent="0.25">
      <c r="I402"/>
      <c r="J402"/>
      <c r="K402"/>
      <c r="L402"/>
    </row>
    <row r="403" spans="9:12" x14ac:dyDescent="0.25">
      <c r="I403"/>
      <c r="J403"/>
      <c r="K403"/>
      <c r="L403"/>
    </row>
    <row r="404" spans="9:12" x14ac:dyDescent="0.25">
      <c r="I404"/>
      <c r="J404"/>
      <c r="K404"/>
      <c r="L404"/>
    </row>
    <row r="405" spans="9:12" x14ac:dyDescent="0.25">
      <c r="I405"/>
      <c r="J405"/>
      <c r="K405"/>
      <c r="L405"/>
    </row>
    <row r="406" spans="9:12" x14ac:dyDescent="0.25">
      <c r="I406"/>
      <c r="J406"/>
      <c r="K406"/>
      <c r="L406"/>
    </row>
    <row r="407" spans="9:12" x14ac:dyDescent="0.25">
      <c r="I407"/>
      <c r="J407"/>
      <c r="K407"/>
      <c r="L407"/>
    </row>
    <row r="408" spans="9:12" x14ac:dyDescent="0.25">
      <c r="I408"/>
      <c r="J408"/>
      <c r="K408"/>
      <c r="L408"/>
    </row>
    <row r="409" spans="9:12" x14ac:dyDescent="0.25">
      <c r="I409"/>
      <c r="J409"/>
      <c r="K409"/>
      <c r="L409"/>
    </row>
    <row r="410" spans="9:12" x14ac:dyDescent="0.25">
      <c r="I410"/>
      <c r="J410"/>
      <c r="K410"/>
      <c r="L410"/>
    </row>
    <row r="411" spans="9:12" x14ac:dyDescent="0.25">
      <c r="I411"/>
      <c r="J411"/>
      <c r="K411"/>
      <c r="L411"/>
    </row>
    <row r="412" spans="9:12" x14ac:dyDescent="0.25">
      <c r="I412"/>
      <c r="J412"/>
      <c r="K412"/>
      <c r="L412"/>
    </row>
    <row r="413" spans="9:12" x14ac:dyDescent="0.25">
      <c r="I413"/>
      <c r="J413"/>
      <c r="K413"/>
      <c r="L413"/>
    </row>
    <row r="414" spans="9:12" x14ac:dyDescent="0.25">
      <c r="I414"/>
      <c r="J414"/>
      <c r="K414"/>
      <c r="L414"/>
    </row>
    <row r="415" spans="9:12" x14ac:dyDescent="0.25">
      <c r="I415"/>
      <c r="J415"/>
      <c r="K415"/>
      <c r="L415"/>
    </row>
    <row r="416" spans="9:12" x14ac:dyDescent="0.25">
      <c r="I416"/>
      <c r="J416"/>
      <c r="K416"/>
      <c r="L416"/>
    </row>
    <row r="417" spans="9:12" x14ac:dyDescent="0.25">
      <c r="I417"/>
      <c r="J417"/>
      <c r="K417"/>
      <c r="L417"/>
    </row>
    <row r="418" spans="9:12" x14ac:dyDescent="0.25">
      <c r="I418"/>
      <c r="J418"/>
      <c r="K418"/>
      <c r="L418"/>
    </row>
    <row r="419" spans="9:12" x14ac:dyDescent="0.25">
      <c r="I419"/>
      <c r="J419"/>
      <c r="K419"/>
      <c r="L419"/>
    </row>
    <row r="420" spans="9:12" x14ac:dyDescent="0.25">
      <c r="I420"/>
      <c r="J420"/>
      <c r="K420"/>
      <c r="L420"/>
    </row>
    <row r="421" spans="9:12" x14ac:dyDescent="0.25">
      <c r="I421"/>
      <c r="J421"/>
      <c r="K421"/>
      <c r="L421"/>
    </row>
    <row r="422" spans="9:12" x14ac:dyDescent="0.25">
      <c r="I422"/>
      <c r="J422"/>
      <c r="K422"/>
      <c r="L422"/>
    </row>
    <row r="423" spans="9:12" x14ac:dyDescent="0.25">
      <c r="I423"/>
      <c r="J423"/>
      <c r="K423"/>
      <c r="L423"/>
    </row>
    <row r="424" spans="9:12" x14ac:dyDescent="0.25">
      <c r="I424"/>
      <c r="J424"/>
      <c r="K424"/>
      <c r="L424"/>
    </row>
    <row r="425" spans="9:12" x14ac:dyDescent="0.25">
      <c r="I425"/>
      <c r="J425"/>
      <c r="K425"/>
      <c r="L425"/>
    </row>
    <row r="426" spans="9:12" x14ac:dyDescent="0.25">
      <c r="I426"/>
      <c r="J426"/>
      <c r="K426"/>
      <c r="L426"/>
    </row>
    <row r="427" spans="9:12" x14ac:dyDescent="0.25">
      <c r="I427"/>
      <c r="J427"/>
      <c r="K427"/>
      <c r="L427"/>
    </row>
    <row r="428" spans="9:12" x14ac:dyDescent="0.25">
      <c r="I428"/>
      <c r="J428"/>
      <c r="K428"/>
      <c r="L428"/>
    </row>
    <row r="429" spans="9:12" x14ac:dyDescent="0.25">
      <c r="I429"/>
      <c r="J429"/>
      <c r="K429"/>
      <c r="L429"/>
    </row>
    <row r="430" spans="9:12" x14ac:dyDescent="0.25">
      <c r="I430"/>
      <c r="J430"/>
      <c r="K430"/>
      <c r="L430"/>
    </row>
    <row r="431" spans="9:12" x14ac:dyDescent="0.25">
      <c r="I431"/>
      <c r="J431"/>
      <c r="K431"/>
      <c r="L431"/>
    </row>
    <row r="432" spans="9:12" x14ac:dyDescent="0.25">
      <c r="I432"/>
      <c r="J432"/>
      <c r="K432"/>
      <c r="L432"/>
    </row>
    <row r="433" spans="9:12" x14ac:dyDescent="0.25">
      <c r="I433"/>
      <c r="J433"/>
      <c r="K433"/>
      <c r="L433"/>
    </row>
    <row r="434" spans="9:12" x14ac:dyDescent="0.25">
      <c r="I434"/>
      <c r="J434"/>
      <c r="K434"/>
      <c r="L434"/>
    </row>
    <row r="435" spans="9:12" x14ac:dyDescent="0.25">
      <c r="I435"/>
      <c r="J435"/>
      <c r="K435"/>
      <c r="L435"/>
    </row>
    <row r="436" spans="9:12" x14ac:dyDescent="0.25">
      <c r="I436"/>
      <c r="J436"/>
      <c r="K436"/>
      <c r="L436"/>
    </row>
    <row r="437" spans="9:12" x14ac:dyDescent="0.25">
      <c r="I437"/>
      <c r="J437"/>
      <c r="K437"/>
      <c r="L437"/>
    </row>
    <row r="438" spans="9:12" x14ac:dyDescent="0.25">
      <c r="I438"/>
      <c r="J438"/>
      <c r="K438"/>
      <c r="L438"/>
    </row>
    <row r="439" spans="9:12" x14ac:dyDescent="0.25">
      <c r="I439"/>
      <c r="J439"/>
      <c r="K439"/>
      <c r="L439"/>
    </row>
    <row r="440" spans="9:12" x14ac:dyDescent="0.25">
      <c r="I440"/>
      <c r="J440"/>
      <c r="K440"/>
      <c r="L440"/>
    </row>
    <row r="441" spans="9:12" x14ac:dyDescent="0.25">
      <c r="I441"/>
      <c r="J441"/>
      <c r="K441"/>
      <c r="L441"/>
    </row>
    <row r="442" spans="9:12" x14ac:dyDescent="0.25">
      <c r="I442"/>
      <c r="J442"/>
      <c r="K442"/>
      <c r="L442"/>
    </row>
    <row r="443" spans="9:12" x14ac:dyDescent="0.25">
      <c r="I443"/>
      <c r="J443"/>
      <c r="K443"/>
      <c r="L443"/>
    </row>
    <row r="444" spans="9:12" x14ac:dyDescent="0.25">
      <c r="I444"/>
      <c r="J444"/>
      <c r="K444"/>
      <c r="L444"/>
    </row>
    <row r="445" spans="9:12" x14ac:dyDescent="0.25">
      <c r="I445"/>
      <c r="J445"/>
      <c r="K445"/>
      <c r="L445"/>
    </row>
    <row r="446" spans="9:12" x14ac:dyDescent="0.25">
      <c r="I446"/>
      <c r="J446"/>
      <c r="K446"/>
      <c r="L446"/>
    </row>
    <row r="447" spans="9:12" x14ac:dyDescent="0.25">
      <c r="I447"/>
      <c r="J447"/>
      <c r="K447"/>
      <c r="L447"/>
    </row>
    <row r="448" spans="9:12" x14ac:dyDescent="0.25">
      <c r="I448"/>
      <c r="J448"/>
      <c r="K448"/>
      <c r="L448"/>
    </row>
    <row r="449" spans="9:12" x14ac:dyDescent="0.25">
      <c r="I449"/>
      <c r="J449"/>
      <c r="K449"/>
      <c r="L449"/>
    </row>
    <row r="450" spans="9:12" x14ac:dyDescent="0.25">
      <c r="I450"/>
      <c r="J450"/>
      <c r="K450"/>
      <c r="L450"/>
    </row>
    <row r="451" spans="9:12" x14ac:dyDescent="0.25">
      <c r="I451"/>
      <c r="J451"/>
      <c r="K451"/>
      <c r="L451"/>
    </row>
    <row r="452" spans="9:12" x14ac:dyDescent="0.25">
      <c r="I452"/>
      <c r="J452"/>
      <c r="K452"/>
      <c r="L452"/>
    </row>
    <row r="453" spans="9:12" x14ac:dyDescent="0.25">
      <c r="I453"/>
      <c r="J453"/>
      <c r="K453"/>
      <c r="L453"/>
    </row>
    <row r="454" spans="9:12" x14ac:dyDescent="0.25">
      <c r="I454"/>
      <c r="J454"/>
      <c r="K454"/>
      <c r="L454"/>
    </row>
    <row r="455" spans="9:12" x14ac:dyDescent="0.25">
      <c r="I455"/>
      <c r="J455"/>
      <c r="K455"/>
      <c r="L455"/>
    </row>
    <row r="456" spans="9:12" x14ac:dyDescent="0.25">
      <c r="I456"/>
      <c r="J456"/>
      <c r="K456"/>
      <c r="L456"/>
    </row>
    <row r="457" spans="9:12" x14ac:dyDescent="0.25">
      <c r="I457"/>
      <c r="J457"/>
      <c r="K457"/>
      <c r="L457"/>
    </row>
    <row r="458" spans="9:12" x14ac:dyDescent="0.25">
      <c r="I458"/>
      <c r="J458"/>
      <c r="K458"/>
      <c r="L458"/>
    </row>
    <row r="459" spans="9:12" x14ac:dyDescent="0.25">
      <c r="I459"/>
      <c r="J459"/>
      <c r="K459"/>
      <c r="L459"/>
    </row>
    <row r="460" spans="9:12" x14ac:dyDescent="0.25">
      <c r="I460"/>
      <c r="J460"/>
      <c r="K460"/>
      <c r="L460"/>
    </row>
    <row r="461" spans="9:12" x14ac:dyDescent="0.25">
      <c r="I461"/>
      <c r="J461"/>
      <c r="K461"/>
      <c r="L461"/>
    </row>
    <row r="462" spans="9:12" x14ac:dyDescent="0.25">
      <c r="I462"/>
      <c r="J462"/>
      <c r="K462"/>
      <c r="L462"/>
    </row>
    <row r="463" spans="9:12" x14ac:dyDescent="0.25">
      <c r="I463"/>
      <c r="J463"/>
      <c r="K463"/>
      <c r="L463"/>
    </row>
    <row r="464" spans="9:12" x14ac:dyDescent="0.25">
      <c r="I464"/>
      <c r="J464"/>
      <c r="K464"/>
      <c r="L464"/>
    </row>
    <row r="465" spans="9:12" x14ac:dyDescent="0.25">
      <c r="I465"/>
      <c r="J465"/>
      <c r="K465"/>
      <c r="L465"/>
    </row>
    <row r="466" spans="9:12" x14ac:dyDescent="0.25">
      <c r="I466"/>
      <c r="J466"/>
      <c r="K466"/>
      <c r="L466"/>
    </row>
    <row r="467" spans="9:12" x14ac:dyDescent="0.25">
      <c r="I467"/>
      <c r="J467"/>
      <c r="K467"/>
      <c r="L467"/>
    </row>
    <row r="468" spans="9:12" x14ac:dyDescent="0.25">
      <c r="I468"/>
      <c r="J468"/>
      <c r="K468"/>
      <c r="L468"/>
    </row>
    <row r="469" spans="9:12" x14ac:dyDescent="0.25">
      <c r="I469"/>
      <c r="J469"/>
      <c r="K469"/>
      <c r="L469"/>
    </row>
    <row r="470" spans="9:12" x14ac:dyDescent="0.25">
      <c r="I470"/>
      <c r="J470"/>
      <c r="K470"/>
      <c r="L470"/>
    </row>
    <row r="471" spans="9:12" x14ac:dyDescent="0.25">
      <c r="I471"/>
      <c r="J471"/>
      <c r="K471"/>
      <c r="L471"/>
    </row>
    <row r="472" spans="9:12" x14ac:dyDescent="0.25">
      <c r="I472"/>
      <c r="J472"/>
      <c r="K472"/>
      <c r="L472"/>
    </row>
    <row r="473" spans="9:12" x14ac:dyDescent="0.25">
      <c r="I473"/>
      <c r="J473"/>
      <c r="K473"/>
      <c r="L473"/>
    </row>
    <row r="474" spans="9:12" x14ac:dyDescent="0.25">
      <c r="I474"/>
      <c r="J474"/>
      <c r="K474"/>
      <c r="L474"/>
    </row>
    <row r="475" spans="9:12" x14ac:dyDescent="0.25">
      <c r="I475"/>
      <c r="J475"/>
      <c r="K475"/>
      <c r="L475"/>
    </row>
    <row r="476" spans="9:12" x14ac:dyDescent="0.25">
      <c r="I476"/>
      <c r="J476"/>
      <c r="K476"/>
      <c r="L476"/>
    </row>
    <row r="477" spans="9:12" x14ac:dyDescent="0.25">
      <c r="I477"/>
      <c r="J477"/>
      <c r="K477"/>
      <c r="L477"/>
    </row>
    <row r="478" spans="9:12" x14ac:dyDescent="0.25">
      <c r="I478"/>
      <c r="J478"/>
      <c r="K478"/>
      <c r="L478"/>
    </row>
    <row r="479" spans="9:12" x14ac:dyDescent="0.25">
      <c r="I479"/>
      <c r="J479"/>
      <c r="K479"/>
      <c r="L479"/>
    </row>
    <row r="480" spans="9:12" x14ac:dyDescent="0.25">
      <c r="I480"/>
      <c r="J480"/>
      <c r="K480"/>
      <c r="L480"/>
    </row>
    <row r="481" spans="9:12" x14ac:dyDescent="0.25">
      <c r="I481"/>
      <c r="J481"/>
      <c r="K481"/>
      <c r="L481"/>
    </row>
    <row r="482" spans="9:12" x14ac:dyDescent="0.25">
      <c r="I482"/>
      <c r="J482"/>
      <c r="K482"/>
      <c r="L482"/>
    </row>
    <row r="483" spans="9:12" x14ac:dyDescent="0.25">
      <c r="I483"/>
      <c r="J483"/>
      <c r="K483"/>
      <c r="L483"/>
    </row>
    <row r="484" spans="9:12" x14ac:dyDescent="0.25">
      <c r="I484"/>
      <c r="J484"/>
      <c r="K484"/>
      <c r="L484"/>
    </row>
    <row r="485" spans="9:12" x14ac:dyDescent="0.25">
      <c r="I485"/>
      <c r="J485"/>
      <c r="K485"/>
      <c r="L485"/>
    </row>
    <row r="486" spans="9:12" x14ac:dyDescent="0.25">
      <c r="I486"/>
      <c r="J486"/>
      <c r="K486"/>
      <c r="L486"/>
    </row>
    <row r="487" spans="9:12" x14ac:dyDescent="0.25">
      <c r="I487"/>
      <c r="J487"/>
      <c r="K487"/>
      <c r="L487"/>
    </row>
    <row r="488" spans="9:12" x14ac:dyDescent="0.25">
      <c r="I488"/>
      <c r="J488"/>
      <c r="K488"/>
      <c r="L488"/>
    </row>
    <row r="489" spans="9:12" x14ac:dyDescent="0.25">
      <c r="I489"/>
      <c r="J489"/>
      <c r="K489"/>
      <c r="L489"/>
    </row>
    <row r="490" spans="9:12" x14ac:dyDescent="0.25">
      <c r="I490"/>
      <c r="J490"/>
      <c r="K490"/>
      <c r="L490"/>
    </row>
    <row r="491" spans="9:12" x14ac:dyDescent="0.25">
      <c r="I491"/>
      <c r="J491"/>
      <c r="K491"/>
      <c r="L491"/>
    </row>
    <row r="492" spans="9:12" x14ac:dyDescent="0.25">
      <c r="I492"/>
      <c r="J492"/>
      <c r="K492"/>
      <c r="L492"/>
    </row>
    <row r="493" spans="9:12" x14ac:dyDescent="0.25">
      <c r="I493"/>
      <c r="J493"/>
      <c r="K493"/>
      <c r="L493"/>
    </row>
    <row r="494" spans="9:12" x14ac:dyDescent="0.25">
      <c r="I494"/>
      <c r="J494"/>
      <c r="K494"/>
      <c r="L494"/>
    </row>
    <row r="495" spans="9:12" x14ac:dyDescent="0.25">
      <c r="I495"/>
      <c r="J495"/>
      <c r="K495"/>
      <c r="L495"/>
    </row>
    <row r="496" spans="9:12" x14ac:dyDescent="0.25">
      <c r="I496"/>
      <c r="J496"/>
      <c r="K496"/>
      <c r="L496"/>
    </row>
    <row r="497" spans="9:12" x14ac:dyDescent="0.25">
      <c r="I497"/>
      <c r="J497"/>
      <c r="K497"/>
      <c r="L497"/>
    </row>
    <row r="498" spans="9:12" x14ac:dyDescent="0.25">
      <c r="I498"/>
      <c r="J498"/>
      <c r="K498"/>
      <c r="L498"/>
    </row>
    <row r="499" spans="9:12" x14ac:dyDescent="0.25">
      <c r="I499"/>
      <c r="J499"/>
      <c r="K499"/>
      <c r="L499"/>
    </row>
    <row r="500" spans="9:12" x14ac:dyDescent="0.25">
      <c r="I500"/>
      <c r="J500"/>
      <c r="K500"/>
      <c r="L500"/>
    </row>
    <row r="501" spans="9:12" x14ac:dyDescent="0.25">
      <c r="I501"/>
      <c r="J501"/>
      <c r="K501"/>
      <c r="L501"/>
    </row>
    <row r="502" spans="9:12" x14ac:dyDescent="0.25">
      <c r="I502"/>
      <c r="J502"/>
      <c r="K502"/>
      <c r="L502"/>
    </row>
    <row r="503" spans="9:12" x14ac:dyDescent="0.25">
      <c r="I503"/>
      <c r="J503"/>
      <c r="K503"/>
      <c r="L503"/>
    </row>
    <row r="504" spans="9:12" x14ac:dyDescent="0.25">
      <c r="I504"/>
      <c r="J504"/>
      <c r="K504"/>
      <c r="L504"/>
    </row>
    <row r="505" spans="9:12" x14ac:dyDescent="0.25">
      <c r="I505"/>
      <c r="J505"/>
      <c r="K505"/>
      <c r="L505"/>
    </row>
    <row r="506" spans="9:12" x14ac:dyDescent="0.25">
      <c r="I506"/>
      <c r="J506"/>
      <c r="K506"/>
      <c r="L506"/>
    </row>
    <row r="507" spans="9:12" x14ac:dyDescent="0.25">
      <c r="I507"/>
      <c r="J507"/>
      <c r="K507"/>
      <c r="L507"/>
    </row>
    <row r="508" spans="9:12" x14ac:dyDescent="0.25">
      <c r="I508"/>
      <c r="J508"/>
      <c r="K508"/>
      <c r="L508"/>
    </row>
    <row r="509" spans="9:12" x14ac:dyDescent="0.25">
      <c r="I509"/>
      <c r="J509"/>
      <c r="K509"/>
      <c r="L509"/>
    </row>
    <row r="510" spans="9:12" x14ac:dyDescent="0.25">
      <c r="I510"/>
      <c r="J510"/>
      <c r="K510"/>
      <c r="L510"/>
    </row>
    <row r="511" spans="9:12" x14ac:dyDescent="0.25">
      <c r="I511"/>
      <c r="J511"/>
      <c r="K511"/>
      <c r="L511"/>
    </row>
    <row r="512" spans="9:12" x14ac:dyDescent="0.25">
      <c r="I512"/>
      <c r="J512"/>
      <c r="K512"/>
      <c r="L512"/>
    </row>
  </sheetData>
  <autoFilter ref="A2:G119"/>
  <mergeCells count="25">
    <mergeCell ref="A37:K37"/>
    <mergeCell ref="L2:L3"/>
    <mergeCell ref="A36:J36"/>
    <mergeCell ref="G8:G10"/>
    <mergeCell ref="I8:I10"/>
    <mergeCell ref="J8:J10"/>
    <mergeCell ref="H8:H10"/>
    <mergeCell ref="A13:J13"/>
    <mergeCell ref="A20:J20"/>
    <mergeCell ref="K8:K10"/>
    <mergeCell ref="L17:L18"/>
    <mergeCell ref="A26:J26"/>
    <mergeCell ref="A27:J27"/>
    <mergeCell ref="L8:L10"/>
    <mergeCell ref="A6:J6"/>
    <mergeCell ref="A2:A3"/>
    <mergeCell ref="G2:G3"/>
    <mergeCell ref="H2:H3"/>
    <mergeCell ref="I2:I3"/>
    <mergeCell ref="J2:J3"/>
    <mergeCell ref="B2:B3"/>
    <mergeCell ref="C2:C3"/>
    <mergeCell ref="D2:D3"/>
    <mergeCell ref="E2:E3"/>
    <mergeCell ref="F2:F3"/>
  </mergeCells>
  <conditionalFormatting sqref="C28:C32">
    <cfRule type="timePeriod" dxfId="4" priority="7" timePeriod="lastMonth">
      <formula>AND(MONTH(C28)=MONTH(EDATE(TODAY(),0-1)),YEAR(C28)=YEAR(EDATE(TODAY(),0-1)))</formula>
    </cfRule>
  </conditionalFormatting>
  <conditionalFormatting sqref="B28:B32">
    <cfRule type="timePeriod" dxfId="3" priority="6" timePeriod="lastMonth">
      <formula>AND(MONTH(B28)=MONTH(EDATE(TODAY(),0-1)),YEAR(B28)=YEAR(EDATE(TODAY(),0-1)))</formula>
    </cfRule>
  </conditionalFormatting>
  <conditionalFormatting sqref="C33:C35">
    <cfRule type="timePeriod" dxfId="2" priority="5" timePeriod="lastMonth">
      <formula>AND(MONTH(C33)=MONTH(EDATE(TODAY(),0-1)),YEAR(C33)=YEAR(EDATE(TODAY(),0-1)))</formula>
    </cfRule>
  </conditionalFormatting>
  <conditionalFormatting sqref="B33 B35">
    <cfRule type="timePeriod" dxfId="1" priority="4" timePeriod="lastMonth">
      <formula>AND(MONTH(B33)=MONTH(EDATE(TODAY(),0-1)),YEAR(B33)=YEAR(EDATE(TODAY(),0-1)))</formula>
    </cfRule>
  </conditionalFormatting>
  <conditionalFormatting sqref="B34">
    <cfRule type="timePeriod" dxfId="0" priority="1" timePeriod="lastMonth">
      <formula>AND(MONTH(B34)=MONTH(EDATE(TODAY(),0-1)),YEAR(B34)=YEAR(EDATE(TODAY(),0-1)))</formula>
    </cfRule>
  </conditionalFormatting>
  <printOptions horizontalCentered="1" verticalCentered="1"/>
  <pageMargins left="0" right="0" top="0.39370078740157483" bottom="0" header="0.31496062992125984" footer="0.31496062992125984"/>
  <pageSetup paperSize="9" scale="80" orientation="landscape" horizontalDpi="4294967293"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5"/>
  <sheetViews>
    <sheetView topLeftCell="A85" workbookViewId="0">
      <selection activeCell="G102" sqref="G102"/>
    </sheetView>
  </sheetViews>
  <sheetFormatPr defaultRowHeight="10.5" customHeight="1" x14ac:dyDescent="0.25"/>
  <cols>
    <col min="1" max="1" width="17.85546875" customWidth="1"/>
    <col min="2" max="2" width="12.140625" customWidth="1"/>
    <col min="3" max="3" width="13.28515625" customWidth="1"/>
    <col min="4" max="4" width="22.7109375" customWidth="1"/>
    <col min="5" max="5" width="12.28515625" customWidth="1"/>
    <col min="6" max="6" width="17.140625" customWidth="1"/>
    <col min="8" max="8" width="15.28515625" bestFit="1" customWidth="1"/>
    <col min="10" max="10" width="11.28515625" customWidth="1"/>
    <col min="11" max="11" width="12.85546875" customWidth="1"/>
  </cols>
  <sheetData>
    <row r="1" spans="1:12" ht="15.75" customHeight="1" x14ac:dyDescent="0.25"/>
    <row r="2" spans="1:12" ht="30" customHeight="1" x14ac:dyDescent="0.25">
      <c r="A2" s="528" t="s">
        <v>2520</v>
      </c>
      <c r="B2" s="530" t="s">
        <v>2521</v>
      </c>
      <c r="C2" s="528" t="s">
        <v>2522</v>
      </c>
      <c r="D2" s="535"/>
      <c r="E2" s="530" t="s">
        <v>2532</v>
      </c>
    </row>
    <row r="3" spans="1:12" ht="15.75" customHeight="1" x14ac:dyDescent="0.25">
      <c r="A3" t="s">
        <v>2356</v>
      </c>
      <c r="B3" s="130">
        <v>44502</v>
      </c>
      <c r="C3" s="131">
        <v>6000000</v>
      </c>
      <c r="D3" s="131"/>
      <c r="E3" s="531">
        <v>44519</v>
      </c>
      <c r="J3" s="130"/>
      <c r="K3" s="131"/>
      <c r="L3" s="531"/>
    </row>
    <row r="4" spans="1:12" ht="15.75" customHeight="1" x14ac:dyDescent="0.25">
      <c r="A4" t="s">
        <v>2358</v>
      </c>
      <c r="B4" s="130">
        <v>44502</v>
      </c>
      <c r="C4" s="131">
        <v>12000000</v>
      </c>
      <c r="D4" s="131"/>
      <c r="E4" s="531">
        <v>44519</v>
      </c>
    </row>
    <row r="5" spans="1:12" ht="15.75" customHeight="1" x14ac:dyDescent="0.25">
      <c r="A5" t="s">
        <v>2360</v>
      </c>
      <c r="B5" s="130">
        <v>44502</v>
      </c>
      <c r="C5" s="131">
        <v>41000000</v>
      </c>
      <c r="D5" s="131"/>
      <c r="E5" s="531">
        <v>44519</v>
      </c>
    </row>
    <row r="6" spans="1:12" ht="15.75" customHeight="1" x14ac:dyDescent="0.25">
      <c r="A6" s="1081" t="s">
        <v>2523</v>
      </c>
      <c r="B6" s="1081"/>
      <c r="C6" s="1081"/>
      <c r="D6" s="1081"/>
      <c r="E6" s="1081"/>
      <c r="F6" s="529">
        <f>SUM(C3:C5)</f>
        <v>59000000</v>
      </c>
    </row>
    <row r="7" spans="1:12" ht="15.75" customHeight="1" x14ac:dyDescent="0.25">
      <c r="E7" s="531"/>
    </row>
    <row r="8" spans="1:12" ht="36.75" customHeight="1" x14ac:dyDescent="0.25">
      <c r="A8" s="530" t="s">
        <v>2533</v>
      </c>
      <c r="B8" s="530" t="s">
        <v>2521</v>
      </c>
      <c r="C8" s="528" t="s">
        <v>2522</v>
      </c>
      <c r="D8" s="535"/>
      <c r="E8" s="530" t="s">
        <v>2532</v>
      </c>
    </row>
    <row r="9" spans="1:12" ht="15.75" customHeight="1" x14ac:dyDescent="0.25">
      <c r="A9" t="s">
        <v>2524</v>
      </c>
      <c r="B9" t="s">
        <v>2525</v>
      </c>
      <c r="C9" s="131">
        <v>30000000</v>
      </c>
      <c r="D9" s="131"/>
      <c r="E9" s="531">
        <v>44519</v>
      </c>
    </row>
    <row r="10" spans="1:12" ht="15.75" customHeight="1" x14ac:dyDescent="0.25">
      <c r="A10" t="s">
        <v>2526</v>
      </c>
      <c r="B10" t="s">
        <v>2525</v>
      </c>
      <c r="C10" s="131">
        <v>36000000</v>
      </c>
      <c r="D10" s="131"/>
      <c r="E10" s="531">
        <v>44519</v>
      </c>
    </row>
    <row r="11" spans="1:12" ht="15.75" customHeight="1" x14ac:dyDescent="0.25">
      <c r="A11" t="s">
        <v>2527</v>
      </c>
      <c r="B11" t="s">
        <v>2525</v>
      </c>
      <c r="C11" s="131">
        <v>16000000</v>
      </c>
      <c r="D11" s="131"/>
      <c r="E11" s="531">
        <v>44519</v>
      </c>
    </row>
    <row r="12" spans="1:12" ht="15.75" customHeight="1" x14ac:dyDescent="0.25">
      <c r="A12" t="s">
        <v>2528</v>
      </c>
      <c r="B12" t="s">
        <v>2525</v>
      </c>
      <c r="C12" s="131">
        <v>25000000</v>
      </c>
      <c r="D12" s="131"/>
      <c r="E12" s="531">
        <v>44519</v>
      </c>
    </row>
    <row r="13" spans="1:12" ht="15.75" customHeight="1" x14ac:dyDescent="0.25">
      <c r="A13" t="s">
        <v>2529</v>
      </c>
      <c r="B13" t="s">
        <v>2525</v>
      </c>
      <c r="C13" s="131">
        <v>21000000</v>
      </c>
      <c r="D13" s="131"/>
      <c r="E13" s="531">
        <v>44519</v>
      </c>
    </row>
    <row r="14" spans="1:12" ht="15.75" customHeight="1" x14ac:dyDescent="0.25">
      <c r="A14" t="s">
        <v>2530</v>
      </c>
      <c r="B14" t="s">
        <v>2525</v>
      </c>
      <c r="C14" s="131">
        <v>30000000</v>
      </c>
      <c r="D14" s="131"/>
      <c r="E14" s="531">
        <v>44519</v>
      </c>
    </row>
    <row r="15" spans="1:12" ht="15.75" customHeight="1" x14ac:dyDescent="0.25">
      <c r="A15" t="s">
        <v>2531</v>
      </c>
      <c r="B15" t="s">
        <v>2525</v>
      </c>
      <c r="C15" s="131">
        <v>44000000</v>
      </c>
      <c r="D15" s="131"/>
      <c r="E15" s="531">
        <v>44519</v>
      </c>
    </row>
    <row r="16" spans="1:12" ht="24.75" customHeight="1" x14ac:dyDescent="0.25">
      <c r="A16" s="1081" t="s">
        <v>2534</v>
      </c>
      <c r="B16" s="1081"/>
      <c r="C16" s="1081"/>
      <c r="D16" s="1081"/>
      <c r="E16" s="1081"/>
      <c r="F16" s="529">
        <f>SUM(C9:C15)</f>
        <v>202000000</v>
      </c>
    </row>
    <row r="17" spans="1:6" ht="15.75" customHeight="1" x14ac:dyDescent="0.25">
      <c r="A17" s="1082" t="s">
        <v>2535</v>
      </c>
      <c r="B17" s="1082"/>
      <c r="C17" s="1082"/>
      <c r="D17" s="1082"/>
      <c r="E17" s="1082"/>
      <c r="F17" s="327">
        <f>F16-F6</f>
        <v>143000000</v>
      </c>
    </row>
    <row r="18" spans="1:6" ht="15.75" customHeight="1" x14ac:dyDescent="0.25">
      <c r="A18" s="446"/>
      <c r="B18" s="446"/>
      <c r="C18" s="446"/>
      <c r="D18" s="536"/>
      <c r="E18" s="446"/>
      <c r="F18" s="327"/>
    </row>
    <row r="19" spans="1:6" ht="15.75" customHeight="1" x14ac:dyDescent="0.25">
      <c r="A19" t="s">
        <v>2536</v>
      </c>
      <c r="C19" s="14">
        <v>4000000</v>
      </c>
      <c r="D19" s="14"/>
    </row>
    <row r="20" spans="1:6" ht="15.75" customHeight="1" x14ac:dyDescent="0.25">
      <c r="A20" t="s">
        <v>2537</v>
      </c>
      <c r="C20" s="14">
        <v>41000000</v>
      </c>
      <c r="D20" s="14"/>
    </row>
    <row r="21" spans="1:6" ht="15.75" customHeight="1" x14ac:dyDescent="0.25">
      <c r="C21" s="131"/>
      <c r="D21" s="131"/>
    </row>
    <row r="22" spans="1:6" ht="15.75" customHeight="1" x14ac:dyDescent="0.25">
      <c r="A22" t="s">
        <v>2538</v>
      </c>
      <c r="C22" s="131"/>
      <c r="D22" s="131"/>
    </row>
    <row r="23" spans="1:6" ht="15.75" customHeight="1" x14ac:dyDescent="0.25">
      <c r="A23" t="s">
        <v>2539</v>
      </c>
      <c r="C23" s="131">
        <v>5000000</v>
      </c>
      <c r="D23" s="131"/>
    </row>
    <row r="24" spans="1:6" ht="15.75" customHeight="1" x14ac:dyDescent="0.25">
      <c r="A24" t="s">
        <v>2540</v>
      </c>
      <c r="C24" s="131">
        <v>16000000</v>
      </c>
      <c r="D24" s="131"/>
    </row>
    <row r="25" spans="1:6" ht="15.75" customHeight="1" x14ac:dyDescent="0.25">
      <c r="C25" s="131"/>
      <c r="D25" s="131"/>
    </row>
    <row r="26" spans="1:6" ht="15.75" customHeight="1" x14ac:dyDescent="0.25">
      <c r="A26" t="s">
        <v>2541</v>
      </c>
      <c r="C26" s="131"/>
      <c r="D26" s="131"/>
    </row>
    <row r="27" spans="1:6" ht="15.75" customHeight="1" x14ac:dyDescent="0.25">
      <c r="A27" t="s">
        <v>2542</v>
      </c>
      <c r="C27" s="131">
        <v>1000000</v>
      </c>
      <c r="D27" s="131"/>
    </row>
    <row r="28" spans="1:6" ht="15.75" customHeight="1" x14ac:dyDescent="0.25">
      <c r="A28" t="s">
        <v>2543</v>
      </c>
      <c r="C28" s="131">
        <v>61000000</v>
      </c>
      <c r="D28" s="131"/>
    </row>
    <row r="29" spans="1:6" ht="15.75" customHeight="1" x14ac:dyDescent="0.25">
      <c r="C29" s="131"/>
      <c r="D29" s="131"/>
    </row>
    <row r="30" spans="1:6" ht="15.75" customHeight="1" x14ac:dyDescent="0.25">
      <c r="A30" t="s">
        <v>2357</v>
      </c>
      <c r="C30" s="131"/>
      <c r="D30" s="131"/>
    </row>
    <row r="31" spans="1:6" ht="15.75" customHeight="1" x14ac:dyDescent="0.25">
      <c r="A31" t="s">
        <v>2544</v>
      </c>
      <c r="C31" s="131">
        <v>6000000</v>
      </c>
      <c r="D31" s="131"/>
    </row>
    <row r="32" spans="1:6" ht="15.75" customHeight="1" x14ac:dyDescent="0.25">
      <c r="A32" t="s">
        <v>2545</v>
      </c>
      <c r="C32" s="131">
        <v>9000000</v>
      </c>
      <c r="D32" s="131"/>
    </row>
    <row r="33" spans="1:7" ht="27" customHeight="1" x14ac:dyDescent="0.25">
      <c r="A33" s="1081" t="s">
        <v>2546</v>
      </c>
      <c r="B33" s="1081"/>
      <c r="C33" s="1081"/>
      <c r="D33" s="1081"/>
      <c r="E33" s="1081"/>
      <c r="F33" s="529">
        <f>SUM(C19:C32)</f>
        <v>143000000</v>
      </c>
      <c r="G33" t="s">
        <v>2607</v>
      </c>
    </row>
    <row r="34" spans="1:7" ht="27" customHeight="1" x14ac:dyDescent="0.25">
      <c r="A34" s="555"/>
      <c r="B34" s="555"/>
      <c r="C34" s="555"/>
      <c r="D34" s="555"/>
      <c r="E34" s="555"/>
      <c r="F34" s="556"/>
    </row>
    <row r="35" spans="1:7" ht="27" customHeight="1" x14ac:dyDescent="0.25">
      <c r="A35" s="555"/>
      <c r="B35" s="555"/>
      <c r="C35" s="555"/>
      <c r="D35" s="555"/>
      <c r="E35" s="555"/>
      <c r="F35" s="556"/>
    </row>
    <row r="36" spans="1:7" ht="27" customHeight="1" x14ac:dyDescent="0.25">
      <c r="A36" s="1078" t="s">
        <v>2834</v>
      </c>
      <c r="B36" s="1078"/>
      <c r="C36" s="1078"/>
      <c r="D36" s="1078"/>
      <c r="E36" s="1078"/>
      <c r="F36" s="1078"/>
    </row>
    <row r="37" spans="1:7" ht="29.25" customHeight="1" x14ac:dyDescent="0.25">
      <c r="A37" s="1074" t="s">
        <v>2578</v>
      </c>
      <c r="B37" s="1074"/>
      <c r="C37" s="1074"/>
      <c r="D37" s="1074"/>
      <c r="E37" s="1074"/>
      <c r="F37" s="1074"/>
    </row>
    <row r="38" spans="1:7" ht="31.5" customHeight="1" x14ac:dyDescent="0.25">
      <c r="A38" s="539" t="s">
        <v>2520</v>
      </c>
      <c r="B38" s="540" t="s">
        <v>2521</v>
      </c>
      <c r="C38" s="539" t="s">
        <v>2522</v>
      </c>
      <c r="D38" s="623" t="s">
        <v>2579</v>
      </c>
      <c r="E38" s="540" t="s">
        <v>2532</v>
      </c>
      <c r="F38" s="5"/>
    </row>
    <row r="39" spans="1:7" ht="15.75" customHeight="1" x14ac:dyDescent="0.25">
      <c r="A39" s="5" t="s">
        <v>1985</v>
      </c>
      <c r="B39" s="243">
        <v>44468</v>
      </c>
      <c r="C39" s="3">
        <v>10000000</v>
      </c>
      <c r="D39" s="542" t="s">
        <v>1987</v>
      </c>
      <c r="E39" s="541">
        <v>44475</v>
      </c>
      <c r="F39" s="5" t="s">
        <v>2896</v>
      </c>
    </row>
    <row r="40" spans="1:7" ht="15.75" customHeight="1" x14ac:dyDescent="0.25">
      <c r="A40" s="5" t="s">
        <v>1988</v>
      </c>
      <c r="B40" s="243">
        <v>44468</v>
      </c>
      <c r="C40" s="3">
        <v>8000000</v>
      </c>
      <c r="D40" s="542" t="s">
        <v>1989</v>
      </c>
      <c r="E40" s="541">
        <v>44473</v>
      </c>
      <c r="F40" s="5"/>
    </row>
    <row r="41" spans="1:7" ht="15.75" customHeight="1" x14ac:dyDescent="0.25">
      <c r="A41" s="5" t="s">
        <v>1990</v>
      </c>
      <c r="B41" s="243">
        <v>44468</v>
      </c>
      <c r="C41" s="3">
        <v>4000000</v>
      </c>
      <c r="D41" s="542" t="s">
        <v>1991</v>
      </c>
      <c r="E41" s="541">
        <v>44475</v>
      </c>
      <c r="F41" s="5"/>
    </row>
    <row r="42" spans="1:7" ht="15.75" customHeight="1" x14ac:dyDescent="0.25">
      <c r="A42" s="5" t="s">
        <v>1992</v>
      </c>
      <c r="B42" s="243">
        <v>44468</v>
      </c>
      <c r="C42" s="3">
        <v>7500000</v>
      </c>
      <c r="D42" s="542" t="s">
        <v>1880</v>
      </c>
      <c r="E42" s="541">
        <v>44475</v>
      </c>
      <c r="F42" s="5"/>
    </row>
    <row r="43" spans="1:7" ht="23.25" customHeight="1" x14ac:dyDescent="0.25">
      <c r="A43" s="1079" t="s">
        <v>2523</v>
      </c>
      <c r="B43" s="1079"/>
      <c r="C43" s="1079"/>
      <c r="D43" s="1079"/>
      <c r="E43" s="1079"/>
      <c r="F43" s="419">
        <f>SUM(C39:C42)</f>
        <v>29500000</v>
      </c>
    </row>
    <row r="44" spans="1:7" ht="15.75" customHeight="1" x14ac:dyDescent="0.25">
      <c r="E44" s="531"/>
    </row>
    <row r="45" spans="1:7" ht="30" customHeight="1" x14ac:dyDescent="0.25">
      <c r="A45" s="1080" t="s">
        <v>2577</v>
      </c>
      <c r="B45" s="1080"/>
      <c r="C45" s="1080"/>
      <c r="D45" s="1080"/>
      <c r="E45" s="1080"/>
      <c r="F45" s="1080"/>
    </row>
    <row r="46" spans="1:7" ht="29.25" customHeight="1" x14ac:dyDescent="0.25">
      <c r="A46" s="540" t="s">
        <v>2533</v>
      </c>
      <c r="B46" s="540" t="s">
        <v>2521</v>
      </c>
      <c r="C46" s="540" t="s">
        <v>2562</v>
      </c>
      <c r="D46" s="540" t="s">
        <v>2579</v>
      </c>
      <c r="E46" s="540" t="s">
        <v>2532</v>
      </c>
      <c r="F46" s="5"/>
    </row>
    <row r="47" spans="1:7" ht="15.75" customHeight="1" x14ac:dyDescent="0.25">
      <c r="A47" s="5" t="s">
        <v>2548</v>
      </c>
      <c r="B47" s="243">
        <v>44469</v>
      </c>
      <c r="C47" s="3">
        <v>6500000</v>
      </c>
      <c r="D47" s="3" t="s">
        <v>2569</v>
      </c>
      <c r="E47" s="541">
        <v>44475</v>
      </c>
      <c r="F47" s="5"/>
    </row>
    <row r="48" spans="1:7" ht="15.75" customHeight="1" x14ac:dyDescent="0.25">
      <c r="A48" s="5" t="s">
        <v>2549</v>
      </c>
      <c r="B48" s="243">
        <v>44469</v>
      </c>
      <c r="C48" s="3">
        <v>15500000</v>
      </c>
      <c r="D48" s="3" t="s">
        <v>2568</v>
      </c>
      <c r="E48" s="541">
        <v>44475</v>
      </c>
      <c r="F48" s="5"/>
    </row>
    <row r="49" spans="1:8" ht="15.75" customHeight="1" x14ac:dyDescent="0.25">
      <c r="A49" s="5" t="s">
        <v>2550</v>
      </c>
      <c r="B49" s="243">
        <v>44469</v>
      </c>
      <c r="C49" s="3">
        <v>4000000</v>
      </c>
      <c r="D49" s="3" t="s">
        <v>2567</v>
      </c>
      <c r="E49" s="541">
        <v>44475</v>
      </c>
      <c r="F49" s="5"/>
    </row>
    <row r="50" spans="1:8" ht="15.75" customHeight="1" x14ac:dyDescent="0.25">
      <c r="A50" s="5" t="s">
        <v>2551</v>
      </c>
      <c r="B50" s="243">
        <v>44469</v>
      </c>
      <c r="C50" s="3">
        <v>5000000</v>
      </c>
      <c r="D50" s="3" t="s">
        <v>2566</v>
      </c>
      <c r="E50" s="541">
        <v>44473</v>
      </c>
      <c r="F50" s="5"/>
    </row>
    <row r="51" spans="1:8" ht="15.75" customHeight="1" x14ac:dyDescent="0.25">
      <c r="A51" s="5" t="s">
        <v>2552</v>
      </c>
      <c r="B51" s="243">
        <v>44469</v>
      </c>
      <c r="C51" s="3">
        <v>2000000</v>
      </c>
      <c r="D51" s="3" t="s">
        <v>2565</v>
      </c>
      <c r="E51" s="541">
        <v>44475</v>
      </c>
      <c r="F51" s="5"/>
    </row>
    <row r="52" spans="1:8" ht="15.75" customHeight="1" x14ac:dyDescent="0.25">
      <c r="A52" s="5" t="s">
        <v>2553</v>
      </c>
      <c r="B52" s="243">
        <v>44469</v>
      </c>
      <c r="C52" s="3">
        <v>4500000</v>
      </c>
      <c r="D52" s="3" t="s">
        <v>2564</v>
      </c>
      <c r="E52" s="541">
        <v>44475</v>
      </c>
      <c r="F52" s="5"/>
    </row>
    <row r="53" spans="1:8" ht="15.75" customHeight="1" x14ac:dyDescent="0.25">
      <c r="A53" s="5" t="s">
        <v>2554</v>
      </c>
      <c r="B53" s="243">
        <v>44469</v>
      </c>
      <c r="C53" s="3">
        <v>6100000</v>
      </c>
      <c r="D53" s="3" t="s">
        <v>2563</v>
      </c>
      <c r="E53" s="541">
        <v>44473</v>
      </c>
      <c r="F53" s="5"/>
    </row>
    <row r="54" spans="1:8" ht="15.75" customHeight="1" x14ac:dyDescent="0.25">
      <c r="A54" s="5" t="s">
        <v>2555</v>
      </c>
      <c r="B54" s="243">
        <v>44469</v>
      </c>
      <c r="C54" s="3">
        <v>4000000</v>
      </c>
      <c r="D54" s="3" t="s">
        <v>2570</v>
      </c>
      <c r="E54" s="541">
        <v>44473</v>
      </c>
      <c r="F54" s="5"/>
    </row>
    <row r="55" spans="1:8" ht="15.75" customHeight="1" x14ac:dyDescent="0.25">
      <c r="A55" s="552" t="s">
        <v>2556</v>
      </c>
      <c r="B55" s="553">
        <v>44469</v>
      </c>
      <c r="C55" s="4">
        <v>2400000</v>
      </c>
      <c r="D55" s="4" t="s">
        <v>2571</v>
      </c>
      <c r="E55" s="554">
        <v>44480</v>
      </c>
      <c r="F55" s="552"/>
    </row>
    <row r="56" spans="1:8" ht="15.75" customHeight="1" x14ac:dyDescent="0.25">
      <c r="A56" s="5" t="s">
        <v>2557</v>
      </c>
      <c r="B56" s="243">
        <v>44469</v>
      </c>
      <c r="C56" s="3">
        <v>27800000</v>
      </c>
      <c r="D56" s="3" t="s">
        <v>2572</v>
      </c>
      <c r="E56" s="541">
        <v>44475</v>
      </c>
      <c r="F56" s="5"/>
    </row>
    <row r="57" spans="1:8" ht="15.75" customHeight="1" x14ac:dyDescent="0.25">
      <c r="A57" s="5" t="s">
        <v>2558</v>
      </c>
      <c r="B57" s="243">
        <v>44469</v>
      </c>
      <c r="C57" s="3">
        <v>45600000</v>
      </c>
      <c r="D57" s="3" t="s">
        <v>2573</v>
      </c>
      <c r="E57" s="541">
        <v>44475</v>
      </c>
      <c r="F57" s="5"/>
    </row>
    <row r="58" spans="1:8" ht="15.75" customHeight="1" x14ac:dyDescent="0.25">
      <c r="A58" s="5" t="s">
        <v>2559</v>
      </c>
      <c r="B58" s="243">
        <v>44469</v>
      </c>
      <c r="C58" s="3">
        <v>8750000</v>
      </c>
      <c r="D58" s="3" t="s">
        <v>2574</v>
      </c>
      <c r="E58" s="541">
        <v>44473</v>
      </c>
      <c r="F58" s="5"/>
    </row>
    <row r="59" spans="1:8" ht="15.75" customHeight="1" x14ac:dyDescent="0.25">
      <c r="A59" s="5" t="s">
        <v>2560</v>
      </c>
      <c r="B59" s="243">
        <v>44469</v>
      </c>
      <c r="C59" s="3">
        <v>35000000</v>
      </c>
      <c r="D59" s="3" t="s">
        <v>2575</v>
      </c>
      <c r="E59" s="541">
        <v>44475</v>
      </c>
      <c r="F59" s="5"/>
    </row>
    <row r="60" spans="1:8" ht="15.75" customHeight="1" x14ac:dyDescent="0.25">
      <c r="A60" s="5" t="s">
        <v>2561</v>
      </c>
      <c r="B60" s="243">
        <v>44469</v>
      </c>
      <c r="C60" s="3">
        <v>40000000</v>
      </c>
      <c r="D60" s="3" t="s">
        <v>2576</v>
      </c>
      <c r="E60" s="541">
        <v>44475</v>
      </c>
      <c r="F60" s="5"/>
    </row>
    <row r="61" spans="1:8" ht="22.5" customHeight="1" x14ac:dyDescent="0.25">
      <c r="A61" s="1010" t="s">
        <v>2534</v>
      </c>
      <c r="B61" s="1011"/>
      <c r="C61" s="1011"/>
      <c r="D61" s="1011"/>
      <c r="E61" s="1015"/>
      <c r="F61" s="419">
        <f>SUM(C47:C60)</f>
        <v>207150000</v>
      </c>
    </row>
    <row r="62" spans="1:8" ht="27.75" customHeight="1" x14ac:dyDescent="0.25">
      <c r="A62" s="1084" t="s">
        <v>2595</v>
      </c>
      <c r="B62" s="1084"/>
      <c r="C62" s="1084"/>
      <c r="D62" s="1084"/>
      <c r="E62" s="1084"/>
      <c r="F62" s="543">
        <f>F61-F43</f>
        <v>177650000</v>
      </c>
      <c r="H62" s="16"/>
    </row>
    <row r="63" spans="1:8" ht="15.75" customHeight="1" x14ac:dyDescent="0.25">
      <c r="A63" s="550"/>
      <c r="B63" s="550"/>
      <c r="C63" s="550"/>
      <c r="D63" s="550"/>
      <c r="E63" s="550"/>
      <c r="F63" s="551"/>
      <c r="H63" s="16"/>
    </row>
    <row r="64" spans="1:8" ht="27" customHeight="1" x14ac:dyDescent="0.25">
      <c r="A64" s="1074" t="s">
        <v>2580</v>
      </c>
      <c r="B64" s="1074"/>
      <c r="C64" s="1074"/>
      <c r="D64" s="1074"/>
      <c r="E64" s="1074"/>
      <c r="F64" s="1074"/>
      <c r="H64" s="131"/>
    </row>
    <row r="65" spans="1:8" ht="32.25" customHeight="1" x14ac:dyDescent="0.25">
      <c r="A65" s="539" t="s">
        <v>2581</v>
      </c>
      <c r="B65" s="540" t="s">
        <v>2585</v>
      </c>
      <c r="C65" s="540" t="s">
        <v>2582</v>
      </c>
      <c r="D65" s="160" t="s">
        <v>9</v>
      </c>
      <c r="E65" s="548"/>
      <c r="F65" s="549"/>
      <c r="H65" s="327"/>
    </row>
    <row r="66" spans="1:8" ht="15.75" customHeight="1" x14ac:dyDescent="0.25">
      <c r="A66" s="5" t="s">
        <v>2583</v>
      </c>
      <c r="B66" s="243">
        <v>44475</v>
      </c>
      <c r="C66" s="3">
        <v>2000000</v>
      </c>
      <c r="D66" s="542" t="s">
        <v>2584</v>
      </c>
      <c r="E66" s="546"/>
      <c r="F66" s="420"/>
    </row>
    <row r="67" spans="1:8" ht="15.75" customHeight="1" x14ac:dyDescent="0.25">
      <c r="A67" s="5" t="s">
        <v>2583</v>
      </c>
      <c r="B67" s="243">
        <v>44475</v>
      </c>
      <c r="C67" s="3">
        <v>500000</v>
      </c>
      <c r="D67" s="542" t="s">
        <v>2586</v>
      </c>
      <c r="E67" s="546"/>
      <c r="F67" s="420"/>
    </row>
    <row r="68" spans="1:8" ht="15.75" customHeight="1" x14ac:dyDescent="0.25">
      <c r="A68" s="5" t="s">
        <v>2583</v>
      </c>
      <c r="B68" s="243">
        <v>44475</v>
      </c>
      <c r="C68" s="3">
        <v>1000000</v>
      </c>
      <c r="D68" s="542" t="s">
        <v>2587</v>
      </c>
      <c r="E68" s="546"/>
      <c r="F68" s="420"/>
    </row>
    <row r="69" spans="1:8" ht="15.75" customHeight="1" x14ac:dyDescent="0.25">
      <c r="A69" s="5" t="s">
        <v>2588</v>
      </c>
      <c r="B69" s="243">
        <v>44475</v>
      </c>
      <c r="C69" s="3">
        <v>2750000</v>
      </c>
      <c r="D69" s="542"/>
      <c r="E69" s="546"/>
      <c r="F69" s="420"/>
    </row>
    <row r="70" spans="1:8" ht="15" x14ac:dyDescent="0.25">
      <c r="A70" s="5" t="s">
        <v>2588</v>
      </c>
      <c r="B70" s="243">
        <v>44475</v>
      </c>
      <c r="C70" s="3">
        <v>6700000</v>
      </c>
      <c r="D70" s="542"/>
      <c r="E70" s="546"/>
      <c r="F70" s="420"/>
    </row>
    <row r="71" spans="1:8" ht="15" x14ac:dyDescent="0.25">
      <c r="A71" s="5" t="s">
        <v>2583</v>
      </c>
      <c r="B71" s="243">
        <v>44475</v>
      </c>
      <c r="C71" s="3">
        <v>650000</v>
      </c>
      <c r="D71" s="542" t="s">
        <v>2106</v>
      </c>
      <c r="E71" s="546"/>
      <c r="F71" s="420"/>
    </row>
    <row r="72" spans="1:8" ht="15" x14ac:dyDescent="0.25">
      <c r="A72" s="5" t="s">
        <v>2588</v>
      </c>
      <c r="B72" s="243">
        <v>44475</v>
      </c>
      <c r="C72" s="3">
        <v>4300000</v>
      </c>
      <c r="D72" s="542"/>
      <c r="E72" s="546"/>
      <c r="F72" s="420"/>
    </row>
    <row r="73" spans="1:8" ht="15" x14ac:dyDescent="0.25">
      <c r="A73" s="5" t="s">
        <v>2583</v>
      </c>
      <c r="B73" s="243">
        <v>44475</v>
      </c>
      <c r="C73" s="3">
        <v>650000</v>
      </c>
      <c r="D73" s="542" t="s">
        <v>2589</v>
      </c>
      <c r="E73" s="546"/>
      <c r="F73" s="420"/>
    </row>
    <row r="74" spans="1:8" ht="15" x14ac:dyDescent="0.25">
      <c r="A74" s="5" t="s">
        <v>2583</v>
      </c>
      <c r="B74" s="243">
        <v>44475</v>
      </c>
      <c r="C74" s="3">
        <v>700000</v>
      </c>
      <c r="D74" s="542" t="s">
        <v>2590</v>
      </c>
      <c r="E74" s="546"/>
      <c r="F74" s="420"/>
    </row>
    <row r="75" spans="1:8" ht="15" x14ac:dyDescent="0.25">
      <c r="A75" s="5" t="s">
        <v>2583</v>
      </c>
      <c r="B75" s="243">
        <v>44475</v>
      </c>
      <c r="C75" s="3">
        <v>650000</v>
      </c>
      <c r="D75" s="542" t="s">
        <v>2591</v>
      </c>
      <c r="E75" s="546"/>
      <c r="F75" s="420"/>
    </row>
    <row r="76" spans="1:8" ht="15" x14ac:dyDescent="0.25">
      <c r="A76" s="5" t="s">
        <v>2588</v>
      </c>
      <c r="B76" s="243">
        <v>44475</v>
      </c>
      <c r="C76" s="3">
        <v>1700000</v>
      </c>
      <c r="D76" s="542"/>
      <c r="E76" s="546"/>
      <c r="F76" s="420"/>
    </row>
    <row r="77" spans="1:8" ht="15" x14ac:dyDescent="0.25">
      <c r="A77" s="5" t="s">
        <v>2583</v>
      </c>
      <c r="B77" s="243">
        <v>44475</v>
      </c>
      <c r="C77" s="3">
        <v>650000</v>
      </c>
      <c r="D77" s="542" t="s">
        <v>2592</v>
      </c>
      <c r="E77" s="546"/>
      <c r="F77" s="420"/>
    </row>
    <row r="78" spans="1:8" ht="15" x14ac:dyDescent="0.25">
      <c r="A78" s="5" t="s">
        <v>2588</v>
      </c>
      <c r="B78" s="243">
        <v>44475</v>
      </c>
      <c r="C78" s="3">
        <v>3800000</v>
      </c>
      <c r="D78" s="542"/>
      <c r="E78" s="546"/>
      <c r="F78" s="420"/>
    </row>
    <row r="79" spans="1:8" ht="15" x14ac:dyDescent="0.25">
      <c r="A79" s="5" t="s">
        <v>2588</v>
      </c>
      <c r="B79" s="243">
        <v>44476</v>
      </c>
      <c r="C79" s="3">
        <v>19600000</v>
      </c>
      <c r="D79" s="542"/>
      <c r="E79" s="546"/>
      <c r="F79" s="420"/>
    </row>
    <row r="80" spans="1:8" ht="15" x14ac:dyDescent="0.25">
      <c r="A80" s="5" t="s">
        <v>2588</v>
      </c>
      <c r="B80" s="243">
        <v>44477</v>
      </c>
      <c r="C80" s="3">
        <v>25000000</v>
      </c>
      <c r="D80" s="542"/>
      <c r="E80" s="546"/>
      <c r="F80" s="420"/>
    </row>
    <row r="81" spans="1:6" ht="15" x14ac:dyDescent="0.25">
      <c r="A81" s="5" t="s">
        <v>2588</v>
      </c>
      <c r="B81" s="243">
        <v>44478</v>
      </c>
      <c r="C81" s="3">
        <v>25000000</v>
      </c>
      <c r="D81" s="542"/>
      <c r="E81" s="546"/>
      <c r="F81" s="420"/>
    </row>
    <row r="82" spans="1:6" ht="15" x14ac:dyDescent="0.25">
      <c r="A82" s="5" t="s">
        <v>2588</v>
      </c>
      <c r="B82" s="243">
        <v>44479</v>
      </c>
      <c r="C82" s="3">
        <v>13400000</v>
      </c>
      <c r="D82" s="542"/>
      <c r="E82" s="546"/>
      <c r="F82" s="420"/>
    </row>
    <row r="83" spans="1:6" ht="15" x14ac:dyDescent="0.25">
      <c r="A83" s="5" t="s">
        <v>2588</v>
      </c>
      <c r="B83" s="243">
        <v>44480</v>
      </c>
      <c r="C83" s="3">
        <v>25000000</v>
      </c>
      <c r="D83" s="542"/>
      <c r="E83" s="546"/>
      <c r="F83" s="420"/>
    </row>
    <row r="84" spans="1:6" ht="15" x14ac:dyDescent="0.25">
      <c r="A84" s="5" t="s">
        <v>2583</v>
      </c>
      <c r="B84" s="544">
        <v>44480</v>
      </c>
      <c r="C84" s="3">
        <v>500000</v>
      </c>
      <c r="D84" s="542" t="s">
        <v>2593</v>
      </c>
      <c r="E84" s="547"/>
      <c r="F84" s="420"/>
    </row>
    <row r="85" spans="1:6" ht="15" x14ac:dyDescent="0.25">
      <c r="A85" s="5" t="s">
        <v>2588</v>
      </c>
      <c r="B85" s="243">
        <v>44481</v>
      </c>
      <c r="C85" s="3">
        <v>12000000</v>
      </c>
      <c r="D85" s="542"/>
      <c r="E85" s="546"/>
      <c r="F85" s="420"/>
    </row>
    <row r="86" spans="1:6" ht="18.75" x14ac:dyDescent="0.25">
      <c r="A86" s="1084" t="s">
        <v>2594</v>
      </c>
      <c r="B86" s="1084"/>
      <c r="C86" s="1084"/>
      <c r="D86" s="1084"/>
      <c r="E86" s="1084"/>
      <c r="F86" s="543">
        <f>SUM(C66:C85)</f>
        <v>146550000</v>
      </c>
    </row>
    <row r="87" spans="1:6" ht="18.75" x14ac:dyDescent="0.25">
      <c r="A87" s="1083" t="s">
        <v>2596</v>
      </c>
      <c r="B87" s="1083"/>
      <c r="C87" s="1083"/>
      <c r="D87" s="1083"/>
      <c r="E87" s="1083"/>
      <c r="F87" s="545">
        <f>F62-F86</f>
        <v>31100000</v>
      </c>
    </row>
    <row r="88" spans="1:6" ht="15" x14ac:dyDescent="0.25"/>
    <row r="89" spans="1:6" ht="18.75" x14ac:dyDescent="0.25">
      <c r="A89" s="1078" t="s">
        <v>2864</v>
      </c>
      <c r="B89" s="1078"/>
      <c r="C89" s="1078"/>
      <c r="D89" s="1078"/>
      <c r="E89" s="1078"/>
      <c r="F89" s="1078"/>
    </row>
    <row r="90" spans="1:6" ht="18.75" x14ac:dyDescent="0.25">
      <c r="A90" s="1074" t="s">
        <v>2578</v>
      </c>
      <c r="B90" s="1074"/>
      <c r="C90" s="1074"/>
      <c r="D90" s="1074"/>
      <c r="E90" s="1074"/>
      <c r="F90" s="1074"/>
    </row>
    <row r="91" spans="1:6" ht="30" x14ac:dyDescent="0.25">
      <c r="A91" s="622" t="s">
        <v>2520</v>
      </c>
      <c r="B91" s="540" t="s">
        <v>2521</v>
      </c>
      <c r="C91" s="622" t="s">
        <v>2522</v>
      </c>
      <c r="D91" s="623" t="s">
        <v>2579</v>
      </c>
      <c r="E91" s="540" t="s">
        <v>2532</v>
      </c>
      <c r="F91" s="657" t="s">
        <v>2885</v>
      </c>
    </row>
    <row r="92" spans="1:6" ht="15" x14ac:dyDescent="0.25">
      <c r="A92" s="48" t="s">
        <v>2354</v>
      </c>
      <c r="B92" s="636">
        <v>44502</v>
      </c>
      <c r="C92" s="637">
        <v>29000000</v>
      </c>
      <c r="D92" s="641" t="s">
        <v>2837</v>
      </c>
      <c r="E92" s="639">
        <v>44533</v>
      </c>
      <c r="F92" s="737">
        <v>44537</v>
      </c>
    </row>
    <row r="93" spans="1:6" ht="15" x14ac:dyDescent="0.25">
      <c r="A93" s="5" t="s">
        <v>2477</v>
      </c>
      <c r="B93" s="243">
        <v>44515</v>
      </c>
      <c r="C93" s="3">
        <v>500000</v>
      </c>
      <c r="D93" s="542" t="s">
        <v>477</v>
      </c>
      <c r="E93" s="541">
        <v>44532</v>
      </c>
      <c r="F93" s="5"/>
    </row>
    <row r="94" spans="1:6" ht="15" x14ac:dyDescent="0.25">
      <c r="A94" s="5" t="s">
        <v>2478</v>
      </c>
      <c r="B94" s="243">
        <v>44515</v>
      </c>
      <c r="C94" s="3">
        <v>500000</v>
      </c>
      <c r="D94" s="542" t="s">
        <v>2479</v>
      </c>
      <c r="E94" s="541">
        <v>44532</v>
      </c>
      <c r="F94" s="5"/>
    </row>
    <row r="95" spans="1:6" ht="15" x14ac:dyDescent="0.25">
      <c r="A95" s="645" t="s">
        <v>2483</v>
      </c>
      <c r="B95" s="646">
        <v>44515</v>
      </c>
      <c r="C95" s="647">
        <v>17000000</v>
      </c>
      <c r="D95" s="649" t="s">
        <v>2603</v>
      </c>
      <c r="E95" s="648">
        <v>44533</v>
      </c>
      <c r="F95" s="738">
        <v>44537</v>
      </c>
    </row>
    <row r="96" spans="1:6" ht="15" x14ac:dyDescent="0.25">
      <c r="A96" s="652" t="s">
        <v>2484</v>
      </c>
      <c r="B96" s="654">
        <v>44515</v>
      </c>
      <c r="C96" s="276">
        <v>15000000</v>
      </c>
      <c r="D96" s="656" t="s">
        <v>2485</v>
      </c>
      <c r="E96" s="655">
        <v>44533</v>
      </c>
      <c r="F96" s="739">
        <v>44537</v>
      </c>
    </row>
    <row r="97" spans="1:11" ht="15" x14ac:dyDescent="0.25">
      <c r="A97" s="5" t="s">
        <v>2761</v>
      </c>
      <c r="B97" s="243">
        <v>44531</v>
      </c>
      <c r="C97" s="3">
        <v>7500000</v>
      </c>
      <c r="D97" s="542" t="s">
        <v>2762</v>
      </c>
      <c r="E97" s="541">
        <v>44533</v>
      </c>
      <c r="F97" s="5"/>
    </row>
    <row r="98" spans="1:11" ht="15" x14ac:dyDescent="0.25">
      <c r="A98" s="1079" t="s">
        <v>2523</v>
      </c>
      <c r="B98" s="1079"/>
      <c r="C98" s="1079"/>
      <c r="D98" s="1079"/>
      <c r="E98" s="1079"/>
      <c r="F98" s="419">
        <f>SUM(C92:C97)</f>
        <v>69500000</v>
      </c>
    </row>
    <row r="99" spans="1:11" ht="15" x14ac:dyDescent="0.25">
      <c r="A99" s="1079" t="s">
        <v>2874</v>
      </c>
      <c r="B99" s="1079"/>
      <c r="C99" s="1079"/>
      <c r="D99" s="1079"/>
      <c r="E99" s="1079"/>
      <c r="F99" s="419">
        <f>C92+C95+C96</f>
        <v>61000000</v>
      </c>
    </row>
    <row r="100" spans="1:11" ht="15" x14ac:dyDescent="0.25">
      <c r="E100" s="531"/>
    </row>
    <row r="101" spans="1:11" ht="21" x14ac:dyDescent="0.25">
      <c r="A101" s="1080" t="s">
        <v>2577</v>
      </c>
      <c r="B101" s="1080"/>
      <c r="C101" s="1080"/>
      <c r="D101" s="1080"/>
      <c r="E101" s="1080"/>
      <c r="F101" s="1080"/>
    </row>
    <row r="102" spans="1:11" ht="30" x14ac:dyDescent="0.25">
      <c r="A102" s="540" t="s">
        <v>2533</v>
      </c>
      <c r="B102" s="540" t="s">
        <v>2521</v>
      </c>
      <c r="C102" s="540" t="s">
        <v>2562</v>
      </c>
      <c r="D102" s="540" t="s">
        <v>2579</v>
      </c>
      <c r="E102" s="540" t="s">
        <v>2532</v>
      </c>
      <c r="F102" s="657"/>
    </row>
    <row r="103" spans="1:11" ht="15" x14ac:dyDescent="0.25">
      <c r="A103" s="48" t="s">
        <v>2838</v>
      </c>
      <c r="B103" s="636">
        <v>44502</v>
      </c>
      <c r="C103" s="637">
        <v>40950000</v>
      </c>
      <c r="D103" s="638" t="s">
        <v>2844</v>
      </c>
      <c r="E103" s="639">
        <v>44533</v>
      </c>
      <c r="F103" s="48"/>
      <c r="K103" s="16">
        <f>SUM(C103:C108)</f>
        <v>144650000</v>
      </c>
    </row>
    <row r="104" spans="1:11" ht="15" x14ac:dyDescent="0.25">
      <c r="A104" s="48" t="s">
        <v>2839</v>
      </c>
      <c r="B104" s="636">
        <v>44502</v>
      </c>
      <c r="C104" s="637">
        <v>36800000</v>
      </c>
      <c r="D104" s="638" t="s">
        <v>2844</v>
      </c>
      <c r="E104" s="639">
        <v>44533</v>
      </c>
      <c r="F104" s="48"/>
      <c r="K104" s="16">
        <f>SUM(C92)</f>
        <v>29000000</v>
      </c>
    </row>
    <row r="105" spans="1:11" ht="15" x14ac:dyDescent="0.25">
      <c r="A105" s="48" t="s">
        <v>2840</v>
      </c>
      <c r="B105" s="636">
        <v>44502</v>
      </c>
      <c r="C105" s="637">
        <v>12500000</v>
      </c>
      <c r="D105" s="640" t="s">
        <v>2845</v>
      </c>
      <c r="E105" s="639">
        <v>44533</v>
      </c>
      <c r="F105" s="48"/>
      <c r="K105" s="16">
        <f>K103-K104</f>
        <v>115650000</v>
      </c>
    </row>
    <row r="106" spans="1:11" ht="15" x14ac:dyDescent="0.25">
      <c r="A106" s="48" t="s">
        <v>2841</v>
      </c>
      <c r="B106" s="636">
        <v>44502</v>
      </c>
      <c r="C106" s="637">
        <v>38500000</v>
      </c>
      <c r="D106" s="640" t="s">
        <v>2845</v>
      </c>
      <c r="E106" s="639">
        <v>44533</v>
      </c>
      <c r="F106" s="48"/>
    </row>
    <row r="107" spans="1:11" ht="15" x14ac:dyDescent="0.25">
      <c r="A107" s="48" t="s">
        <v>2842</v>
      </c>
      <c r="B107" s="636">
        <v>44502</v>
      </c>
      <c r="C107" s="637">
        <v>11400000</v>
      </c>
      <c r="D107" s="640" t="s">
        <v>2836</v>
      </c>
      <c r="E107" s="639">
        <v>44533</v>
      </c>
      <c r="F107" s="48"/>
    </row>
    <row r="108" spans="1:11" ht="15" x14ac:dyDescent="0.25">
      <c r="A108" s="48" t="s">
        <v>2843</v>
      </c>
      <c r="B108" s="636">
        <v>44502</v>
      </c>
      <c r="C108" s="637">
        <v>4500000</v>
      </c>
      <c r="D108" s="637" t="s">
        <v>2836</v>
      </c>
      <c r="E108" s="639">
        <v>44533</v>
      </c>
      <c r="F108" s="48"/>
    </row>
    <row r="109" spans="1:11" ht="15" x14ac:dyDescent="0.25">
      <c r="A109" s="645" t="s">
        <v>2846</v>
      </c>
      <c r="B109" s="646">
        <v>44515</v>
      </c>
      <c r="C109" s="647">
        <v>20000000</v>
      </c>
      <c r="D109" s="647" t="s">
        <v>2847</v>
      </c>
      <c r="E109" s="648">
        <v>44533</v>
      </c>
      <c r="F109" s="645"/>
    </row>
    <row r="110" spans="1:11" ht="15" x14ac:dyDescent="0.25">
      <c r="A110" s="645" t="s">
        <v>2848</v>
      </c>
      <c r="B110" s="646">
        <v>44515</v>
      </c>
      <c r="C110" s="647">
        <v>13200000</v>
      </c>
      <c r="D110" s="647" t="s">
        <v>2847</v>
      </c>
      <c r="E110" s="648">
        <v>44533</v>
      </c>
      <c r="F110" s="645"/>
    </row>
    <row r="111" spans="1:11" ht="15" x14ac:dyDescent="0.25">
      <c r="A111" s="645" t="s">
        <v>2850</v>
      </c>
      <c r="B111" s="646">
        <v>44515</v>
      </c>
      <c r="C111" s="647">
        <v>72000000</v>
      </c>
      <c r="D111" s="647" t="s">
        <v>2849</v>
      </c>
      <c r="E111" s="648">
        <v>44533</v>
      </c>
      <c r="F111" s="645"/>
    </row>
    <row r="112" spans="1:11" ht="15" x14ac:dyDescent="0.25">
      <c r="A112" s="645" t="s">
        <v>2851</v>
      </c>
      <c r="B112" s="646">
        <v>44515</v>
      </c>
      <c r="C112" s="647">
        <v>72000000</v>
      </c>
      <c r="D112" s="647" t="s">
        <v>2849</v>
      </c>
      <c r="E112" s="648">
        <v>44533</v>
      </c>
      <c r="F112" s="645"/>
    </row>
    <row r="113" spans="1:11" ht="15" x14ac:dyDescent="0.25">
      <c r="A113" s="645" t="s">
        <v>2853</v>
      </c>
      <c r="B113" s="646">
        <v>44515</v>
      </c>
      <c r="C113" s="647">
        <v>20000000</v>
      </c>
      <c r="D113" s="647" t="s">
        <v>2852</v>
      </c>
      <c r="E113" s="648">
        <v>44533</v>
      </c>
      <c r="F113" s="645"/>
    </row>
    <row r="114" spans="1:11" ht="15" x14ac:dyDescent="0.25">
      <c r="A114" s="645" t="s">
        <v>2854</v>
      </c>
      <c r="B114" s="646">
        <v>44515</v>
      </c>
      <c r="C114" s="647">
        <v>15000000</v>
      </c>
      <c r="D114" s="647" t="s">
        <v>2852</v>
      </c>
      <c r="E114" s="648">
        <v>44533</v>
      </c>
      <c r="F114" s="645"/>
    </row>
    <row r="115" spans="1:11" ht="15" x14ac:dyDescent="0.25">
      <c r="A115" s="652" t="s">
        <v>2855</v>
      </c>
      <c r="B115" s="654">
        <v>44515</v>
      </c>
      <c r="C115" s="276">
        <v>25000000</v>
      </c>
      <c r="D115" s="276" t="s">
        <v>2856</v>
      </c>
      <c r="E115" s="655">
        <v>44533</v>
      </c>
      <c r="F115" s="652"/>
    </row>
    <row r="116" spans="1:11" ht="15" x14ac:dyDescent="0.25">
      <c r="A116" s="652" t="s">
        <v>2857</v>
      </c>
      <c r="B116" s="654">
        <v>44515</v>
      </c>
      <c r="C116" s="276">
        <v>3000000</v>
      </c>
      <c r="D116" s="276" t="s">
        <v>2856</v>
      </c>
      <c r="E116" s="655">
        <v>44533</v>
      </c>
      <c r="F116" s="652"/>
    </row>
    <row r="117" spans="1:11" ht="15" x14ac:dyDescent="0.25">
      <c r="A117" s="652" t="s">
        <v>2858</v>
      </c>
      <c r="B117" s="654">
        <v>44515</v>
      </c>
      <c r="C117" s="276">
        <v>8000000</v>
      </c>
      <c r="D117" s="276" t="s">
        <v>2859</v>
      </c>
      <c r="E117" s="655">
        <v>44533</v>
      </c>
      <c r="F117" s="652"/>
    </row>
    <row r="118" spans="1:11" ht="15" x14ac:dyDescent="0.25">
      <c r="A118" s="652" t="s">
        <v>2860</v>
      </c>
      <c r="B118" s="654">
        <v>44515</v>
      </c>
      <c r="C118" s="276">
        <v>12000000</v>
      </c>
      <c r="D118" s="276" t="s">
        <v>2859</v>
      </c>
      <c r="E118" s="655">
        <v>44533</v>
      </c>
      <c r="F118" s="652"/>
    </row>
    <row r="119" spans="1:11" ht="15" x14ac:dyDescent="0.25">
      <c r="A119" s="652" t="s">
        <v>2861</v>
      </c>
      <c r="B119" s="654">
        <v>44515</v>
      </c>
      <c r="C119" s="276">
        <v>13500000</v>
      </c>
      <c r="D119" s="276" t="s">
        <v>2862</v>
      </c>
      <c r="E119" s="655">
        <v>44533</v>
      </c>
      <c r="F119" s="652"/>
    </row>
    <row r="120" spans="1:11" ht="15" x14ac:dyDescent="0.25">
      <c r="A120" s="652" t="s">
        <v>2863</v>
      </c>
      <c r="B120" s="654">
        <v>44515</v>
      </c>
      <c r="C120" s="276">
        <v>12000000</v>
      </c>
      <c r="D120" s="276" t="s">
        <v>2862</v>
      </c>
      <c r="E120" s="655">
        <v>44533</v>
      </c>
      <c r="F120" s="652"/>
    </row>
    <row r="121" spans="1:11" ht="15" x14ac:dyDescent="0.25">
      <c r="A121" s="1010" t="s">
        <v>2534</v>
      </c>
      <c r="B121" s="1011"/>
      <c r="C121" s="1011"/>
      <c r="D121" s="1011"/>
      <c r="E121" s="1015"/>
      <c r="F121" s="419">
        <f>SUM(C103:C120)</f>
        <v>430350000</v>
      </c>
    </row>
    <row r="122" spans="1:11" ht="18.75" x14ac:dyDescent="0.25">
      <c r="A122" s="1084" t="s">
        <v>2595</v>
      </c>
      <c r="B122" s="1084"/>
      <c r="C122" s="1084"/>
      <c r="D122" s="1084"/>
      <c r="E122" s="1084"/>
      <c r="F122" s="543">
        <f>F121-F99</f>
        <v>369350000</v>
      </c>
      <c r="H122" s="16"/>
    </row>
    <row r="123" spans="1:11" ht="18.75" x14ac:dyDescent="0.25">
      <c r="A123" s="550"/>
      <c r="B123" s="550"/>
      <c r="C123" s="550"/>
      <c r="D123" s="550"/>
      <c r="E123" s="550"/>
      <c r="F123" s="551"/>
      <c r="H123" s="16"/>
    </row>
    <row r="124" spans="1:11" ht="18.75" x14ac:dyDescent="0.25">
      <c r="A124" s="1074" t="s">
        <v>2580</v>
      </c>
      <c r="B124" s="1074"/>
      <c r="C124" s="1074"/>
      <c r="D124" s="1074"/>
      <c r="E124" s="1074"/>
      <c r="F124" s="1074"/>
      <c r="H124" s="131"/>
    </row>
    <row r="125" spans="1:11" ht="15" x14ac:dyDescent="0.25">
      <c r="A125" s="622" t="s">
        <v>2581</v>
      </c>
      <c r="B125" s="540" t="s">
        <v>2582</v>
      </c>
      <c r="C125" s="160" t="s">
        <v>9</v>
      </c>
      <c r="D125" s="160" t="s">
        <v>2873</v>
      </c>
      <c r="E125" s="548" t="s">
        <v>2582</v>
      </c>
      <c r="F125" s="549"/>
      <c r="H125" s="327"/>
    </row>
    <row r="126" spans="1:11" ht="15" x14ac:dyDescent="0.25">
      <c r="A126" s="48" t="s">
        <v>2583</v>
      </c>
      <c r="B126" s="637">
        <v>3000000</v>
      </c>
      <c r="C126" s="1087" t="s">
        <v>2872</v>
      </c>
      <c r="D126" s="644">
        <v>44532</v>
      </c>
      <c r="E126" s="643">
        <v>3000000</v>
      </c>
      <c r="F126" s="642"/>
    </row>
    <row r="127" spans="1:11" ht="15" x14ac:dyDescent="0.25">
      <c r="A127" s="48" t="s">
        <v>2588</v>
      </c>
      <c r="B127" s="643">
        <v>7900000</v>
      </c>
      <c r="C127" s="1088"/>
      <c r="D127" s="644">
        <v>44532</v>
      </c>
      <c r="E127" s="643">
        <v>7900000</v>
      </c>
      <c r="F127" s="642"/>
    </row>
    <row r="128" spans="1:11" ht="15" x14ac:dyDescent="0.25">
      <c r="A128" s="48" t="s">
        <v>2583</v>
      </c>
      <c r="B128" s="643">
        <v>1000000</v>
      </c>
      <c r="C128" s="1085" t="s">
        <v>2867</v>
      </c>
      <c r="D128" s="644">
        <v>44532</v>
      </c>
      <c r="E128" s="643">
        <v>1000000</v>
      </c>
      <c r="F128" s="642"/>
      <c r="K128" t="s">
        <v>2836</v>
      </c>
    </row>
    <row r="129" spans="1:11" ht="15" x14ac:dyDescent="0.25">
      <c r="A129" s="48" t="s">
        <v>2588</v>
      </c>
      <c r="B129" s="643">
        <v>39000000</v>
      </c>
      <c r="C129" s="1086"/>
      <c r="D129" s="644">
        <v>44532</v>
      </c>
      <c r="E129" s="643">
        <v>29000000</v>
      </c>
      <c r="F129" s="642"/>
      <c r="K129" t="s">
        <v>2865</v>
      </c>
    </row>
    <row r="130" spans="1:11" ht="15" x14ac:dyDescent="0.25">
      <c r="A130" s="48" t="s">
        <v>2583</v>
      </c>
      <c r="B130" s="643">
        <v>1000000</v>
      </c>
      <c r="C130" s="1089" t="s">
        <v>2844</v>
      </c>
      <c r="D130" s="644">
        <v>44532</v>
      </c>
      <c r="E130" s="643">
        <v>1000000</v>
      </c>
      <c r="F130" s="642"/>
      <c r="K130" t="s">
        <v>2866</v>
      </c>
    </row>
    <row r="131" spans="1:11" ht="15" x14ac:dyDescent="0.25">
      <c r="A131" s="48" t="s">
        <v>2588</v>
      </c>
      <c r="B131" s="643">
        <v>63750000</v>
      </c>
      <c r="C131" s="1090"/>
      <c r="D131" s="644"/>
      <c r="E131" s="643"/>
      <c r="F131" s="642"/>
    </row>
    <row r="132" spans="1:11" ht="15" x14ac:dyDescent="0.25">
      <c r="A132" s="645" t="s">
        <v>2583</v>
      </c>
      <c r="B132" s="650">
        <v>20000000</v>
      </c>
      <c r="C132" s="1091" t="s">
        <v>2847</v>
      </c>
      <c r="D132" s="658"/>
      <c r="E132" s="650"/>
      <c r="F132" s="651"/>
      <c r="K132" t="s">
        <v>2867</v>
      </c>
    </row>
    <row r="133" spans="1:11" ht="15" x14ac:dyDescent="0.25">
      <c r="A133" s="645" t="s">
        <v>2588</v>
      </c>
      <c r="B133" s="650">
        <v>13200000</v>
      </c>
      <c r="C133" s="1092"/>
      <c r="D133" s="658"/>
      <c r="E133" s="650"/>
      <c r="F133" s="651"/>
      <c r="K133" t="s">
        <v>2868</v>
      </c>
    </row>
    <row r="134" spans="1:11" ht="15" x14ac:dyDescent="0.25">
      <c r="A134" s="645" t="s">
        <v>2583</v>
      </c>
      <c r="B134" s="650">
        <v>72000000</v>
      </c>
      <c r="C134" s="1093" t="s">
        <v>2849</v>
      </c>
      <c r="D134" s="658"/>
      <c r="E134" s="650"/>
      <c r="F134" s="651"/>
      <c r="K134" t="s">
        <v>2869</v>
      </c>
    </row>
    <row r="135" spans="1:11" ht="15" x14ac:dyDescent="0.25">
      <c r="A135" s="645" t="s">
        <v>2588</v>
      </c>
      <c r="B135" s="650">
        <v>72000000</v>
      </c>
      <c r="C135" s="1094"/>
      <c r="D135" s="658"/>
      <c r="E135" s="650"/>
      <c r="F135" s="651"/>
    </row>
    <row r="136" spans="1:11" ht="15" x14ac:dyDescent="0.25">
      <c r="A136" s="645" t="s">
        <v>2583</v>
      </c>
      <c r="B136" s="650">
        <v>20000000</v>
      </c>
      <c r="C136" s="1093" t="s">
        <v>2852</v>
      </c>
      <c r="D136" s="658"/>
      <c r="E136" s="650"/>
      <c r="F136" s="651"/>
      <c r="K136" t="s">
        <v>2870</v>
      </c>
    </row>
    <row r="137" spans="1:11" ht="15" x14ac:dyDescent="0.25">
      <c r="A137" s="645" t="s">
        <v>2588</v>
      </c>
      <c r="B137" s="650">
        <v>15000000</v>
      </c>
      <c r="C137" s="1094"/>
      <c r="D137" s="659"/>
      <c r="E137" s="647"/>
      <c r="F137" s="651"/>
      <c r="K137" t="s">
        <v>2868</v>
      </c>
    </row>
    <row r="138" spans="1:11" ht="15.75" customHeight="1" x14ac:dyDescent="0.25">
      <c r="A138" s="652" t="s">
        <v>2583</v>
      </c>
      <c r="B138" s="478">
        <v>25000000</v>
      </c>
      <c r="C138" s="1095" t="s">
        <v>2856</v>
      </c>
      <c r="D138" s="660"/>
      <c r="E138" s="276"/>
      <c r="F138" s="653"/>
      <c r="K138" t="s">
        <v>2871</v>
      </c>
    </row>
    <row r="139" spans="1:11" ht="15" x14ac:dyDescent="0.25">
      <c r="A139" s="652" t="s">
        <v>2588</v>
      </c>
      <c r="B139" s="478">
        <v>3000000</v>
      </c>
      <c r="C139" s="1096"/>
      <c r="D139" s="660"/>
      <c r="E139" s="276"/>
      <c r="F139" s="653"/>
    </row>
    <row r="140" spans="1:11" ht="15" x14ac:dyDescent="0.25">
      <c r="A140" s="652" t="s">
        <v>2583</v>
      </c>
      <c r="B140" s="478">
        <v>8000000</v>
      </c>
      <c r="C140" s="1097" t="s">
        <v>2859</v>
      </c>
      <c r="D140" s="660"/>
      <c r="E140" s="276"/>
      <c r="F140" s="653"/>
    </row>
    <row r="141" spans="1:11" ht="15" x14ac:dyDescent="0.25">
      <c r="A141" s="652" t="s">
        <v>2588</v>
      </c>
      <c r="B141" s="478">
        <v>12000000</v>
      </c>
      <c r="C141" s="1098"/>
      <c r="D141" s="660"/>
      <c r="E141" s="276"/>
      <c r="F141" s="653"/>
    </row>
    <row r="142" spans="1:11" ht="15" x14ac:dyDescent="0.25">
      <c r="A142" s="652" t="s">
        <v>2583</v>
      </c>
      <c r="B142" s="478">
        <v>13500000</v>
      </c>
      <c r="C142" s="1099" t="s">
        <v>2862</v>
      </c>
      <c r="D142" s="660"/>
      <c r="E142" s="276"/>
      <c r="F142" s="653"/>
    </row>
    <row r="143" spans="1:11" ht="15" x14ac:dyDescent="0.25">
      <c r="A143" s="652" t="s">
        <v>2588</v>
      </c>
      <c r="B143" s="478">
        <v>12000000</v>
      </c>
      <c r="C143" s="1100"/>
      <c r="D143" s="660"/>
      <c r="E143" s="276"/>
      <c r="F143" s="653"/>
    </row>
    <row r="144" spans="1:11" ht="18.75" x14ac:dyDescent="0.25">
      <c r="A144" s="1084" t="s">
        <v>2594</v>
      </c>
      <c r="B144" s="1084"/>
      <c r="C144" s="1084"/>
      <c r="D144" s="1084"/>
      <c r="E144" s="1084"/>
      <c r="F144" s="543">
        <f>SUM(E126:E143)</f>
        <v>41900000</v>
      </c>
    </row>
    <row r="145" spans="1:11" ht="18.75" x14ac:dyDescent="0.25">
      <c r="A145" s="1083" t="s">
        <v>2596</v>
      </c>
      <c r="B145" s="1083"/>
      <c r="C145" s="1083"/>
      <c r="D145" s="1083"/>
      <c r="E145" s="1083"/>
      <c r="F145" s="545">
        <f>F122-F144</f>
        <v>327450000</v>
      </c>
    </row>
    <row r="148" spans="1:11" ht="18.75" x14ac:dyDescent="0.25">
      <c r="A148" s="1078" t="s">
        <v>2864</v>
      </c>
      <c r="B148" s="1078"/>
      <c r="C148" s="1078"/>
      <c r="D148" s="1078"/>
      <c r="E148" s="1078"/>
      <c r="F148" s="1078"/>
    </row>
    <row r="149" spans="1:11" ht="18.75" x14ac:dyDescent="0.25">
      <c r="A149" s="1074" t="s">
        <v>2578</v>
      </c>
      <c r="B149" s="1074"/>
      <c r="C149" s="1074"/>
      <c r="D149" s="1074"/>
      <c r="E149" s="1074"/>
      <c r="F149" s="1074"/>
    </row>
    <row r="150" spans="1:11" ht="30" x14ac:dyDescent="0.25">
      <c r="A150" s="722" t="s">
        <v>2520</v>
      </c>
      <c r="B150" s="540" t="s">
        <v>2521</v>
      </c>
      <c r="C150" s="722" t="s">
        <v>2522</v>
      </c>
      <c r="D150" s="623" t="s">
        <v>2579</v>
      </c>
      <c r="E150" s="540" t="s">
        <v>2532</v>
      </c>
      <c r="F150" s="657" t="s">
        <v>3106</v>
      </c>
    </row>
    <row r="151" spans="1:11" ht="15" x14ac:dyDescent="0.25">
      <c r="A151" s="552" t="s">
        <v>2482</v>
      </c>
      <c r="B151" s="553">
        <v>44515</v>
      </c>
      <c r="C151" s="4">
        <v>18000000</v>
      </c>
      <c r="D151" s="135" t="s">
        <v>2602</v>
      </c>
      <c r="E151" s="554">
        <v>44537</v>
      </c>
      <c r="F151" s="552"/>
    </row>
    <row r="152" spans="1:11" ht="15" x14ac:dyDescent="0.25">
      <c r="A152" s="552" t="s">
        <v>2487</v>
      </c>
      <c r="B152" s="553">
        <v>44515</v>
      </c>
      <c r="C152" s="4">
        <v>15000000</v>
      </c>
      <c r="D152" s="135" t="s">
        <v>2488</v>
      </c>
      <c r="E152" s="554">
        <v>44537</v>
      </c>
      <c r="F152" s="552"/>
    </row>
    <row r="153" spans="1:11" ht="15" x14ac:dyDescent="0.25">
      <c r="A153" s="1079" t="s">
        <v>3090</v>
      </c>
      <c r="B153" s="1079"/>
      <c r="C153" s="1079"/>
      <c r="D153" s="1079"/>
      <c r="E153" s="1079"/>
      <c r="F153" s="419">
        <f>SUM(C151:C152)</f>
        <v>33000000</v>
      </c>
    </row>
    <row r="154" spans="1:11" ht="15" x14ac:dyDescent="0.25">
      <c r="A154" s="729"/>
      <c r="B154" s="729"/>
      <c r="C154" s="729"/>
      <c r="D154" s="729"/>
      <c r="E154" s="729"/>
      <c r="F154" s="730"/>
    </row>
    <row r="155" spans="1:11" ht="30" customHeight="1" x14ac:dyDescent="0.25">
      <c r="A155" s="1080" t="s">
        <v>2577</v>
      </c>
      <c r="B155" s="1080"/>
      <c r="C155" s="1080"/>
      <c r="D155" s="1080"/>
      <c r="E155" s="1080"/>
      <c r="F155" s="1080"/>
    </row>
    <row r="156" spans="1:11" ht="29.25" customHeight="1" x14ac:dyDescent="0.25">
      <c r="A156" s="540" t="s">
        <v>2533</v>
      </c>
      <c r="B156" s="540" t="s">
        <v>2521</v>
      </c>
      <c r="C156" s="540" t="s">
        <v>2562</v>
      </c>
      <c r="D156" s="540" t="s">
        <v>2579</v>
      </c>
      <c r="E156" s="540" t="s">
        <v>2532</v>
      </c>
      <c r="F156" s="657"/>
    </row>
    <row r="157" spans="1:11" ht="15.75" customHeight="1" x14ac:dyDescent="0.25">
      <c r="A157" s="552" t="s">
        <v>3067</v>
      </c>
      <c r="B157" s="553">
        <v>44515</v>
      </c>
      <c r="C157" s="732">
        <v>3000000</v>
      </c>
      <c r="D157" s="731" t="s">
        <v>3068</v>
      </c>
      <c r="E157" s="554">
        <v>44537</v>
      </c>
      <c r="F157" s="552"/>
      <c r="K157" s="16">
        <f>SUM(C157:C162)</f>
        <v>39800000</v>
      </c>
    </row>
    <row r="158" spans="1:11" ht="15.75" customHeight="1" x14ac:dyDescent="0.25">
      <c r="A158" s="552" t="s">
        <v>3069</v>
      </c>
      <c r="B158" s="553">
        <v>44515</v>
      </c>
      <c r="C158" s="732">
        <v>3000000</v>
      </c>
      <c r="D158" s="731" t="s">
        <v>3068</v>
      </c>
      <c r="E158" s="554">
        <v>44537</v>
      </c>
      <c r="F158" s="552"/>
      <c r="K158" s="16">
        <f>SUM(C139)</f>
        <v>0</v>
      </c>
    </row>
    <row r="159" spans="1:11" ht="15.75" customHeight="1" x14ac:dyDescent="0.25">
      <c r="A159" s="552" t="s">
        <v>3070</v>
      </c>
      <c r="B159" s="553">
        <v>44515</v>
      </c>
      <c r="C159" s="732">
        <v>7000000</v>
      </c>
      <c r="D159" s="290" t="s">
        <v>3071</v>
      </c>
      <c r="E159" s="554">
        <v>44537</v>
      </c>
      <c r="F159" s="552"/>
      <c r="K159" s="16">
        <f>K157-K158</f>
        <v>39800000</v>
      </c>
    </row>
    <row r="160" spans="1:11" ht="15.75" customHeight="1" x14ac:dyDescent="0.25">
      <c r="A160" s="552" t="s">
        <v>3072</v>
      </c>
      <c r="B160" s="553">
        <v>44515</v>
      </c>
      <c r="C160" s="732">
        <v>10800000</v>
      </c>
      <c r="D160" s="290" t="s">
        <v>3071</v>
      </c>
      <c r="E160" s="554">
        <v>44537</v>
      </c>
      <c r="F160" s="552"/>
    </row>
    <row r="161" spans="1:10" ht="15.75" customHeight="1" x14ac:dyDescent="0.25">
      <c r="A161" s="552" t="s">
        <v>3073</v>
      </c>
      <c r="B161" s="553">
        <v>44515</v>
      </c>
      <c r="C161" s="732">
        <v>4000000</v>
      </c>
      <c r="D161" s="290" t="s">
        <v>3074</v>
      </c>
      <c r="E161" s="554">
        <v>44537</v>
      </c>
      <c r="F161" s="552"/>
    </row>
    <row r="162" spans="1:10" ht="15.75" customHeight="1" x14ac:dyDescent="0.25">
      <c r="A162" s="552" t="s">
        <v>3075</v>
      </c>
      <c r="B162" s="553">
        <v>44515</v>
      </c>
      <c r="C162" s="732">
        <v>12000000</v>
      </c>
      <c r="D162" s="4" t="s">
        <v>3074</v>
      </c>
      <c r="E162" s="554">
        <v>44537</v>
      </c>
      <c r="F162" s="552"/>
    </row>
    <row r="163" spans="1:10" ht="15.75" customHeight="1" x14ac:dyDescent="0.25">
      <c r="A163" s="552" t="s">
        <v>3076</v>
      </c>
      <c r="B163" s="553">
        <v>44515</v>
      </c>
      <c r="C163" s="732">
        <v>6600000</v>
      </c>
      <c r="D163" s="4" t="s">
        <v>2481</v>
      </c>
      <c r="E163" s="554">
        <v>44537</v>
      </c>
      <c r="F163" s="552"/>
    </row>
    <row r="164" spans="1:10" ht="15.75" customHeight="1" x14ac:dyDescent="0.25">
      <c r="A164" s="552" t="s">
        <v>3077</v>
      </c>
      <c r="B164" s="553">
        <v>44515</v>
      </c>
      <c r="C164" s="732">
        <v>9000000</v>
      </c>
      <c r="D164" s="4" t="s">
        <v>2481</v>
      </c>
      <c r="E164" s="554">
        <v>44537</v>
      </c>
      <c r="F164" s="552"/>
    </row>
    <row r="165" spans="1:10" ht="15.75" customHeight="1" x14ac:dyDescent="0.25">
      <c r="A165" s="552" t="s">
        <v>3078</v>
      </c>
      <c r="B165" s="553">
        <v>44515</v>
      </c>
      <c r="C165" s="732">
        <v>6800000</v>
      </c>
      <c r="D165" s="4" t="s">
        <v>730</v>
      </c>
      <c r="E165" s="554">
        <v>44537</v>
      </c>
      <c r="F165" s="552"/>
    </row>
    <row r="166" spans="1:10" ht="15.75" customHeight="1" x14ac:dyDescent="0.25">
      <c r="A166" s="552" t="s">
        <v>3079</v>
      </c>
      <c r="B166" s="553">
        <v>44515</v>
      </c>
      <c r="C166" s="732">
        <v>1000000</v>
      </c>
      <c r="D166" s="4" t="s">
        <v>3080</v>
      </c>
      <c r="E166" s="554">
        <v>44537</v>
      </c>
      <c r="F166" s="552"/>
    </row>
    <row r="167" spans="1:10" ht="15.75" customHeight="1" x14ac:dyDescent="0.25">
      <c r="A167" s="552" t="s">
        <v>3081</v>
      </c>
      <c r="B167" s="553">
        <v>44515</v>
      </c>
      <c r="C167" s="732">
        <v>1000000</v>
      </c>
      <c r="D167" s="4" t="s">
        <v>3080</v>
      </c>
      <c r="E167" s="554">
        <v>44537</v>
      </c>
      <c r="F167" s="552"/>
    </row>
    <row r="168" spans="1:10" ht="15.75" customHeight="1" x14ac:dyDescent="0.25">
      <c r="A168" s="552" t="s">
        <v>3082</v>
      </c>
      <c r="B168" s="553">
        <v>44515</v>
      </c>
      <c r="C168" s="732">
        <v>9800000</v>
      </c>
      <c r="D168" s="4" t="s">
        <v>3083</v>
      </c>
      <c r="E168" s="554">
        <v>44536</v>
      </c>
      <c r="F168" s="552"/>
    </row>
    <row r="169" spans="1:10" ht="15.75" customHeight="1" x14ac:dyDescent="0.25">
      <c r="A169" s="552" t="s">
        <v>3084</v>
      </c>
      <c r="B169" s="553">
        <v>44515</v>
      </c>
      <c r="C169" s="732">
        <v>15000000</v>
      </c>
      <c r="D169" s="4" t="s">
        <v>3083</v>
      </c>
      <c r="E169" s="554">
        <v>44536</v>
      </c>
      <c r="F169" s="552"/>
    </row>
    <row r="170" spans="1:10" ht="15.75" customHeight="1" x14ac:dyDescent="0.25">
      <c r="A170" s="552" t="s">
        <v>3085</v>
      </c>
      <c r="B170" s="553">
        <v>44515</v>
      </c>
      <c r="C170" s="732">
        <v>12500000</v>
      </c>
      <c r="D170" s="4" t="s">
        <v>25</v>
      </c>
      <c r="E170" s="554">
        <v>44536</v>
      </c>
      <c r="F170" s="552"/>
    </row>
    <row r="171" spans="1:10" ht="15.75" customHeight="1" x14ac:dyDescent="0.25">
      <c r="A171" s="552" t="s">
        <v>3086</v>
      </c>
      <c r="B171" s="553">
        <v>44515</v>
      </c>
      <c r="C171" s="732">
        <v>9000000</v>
      </c>
      <c r="D171" s="4" t="s">
        <v>25</v>
      </c>
      <c r="E171" s="554">
        <v>44536</v>
      </c>
      <c r="F171" s="552"/>
      <c r="J171" t="s">
        <v>3102</v>
      </c>
    </row>
    <row r="172" spans="1:10" ht="15.75" customHeight="1" x14ac:dyDescent="0.25">
      <c r="A172" s="552" t="s">
        <v>3087</v>
      </c>
      <c r="B172" s="553">
        <v>44515</v>
      </c>
      <c r="C172" s="732">
        <v>12000000</v>
      </c>
      <c r="D172" s="4" t="s">
        <v>3088</v>
      </c>
      <c r="E172" s="554">
        <v>44536</v>
      </c>
      <c r="F172" s="552"/>
      <c r="J172" t="s">
        <v>3103</v>
      </c>
    </row>
    <row r="173" spans="1:10" ht="15.75" customHeight="1" x14ac:dyDescent="0.25">
      <c r="A173" s="552" t="s">
        <v>3089</v>
      </c>
      <c r="B173" s="553">
        <v>44515</v>
      </c>
      <c r="C173" s="732">
        <v>15000000</v>
      </c>
      <c r="D173" s="4" t="s">
        <v>3088</v>
      </c>
      <c r="E173" s="554">
        <v>44536</v>
      </c>
      <c r="F173" s="552"/>
      <c r="J173" t="s">
        <v>3104</v>
      </c>
    </row>
    <row r="174" spans="1:10" ht="22.5" customHeight="1" x14ac:dyDescent="0.25">
      <c r="A174" s="1010" t="s">
        <v>2534</v>
      </c>
      <c r="B174" s="1011"/>
      <c r="C174" s="1011"/>
      <c r="D174" s="1011"/>
      <c r="E174" s="1015"/>
      <c r="F174" s="419">
        <f>SUM(C157:C173)</f>
        <v>137500000</v>
      </c>
    </row>
    <row r="175" spans="1:10" ht="27.75" customHeight="1" x14ac:dyDescent="0.25">
      <c r="A175" s="1084" t="s">
        <v>2595</v>
      </c>
      <c r="B175" s="1084"/>
      <c r="C175" s="1084"/>
      <c r="D175" s="1084"/>
      <c r="E175" s="1084"/>
      <c r="F175" s="543">
        <f>F174-F146</f>
        <v>137500000</v>
      </c>
      <c r="H175" s="16"/>
      <c r="J175" t="s">
        <v>163</v>
      </c>
    </row>
    <row r="176" spans="1:10" ht="15.75" customHeight="1" x14ac:dyDescent="0.25">
      <c r="A176" s="550"/>
      <c r="B176" s="550"/>
      <c r="C176" s="550"/>
      <c r="D176" s="550"/>
      <c r="E176" s="550"/>
      <c r="F176" s="551"/>
      <c r="H176" s="16"/>
      <c r="J176" t="s">
        <v>2865</v>
      </c>
    </row>
    <row r="177" spans="1:10" ht="27" customHeight="1" x14ac:dyDescent="0.25">
      <c r="A177" s="1074" t="s">
        <v>2580</v>
      </c>
      <c r="B177" s="1074"/>
      <c r="C177" s="1074"/>
      <c r="D177" s="1074"/>
      <c r="E177" s="1074"/>
      <c r="F177" s="1074"/>
      <c r="H177" s="131"/>
      <c r="J177" t="s">
        <v>3105</v>
      </c>
    </row>
    <row r="178" spans="1:10" ht="32.25" customHeight="1" x14ac:dyDescent="0.25">
      <c r="A178" s="722" t="s">
        <v>2581</v>
      </c>
      <c r="B178" s="540" t="s">
        <v>2582</v>
      </c>
      <c r="C178" s="160" t="s">
        <v>9</v>
      </c>
      <c r="D178" s="160" t="s">
        <v>2873</v>
      </c>
      <c r="E178" s="548" t="s">
        <v>2582</v>
      </c>
      <c r="F178" s="549"/>
      <c r="H178" s="327"/>
      <c r="J178" t="s">
        <v>3088</v>
      </c>
    </row>
    <row r="179" spans="1:10" ht="15.75" customHeight="1" x14ac:dyDescent="0.25">
      <c r="A179" s="552" t="s">
        <v>3100</v>
      </c>
      <c r="B179" s="4">
        <v>22000000</v>
      </c>
      <c r="C179" s="742" t="s">
        <v>3088</v>
      </c>
      <c r="D179" s="733">
        <v>44539</v>
      </c>
      <c r="E179" s="28">
        <v>22000000</v>
      </c>
      <c r="F179" s="734"/>
      <c r="J179" t="s">
        <v>3091</v>
      </c>
    </row>
    <row r="180" spans="1:10" ht="15.75" customHeight="1" x14ac:dyDescent="0.25">
      <c r="A180" s="552" t="s">
        <v>3101</v>
      </c>
      <c r="B180" s="28">
        <v>1500000</v>
      </c>
      <c r="C180" s="1072" t="s">
        <v>3068</v>
      </c>
      <c r="D180" s="733">
        <v>44539</v>
      </c>
      <c r="E180" s="28">
        <v>1500000</v>
      </c>
      <c r="F180" s="734"/>
      <c r="J180" t="s">
        <v>3068</v>
      </c>
    </row>
    <row r="181" spans="1:10" ht="15.75" customHeight="1" x14ac:dyDescent="0.25">
      <c r="A181" s="552" t="s">
        <v>3100</v>
      </c>
      <c r="B181" s="28">
        <v>2500000</v>
      </c>
      <c r="C181" s="1073"/>
      <c r="D181" s="733">
        <v>44539</v>
      </c>
      <c r="E181" s="28">
        <v>2500000</v>
      </c>
      <c r="F181" s="734"/>
      <c r="J181" t="s">
        <v>3092</v>
      </c>
    </row>
    <row r="182" spans="1:10" ht="15.75" customHeight="1" x14ac:dyDescent="0.25">
      <c r="A182" s="552" t="s">
        <v>3101</v>
      </c>
      <c r="B182" s="28">
        <v>6000000</v>
      </c>
      <c r="C182" s="1072" t="s">
        <v>3094</v>
      </c>
      <c r="D182" s="733">
        <v>44539</v>
      </c>
      <c r="E182" s="28">
        <v>6000000</v>
      </c>
      <c r="F182" s="734"/>
      <c r="J182" t="s">
        <v>3093</v>
      </c>
    </row>
    <row r="183" spans="1:10" ht="15.75" customHeight="1" x14ac:dyDescent="0.25">
      <c r="A183" s="552" t="s">
        <v>3100</v>
      </c>
      <c r="B183" s="28">
        <v>3800000</v>
      </c>
      <c r="C183" s="1073"/>
      <c r="D183" s="733">
        <v>44539</v>
      </c>
      <c r="E183" s="28">
        <v>3800000</v>
      </c>
      <c r="F183" s="734"/>
      <c r="J183" t="s">
        <v>3094</v>
      </c>
    </row>
    <row r="184" spans="1:10" ht="15.75" customHeight="1" x14ac:dyDescent="0.25">
      <c r="A184" s="552" t="s">
        <v>3101</v>
      </c>
      <c r="B184" s="28">
        <v>1000000</v>
      </c>
      <c r="C184" s="980" t="s">
        <v>2963</v>
      </c>
      <c r="D184" s="733">
        <v>44541</v>
      </c>
      <c r="E184" s="28">
        <v>1000000</v>
      </c>
      <c r="F184" s="734"/>
      <c r="J184" t="s">
        <v>3095</v>
      </c>
    </row>
    <row r="185" spans="1:10" ht="15.75" customHeight="1" x14ac:dyDescent="0.25">
      <c r="A185" s="552" t="s">
        <v>3100</v>
      </c>
      <c r="B185" s="28">
        <v>14000000</v>
      </c>
      <c r="C185" s="982"/>
      <c r="D185" s="733">
        <v>44541</v>
      </c>
      <c r="E185" s="28">
        <v>14000000</v>
      </c>
      <c r="F185" s="734"/>
      <c r="J185" t="s">
        <v>3096</v>
      </c>
    </row>
    <row r="186" spans="1:10" ht="15.75" customHeight="1" x14ac:dyDescent="0.25">
      <c r="A186" s="552" t="s">
        <v>3101</v>
      </c>
      <c r="B186" s="28">
        <v>1000000</v>
      </c>
      <c r="C186" s="980" t="s">
        <v>730</v>
      </c>
      <c r="D186" s="733">
        <v>44541</v>
      </c>
      <c r="E186" s="28">
        <v>1000000</v>
      </c>
      <c r="F186" s="734"/>
      <c r="J186" t="s">
        <v>2868</v>
      </c>
    </row>
    <row r="187" spans="1:10" ht="15.75" customHeight="1" x14ac:dyDescent="0.25">
      <c r="A187" s="552" t="s">
        <v>3100</v>
      </c>
      <c r="B187" s="28">
        <v>4000000</v>
      </c>
      <c r="C187" s="982"/>
      <c r="D187" s="733">
        <v>44541</v>
      </c>
      <c r="E187" s="28">
        <v>4000000</v>
      </c>
      <c r="F187" s="734"/>
      <c r="J187" t="s">
        <v>3097</v>
      </c>
    </row>
    <row r="188" spans="1:10" ht="15.75" customHeight="1" x14ac:dyDescent="0.25">
      <c r="A188" s="552" t="s">
        <v>3100</v>
      </c>
      <c r="B188" s="28">
        <v>1000000</v>
      </c>
      <c r="C188" s="727" t="s">
        <v>3080</v>
      </c>
      <c r="D188" s="733">
        <v>44541</v>
      </c>
      <c r="E188" s="28">
        <v>1000000</v>
      </c>
      <c r="F188" s="734"/>
      <c r="J188" t="s">
        <v>3080</v>
      </c>
    </row>
    <row r="189" spans="1:10" ht="15.75" customHeight="1" x14ac:dyDescent="0.25">
      <c r="A189" s="552" t="s">
        <v>3101</v>
      </c>
      <c r="B189" s="28">
        <v>1000000</v>
      </c>
      <c r="C189" s="980" t="s">
        <v>2481</v>
      </c>
      <c r="D189" s="733">
        <v>44541</v>
      </c>
      <c r="E189" s="28">
        <v>1000000</v>
      </c>
      <c r="F189" s="734"/>
      <c r="J189" t="s">
        <v>3098</v>
      </c>
    </row>
    <row r="190" spans="1:10" ht="15.75" customHeight="1" x14ac:dyDescent="0.25">
      <c r="A190" s="552" t="s">
        <v>3100</v>
      </c>
      <c r="B190" s="28">
        <v>9600000</v>
      </c>
      <c r="C190" s="982"/>
      <c r="D190" s="733">
        <v>44541</v>
      </c>
      <c r="E190" s="4">
        <v>9600000</v>
      </c>
      <c r="F190" s="734"/>
      <c r="J190" t="s">
        <v>2481</v>
      </c>
    </row>
    <row r="191" spans="1:10" ht="15.75" customHeight="1" x14ac:dyDescent="0.25">
      <c r="A191" s="552" t="s">
        <v>3101</v>
      </c>
      <c r="B191" s="28">
        <v>2500000</v>
      </c>
      <c r="C191" s="980" t="s">
        <v>3083</v>
      </c>
      <c r="D191" s="733">
        <v>44538</v>
      </c>
      <c r="E191" s="28">
        <v>2500000</v>
      </c>
      <c r="F191" s="734"/>
      <c r="J191" t="s">
        <v>2868</v>
      </c>
    </row>
    <row r="192" spans="1:10" ht="15.75" customHeight="1" x14ac:dyDescent="0.25">
      <c r="A192" s="552" t="s">
        <v>3100</v>
      </c>
      <c r="B192" s="28">
        <v>17300000</v>
      </c>
      <c r="C192" s="982"/>
      <c r="D192" s="733">
        <v>44538</v>
      </c>
      <c r="E192" s="4">
        <v>17300000</v>
      </c>
      <c r="F192" s="734"/>
      <c r="J192" t="s">
        <v>3099</v>
      </c>
    </row>
    <row r="193" spans="1:6" ht="15.75" customHeight="1" x14ac:dyDescent="0.25">
      <c r="A193" s="552" t="s">
        <v>3101</v>
      </c>
      <c r="B193" s="28">
        <v>3000000</v>
      </c>
      <c r="C193" s="980" t="s">
        <v>163</v>
      </c>
      <c r="D193" s="733">
        <v>44538</v>
      </c>
      <c r="E193" s="28">
        <v>3000000</v>
      </c>
      <c r="F193" s="734"/>
    </row>
    <row r="194" spans="1:6" ht="15.75" customHeight="1" x14ac:dyDescent="0.25">
      <c r="A194" s="552" t="s">
        <v>3100</v>
      </c>
      <c r="B194" s="28">
        <v>13500000</v>
      </c>
      <c r="C194" s="982"/>
      <c r="D194" s="733">
        <v>44538</v>
      </c>
      <c r="E194" s="4">
        <v>13500000</v>
      </c>
      <c r="F194" s="734"/>
    </row>
    <row r="195" spans="1:6" ht="29.25" customHeight="1" x14ac:dyDescent="0.25">
      <c r="A195" s="1084" t="s">
        <v>2594</v>
      </c>
      <c r="B195" s="1084"/>
      <c r="C195" s="1084"/>
      <c r="D195" s="1084"/>
      <c r="E195" s="1084"/>
      <c r="F195" s="543">
        <f>SUM(E179:E194)</f>
        <v>103700000</v>
      </c>
    </row>
    <row r="196" spans="1:6" ht="23.25" customHeight="1" x14ac:dyDescent="0.25">
      <c r="A196" s="1083" t="s">
        <v>2596</v>
      </c>
      <c r="B196" s="1083"/>
      <c r="C196" s="1083"/>
      <c r="D196" s="1083"/>
      <c r="E196" s="1083"/>
      <c r="F196" s="545">
        <f>F175-F195</f>
        <v>33800000</v>
      </c>
    </row>
    <row r="205" spans="1:6" ht="10.5" customHeight="1" x14ac:dyDescent="0.25">
      <c r="B205" s="130"/>
      <c r="C205" s="131"/>
      <c r="D205" s="131"/>
      <c r="E205" s="531"/>
    </row>
  </sheetData>
  <mergeCells count="48">
    <mergeCell ref="A175:E175"/>
    <mergeCell ref="A177:F177"/>
    <mergeCell ref="A148:F148"/>
    <mergeCell ref="A149:F149"/>
    <mergeCell ref="A153:E153"/>
    <mergeCell ref="A155:F155"/>
    <mergeCell ref="A174:E174"/>
    <mergeCell ref="A195:E195"/>
    <mergeCell ref="A196:E196"/>
    <mergeCell ref="C189:C190"/>
    <mergeCell ref="C180:C181"/>
    <mergeCell ref="C182:C183"/>
    <mergeCell ref="C184:C185"/>
    <mergeCell ref="C186:C187"/>
    <mergeCell ref="C191:C192"/>
    <mergeCell ref="C193:C194"/>
    <mergeCell ref="A145:E145"/>
    <mergeCell ref="A121:E121"/>
    <mergeCell ref="A61:E61"/>
    <mergeCell ref="C128:C129"/>
    <mergeCell ref="C126:C127"/>
    <mergeCell ref="C130:C131"/>
    <mergeCell ref="C132:C133"/>
    <mergeCell ref="C134:C135"/>
    <mergeCell ref="C136:C137"/>
    <mergeCell ref="C138:C139"/>
    <mergeCell ref="C140:C141"/>
    <mergeCell ref="C142:C143"/>
    <mergeCell ref="A99:E99"/>
    <mergeCell ref="A122:E122"/>
    <mergeCell ref="A124:F124"/>
    <mergeCell ref="A144:E144"/>
    <mergeCell ref="A89:F89"/>
    <mergeCell ref="A90:F90"/>
    <mergeCell ref="A98:E98"/>
    <mergeCell ref="A101:F101"/>
    <mergeCell ref="A6:E6"/>
    <mergeCell ref="A17:E17"/>
    <mergeCell ref="A33:E33"/>
    <mergeCell ref="A43:E43"/>
    <mergeCell ref="A87:E87"/>
    <mergeCell ref="A16:E16"/>
    <mergeCell ref="A86:E86"/>
    <mergeCell ref="A45:F45"/>
    <mergeCell ref="A37:F37"/>
    <mergeCell ref="A64:F64"/>
    <mergeCell ref="A62:E62"/>
    <mergeCell ref="A36:F36"/>
  </mergeCells>
  <printOptions horizontalCentered="1"/>
  <pageMargins left="0.31496062992125984" right="0.31496062992125984" top="0" bottom="0" header="0.31496062992125984" footer="0.31496062992125984"/>
  <pageSetup paperSize="9" scale="75" orientation="portrait" horizontalDpi="4294967293"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filterMode="1"/>
  <dimension ref="A2:AM585"/>
  <sheetViews>
    <sheetView showGridLines="0" zoomScale="84" zoomScaleNormal="84" workbookViewId="0">
      <selection activeCell="I90" sqref="I90"/>
    </sheetView>
  </sheetViews>
  <sheetFormatPr defaultRowHeight="15" x14ac:dyDescent="0.25"/>
  <cols>
    <col min="1" max="1" width="5.5703125" customWidth="1"/>
    <col min="2" max="2" width="14.28515625" style="8" customWidth="1"/>
    <col min="3" max="3" width="9.28515625" hidden="1" customWidth="1"/>
    <col min="4" max="4" width="31.140625" customWidth="1"/>
    <col min="5" max="5" width="21" customWidth="1"/>
    <col min="6" max="6" width="13.5703125" style="9" customWidth="1"/>
    <col min="7" max="7" width="17.85546875" customWidth="1"/>
    <col min="8" max="8" width="13.140625" customWidth="1"/>
    <col min="9" max="12" width="17.28515625" style="11" customWidth="1"/>
    <col min="13" max="13" width="14.42578125" style="11" bestFit="1" customWidth="1"/>
    <col min="14" max="14" width="16.42578125" style="11" customWidth="1"/>
    <col min="15" max="15" width="12.7109375" style="11" customWidth="1"/>
    <col min="17" max="17" width="11.5703125" bestFit="1" customWidth="1"/>
    <col min="18" max="18" width="13.5703125" customWidth="1"/>
    <col min="19" max="19" width="10" customWidth="1"/>
  </cols>
  <sheetData>
    <row r="2" spans="1:30" ht="71.25" customHeight="1" x14ac:dyDescent="0.25">
      <c r="A2" s="252" t="s">
        <v>6</v>
      </c>
      <c r="B2" s="250" t="s">
        <v>0</v>
      </c>
      <c r="C2" s="251" t="s">
        <v>7</v>
      </c>
      <c r="D2" s="252" t="s">
        <v>8</v>
      </c>
      <c r="E2" s="252" t="s">
        <v>9</v>
      </c>
      <c r="F2" s="253" t="s">
        <v>10</v>
      </c>
      <c r="G2" s="252" t="s">
        <v>11</v>
      </c>
      <c r="H2" s="254" t="s">
        <v>138</v>
      </c>
      <c r="I2" s="255" t="s">
        <v>49</v>
      </c>
      <c r="J2" s="256" t="s">
        <v>1</v>
      </c>
      <c r="K2" s="256" t="s">
        <v>185</v>
      </c>
      <c r="L2" s="256" t="s">
        <v>548</v>
      </c>
      <c r="M2" s="256" t="s">
        <v>40</v>
      </c>
      <c r="N2" s="257" t="s">
        <v>2</v>
      </c>
      <c r="O2" s="258" t="s">
        <v>374</v>
      </c>
      <c r="P2" s="259" t="s">
        <v>403</v>
      </c>
      <c r="Q2" s="260" t="s">
        <v>815</v>
      </c>
      <c r="R2" s="261" t="s">
        <v>816</v>
      </c>
      <c r="S2" s="262" t="s">
        <v>817</v>
      </c>
    </row>
    <row r="3" spans="1:30" s="10" customFormat="1" hidden="1" x14ac:dyDescent="0.25">
      <c r="A3" s="127">
        <v>1</v>
      </c>
      <c r="B3" s="244">
        <v>44210</v>
      </c>
      <c r="C3" s="78">
        <v>400867</v>
      </c>
      <c r="D3" s="23" t="s">
        <v>279</v>
      </c>
      <c r="E3" s="6" t="s">
        <v>17</v>
      </c>
      <c r="F3" s="101">
        <v>2244000</v>
      </c>
      <c r="G3" s="127" t="s">
        <v>229</v>
      </c>
      <c r="H3" s="25">
        <v>44215</v>
      </c>
      <c r="I3" s="4">
        <v>2244000</v>
      </c>
      <c r="J3" s="28"/>
      <c r="K3" s="28"/>
      <c r="L3" s="28"/>
      <c r="M3" s="28">
        <v>2244000</v>
      </c>
      <c r="N3" s="4">
        <f t="shared" ref="N3:N30" si="0">I3-J3-M3</f>
        <v>0</v>
      </c>
      <c r="O3" s="242" t="s">
        <v>298</v>
      </c>
      <c r="P3" s="223"/>
      <c r="Q3" s="225">
        <v>44267</v>
      </c>
      <c r="R3" s="226" t="e">
        <f>Q3-O3</f>
        <v>#VALUE!</v>
      </c>
      <c r="S3" s="226">
        <f>Q3-B3</f>
        <v>57</v>
      </c>
      <c r="T3"/>
      <c r="U3"/>
      <c r="V3"/>
      <c r="W3"/>
      <c r="X3"/>
      <c r="Y3"/>
      <c r="Z3"/>
      <c r="AA3"/>
      <c r="AB3"/>
      <c r="AC3"/>
      <c r="AD3"/>
    </row>
    <row r="4" spans="1:30" s="10" customFormat="1" hidden="1" x14ac:dyDescent="0.25">
      <c r="A4" s="127">
        <f>A3+1</f>
        <v>2</v>
      </c>
      <c r="B4" s="244">
        <v>44215</v>
      </c>
      <c r="C4" s="78">
        <v>401573</v>
      </c>
      <c r="D4" s="23" t="s">
        <v>279</v>
      </c>
      <c r="E4" s="6" t="s">
        <v>232</v>
      </c>
      <c r="F4" s="101">
        <v>2000000</v>
      </c>
      <c r="G4" s="127" t="s">
        <v>233</v>
      </c>
      <c r="H4" s="25">
        <v>44219</v>
      </c>
      <c r="I4" s="4">
        <v>2000000</v>
      </c>
      <c r="J4" s="28"/>
      <c r="K4" s="28"/>
      <c r="L4" s="28"/>
      <c r="M4" s="28">
        <v>2000000</v>
      </c>
      <c r="N4" s="4">
        <f t="shared" si="0"/>
        <v>0</v>
      </c>
      <c r="O4" s="242" t="s">
        <v>377</v>
      </c>
      <c r="P4" s="221"/>
      <c r="Q4" s="225">
        <v>44267</v>
      </c>
      <c r="R4" s="226" t="e">
        <f>Q4O4</f>
        <v>#NAME?</v>
      </c>
      <c r="S4" s="226">
        <f t="shared" ref="S4:S45" si="1">Q4-B4</f>
        <v>52</v>
      </c>
      <c r="T4"/>
      <c r="U4"/>
      <c r="V4"/>
      <c r="W4"/>
      <c r="X4"/>
      <c r="Y4"/>
      <c r="Z4"/>
      <c r="AA4"/>
      <c r="AB4"/>
      <c r="AC4"/>
      <c r="AD4"/>
    </row>
    <row r="5" spans="1:30" s="10" customFormat="1" ht="15.75" hidden="1" x14ac:dyDescent="0.25">
      <c r="A5" s="127">
        <f t="shared" ref="A5:A69" si="2">A4+1</f>
        <v>3</v>
      </c>
      <c r="B5" s="76">
        <v>44218</v>
      </c>
      <c r="C5" s="58"/>
      <c r="D5" s="23" t="s">
        <v>279</v>
      </c>
      <c r="E5" s="6" t="s">
        <v>29</v>
      </c>
      <c r="F5" s="101">
        <v>2300000</v>
      </c>
      <c r="G5" s="127" t="s">
        <v>236</v>
      </c>
      <c r="H5" s="25">
        <v>44219</v>
      </c>
      <c r="I5" s="4">
        <v>2300000</v>
      </c>
      <c r="J5" s="28"/>
      <c r="K5" s="28"/>
      <c r="L5" s="28"/>
      <c r="M5" s="28">
        <v>2300000</v>
      </c>
      <c r="N5" s="4">
        <f t="shared" si="0"/>
        <v>0</v>
      </c>
      <c r="O5" s="242" t="s">
        <v>377</v>
      </c>
      <c r="P5" s="221"/>
      <c r="Q5" s="225">
        <v>44267</v>
      </c>
      <c r="R5" s="226">
        <f t="shared" ref="R5:R8" si="3">Q5-O5</f>
        <v>-22</v>
      </c>
      <c r="S5" s="226">
        <f t="shared" si="1"/>
        <v>49</v>
      </c>
      <c r="T5"/>
      <c r="U5"/>
      <c r="V5"/>
      <c r="W5"/>
      <c r="X5"/>
      <c r="Y5"/>
      <c r="Z5"/>
      <c r="AA5"/>
      <c r="AB5"/>
      <c r="AC5"/>
      <c r="AD5"/>
    </row>
    <row r="6" spans="1:30" s="10" customFormat="1" hidden="1" x14ac:dyDescent="0.25">
      <c r="A6" s="127">
        <f t="shared" si="2"/>
        <v>4</v>
      </c>
      <c r="B6" s="245">
        <v>44223</v>
      </c>
      <c r="C6" s="84" t="s">
        <v>250</v>
      </c>
      <c r="D6" s="23" t="s">
        <v>279</v>
      </c>
      <c r="E6" s="6" t="s">
        <v>35</v>
      </c>
      <c r="F6" s="101">
        <v>2300000</v>
      </c>
      <c r="G6" s="127" t="s">
        <v>251</v>
      </c>
      <c r="H6" s="25">
        <v>44226</v>
      </c>
      <c r="I6" s="4">
        <v>2300000</v>
      </c>
      <c r="J6" s="28"/>
      <c r="K6" s="28"/>
      <c r="L6" s="28"/>
      <c r="M6" s="28">
        <v>2300000</v>
      </c>
      <c r="N6" s="4">
        <f t="shared" si="0"/>
        <v>0</v>
      </c>
      <c r="O6" s="242" t="s">
        <v>377</v>
      </c>
      <c r="P6" s="221"/>
      <c r="Q6" s="225">
        <v>44267</v>
      </c>
      <c r="R6" s="226">
        <f t="shared" si="3"/>
        <v>-22</v>
      </c>
      <c r="S6" s="226">
        <f t="shared" si="1"/>
        <v>44</v>
      </c>
      <c r="T6"/>
      <c r="U6"/>
      <c r="V6"/>
      <c r="W6"/>
      <c r="X6"/>
      <c r="Y6"/>
      <c r="Z6"/>
      <c r="AA6"/>
      <c r="AB6"/>
      <c r="AC6"/>
      <c r="AD6"/>
    </row>
    <row r="7" spans="1:30" s="10" customFormat="1" ht="15.75" hidden="1" x14ac:dyDescent="0.25">
      <c r="A7" s="127">
        <f t="shared" si="2"/>
        <v>5</v>
      </c>
      <c r="B7" s="245">
        <v>44225</v>
      </c>
      <c r="C7" s="58"/>
      <c r="D7" s="23" t="s">
        <v>279</v>
      </c>
      <c r="E7" s="6" t="s">
        <v>29</v>
      </c>
      <c r="F7" s="101">
        <v>2100000</v>
      </c>
      <c r="G7" s="127" t="s">
        <v>257</v>
      </c>
      <c r="H7" s="25">
        <v>44228</v>
      </c>
      <c r="I7" s="4">
        <v>2100000</v>
      </c>
      <c r="J7" s="28"/>
      <c r="K7" s="28"/>
      <c r="L7" s="28"/>
      <c r="M7" s="28">
        <v>2100000</v>
      </c>
      <c r="N7" s="4">
        <f t="shared" si="0"/>
        <v>0</v>
      </c>
      <c r="O7" s="242" t="s">
        <v>377</v>
      </c>
      <c r="P7" s="222"/>
      <c r="Q7" s="225">
        <v>44267</v>
      </c>
      <c r="R7" s="226">
        <f t="shared" si="3"/>
        <v>-22</v>
      </c>
      <c r="S7" s="226">
        <f t="shared" si="1"/>
        <v>42</v>
      </c>
      <c r="T7"/>
      <c r="U7"/>
      <c r="V7"/>
      <c r="W7"/>
      <c r="X7"/>
      <c r="Y7"/>
      <c r="Z7"/>
      <c r="AA7"/>
      <c r="AB7"/>
      <c r="AC7"/>
      <c r="AD7"/>
    </row>
    <row r="8" spans="1:30" s="10" customFormat="1" hidden="1" x14ac:dyDescent="0.25">
      <c r="A8" s="127">
        <f t="shared" si="2"/>
        <v>6</v>
      </c>
      <c r="B8" s="245">
        <v>44231</v>
      </c>
      <c r="C8" s="55"/>
      <c r="D8" s="23" t="s">
        <v>279</v>
      </c>
      <c r="E8" s="6" t="s">
        <v>232</v>
      </c>
      <c r="F8" s="101">
        <v>2100000</v>
      </c>
      <c r="G8" s="127" t="s">
        <v>287</v>
      </c>
      <c r="H8" s="25">
        <v>44238</v>
      </c>
      <c r="I8" s="4">
        <v>2100000</v>
      </c>
      <c r="J8" s="28"/>
      <c r="K8" s="28"/>
      <c r="L8" s="28"/>
      <c r="M8" s="28">
        <v>2100000</v>
      </c>
      <c r="N8" s="4">
        <f t="shared" si="0"/>
        <v>0</v>
      </c>
      <c r="O8" s="242" t="s">
        <v>376</v>
      </c>
      <c r="P8" s="1104" t="s">
        <v>404</v>
      </c>
      <c r="Q8" s="225">
        <v>44287</v>
      </c>
      <c r="R8" s="226">
        <f t="shared" si="3"/>
        <v>-216</v>
      </c>
      <c r="S8" s="226">
        <f t="shared" si="1"/>
        <v>56</v>
      </c>
      <c r="T8"/>
      <c r="U8"/>
      <c r="V8"/>
      <c r="W8"/>
      <c r="X8"/>
      <c r="Y8"/>
      <c r="Z8"/>
      <c r="AA8"/>
      <c r="AB8"/>
      <c r="AC8"/>
      <c r="AD8"/>
    </row>
    <row r="9" spans="1:30" s="10" customFormat="1" hidden="1" x14ac:dyDescent="0.25">
      <c r="A9" s="127">
        <f t="shared" si="2"/>
        <v>7</v>
      </c>
      <c r="B9" s="245">
        <v>44236</v>
      </c>
      <c r="C9" s="115" t="s">
        <v>305</v>
      </c>
      <c r="D9" s="23" t="s">
        <v>279</v>
      </c>
      <c r="E9" s="6" t="s">
        <v>306</v>
      </c>
      <c r="F9" s="101">
        <v>1500000</v>
      </c>
      <c r="G9" s="127" t="s">
        <v>307</v>
      </c>
      <c r="H9" s="25">
        <v>44238</v>
      </c>
      <c r="I9" s="4">
        <v>1500000</v>
      </c>
      <c r="J9" s="28"/>
      <c r="K9" s="28"/>
      <c r="L9" s="28"/>
      <c r="M9" s="28">
        <v>1500000</v>
      </c>
      <c r="N9" s="4">
        <f t="shared" si="0"/>
        <v>0</v>
      </c>
      <c r="O9" s="242" t="s">
        <v>376</v>
      </c>
      <c r="P9" s="1102"/>
      <c r="Q9" s="225">
        <v>44287</v>
      </c>
      <c r="R9" s="226" t="s">
        <v>818</v>
      </c>
      <c r="S9" s="226">
        <f t="shared" si="1"/>
        <v>51</v>
      </c>
      <c r="T9"/>
      <c r="U9"/>
      <c r="V9"/>
      <c r="W9"/>
      <c r="X9"/>
      <c r="Y9"/>
      <c r="Z9"/>
      <c r="AA9"/>
      <c r="AB9"/>
      <c r="AC9"/>
      <c r="AD9"/>
    </row>
    <row r="10" spans="1:30" s="10" customFormat="1" hidden="1" x14ac:dyDescent="0.25">
      <c r="A10" s="127">
        <f t="shared" si="2"/>
        <v>8</v>
      </c>
      <c r="B10" s="76">
        <v>44257</v>
      </c>
      <c r="C10" s="115"/>
      <c r="D10" s="23" t="s">
        <v>279</v>
      </c>
      <c r="E10" s="6" t="s">
        <v>232</v>
      </c>
      <c r="F10" s="101">
        <v>2200000</v>
      </c>
      <c r="G10" s="127" t="s">
        <v>282</v>
      </c>
      <c r="H10" s="25">
        <v>44238</v>
      </c>
      <c r="I10" s="4">
        <v>2200000</v>
      </c>
      <c r="J10" s="28"/>
      <c r="K10" s="28"/>
      <c r="L10" s="28"/>
      <c r="M10" s="28">
        <v>2200000</v>
      </c>
      <c r="N10" s="4">
        <f t="shared" si="0"/>
        <v>0</v>
      </c>
      <c r="O10" s="242" t="s">
        <v>376</v>
      </c>
      <c r="P10" s="1103"/>
      <c r="Q10" s="225">
        <v>44287</v>
      </c>
      <c r="R10" s="226">
        <f>Q10-O10</f>
        <v>-216</v>
      </c>
      <c r="S10" s="226">
        <f t="shared" si="1"/>
        <v>30</v>
      </c>
      <c r="T10"/>
      <c r="U10"/>
      <c r="V10"/>
      <c r="W10"/>
      <c r="X10"/>
      <c r="Y10"/>
      <c r="Z10"/>
      <c r="AA10"/>
      <c r="AB10"/>
      <c r="AC10"/>
      <c r="AD10"/>
    </row>
    <row r="11" spans="1:30" s="10" customFormat="1" hidden="1" x14ac:dyDescent="0.25">
      <c r="A11" s="127">
        <f t="shared" si="2"/>
        <v>9</v>
      </c>
      <c r="B11" s="245">
        <v>44237</v>
      </c>
      <c r="C11" s="115" t="s">
        <v>310</v>
      </c>
      <c r="D11" s="23" t="s">
        <v>279</v>
      </c>
      <c r="E11" s="6" t="s">
        <v>232</v>
      </c>
      <c r="F11" s="101">
        <v>2100000</v>
      </c>
      <c r="G11" s="127" t="s">
        <v>311</v>
      </c>
      <c r="H11" s="25">
        <v>44244</v>
      </c>
      <c r="I11" s="4">
        <v>2100000</v>
      </c>
      <c r="J11" s="28"/>
      <c r="K11" s="28"/>
      <c r="L11" s="28"/>
      <c r="M11" s="28">
        <v>2100000</v>
      </c>
      <c r="N11" s="4">
        <f t="shared" si="0"/>
        <v>0</v>
      </c>
      <c r="O11" s="242" t="s">
        <v>378</v>
      </c>
      <c r="P11" s="1104" t="s">
        <v>405</v>
      </c>
      <c r="Q11" s="225">
        <v>44287</v>
      </c>
      <c r="R11" s="226" t="e">
        <f t="shared" ref="R11:R45" si="4">Q11-O11</f>
        <v>#VALUE!</v>
      </c>
      <c r="S11" s="226">
        <f t="shared" si="1"/>
        <v>50</v>
      </c>
      <c r="T11"/>
      <c r="U11"/>
      <c r="V11"/>
      <c r="W11"/>
      <c r="X11"/>
      <c r="Y11"/>
      <c r="Z11"/>
      <c r="AA11"/>
      <c r="AB11"/>
      <c r="AC11"/>
      <c r="AD11"/>
    </row>
    <row r="12" spans="1:30" s="10" customFormat="1" ht="15.75" hidden="1" x14ac:dyDescent="0.25">
      <c r="A12" s="127">
        <f t="shared" si="2"/>
        <v>10</v>
      </c>
      <c r="B12" s="245">
        <v>44257</v>
      </c>
      <c r="C12" s="58"/>
      <c r="D12" s="23" t="s">
        <v>279</v>
      </c>
      <c r="E12" s="6" t="s">
        <v>285</v>
      </c>
      <c r="F12" s="101">
        <v>3900000</v>
      </c>
      <c r="G12" s="127" t="s">
        <v>286</v>
      </c>
      <c r="H12" s="25">
        <v>44244</v>
      </c>
      <c r="I12" s="4">
        <v>3900000</v>
      </c>
      <c r="J12" s="28"/>
      <c r="K12" s="28"/>
      <c r="L12" s="28"/>
      <c r="M12" s="28">
        <v>3900000</v>
      </c>
      <c r="N12" s="4">
        <f t="shared" si="0"/>
        <v>0</v>
      </c>
      <c r="O12" s="242" t="s">
        <v>378</v>
      </c>
      <c r="P12" s="1102"/>
      <c r="Q12" s="225">
        <v>44287</v>
      </c>
      <c r="R12" s="226" t="e">
        <f t="shared" si="4"/>
        <v>#VALUE!</v>
      </c>
      <c r="S12" s="226">
        <f t="shared" si="1"/>
        <v>30</v>
      </c>
      <c r="T12"/>
      <c r="U12"/>
      <c r="V12"/>
      <c r="W12"/>
      <c r="X12"/>
      <c r="Y12"/>
      <c r="Z12"/>
      <c r="AA12"/>
      <c r="AB12"/>
      <c r="AC12"/>
      <c r="AD12"/>
    </row>
    <row r="13" spans="1:30" s="10" customFormat="1" ht="15.75" hidden="1" x14ac:dyDescent="0.25">
      <c r="A13" s="127">
        <f t="shared" si="2"/>
        <v>11</v>
      </c>
      <c r="B13" s="245">
        <v>44257</v>
      </c>
      <c r="C13" s="58"/>
      <c r="D13" s="23" t="s">
        <v>279</v>
      </c>
      <c r="E13" s="6" t="s">
        <v>283</v>
      </c>
      <c r="F13" s="101">
        <v>3800000</v>
      </c>
      <c r="G13" s="127" t="s">
        <v>284</v>
      </c>
      <c r="H13" s="25">
        <v>44244</v>
      </c>
      <c r="I13" s="4">
        <v>3800000</v>
      </c>
      <c r="J13" s="28"/>
      <c r="K13" s="28"/>
      <c r="L13" s="28"/>
      <c r="M13" s="28">
        <v>3800000</v>
      </c>
      <c r="N13" s="4">
        <f t="shared" si="0"/>
        <v>0</v>
      </c>
      <c r="O13" s="242" t="s">
        <v>378</v>
      </c>
      <c r="P13" s="1102"/>
      <c r="Q13" s="225">
        <v>44287</v>
      </c>
      <c r="R13" s="226" t="e">
        <f t="shared" si="4"/>
        <v>#VALUE!</v>
      </c>
      <c r="S13" s="226">
        <f t="shared" si="1"/>
        <v>30</v>
      </c>
      <c r="T13"/>
      <c r="U13"/>
      <c r="V13"/>
      <c r="W13"/>
      <c r="X13"/>
      <c r="Y13"/>
      <c r="Z13"/>
      <c r="AA13"/>
      <c r="AB13"/>
      <c r="AC13"/>
      <c r="AD13"/>
    </row>
    <row r="14" spans="1:30" s="10" customFormat="1" hidden="1" x14ac:dyDescent="0.25">
      <c r="A14" s="127">
        <f t="shared" si="2"/>
        <v>12</v>
      </c>
      <c r="B14" s="245" t="s">
        <v>294</v>
      </c>
      <c r="C14" s="118" t="s">
        <v>314</v>
      </c>
      <c r="D14" s="23" t="s">
        <v>279</v>
      </c>
      <c r="E14" s="6" t="s">
        <v>315</v>
      </c>
      <c r="F14" s="101">
        <v>2200000</v>
      </c>
      <c r="G14" s="127" t="s">
        <v>316</v>
      </c>
      <c r="H14" s="25">
        <v>44245</v>
      </c>
      <c r="I14" s="4">
        <v>2200000</v>
      </c>
      <c r="J14" s="28"/>
      <c r="K14" s="28"/>
      <c r="L14" s="28"/>
      <c r="M14" s="28">
        <v>2200000</v>
      </c>
      <c r="N14" s="4">
        <f t="shared" si="0"/>
        <v>0</v>
      </c>
      <c r="O14" s="242" t="s">
        <v>378</v>
      </c>
      <c r="P14" s="1102"/>
      <c r="Q14" s="225">
        <v>44287</v>
      </c>
      <c r="R14" s="226" t="e">
        <f t="shared" si="4"/>
        <v>#VALUE!</v>
      </c>
      <c r="S14" s="226" t="e">
        <f t="shared" si="1"/>
        <v>#VALUE!</v>
      </c>
      <c r="T14"/>
      <c r="U14"/>
      <c r="V14"/>
      <c r="W14"/>
      <c r="X14"/>
      <c r="Y14"/>
      <c r="Z14"/>
      <c r="AA14"/>
      <c r="AB14"/>
      <c r="AC14"/>
      <c r="AD14"/>
    </row>
    <row r="15" spans="1:30" s="10" customFormat="1" hidden="1" x14ac:dyDescent="0.25">
      <c r="A15" s="127">
        <f t="shared" si="2"/>
        <v>13</v>
      </c>
      <c r="B15" s="245" t="s">
        <v>317</v>
      </c>
      <c r="C15" s="115" t="s">
        <v>318</v>
      </c>
      <c r="D15" s="23" t="s">
        <v>279</v>
      </c>
      <c r="E15" s="6" t="s">
        <v>319</v>
      </c>
      <c r="F15" s="101">
        <v>1300000</v>
      </c>
      <c r="G15" s="127" t="s">
        <v>320</v>
      </c>
      <c r="H15" s="25">
        <v>44245</v>
      </c>
      <c r="I15" s="4">
        <v>1300000</v>
      </c>
      <c r="J15" s="28"/>
      <c r="K15" s="28"/>
      <c r="L15" s="28"/>
      <c r="M15" s="28">
        <v>1300000</v>
      </c>
      <c r="N15" s="4">
        <f t="shared" si="0"/>
        <v>0</v>
      </c>
      <c r="O15" s="242" t="s">
        <v>378</v>
      </c>
      <c r="P15" s="1103"/>
      <c r="Q15" s="225">
        <v>44287</v>
      </c>
      <c r="R15" s="226" t="e">
        <f t="shared" si="4"/>
        <v>#VALUE!</v>
      </c>
      <c r="S15" s="226" t="e">
        <f t="shared" si="1"/>
        <v>#VALUE!</v>
      </c>
      <c r="T15"/>
      <c r="U15"/>
      <c r="V15"/>
      <c r="W15"/>
      <c r="X15"/>
      <c r="Y15"/>
      <c r="Z15"/>
      <c r="AA15"/>
      <c r="AB15"/>
      <c r="AC15"/>
      <c r="AD15"/>
    </row>
    <row r="16" spans="1:30" s="10" customFormat="1" ht="15.75" hidden="1" x14ac:dyDescent="0.25">
      <c r="A16" s="127">
        <f t="shared" si="2"/>
        <v>14</v>
      </c>
      <c r="B16" s="76" t="s">
        <v>324</v>
      </c>
      <c r="C16" s="58"/>
      <c r="D16" s="23" t="s">
        <v>279</v>
      </c>
      <c r="E16" s="6" t="s">
        <v>315</v>
      </c>
      <c r="F16" s="101">
        <v>2100000</v>
      </c>
      <c r="G16" s="127" t="s">
        <v>336</v>
      </c>
      <c r="H16" s="25">
        <v>44251</v>
      </c>
      <c r="I16" s="4">
        <v>2100000</v>
      </c>
      <c r="J16" s="28"/>
      <c r="K16" s="28"/>
      <c r="L16" s="28"/>
      <c r="M16" s="28">
        <v>2100000</v>
      </c>
      <c r="N16" s="4">
        <f t="shared" si="0"/>
        <v>0</v>
      </c>
      <c r="O16" s="242" t="s">
        <v>375</v>
      </c>
      <c r="P16" s="1104" t="s">
        <v>406</v>
      </c>
      <c r="Q16" s="225">
        <v>44287</v>
      </c>
      <c r="R16" s="226" t="e">
        <f t="shared" si="4"/>
        <v>#VALUE!</v>
      </c>
      <c r="S16" s="226" t="e">
        <f t="shared" si="1"/>
        <v>#VALUE!</v>
      </c>
      <c r="T16"/>
      <c r="U16"/>
      <c r="V16"/>
      <c r="W16"/>
      <c r="X16"/>
      <c r="Y16"/>
      <c r="Z16"/>
      <c r="AA16"/>
      <c r="AB16"/>
      <c r="AC16"/>
      <c r="AD16"/>
    </row>
    <row r="17" spans="1:30" s="10" customFormat="1" ht="15.75" hidden="1" x14ac:dyDescent="0.25">
      <c r="A17" s="127">
        <f t="shared" si="2"/>
        <v>15</v>
      </c>
      <c r="B17" s="245" t="s">
        <v>294</v>
      </c>
      <c r="C17" s="58"/>
      <c r="D17" s="23" t="s">
        <v>279</v>
      </c>
      <c r="E17" s="6" t="s">
        <v>319</v>
      </c>
      <c r="F17" s="101">
        <v>1500000</v>
      </c>
      <c r="G17" s="127" t="s">
        <v>337</v>
      </c>
      <c r="H17" s="25">
        <v>44251</v>
      </c>
      <c r="I17" s="4">
        <v>1500000</v>
      </c>
      <c r="J17" s="28"/>
      <c r="K17" s="28"/>
      <c r="L17" s="28"/>
      <c r="M17" s="28">
        <v>1500000</v>
      </c>
      <c r="N17" s="4">
        <f t="shared" si="0"/>
        <v>0</v>
      </c>
      <c r="O17" s="242" t="s">
        <v>375</v>
      </c>
      <c r="P17" s="1102"/>
      <c r="Q17" s="225">
        <v>44287</v>
      </c>
      <c r="R17" s="226" t="e">
        <f t="shared" si="4"/>
        <v>#VALUE!</v>
      </c>
      <c r="S17" s="226" t="e">
        <f t="shared" si="1"/>
        <v>#VALUE!</v>
      </c>
      <c r="T17"/>
      <c r="U17"/>
      <c r="V17"/>
      <c r="W17"/>
      <c r="X17"/>
      <c r="Y17"/>
      <c r="Z17"/>
      <c r="AA17"/>
      <c r="AB17"/>
      <c r="AC17"/>
      <c r="AD17"/>
    </row>
    <row r="18" spans="1:30" s="10" customFormat="1" hidden="1" x14ac:dyDescent="0.25">
      <c r="A18" s="127">
        <f t="shared" si="2"/>
        <v>16</v>
      </c>
      <c r="B18" s="244" t="s">
        <v>330</v>
      </c>
      <c r="C18" s="117" t="s">
        <v>338</v>
      </c>
      <c r="D18" s="23" t="s">
        <v>279</v>
      </c>
      <c r="E18" s="6" t="s">
        <v>319</v>
      </c>
      <c r="F18" s="101">
        <v>1500000</v>
      </c>
      <c r="G18" s="127" t="s">
        <v>339</v>
      </c>
      <c r="H18" s="25">
        <v>44252</v>
      </c>
      <c r="I18" s="4">
        <v>1500000</v>
      </c>
      <c r="J18" s="28"/>
      <c r="K18" s="28"/>
      <c r="L18" s="28"/>
      <c r="M18" s="28">
        <v>1500000</v>
      </c>
      <c r="N18" s="4">
        <f t="shared" si="0"/>
        <v>0</v>
      </c>
      <c r="O18" s="242" t="s">
        <v>375</v>
      </c>
      <c r="P18" s="1103"/>
      <c r="Q18" s="225">
        <v>44287</v>
      </c>
      <c r="R18" s="226" t="e">
        <f t="shared" si="4"/>
        <v>#VALUE!</v>
      </c>
      <c r="S18" s="226" t="e">
        <f t="shared" si="1"/>
        <v>#VALUE!</v>
      </c>
      <c r="T18"/>
      <c r="U18"/>
      <c r="V18"/>
      <c r="W18"/>
      <c r="X18"/>
      <c r="Y18"/>
      <c r="Z18"/>
      <c r="AA18"/>
      <c r="AB18"/>
      <c r="AC18"/>
      <c r="AD18"/>
    </row>
    <row r="19" spans="1:30" s="10" customFormat="1" hidden="1" x14ac:dyDescent="0.25">
      <c r="A19" s="127">
        <f t="shared" si="2"/>
        <v>17</v>
      </c>
      <c r="B19" s="76" t="s">
        <v>321</v>
      </c>
      <c r="C19" s="115"/>
      <c r="D19" s="23" t="s">
        <v>279</v>
      </c>
      <c r="E19" s="6" t="s">
        <v>133</v>
      </c>
      <c r="F19" s="101">
        <v>3050000</v>
      </c>
      <c r="G19" s="127" t="s">
        <v>345</v>
      </c>
      <c r="H19" s="25">
        <v>44256</v>
      </c>
      <c r="I19" s="4">
        <v>3050000</v>
      </c>
      <c r="J19" s="28"/>
      <c r="K19" s="28"/>
      <c r="L19" s="28"/>
      <c r="M19" s="28">
        <v>3050000</v>
      </c>
      <c r="N19" s="4">
        <f t="shared" si="0"/>
        <v>0</v>
      </c>
      <c r="O19" s="242" t="s">
        <v>550</v>
      </c>
      <c r="P19" s="1104" t="s">
        <v>555</v>
      </c>
      <c r="Q19" s="238">
        <v>44309</v>
      </c>
      <c r="R19" s="226">
        <f t="shared" si="4"/>
        <v>-103</v>
      </c>
      <c r="S19" s="226" t="e">
        <f t="shared" si="1"/>
        <v>#VALUE!</v>
      </c>
      <c r="T19"/>
      <c r="U19"/>
      <c r="V19"/>
      <c r="W19"/>
      <c r="X19"/>
      <c r="Y19"/>
      <c r="Z19"/>
      <c r="AA19"/>
      <c r="AB19"/>
      <c r="AC19"/>
      <c r="AD19"/>
    </row>
    <row r="20" spans="1:30" s="10" customFormat="1" ht="15.75" hidden="1" x14ac:dyDescent="0.25">
      <c r="A20" s="127">
        <f t="shared" si="2"/>
        <v>18</v>
      </c>
      <c r="B20" s="76" t="s">
        <v>321</v>
      </c>
      <c r="C20" s="58"/>
      <c r="D20" s="23" t="s">
        <v>279</v>
      </c>
      <c r="E20" s="6" t="s">
        <v>326</v>
      </c>
      <c r="F20" s="101">
        <v>3900000</v>
      </c>
      <c r="G20" s="127" t="s">
        <v>346</v>
      </c>
      <c r="H20" s="25">
        <v>44256</v>
      </c>
      <c r="I20" s="4">
        <f>F20</f>
        <v>3900000</v>
      </c>
      <c r="J20" s="28"/>
      <c r="K20" s="28"/>
      <c r="L20" s="28"/>
      <c r="M20" s="28">
        <v>3900000</v>
      </c>
      <c r="N20" s="4">
        <f t="shared" si="0"/>
        <v>0</v>
      </c>
      <c r="O20" s="242" t="s">
        <v>550</v>
      </c>
      <c r="P20" s="1102"/>
      <c r="Q20" s="238">
        <v>44309</v>
      </c>
      <c r="R20" s="226">
        <f t="shared" si="4"/>
        <v>-103</v>
      </c>
      <c r="S20" s="226" t="e">
        <f t="shared" si="1"/>
        <v>#VALUE!</v>
      </c>
      <c r="T20"/>
      <c r="U20"/>
      <c r="V20"/>
      <c r="W20"/>
      <c r="X20"/>
      <c r="Y20"/>
      <c r="Z20"/>
      <c r="AA20"/>
      <c r="AB20"/>
      <c r="AC20"/>
      <c r="AD20"/>
    </row>
    <row r="21" spans="1:30" s="10" customFormat="1" hidden="1" x14ac:dyDescent="0.25">
      <c r="A21" s="127">
        <f t="shared" si="2"/>
        <v>19</v>
      </c>
      <c r="B21" s="246" t="s">
        <v>278</v>
      </c>
      <c r="C21" s="115"/>
      <c r="D21" s="23" t="s">
        <v>279</v>
      </c>
      <c r="E21" s="6" t="s">
        <v>281</v>
      </c>
      <c r="F21" s="101">
        <v>10020000</v>
      </c>
      <c r="G21" s="127" t="s">
        <v>280</v>
      </c>
      <c r="H21" s="25">
        <v>44256</v>
      </c>
      <c r="I21" s="4">
        <v>10020000</v>
      </c>
      <c r="J21" s="28"/>
      <c r="K21" s="28"/>
      <c r="L21" s="28"/>
      <c r="M21" s="28">
        <v>10020000</v>
      </c>
      <c r="N21" s="4">
        <f t="shared" si="0"/>
        <v>0</v>
      </c>
      <c r="O21" s="242" t="s">
        <v>550</v>
      </c>
      <c r="P21" s="1103"/>
      <c r="Q21" s="238">
        <v>44309</v>
      </c>
      <c r="R21" s="226">
        <f t="shared" si="4"/>
        <v>-103</v>
      </c>
      <c r="S21" s="226" t="e">
        <f t="shared" si="1"/>
        <v>#VALUE!</v>
      </c>
      <c r="T21"/>
      <c r="U21"/>
      <c r="V21"/>
      <c r="W21"/>
      <c r="X21"/>
      <c r="Y21"/>
      <c r="Z21"/>
      <c r="AA21"/>
      <c r="AB21"/>
      <c r="AC21"/>
      <c r="AD21"/>
    </row>
    <row r="22" spans="1:30" s="10" customFormat="1" hidden="1" x14ac:dyDescent="0.25">
      <c r="A22" s="139">
        <f t="shared" si="2"/>
        <v>20</v>
      </c>
      <c r="B22" s="246">
        <v>44268</v>
      </c>
      <c r="C22" s="115"/>
      <c r="D22" s="23" t="s">
        <v>412</v>
      </c>
      <c r="E22" s="6" t="s">
        <v>413</v>
      </c>
      <c r="F22" s="101">
        <v>2079207.9</v>
      </c>
      <c r="G22" s="129" t="s">
        <v>411</v>
      </c>
      <c r="H22" s="25">
        <v>44273</v>
      </c>
      <c r="I22" s="4">
        <f t="shared" ref="I22:I46" si="5">F22</f>
        <v>2079207.9</v>
      </c>
      <c r="J22" s="28"/>
      <c r="K22" s="28">
        <f>I22*1%</f>
        <v>20792.078999999998</v>
      </c>
      <c r="L22" s="28">
        <f>I22*2%</f>
        <v>41584.157999999996</v>
      </c>
      <c r="M22" s="28">
        <v>2058415.8209999998</v>
      </c>
      <c r="N22" s="4">
        <f>I22+K22-L22-M22</f>
        <v>0</v>
      </c>
      <c r="O22" s="242" t="s">
        <v>549</v>
      </c>
      <c r="P22" s="1104" t="s">
        <v>556</v>
      </c>
      <c r="Q22" s="225">
        <v>44319</v>
      </c>
      <c r="R22" s="226" t="e">
        <f t="shared" si="4"/>
        <v>#VALUE!</v>
      </c>
      <c r="S22" s="226">
        <f t="shared" si="1"/>
        <v>51</v>
      </c>
      <c r="T22"/>
      <c r="U22"/>
      <c r="V22"/>
      <c r="W22"/>
      <c r="X22"/>
      <c r="Y22"/>
      <c r="Z22"/>
      <c r="AA22"/>
      <c r="AB22"/>
      <c r="AC22"/>
      <c r="AD22"/>
    </row>
    <row r="23" spans="1:30" s="10" customFormat="1" hidden="1" x14ac:dyDescent="0.25">
      <c r="A23" s="139">
        <f t="shared" si="2"/>
        <v>21</v>
      </c>
      <c r="B23" s="246">
        <v>44265</v>
      </c>
      <c r="C23" s="115"/>
      <c r="D23" s="23" t="s">
        <v>412</v>
      </c>
      <c r="E23" s="6" t="s">
        <v>421</v>
      </c>
      <c r="F23" s="101">
        <v>1485149</v>
      </c>
      <c r="G23" s="129" t="s">
        <v>508</v>
      </c>
      <c r="H23" s="25">
        <v>44273</v>
      </c>
      <c r="I23" s="4">
        <f t="shared" si="5"/>
        <v>1485149</v>
      </c>
      <c r="J23" s="28"/>
      <c r="K23" s="28">
        <f t="shared" ref="K23:K26" si="6">I23*1%</f>
        <v>14851.49</v>
      </c>
      <c r="L23" s="28">
        <f t="shared" ref="L23:L26" si="7">I23*2%</f>
        <v>29702.98</v>
      </c>
      <c r="M23" s="28">
        <v>1470297.51</v>
      </c>
      <c r="N23" s="4">
        <f t="shared" ref="N23:N26" si="8">I23+K23-L23-M23</f>
        <v>0</v>
      </c>
      <c r="O23" s="242" t="s">
        <v>549</v>
      </c>
      <c r="P23" s="1102"/>
      <c r="Q23" s="225">
        <v>44319</v>
      </c>
      <c r="R23" s="226" t="e">
        <f t="shared" si="4"/>
        <v>#VALUE!</v>
      </c>
      <c r="S23" s="226">
        <f t="shared" si="1"/>
        <v>54</v>
      </c>
      <c r="T23"/>
      <c r="U23"/>
      <c r="V23"/>
      <c r="W23"/>
      <c r="X23"/>
      <c r="Y23"/>
      <c r="Z23"/>
      <c r="AA23"/>
      <c r="AB23"/>
      <c r="AC23"/>
      <c r="AD23"/>
    </row>
    <row r="24" spans="1:30" s="10" customFormat="1" hidden="1" x14ac:dyDescent="0.25">
      <c r="A24" s="139">
        <f t="shared" si="2"/>
        <v>22</v>
      </c>
      <c r="B24" s="246">
        <v>44266</v>
      </c>
      <c r="C24" s="115"/>
      <c r="D24" s="23" t="s">
        <v>412</v>
      </c>
      <c r="E24" s="6" t="s">
        <v>415</v>
      </c>
      <c r="F24" s="101">
        <v>3267326.7</v>
      </c>
      <c r="G24" s="129" t="s">
        <v>414</v>
      </c>
      <c r="H24" s="25">
        <v>44273</v>
      </c>
      <c r="I24" s="4">
        <f t="shared" si="5"/>
        <v>3267326.7</v>
      </c>
      <c r="J24" s="28"/>
      <c r="K24" s="28">
        <f t="shared" si="6"/>
        <v>32673.267000000003</v>
      </c>
      <c r="L24" s="28">
        <f t="shared" si="7"/>
        <v>65346.534000000007</v>
      </c>
      <c r="M24" s="28">
        <v>3234653.4330000002</v>
      </c>
      <c r="N24" s="4">
        <f t="shared" si="8"/>
        <v>0</v>
      </c>
      <c r="O24" s="242" t="s">
        <v>549</v>
      </c>
      <c r="P24" s="1102"/>
      <c r="Q24" s="225">
        <v>44319</v>
      </c>
      <c r="R24" s="226" t="e">
        <f t="shared" si="4"/>
        <v>#VALUE!</v>
      </c>
      <c r="S24" s="226">
        <f t="shared" si="1"/>
        <v>53</v>
      </c>
      <c r="T24"/>
      <c r="U24"/>
      <c r="V24"/>
      <c r="W24"/>
      <c r="X24"/>
      <c r="Y24"/>
      <c r="Z24"/>
      <c r="AA24"/>
      <c r="AB24"/>
      <c r="AC24"/>
      <c r="AD24"/>
    </row>
    <row r="25" spans="1:30" s="10" customFormat="1" hidden="1" x14ac:dyDescent="0.25">
      <c r="A25" s="139">
        <f t="shared" si="2"/>
        <v>23</v>
      </c>
      <c r="B25" s="246">
        <v>44273</v>
      </c>
      <c r="C25" s="115"/>
      <c r="D25" s="23" t="s">
        <v>412</v>
      </c>
      <c r="E25" s="6" t="s">
        <v>417</v>
      </c>
      <c r="F25" s="101">
        <v>2178217.7999999998</v>
      </c>
      <c r="G25" s="129" t="s">
        <v>416</v>
      </c>
      <c r="H25" s="25">
        <v>44273</v>
      </c>
      <c r="I25" s="4">
        <f t="shared" si="5"/>
        <v>2178217.7999999998</v>
      </c>
      <c r="J25" s="28"/>
      <c r="K25" s="28">
        <f t="shared" si="6"/>
        <v>21782.178</v>
      </c>
      <c r="L25" s="28">
        <f t="shared" si="7"/>
        <v>43564.356</v>
      </c>
      <c r="M25" s="28">
        <v>2156435.6219999995</v>
      </c>
      <c r="N25" s="4">
        <f t="shared" si="8"/>
        <v>0</v>
      </c>
      <c r="O25" s="242" t="s">
        <v>549</v>
      </c>
      <c r="P25" s="1102"/>
      <c r="Q25" s="225">
        <v>44319</v>
      </c>
      <c r="R25" s="226" t="e">
        <f t="shared" si="4"/>
        <v>#VALUE!</v>
      </c>
      <c r="S25" s="226">
        <f t="shared" si="1"/>
        <v>46</v>
      </c>
      <c r="T25"/>
      <c r="U25"/>
      <c r="V25"/>
      <c r="W25"/>
      <c r="X25"/>
      <c r="Y25"/>
      <c r="Z25"/>
      <c r="AA25"/>
      <c r="AB25"/>
      <c r="AC25"/>
      <c r="AD25"/>
    </row>
    <row r="26" spans="1:30" s="10" customFormat="1" hidden="1" x14ac:dyDescent="0.25">
      <c r="A26" s="139">
        <f t="shared" si="2"/>
        <v>24</v>
      </c>
      <c r="B26" s="246">
        <v>44273</v>
      </c>
      <c r="C26" s="115"/>
      <c r="D26" s="23" t="s">
        <v>412</v>
      </c>
      <c r="E26" s="6" t="s">
        <v>421</v>
      </c>
      <c r="F26" s="101">
        <v>1485148.5</v>
      </c>
      <c r="G26" s="129" t="s">
        <v>418</v>
      </c>
      <c r="H26" s="25">
        <v>44273</v>
      </c>
      <c r="I26" s="4">
        <f t="shared" si="5"/>
        <v>1485148.5</v>
      </c>
      <c r="J26" s="28"/>
      <c r="K26" s="28">
        <f t="shared" si="6"/>
        <v>14851.485000000001</v>
      </c>
      <c r="L26" s="28">
        <f t="shared" si="7"/>
        <v>29702.97</v>
      </c>
      <c r="M26" s="28">
        <v>1470297.0150000001</v>
      </c>
      <c r="N26" s="4">
        <f t="shared" si="8"/>
        <v>0</v>
      </c>
      <c r="O26" s="242" t="s">
        <v>549</v>
      </c>
      <c r="P26" s="1103"/>
      <c r="Q26" s="225">
        <v>44319</v>
      </c>
      <c r="R26" s="226" t="e">
        <f t="shared" si="4"/>
        <v>#VALUE!</v>
      </c>
      <c r="S26" s="226">
        <f t="shared" si="1"/>
        <v>46</v>
      </c>
      <c r="T26"/>
      <c r="U26"/>
      <c r="V26"/>
      <c r="W26"/>
      <c r="X26"/>
      <c r="Y26"/>
      <c r="Z26"/>
      <c r="AA26"/>
      <c r="AB26"/>
      <c r="AC26"/>
      <c r="AD26"/>
    </row>
    <row r="27" spans="1:30" s="10" customFormat="1" ht="15.75" hidden="1" x14ac:dyDescent="0.25">
      <c r="A27" s="139">
        <f>A26+1</f>
        <v>25</v>
      </c>
      <c r="B27" s="247">
        <v>44258</v>
      </c>
      <c r="C27" s="58"/>
      <c r="D27" s="53" t="s">
        <v>412</v>
      </c>
      <c r="E27" s="126" t="s">
        <v>421</v>
      </c>
      <c r="F27" s="45">
        <v>1500000</v>
      </c>
      <c r="G27" s="133" t="s">
        <v>444</v>
      </c>
      <c r="H27" s="140">
        <v>44263</v>
      </c>
      <c r="I27" s="4">
        <f t="shared" si="5"/>
        <v>1500000</v>
      </c>
      <c r="J27" s="28"/>
      <c r="K27" s="28"/>
      <c r="L27" s="28"/>
      <c r="M27" s="28">
        <v>1500000</v>
      </c>
      <c r="N27" s="4">
        <f t="shared" si="0"/>
        <v>0</v>
      </c>
      <c r="O27" s="242" t="s">
        <v>550</v>
      </c>
      <c r="P27" s="1105" t="s">
        <v>555</v>
      </c>
      <c r="Q27" s="238">
        <v>44309</v>
      </c>
      <c r="R27" s="226">
        <f t="shared" si="4"/>
        <v>-103</v>
      </c>
      <c r="S27" s="226">
        <f t="shared" si="1"/>
        <v>51</v>
      </c>
      <c r="T27"/>
      <c r="U27"/>
      <c r="V27"/>
      <c r="W27"/>
      <c r="X27"/>
      <c r="Y27"/>
      <c r="Z27"/>
      <c r="AA27"/>
      <c r="AB27"/>
      <c r="AC27"/>
      <c r="AD27"/>
    </row>
    <row r="28" spans="1:30" s="10" customFormat="1" ht="15.75" hidden="1" x14ac:dyDescent="0.25">
      <c r="A28" s="139">
        <f t="shared" si="2"/>
        <v>26</v>
      </c>
      <c r="B28" s="247">
        <v>44258</v>
      </c>
      <c r="C28" s="58"/>
      <c r="D28" s="53" t="s">
        <v>412</v>
      </c>
      <c r="E28" s="126" t="s">
        <v>417</v>
      </c>
      <c r="F28" s="45">
        <v>2000000</v>
      </c>
      <c r="G28" s="133" t="s">
        <v>445</v>
      </c>
      <c r="H28" s="140">
        <v>44263</v>
      </c>
      <c r="I28" s="4">
        <f t="shared" si="5"/>
        <v>2000000</v>
      </c>
      <c r="J28" s="28"/>
      <c r="K28" s="28"/>
      <c r="L28" s="28"/>
      <c r="M28" s="28">
        <v>2000000</v>
      </c>
      <c r="N28" s="4">
        <f t="shared" si="0"/>
        <v>0</v>
      </c>
      <c r="O28" s="242" t="s">
        <v>550</v>
      </c>
      <c r="P28" s="1076"/>
      <c r="Q28" s="238">
        <v>44309</v>
      </c>
      <c r="R28" s="226">
        <f t="shared" si="4"/>
        <v>-103</v>
      </c>
      <c r="S28" s="226">
        <f t="shared" si="1"/>
        <v>51</v>
      </c>
      <c r="T28"/>
      <c r="U28"/>
      <c r="V28"/>
      <c r="W28"/>
      <c r="X28"/>
      <c r="Y28"/>
      <c r="Z28"/>
      <c r="AA28"/>
      <c r="AB28"/>
      <c r="AC28"/>
      <c r="AD28"/>
    </row>
    <row r="29" spans="1:30" s="10" customFormat="1" ht="15.75" hidden="1" x14ac:dyDescent="0.25">
      <c r="A29" s="139">
        <f t="shared" si="2"/>
        <v>27</v>
      </c>
      <c r="B29" s="247">
        <v>44259</v>
      </c>
      <c r="C29" s="58"/>
      <c r="D29" s="53" t="s">
        <v>412</v>
      </c>
      <c r="E29" s="126" t="s">
        <v>447</v>
      </c>
      <c r="F29" s="45">
        <v>3050000</v>
      </c>
      <c r="G29" s="133" t="s">
        <v>446</v>
      </c>
      <c r="H29" s="140">
        <v>44263</v>
      </c>
      <c r="I29" s="4">
        <f t="shared" si="5"/>
        <v>3050000</v>
      </c>
      <c r="J29" s="28"/>
      <c r="K29" s="28"/>
      <c r="L29" s="28"/>
      <c r="M29" s="28">
        <v>3050000</v>
      </c>
      <c r="N29" s="4">
        <f t="shared" si="0"/>
        <v>0</v>
      </c>
      <c r="O29" s="242" t="s">
        <v>550</v>
      </c>
      <c r="P29" s="1076"/>
      <c r="Q29" s="238">
        <v>44309</v>
      </c>
      <c r="R29" s="226">
        <f t="shared" si="4"/>
        <v>-103</v>
      </c>
      <c r="S29" s="226">
        <f t="shared" si="1"/>
        <v>50</v>
      </c>
      <c r="T29"/>
      <c r="U29"/>
      <c r="V29"/>
      <c r="W29"/>
      <c r="X29"/>
      <c r="Y29"/>
      <c r="Z29"/>
      <c r="AA29"/>
      <c r="AB29"/>
      <c r="AC29"/>
      <c r="AD29"/>
    </row>
    <row r="30" spans="1:30" s="10" customFormat="1" ht="15.75" hidden="1" x14ac:dyDescent="0.25">
      <c r="A30" s="139">
        <f t="shared" si="2"/>
        <v>28</v>
      </c>
      <c r="B30" s="247">
        <v>44260</v>
      </c>
      <c r="C30" s="58"/>
      <c r="D30" s="53" t="s">
        <v>412</v>
      </c>
      <c r="E30" s="126" t="s">
        <v>413</v>
      </c>
      <c r="F30" s="45">
        <v>2100000</v>
      </c>
      <c r="G30" s="133" t="s">
        <v>448</v>
      </c>
      <c r="H30" s="140">
        <v>44263</v>
      </c>
      <c r="I30" s="4">
        <f t="shared" si="5"/>
        <v>2100000</v>
      </c>
      <c r="J30" s="28"/>
      <c r="K30" s="28"/>
      <c r="L30" s="28"/>
      <c r="M30" s="28">
        <v>2100000</v>
      </c>
      <c r="N30" s="4">
        <f t="shared" si="0"/>
        <v>0</v>
      </c>
      <c r="O30" s="242" t="s">
        <v>550</v>
      </c>
      <c r="P30" s="1077"/>
      <c r="Q30" s="238">
        <v>44309</v>
      </c>
      <c r="R30" s="226">
        <f t="shared" si="4"/>
        <v>-103</v>
      </c>
      <c r="S30" s="226">
        <f t="shared" si="1"/>
        <v>49</v>
      </c>
      <c r="T30"/>
      <c r="U30"/>
      <c r="V30"/>
      <c r="W30"/>
      <c r="X30"/>
      <c r="Y30"/>
      <c r="Z30"/>
      <c r="AA30"/>
      <c r="AB30"/>
      <c r="AC30"/>
      <c r="AD30"/>
    </row>
    <row r="31" spans="1:30" s="10" customFormat="1" ht="15.75" hidden="1" x14ac:dyDescent="0.25">
      <c r="A31" s="139">
        <f t="shared" si="2"/>
        <v>29</v>
      </c>
      <c r="B31" s="247">
        <v>44274</v>
      </c>
      <c r="C31" s="58"/>
      <c r="D31" s="53" t="s">
        <v>412</v>
      </c>
      <c r="E31" s="126" t="s">
        <v>413</v>
      </c>
      <c r="F31" s="45">
        <v>2079207.9</v>
      </c>
      <c r="G31" s="133" t="s">
        <v>426</v>
      </c>
      <c r="H31" s="140">
        <v>44279</v>
      </c>
      <c r="I31" s="4">
        <f t="shared" si="5"/>
        <v>2079207.9</v>
      </c>
      <c r="J31" s="28"/>
      <c r="K31" s="28">
        <f t="shared" ref="K31:K38" si="9">I31*1%</f>
        <v>20792.078999999998</v>
      </c>
      <c r="L31" s="28">
        <f t="shared" ref="L31:L38" si="10">I31*2%</f>
        <v>41584.157999999996</v>
      </c>
      <c r="M31" s="28">
        <v>2058415.8209999998</v>
      </c>
      <c r="N31" s="4">
        <f>I31-J31-L31-M31+K31</f>
        <v>8.7311491370201111E-11</v>
      </c>
      <c r="O31" s="242" t="s">
        <v>551</v>
      </c>
      <c r="P31" s="1104" t="s">
        <v>557</v>
      </c>
      <c r="Q31" s="225">
        <v>44336</v>
      </c>
      <c r="R31" s="226" t="e">
        <f t="shared" si="4"/>
        <v>#VALUE!</v>
      </c>
      <c r="S31" s="226">
        <f t="shared" si="1"/>
        <v>62</v>
      </c>
      <c r="T31"/>
      <c r="U31"/>
      <c r="V31"/>
      <c r="W31"/>
      <c r="X31"/>
      <c r="Y31"/>
      <c r="Z31"/>
      <c r="AA31"/>
      <c r="AB31"/>
      <c r="AC31"/>
      <c r="AD31"/>
    </row>
    <row r="32" spans="1:30" s="10" customFormat="1" ht="15.75" hidden="1" x14ac:dyDescent="0.25">
      <c r="A32" s="139">
        <f t="shared" si="2"/>
        <v>30</v>
      </c>
      <c r="B32" s="247">
        <v>44279</v>
      </c>
      <c r="C32" s="58"/>
      <c r="D32" s="53" t="s">
        <v>412</v>
      </c>
      <c r="E32" s="126" t="s">
        <v>417</v>
      </c>
      <c r="F32" s="45">
        <v>1980198</v>
      </c>
      <c r="G32" s="133" t="s">
        <v>431</v>
      </c>
      <c r="H32" s="140">
        <v>44280</v>
      </c>
      <c r="I32" s="4">
        <f t="shared" si="5"/>
        <v>1980198</v>
      </c>
      <c r="J32" s="28"/>
      <c r="K32" s="28">
        <f t="shared" si="9"/>
        <v>19801.98</v>
      </c>
      <c r="L32" s="28">
        <f t="shared" si="10"/>
        <v>39603.96</v>
      </c>
      <c r="M32" s="28">
        <v>1960396.02</v>
      </c>
      <c r="N32" s="4">
        <f t="shared" ref="N32:N45" si="11">I32-J32-L32-M32+K32</f>
        <v>0</v>
      </c>
      <c r="O32" s="242" t="s">
        <v>551</v>
      </c>
      <c r="P32" s="1103"/>
      <c r="Q32" s="225">
        <v>44336</v>
      </c>
      <c r="R32" s="226" t="e">
        <f t="shared" si="4"/>
        <v>#VALUE!</v>
      </c>
      <c r="S32" s="226">
        <f t="shared" si="1"/>
        <v>57</v>
      </c>
      <c r="T32"/>
      <c r="U32"/>
      <c r="V32"/>
      <c r="W32"/>
      <c r="X32"/>
      <c r="Y32"/>
      <c r="Z32"/>
      <c r="AA32"/>
      <c r="AB32"/>
      <c r="AC32"/>
      <c r="AD32"/>
    </row>
    <row r="33" spans="1:39" s="10" customFormat="1" hidden="1" x14ac:dyDescent="0.25">
      <c r="A33" s="139">
        <f t="shared" si="2"/>
        <v>31</v>
      </c>
      <c r="B33" s="247">
        <v>44281</v>
      </c>
      <c r="C33" s="206"/>
      <c r="D33" s="53" t="s">
        <v>412</v>
      </c>
      <c r="E33" s="126" t="s">
        <v>504</v>
      </c>
      <c r="F33" s="45">
        <v>1019801.9</v>
      </c>
      <c r="G33" s="133" t="s">
        <v>505</v>
      </c>
      <c r="H33" s="140">
        <v>44285</v>
      </c>
      <c r="I33" s="4">
        <f t="shared" si="5"/>
        <v>1019801.9</v>
      </c>
      <c r="J33" s="28"/>
      <c r="K33" s="28">
        <f t="shared" si="9"/>
        <v>10198.019</v>
      </c>
      <c r="L33" s="28">
        <f t="shared" si="10"/>
        <v>20396.038</v>
      </c>
      <c r="M33" s="28">
        <v>1009603.8809999999</v>
      </c>
      <c r="N33" s="4">
        <f t="shared" si="11"/>
        <v>2.9103830456733704E-11</v>
      </c>
      <c r="O33" s="242">
        <v>44315</v>
      </c>
      <c r="P33" s="1104" t="s">
        <v>559</v>
      </c>
      <c r="Q33" s="225">
        <v>44351</v>
      </c>
      <c r="R33" s="226">
        <f t="shared" si="4"/>
        <v>36</v>
      </c>
      <c r="S33" s="226">
        <f t="shared" si="1"/>
        <v>70</v>
      </c>
      <c r="T33"/>
      <c r="U33"/>
      <c r="V33"/>
      <c r="W33"/>
      <c r="X33"/>
      <c r="Y33"/>
      <c r="Z33"/>
      <c r="AA33"/>
      <c r="AB33"/>
      <c r="AC33"/>
      <c r="AD33"/>
    </row>
    <row r="34" spans="1:39" s="10" customFormat="1" hidden="1" x14ac:dyDescent="0.25">
      <c r="A34" s="139">
        <f t="shared" si="2"/>
        <v>32</v>
      </c>
      <c r="B34" s="247">
        <v>44273</v>
      </c>
      <c r="C34" s="206"/>
      <c r="D34" s="53" t="s">
        <v>412</v>
      </c>
      <c r="E34" s="126" t="s">
        <v>507</v>
      </c>
      <c r="F34" s="45">
        <v>3019801.9</v>
      </c>
      <c r="G34" s="133" t="s">
        <v>506</v>
      </c>
      <c r="H34" s="140">
        <v>44285</v>
      </c>
      <c r="I34" s="4">
        <f t="shared" si="5"/>
        <v>3019801.9</v>
      </c>
      <c r="J34" s="28"/>
      <c r="K34" s="28">
        <f t="shared" si="9"/>
        <v>30198.019</v>
      </c>
      <c r="L34" s="28">
        <f t="shared" si="10"/>
        <v>60396.038</v>
      </c>
      <c r="M34" s="28">
        <v>2989603.8809999996</v>
      </c>
      <c r="N34" s="4">
        <f t="shared" si="11"/>
        <v>1.4551915228366852E-10</v>
      </c>
      <c r="O34" s="242">
        <v>44315</v>
      </c>
      <c r="P34" s="1102"/>
      <c r="Q34" s="225">
        <v>44351</v>
      </c>
      <c r="R34" s="226">
        <f t="shared" si="4"/>
        <v>36</v>
      </c>
      <c r="S34" s="226">
        <f t="shared" si="1"/>
        <v>78</v>
      </c>
      <c r="T34"/>
      <c r="U34"/>
      <c r="V34"/>
      <c r="W34"/>
      <c r="X34"/>
      <c r="Y34"/>
      <c r="Z34"/>
      <c r="AA34"/>
      <c r="AB34"/>
      <c r="AC34"/>
      <c r="AD34"/>
    </row>
    <row r="35" spans="1:39" s="10" customFormat="1" hidden="1" x14ac:dyDescent="0.25">
      <c r="A35" s="139">
        <f t="shared" si="2"/>
        <v>33</v>
      </c>
      <c r="B35" s="247">
        <v>44279</v>
      </c>
      <c r="C35" s="206"/>
      <c r="D35" s="53" t="s">
        <v>412</v>
      </c>
      <c r="E35" s="126" t="s">
        <v>516</v>
      </c>
      <c r="F35" s="45">
        <v>3267326.7</v>
      </c>
      <c r="G35" s="133" t="s">
        <v>515</v>
      </c>
      <c r="H35" s="140">
        <v>44287</v>
      </c>
      <c r="I35" s="4">
        <f t="shared" si="5"/>
        <v>3267326.7</v>
      </c>
      <c r="J35" s="28"/>
      <c r="K35" s="28">
        <f t="shared" si="9"/>
        <v>32673.267000000003</v>
      </c>
      <c r="L35" s="28">
        <f t="shared" si="10"/>
        <v>65346.534000000007</v>
      </c>
      <c r="M35" s="28">
        <v>3234653.4330000002</v>
      </c>
      <c r="N35" s="4">
        <f t="shared" si="11"/>
        <v>0</v>
      </c>
      <c r="O35" s="242">
        <v>44315</v>
      </c>
      <c r="P35" s="1102"/>
      <c r="Q35" s="225">
        <v>44351</v>
      </c>
      <c r="R35" s="226">
        <f t="shared" si="4"/>
        <v>36</v>
      </c>
      <c r="S35" s="226">
        <f t="shared" si="1"/>
        <v>72</v>
      </c>
      <c r="T35"/>
      <c r="U35"/>
      <c r="V35"/>
      <c r="W35"/>
      <c r="X35"/>
      <c r="Y35"/>
      <c r="Z35"/>
      <c r="AA35"/>
      <c r="AB35"/>
      <c r="AC35"/>
      <c r="AD35"/>
    </row>
    <row r="36" spans="1:39" s="10" customFormat="1" hidden="1" x14ac:dyDescent="0.25">
      <c r="A36" s="139">
        <f t="shared" si="2"/>
        <v>34</v>
      </c>
      <c r="B36" s="247">
        <v>44279</v>
      </c>
      <c r="C36" s="206"/>
      <c r="D36" s="53" t="s">
        <v>412</v>
      </c>
      <c r="E36" s="126" t="s">
        <v>421</v>
      </c>
      <c r="F36" s="45">
        <v>1485148.5</v>
      </c>
      <c r="G36" s="133" t="s">
        <v>517</v>
      </c>
      <c r="H36" s="140">
        <v>44287</v>
      </c>
      <c r="I36" s="4">
        <f t="shared" si="5"/>
        <v>1485148.5</v>
      </c>
      <c r="J36" s="28"/>
      <c r="K36" s="28">
        <f t="shared" si="9"/>
        <v>14851.485000000001</v>
      </c>
      <c r="L36" s="28">
        <f t="shared" si="10"/>
        <v>29702.97</v>
      </c>
      <c r="M36" s="28">
        <v>1470297.0150000001</v>
      </c>
      <c r="N36" s="4">
        <f t="shared" si="11"/>
        <v>-1.0186340659856796E-10</v>
      </c>
      <c r="O36" s="242">
        <v>44315</v>
      </c>
      <c r="P36" s="1102"/>
      <c r="Q36" s="225">
        <v>44351</v>
      </c>
      <c r="R36" s="226">
        <f t="shared" si="4"/>
        <v>36</v>
      </c>
      <c r="S36" s="226">
        <f t="shared" si="1"/>
        <v>72</v>
      </c>
      <c r="T36"/>
      <c r="U36"/>
      <c r="V36"/>
      <c r="W36"/>
      <c r="X36"/>
      <c r="Y36"/>
      <c r="Z36"/>
      <c r="AA36"/>
      <c r="AB36"/>
      <c r="AC36"/>
      <c r="AD36"/>
    </row>
    <row r="37" spans="1:39" s="10" customFormat="1" hidden="1" x14ac:dyDescent="0.25">
      <c r="A37" s="139">
        <f t="shared" si="2"/>
        <v>35</v>
      </c>
      <c r="B37" s="247">
        <v>44286</v>
      </c>
      <c r="C37" s="206"/>
      <c r="D37" s="53" t="s">
        <v>412</v>
      </c>
      <c r="E37" s="126" t="s">
        <v>421</v>
      </c>
      <c r="F37" s="45">
        <v>1485148.5</v>
      </c>
      <c r="G37" s="133" t="s">
        <v>518</v>
      </c>
      <c r="H37" s="140">
        <v>44287</v>
      </c>
      <c r="I37" s="4">
        <f t="shared" si="5"/>
        <v>1485148.5</v>
      </c>
      <c r="J37" s="28"/>
      <c r="K37" s="28">
        <f t="shared" si="9"/>
        <v>14851.485000000001</v>
      </c>
      <c r="L37" s="28">
        <f t="shared" si="10"/>
        <v>29702.97</v>
      </c>
      <c r="M37" s="28">
        <v>1470297.0150000001</v>
      </c>
      <c r="N37" s="4">
        <f t="shared" si="11"/>
        <v>-1.0186340659856796E-10</v>
      </c>
      <c r="O37" s="242">
        <v>44315</v>
      </c>
      <c r="P37" s="1102"/>
      <c r="Q37" s="225">
        <v>44351</v>
      </c>
      <c r="R37" s="226">
        <f t="shared" si="4"/>
        <v>36</v>
      </c>
      <c r="S37" s="226">
        <f t="shared" si="1"/>
        <v>65</v>
      </c>
      <c r="T37"/>
      <c r="U37"/>
      <c r="V37"/>
      <c r="W37"/>
      <c r="X37"/>
      <c r="Y37"/>
      <c r="Z37"/>
      <c r="AA37"/>
      <c r="AB37"/>
      <c r="AC37"/>
      <c r="AD37"/>
    </row>
    <row r="38" spans="1:39" s="10" customFormat="1" ht="15.75" hidden="1" x14ac:dyDescent="0.25">
      <c r="A38" s="139">
        <f t="shared" si="2"/>
        <v>36</v>
      </c>
      <c r="B38" s="247">
        <v>44286</v>
      </c>
      <c r="C38" s="206"/>
      <c r="D38" s="53" t="s">
        <v>412</v>
      </c>
      <c r="E38" s="126" t="s">
        <v>417</v>
      </c>
      <c r="F38" s="138">
        <v>2178217.7999999998</v>
      </c>
      <c r="G38" s="133" t="s">
        <v>519</v>
      </c>
      <c r="H38" s="140">
        <v>44287</v>
      </c>
      <c r="I38" s="4">
        <f t="shared" si="5"/>
        <v>2178217.7999999998</v>
      </c>
      <c r="J38" s="28"/>
      <c r="K38" s="28">
        <f t="shared" si="9"/>
        <v>21782.178</v>
      </c>
      <c r="L38" s="28">
        <f t="shared" si="10"/>
        <v>43564.356</v>
      </c>
      <c r="M38" s="28">
        <v>2156435.6219999995</v>
      </c>
      <c r="N38" s="4">
        <f t="shared" si="11"/>
        <v>1.6007106751203537E-10</v>
      </c>
      <c r="O38" s="242">
        <v>44315</v>
      </c>
      <c r="P38" s="1103"/>
      <c r="Q38" s="225">
        <v>44351</v>
      </c>
      <c r="R38" s="226">
        <f t="shared" si="4"/>
        <v>36</v>
      </c>
      <c r="S38" s="226">
        <f t="shared" si="1"/>
        <v>65</v>
      </c>
      <c r="T38"/>
      <c r="U38"/>
      <c r="V38"/>
      <c r="W38"/>
      <c r="X38"/>
      <c r="Y38"/>
      <c r="Z38"/>
      <c r="AA38"/>
      <c r="AB38"/>
      <c r="AC38"/>
      <c r="AD38"/>
    </row>
    <row r="39" spans="1:39" s="10" customFormat="1" hidden="1" x14ac:dyDescent="0.25">
      <c r="A39" s="213">
        <f t="shared" si="2"/>
        <v>37</v>
      </c>
      <c r="B39" s="248">
        <v>44288</v>
      </c>
      <c r="C39" s="206"/>
      <c r="D39" s="53" t="s">
        <v>412</v>
      </c>
      <c r="E39" s="126" t="s">
        <v>417</v>
      </c>
      <c r="F39" s="45">
        <v>2079207.9</v>
      </c>
      <c r="G39" s="133" t="s">
        <v>562</v>
      </c>
      <c r="H39" s="175">
        <v>44294</v>
      </c>
      <c r="I39" s="122">
        <f t="shared" si="5"/>
        <v>2079207.9</v>
      </c>
      <c r="J39" s="174"/>
      <c r="K39" s="173">
        <v>20792.078999999998</v>
      </c>
      <c r="L39" s="173">
        <v>41584.157999999996</v>
      </c>
      <c r="M39" s="13">
        <v>2058415.8209999998</v>
      </c>
      <c r="N39" s="4">
        <f t="shared" si="11"/>
        <v>8.7311491370201111E-11</v>
      </c>
      <c r="O39" s="242" t="s">
        <v>755</v>
      </c>
      <c r="P39" s="1104" t="s">
        <v>756</v>
      </c>
      <c r="Q39" s="225">
        <v>44336</v>
      </c>
      <c r="R39" s="226" t="e">
        <f t="shared" si="4"/>
        <v>#VALUE!</v>
      </c>
      <c r="S39" s="226">
        <f t="shared" si="1"/>
        <v>48</v>
      </c>
      <c r="T39"/>
      <c r="U39"/>
      <c r="V39"/>
      <c r="W39"/>
      <c r="X39"/>
      <c r="Y39"/>
      <c r="Z39"/>
      <c r="AA39"/>
      <c r="AB39"/>
      <c r="AC39"/>
      <c r="AD39"/>
      <c r="AE39"/>
      <c r="AF39"/>
      <c r="AG39"/>
      <c r="AH39"/>
      <c r="AI39"/>
      <c r="AJ39"/>
      <c r="AK39"/>
      <c r="AL39"/>
      <c r="AM39"/>
    </row>
    <row r="40" spans="1:39" s="10" customFormat="1" hidden="1" x14ac:dyDescent="0.25">
      <c r="A40" s="213">
        <f t="shared" si="2"/>
        <v>38</v>
      </c>
      <c r="B40" s="248">
        <v>44293</v>
      </c>
      <c r="C40" s="206"/>
      <c r="D40" s="53" t="s">
        <v>412</v>
      </c>
      <c r="E40" s="126" t="s">
        <v>417</v>
      </c>
      <c r="F40" s="45">
        <v>1980198</v>
      </c>
      <c r="G40" s="133" t="s">
        <v>563</v>
      </c>
      <c r="H40" s="175">
        <v>44294</v>
      </c>
      <c r="I40" s="122">
        <f t="shared" si="5"/>
        <v>1980198</v>
      </c>
      <c r="J40" s="174"/>
      <c r="K40" s="173">
        <v>19801.98</v>
      </c>
      <c r="L40" s="173">
        <v>39603.96</v>
      </c>
      <c r="M40" s="13">
        <v>1960396.02</v>
      </c>
      <c r="N40" s="4">
        <f t="shared" si="11"/>
        <v>0</v>
      </c>
      <c r="O40" s="242" t="s">
        <v>755</v>
      </c>
      <c r="P40" s="1103"/>
      <c r="Q40" s="225">
        <v>44336</v>
      </c>
      <c r="R40" s="226" t="e">
        <f t="shared" si="4"/>
        <v>#VALUE!</v>
      </c>
      <c r="S40" s="226">
        <f t="shared" si="1"/>
        <v>43</v>
      </c>
      <c r="T40"/>
      <c r="U40"/>
      <c r="V40"/>
      <c r="W40"/>
      <c r="X40"/>
      <c r="Y40"/>
      <c r="Z40"/>
      <c r="AA40"/>
      <c r="AB40"/>
      <c r="AC40"/>
      <c r="AD40"/>
      <c r="AE40"/>
      <c r="AF40"/>
      <c r="AG40"/>
      <c r="AH40"/>
      <c r="AI40"/>
      <c r="AJ40"/>
      <c r="AK40"/>
      <c r="AL40"/>
      <c r="AM40"/>
    </row>
    <row r="41" spans="1:39" s="10" customFormat="1" hidden="1" x14ac:dyDescent="0.25">
      <c r="A41" s="213">
        <f t="shared" si="2"/>
        <v>39</v>
      </c>
      <c r="B41" s="247">
        <v>44295</v>
      </c>
      <c r="C41" s="206"/>
      <c r="D41" s="53" t="s">
        <v>412</v>
      </c>
      <c r="E41" s="126" t="s">
        <v>417</v>
      </c>
      <c r="F41" s="45">
        <v>1683168</v>
      </c>
      <c r="G41" s="133" t="s">
        <v>564</v>
      </c>
      <c r="H41" s="175">
        <v>44298</v>
      </c>
      <c r="I41" s="122">
        <f t="shared" si="5"/>
        <v>1683168</v>
      </c>
      <c r="J41" s="174"/>
      <c r="K41" s="173">
        <f t="shared" ref="K41:K46" si="12">I41*1%</f>
        <v>16831.68</v>
      </c>
      <c r="L41" s="277">
        <f t="shared" ref="L41:L45" si="13">I41*2%</f>
        <v>33663.360000000001</v>
      </c>
      <c r="M41" s="278">
        <v>1666336.3199999998</v>
      </c>
      <c r="N41" s="4">
        <f t="shared" si="11"/>
        <v>6.5483618527650833E-11</v>
      </c>
      <c r="O41" s="242" t="s">
        <v>757</v>
      </c>
      <c r="P41" s="1117" t="s">
        <v>758</v>
      </c>
      <c r="Q41" s="225">
        <v>44351</v>
      </c>
      <c r="R41" s="226" t="e">
        <f t="shared" si="4"/>
        <v>#VALUE!</v>
      </c>
      <c r="S41" s="226">
        <f t="shared" si="1"/>
        <v>56</v>
      </c>
      <c r="T41"/>
      <c r="U41"/>
      <c r="V41"/>
      <c r="W41"/>
      <c r="X41"/>
      <c r="Y41"/>
      <c r="Z41"/>
      <c r="AA41"/>
      <c r="AB41"/>
      <c r="AC41"/>
      <c r="AD41"/>
      <c r="AE41"/>
      <c r="AF41"/>
      <c r="AG41"/>
      <c r="AH41"/>
      <c r="AI41"/>
      <c r="AJ41"/>
      <c r="AK41"/>
      <c r="AL41"/>
      <c r="AM41"/>
    </row>
    <row r="42" spans="1:39" s="10" customFormat="1" ht="25.5" hidden="1" x14ac:dyDescent="0.25">
      <c r="A42" s="55">
        <f t="shared" si="2"/>
        <v>40</v>
      </c>
      <c r="B42" s="247">
        <v>44299</v>
      </c>
      <c r="C42" s="206" t="s">
        <v>581</v>
      </c>
      <c r="D42" s="53" t="s">
        <v>412</v>
      </c>
      <c r="E42" s="126" t="s">
        <v>582</v>
      </c>
      <c r="F42" s="45">
        <v>5099009.9000000004</v>
      </c>
      <c r="G42" s="133" t="s">
        <v>580</v>
      </c>
      <c r="H42" s="175" t="s">
        <v>579</v>
      </c>
      <c r="I42" s="122">
        <f t="shared" si="5"/>
        <v>5099009.9000000004</v>
      </c>
      <c r="J42" s="174"/>
      <c r="K42" s="173">
        <f t="shared" si="12"/>
        <v>50990.099000000002</v>
      </c>
      <c r="L42" s="277">
        <f t="shared" si="13"/>
        <v>101980.198</v>
      </c>
      <c r="M42" s="278">
        <v>5048019.8010000009</v>
      </c>
      <c r="N42" s="4">
        <f t="shared" si="11"/>
        <v>-3.92901711165905E-10</v>
      </c>
      <c r="O42" s="242" t="s">
        <v>757</v>
      </c>
      <c r="P42" s="988"/>
      <c r="Q42" s="225">
        <v>44351</v>
      </c>
      <c r="R42" s="226" t="e">
        <f t="shared" si="4"/>
        <v>#VALUE!</v>
      </c>
      <c r="S42" s="226">
        <f t="shared" si="1"/>
        <v>52</v>
      </c>
      <c r="T42"/>
      <c r="U42"/>
      <c r="V42"/>
      <c r="W42"/>
      <c r="X42"/>
      <c r="Y42"/>
      <c r="Z42"/>
      <c r="AA42"/>
      <c r="AB42"/>
      <c r="AC42"/>
      <c r="AD42"/>
      <c r="AE42"/>
      <c r="AF42"/>
      <c r="AG42"/>
      <c r="AH42"/>
      <c r="AI42"/>
      <c r="AJ42"/>
      <c r="AK42"/>
      <c r="AL42"/>
      <c r="AM42"/>
    </row>
    <row r="43" spans="1:39" s="10" customFormat="1" hidden="1" x14ac:dyDescent="0.25">
      <c r="A43" s="55">
        <f t="shared" si="2"/>
        <v>41</v>
      </c>
      <c r="B43" s="247">
        <v>44306</v>
      </c>
      <c r="C43" s="206"/>
      <c r="D43" s="53" t="s">
        <v>412</v>
      </c>
      <c r="E43" s="126" t="s">
        <v>584</v>
      </c>
      <c r="F43" s="45">
        <v>4158415.8</v>
      </c>
      <c r="G43" s="133" t="s">
        <v>583</v>
      </c>
      <c r="H43" s="175" t="s">
        <v>579</v>
      </c>
      <c r="I43" s="122">
        <f t="shared" si="5"/>
        <v>4158415.8</v>
      </c>
      <c r="J43" s="174"/>
      <c r="K43" s="173">
        <f t="shared" si="12"/>
        <v>41584.157999999996</v>
      </c>
      <c r="L43" s="277">
        <f t="shared" si="13"/>
        <v>83168.315999999992</v>
      </c>
      <c r="M43" s="278">
        <v>4116831.6419999995</v>
      </c>
      <c r="N43" s="4">
        <f t="shared" si="11"/>
        <v>1.7462298274040222E-10</v>
      </c>
      <c r="O43" s="242" t="s">
        <v>757</v>
      </c>
      <c r="P43" s="988"/>
      <c r="Q43" s="225">
        <v>44351</v>
      </c>
      <c r="R43" s="226" t="e">
        <f t="shared" si="4"/>
        <v>#VALUE!</v>
      </c>
      <c r="S43" s="226">
        <f t="shared" si="1"/>
        <v>45</v>
      </c>
      <c r="T43"/>
      <c r="U43"/>
      <c r="V43"/>
      <c r="W43"/>
      <c r="X43"/>
      <c r="Y43"/>
      <c r="Z43"/>
      <c r="AA43"/>
      <c r="AB43"/>
      <c r="AC43"/>
      <c r="AD43"/>
      <c r="AE43"/>
      <c r="AF43"/>
      <c r="AG43"/>
      <c r="AH43"/>
      <c r="AI43"/>
      <c r="AJ43"/>
      <c r="AK43"/>
      <c r="AL43"/>
      <c r="AM43"/>
    </row>
    <row r="44" spans="1:39" s="10" customFormat="1" ht="15.75" hidden="1" x14ac:dyDescent="0.25">
      <c r="A44" s="55">
        <f t="shared" si="2"/>
        <v>42</v>
      </c>
      <c r="B44" s="247">
        <v>44306</v>
      </c>
      <c r="C44" s="206"/>
      <c r="D44" s="53" t="s">
        <v>412</v>
      </c>
      <c r="E44" s="126" t="s">
        <v>421</v>
      </c>
      <c r="F44" s="63">
        <v>1485148.5</v>
      </c>
      <c r="G44" s="133" t="s">
        <v>585</v>
      </c>
      <c r="H44" s="175">
        <v>44308</v>
      </c>
      <c r="I44" s="122">
        <f t="shared" si="5"/>
        <v>1485148.5</v>
      </c>
      <c r="J44" s="174"/>
      <c r="K44" s="173">
        <f t="shared" si="12"/>
        <v>14851.485000000001</v>
      </c>
      <c r="L44" s="277">
        <f t="shared" si="13"/>
        <v>29702.97</v>
      </c>
      <c r="M44" s="278">
        <v>1470297.0150000001</v>
      </c>
      <c r="N44" s="4">
        <f t="shared" si="11"/>
        <v>-1.0186340659856796E-10</v>
      </c>
      <c r="O44" s="242" t="s">
        <v>757</v>
      </c>
      <c r="P44" s="988"/>
      <c r="Q44" s="225">
        <v>44351</v>
      </c>
      <c r="R44" s="226" t="e">
        <f t="shared" si="4"/>
        <v>#VALUE!</v>
      </c>
      <c r="S44" s="226">
        <f t="shared" si="1"/>
        <v>45</v>
      </c>
      <c r="T44"/>
      <c r="U44"/>
      <c r="V44"/>
      <c r="W44"/>
      <c r="X44"/>
      <c r="Y44"/>
      <c r="Z44"/>
      <c r="AA44"/>
      <c r="AB44"/>
      <c r="AC44"/>
      <c r="AD44"/>
      <c r="AE44"/>
      <c r="AF44"/>
      <c r="AG44"/>
      <c r="AH44"/>
      <c r="AI44"/>
      <c r="AJ44"/>
      <c r="AK44"/>
      <c r="AL44"/>
      <c r="AM44"/>
    </row>
    <row r="45" spans="1:39" s="10" customFormat="1" ht="15.75" hidden="1" x14ac:dyDescent="0.25">
      <c r="A45" s="55">
        <f t="shared" si="2"/>
        <v>43</v>
      </c>
      <c r="B45" s="247">
        <v>44308</v>
      </c>
      <c r="C45" s="206"/>
      <c r="D45" s="53" t="s">
        <v>412</v>
      </c>
      <c r="E45" s="126" t="s">
        <v>421</v>
      </c>
      <c r="F45" s="63">
        <v>1485148.5</v>
      </c>
      <c r="G45" s="133" t="s">
        <v>586</v>
      </c>
      <c r="H45" s="175">
        <v>44308</v>
      </c>
      <c r="I45" s="122">
        <f t="shared" si="5"/>
        <v>1485148.5</v>
      </c>
      <c r="J45" s="174"/>
      <c r="K45" s="173">
        <f t="shared" si="12"/>
        <v>14851.485000000001</v>
      </c>
      <c r="L45" s="277">
        <f t="shared" si="13"/>
        <v>29702.97</v>
      </c>
      <c r="M45" s="278">
        <v>1470297.0150000001</v>
      </c>
      <c r="N45" s="4">
        <f t="shared" si="11"/>
        <v>-1.0186340659856796E-10</v>
      </c>
      <c r="O45" s="242" t="s">
        <v>757</v>
      </c>
      <c r="P45" s="989"/>
      <c r="Q45" s="225">
        <v>44351</v>
      </c>
      <c r="R45" s="226" t="e">
        <f t="shared" si="4"/>
        <v>#VALUE!</v>
      </c>
      <c r="S45" s="226">
        <f t="shared" si="1"/>
        <v>43</v>
      </c>
      <c r="T45"/>
      <c r="U45"/>
      <c r="V45"/>
      <c r="W45"/>
      <c r="X45"/>
      <c r="Y45"/>
      <c r="Z45"/>
      <c r="AA45"/>
      <c r="AB45"/>
      <c r="AC45"/>
      <c r="AD45"/>
      <c r="AE45"/>
      <c r="AF45"/>
      <c r="AG45"/>
      <c r="AH45"/>
      <c r="AI45"/>
      <c r="AJ45"/>
      <c r="AK45"/>
      <c r="AL45"/>
      <c r="AM45"/>
    </row>
    <row r="46" spans="1:39" s="10" customFormat="1" ht="25.5" hidden="1" x14ac:dyDescent="0.25">
      <c r="A46" s="55">
        <f t="shared" si="2"/>
        <v>44</v>
      </c>
      <c r="B46" s="247">
        <v>44307</v>
      </c>
      <c r="C46" s="206" t="s">
        <v>700</v>
      </c>
      <c r="D46" s="53" t="s">
        <v>699</v>
      </c>
      <c r="E46" s="126" t="s">
        <v>702</v>
      </c>
      <c r="F46" s="1000">
        <v>3762376</v>
      </c>
      <c r="G46" s="1111" t="s">
        <v>697</v>
      </c>
      <c r="H46" s="1113" t="s">
        <v>698</v>
      </c>
      <c r="I46" s="980">
        <f t="shared" si="5"/>
        <v>3762376</v>
      </c>
      <c r="J46" s="980"/>
      <c r="K46" s="1115">
        <f t="shared" si="12"/>
        <v>37623.760000000002</v>
      </c>
      <c r="L46" s="1115">
        <f>I46*2%</f>
        <v>75247.520000000004</v>
      </c>
      <c r="M46" s="287">
        <v>3724752.2399999998</v>
      </c>
      <c r="N46" s="1115">
        <f>I46-J46-L46-M46+K46</f>
        <v>2.255546860396862E-10</v>
      </c>
      <c r="O46" s="242" t="s">
        <v>759</v>
      </c>
      <c r="P46" s="1104" t="s">
        <v>760</v>
      </c>
      <c r="Q46" s="286">
        <v>44372</v>
      </c>
      <c r="R46" s="226">
        <f t="shared" ref="R46:R55" si="14">Q46-O46</f>
        <v>111</v>
      </c>
      <c r="S46" s="226">
        <f t="shared" ref="S46:S57" si="15">Q46-B46</f>
        <v>65</v>
      </c>
      <c r="T46"/>
      <c r="U46"/>
      <c r="V46"/>
      <c r="W46"/>
      <c r="X46"/>
      <c r="Y46"/>
      <c r="Z46"/>
      <c r="AA46"/>
      <c r="AB46"/>
      <c r="AC46"/>
      <c r="AD46"/>
      <c r="AE46"/>
      <c r="AF46"/>
      <c r="AG46"/>
      <c r="AH46"/>
      <c r="AI46"/>
      <c r="AJ46"/>
      <c r="AK46"/>
      <c r="AL46"/>
      <c r="AM46"/>
    </row>
    <row r="47" spans="1:39" s="10" customFormat="1" ht="25.5" hidden="1" x14ac:dyDescent="0.25">
      <c r="A47" s="55">
        <f t="shared" si="2"/>
        <v>45</v>
      </c>
      <c r="B47" s="247">
        <v>44307</v>
      </c>
      <c r="C47" s="206" t="s">
        <v>701</v>
      </c>
      <c r="D47" s="53" t="s">
        <v>699</v>
      </c>
      <c r="E47" s="126" t="s">
        <v>133</v>
      </c>
      <c r="F47" s="1001"/>
      <c r="G47" s="1112"/>
      <c r="H47" s="1114"/>
      <c r="I47" s="982"/>
      <c r="J47" s="982"/>
      <c r="K47" s="1116"/>
      <c r="L47" s="1116"/>
      <c r="M47" s="288"/>
      <c r="N47" s="1116"/>
      <c r="O47" s="242" t="s">
        <v>759</v>
      </c>
      <c r="P47" s="1102"/>
      <c r="Q47" s="286">
        <v>44372</v>
      </c>
      <c r="R47" s="226">
        <f t="shared" si="14"/>
        <v>111</v>
      </c>
      <c r="S47" s="226">
        <f t="shared" si="15"/>
        <v>65</v>
      </c>
      <c r="T47"/>
      <c r="U47"/>
      <c r="V47"/>
      <c r="W47"/>
      <c r="X47"/>
      <c r="Y47"/>
      <c r="Z47"/>
      <c r="AA47"/>
      <c r="AB47"/>
      <c r="AC47"/>
      <c r="AD47"/>
      <c r="AE47"/>
      <c r="AF47"/>
      <c r="AG47"/>
      <c r="AH47"/>
      <c r="AI47"/>
      <c r="AJ47"/>
      <c r="AK47"/>
      <c r="AL47"/>
      <c r="AM47"/>
    </row>
    <row r="48" spans="1:39" s="10" customFormat="1" ht="25.5" hidden="1" x14ac:dyDescent="0.25">
      <c r="A48" s="55">
        <f t="shared" si="2"/>
        <v>46</v>
      </c>
      <c r="B48" s="247">
        <v>44307</v>
      </c>
      <c r="C48" s="207" t="s">
        <v>704</v>
      </c>
      <c r="D48" s="53" t="s">
        <v>412</v>
      </c>
      <c r="E48" s="208" t="s">
        <v>218</v>
      </c>
      <c r="F48" s="209">
        <v>4059405.9</v>
      </c>
      <c r="G48" s="210" t="s">
        <v>703</v>
      </c>
      <c r="H48" s="185">
        <v>44321</v>
      </c>
      <c r="I48" s="186">
        <f t="shared" ref="I48:I82" si="16">F48</f>
        <v>4059405.9</v>
      </c>
      <c r="J48" s="186"/>
      <c r="K48" s="169">
        <f t="shared" ref="K48:K53" si="17">I48*1%</f>
        <v>40594.059000000001</v>
      </c>
      <c r="L48" s="169">
        <f t="shared" ref="L48:L53" si="18">I48*2%</f>
        <v>81188.118000000002</v>
      </c>
      <c r="M48" s="289">
        <v>4018811.841</v>
      </c>
      <c r="N48" s="169">
        <f>I48-J48-L48-M48+K48</f>
        <v>1.0913936421275139E-10</v>
      </c>
      <c r="O48" s="242" t="s">
        <v>759</v>
      </c>
      <c r="P48" s="1102"/>
      <c r="Q48" s="286">
        <v>44372</v>
      </c>
      <c r="R48" s="226">
        <f t="shared" si="14"/>
        <v>111</v>
      </c>
      <c r="S48" s="226">
        <f t="shared" si="15"/>
        <v>65</v>
      </c>
      <c r="T48"/>
      <c r="U48"/>
      <c r="V48"/>
      <c r="W48"/>
      <c r="X48"/>
      <c r="Y48"/>
      <c r="Z48"/>
      <c r="AA48"/>
      <c r="AB48"/>
      <c r="AC48"/>
      <c r="AD48"/>
      <c r="AE48"/>
      <c r="AF48"/>
      <c r="AG48"/>
      <c r="AH48"/>
      <c r="AI48"/>
      <c r="AJ48"/>
      <c r="AK48"/>
      <c r="AL48"/>
      <c r="AM48"/>
    </row>
    <row r="49" spans="1:39" s="10" customFormat="1" ht="25.5" hidden="1" x14ac:dyDescent="0.25">
      <c r="A49" s="55">
        <f t="shared" si="2"/>
        <v>47</v>
      </c>
      <c r="B49" s="247">
        <v>44315</v>
      </c>
      <c r="C49" s="206" t="s">
        <v>706</v>
      </c>
      <c r="D49" s="53" t="s">
        <v>412</v>
      </c>
      <c r="E49" s="208" t="s">
        <v>32</v>
      </c>
      <c r="F49" s="209">
        <v>1485148.5</v>
      </c>
      <c r="G49" s="210" t="s">
        <v>705</v>
      </c>
      <c r="H49" s="185">
        <v>44321</v>
      </c>
      <c r="I49" s="186">
        <f t="shared" si="16"/>
        <v>1485148.5</v>
      </c>
      <c r="J49" s="186"/>
      <c r="K49" s="169">
        <f t="shared" si="17"/>
        <v>14851.485000000001</v>
      </c>
      <c r="L49" s="169">
        <f t="shared" si="18"/>
        <v>29702.97</v>
      </c>
      <c r="M49" s="289">
        <v>1470297.0150000001</v>
      </c>
      <c r="N49" s="169">
        <f>I49-J49-L49-M49+K49</f>
        <v>-1.0186340659856796E-10</v>
      </c>
      <c r="O49" s="242" t="s">
        <v>759</v>
      </c>
      <c r="P49" s="1102"/>
      <c r="Q49" s="286">
        <v>44372</v>
      </c>
      <c r="R49" s="226">
        <f t="shared" si="14"/>
        <v>111</v>
      </c>
      <c r="S49" s="226">
        <f t="shared" si="15"/>
        <v>57</v>
      </c>
      <c r="T49"/>
      <c r="U49"/>
      <c r="V49"/>
      <c r="W49"/>
      <c r="X49"/>
      <c r="Y49"/>
      <c r="Z49"/>
      <c r="AA49"/>
      <c r="AB49"/>
      <c r="AC49"/>
      <c r="AD49"/>
      <c r="AE49"/>
      <c r="AF49"/>
      <c r="AG49"/>
      <c r="AH49"/>
      <c r="AI49"/>
      <c r="AJ49"/>
      <c r="AK49"/>
      <c r="AL49"/>
      <c r="AM49"/>
    </row>
    <row r="50" spans="1:39" s="10" customFormat="1" hidden="1" x14ac:dyDescent="0.25">
      <c r="A50" s="55">
        <f t="shared" si="2"/>
        <v>48</v>
      </c>
      <c r="B50" s="247">
        <v>44315</v>
      </c>
      <c r="C50" s="206">
        <v>400685</v>
      </c>
      <c r="D50" s="53" t="s">
        <v>412</v>
      </c>
      <c r="E50" s="126" t="s">
        <v>35</v>
      </c>
      <c r="F50" s="45">
        <v>2079207.9</v>
      </c>
      <c r="G50" s="133" t="s">
        <v>707</v>
      </c>
      <c r="H50" s="175">
        <v>44321</v>
      </c>
      <c r="I50" s="122">
        <f t="shared" si="16"/>
        <v>2079207.9</v>
      </c>
      <c r="J50" s="174"/>
      <c r="K50" s="173">
        <f t="shared" si="17"/>
        <v>20792.078999999998</v>
      </c>
      <c r="L50" s="13">
        <f t="shared" si="18"/>
        <v>41584.157999999996</v>
      </c>
      <c r="M50" s="290">
        <v>2058415.8209999998</v>
      </c>
      <c r="N50" s="4">
        <f t="shared" ref="N50" si="19">I50-J50-L50-M50+K50</f>
        <v>8.7311491370201111E-11</v>
      </c>
      <c r="O50" s="242" t="s">
        <v>759</v>
      </c>
      <c r="P50" s="1102"/>
      <c r="Q50" s="286">
        <v>44372</v>
      </c>
      <c r="R50" s="226">
        <f t="shared" si="14"/>
        <v>111</v>
      </c>
      <c r="S50" s="226">
        <f t="shared" si="15"/>
        <v>57</v>
      </c>
      <c r="T50"/>
      <c r="U50"/>
      <c r="V50"/>
      <c r="W50"/>
      <c r="X50"/>
      <c r="Y50"/>
      <c r="Z50"/>
      <c r="AA50"/>
      <c r="AB50"/>
      <c r="AC50"/>
      <c r="AD50"/>
      <c r="AE50"/>
      <c r="AF50"/>
      <c r="AG50"/>
      <c r="AH50"/>
      <c r="AI50"/>
      <c r="AJ50"/>
      <c r="AK50"/>
      <c r="AL50"/>
      <c r="AM50"/>
    </row>
    <row r="51" spans="1:39" s="10" customFormat="1" ht="25.5" hidden="1" x14ac:dyDescent="0.25">
      <c r="A51" s="55">
        <f t="shared" si="2"/>
        <v>49</v>
      </c>
      <c r="B51" s="247">
        <v>44316</v>
      </c>
      <c r="C51" s="206" t="s">
        <v>709</v>
      </c>
      <c r="D51" s="53" t="s">
        <v>412</v>
      </c>
      <c r="E51" s="204" t="s">
        <v>35</v>
      </c>
      <c r="F51" s="205">
        <v>2178217.7999999998</v>
      </c>
      <c r="G51" s="203" t="s">
        <v>708</v>
      </c>
      <c r="H51" s="202">
        <v>44321</v>
      </c>
      <c r="I51" s="200">
        <f t="shared" si="16"/>
        <v>2178217.7999999998</v>
      </c>
      <c r="J51" s="200"/>
      <c r="K51" s="201">
        <f t="shared" si="17"/>
        <v>21782.178</v>
      </c>
      <c r="L51" s="201">
        <f t="shared" si="18"/>
        <v>43564.356</v>
      </c>
      <c r="M51" s="291">
        <v>2156435.6219999995</v>
      </c>
      <c r="N51" s="201">
        <f>I51-J51-L51-M51+K51</f>
        <v>1.6007106751203537E-10</v>
      </c>
      <c r="O51" s="242" t="s">
        <v>759</v>
      </c>
      <c r="P51" s="1102"/>
      <c r="Q51" s="286">
        <v>44372</v>
      </c>
      <c r="R51" s="226">
        <f t="shared" si="14"/>
        <v>111</v>
      </c>
      <c r="S51" s="226">
        <f t="shared" si="15"/>
        <v>56</v>
      </c>
      <c r="T51"/>
      <c r="U51"/>
      <c r="V51"/>
      <c r="W51"/>
      <c r="X51"/>
      <c r="Y51"/>
      <c r="Z51"/>
      <c r="AA51"/>
      <c r="AB51"/>
      <c r="AC51"/>
      <c r="AD51"/>
      <c r="AE51"/>
      <c r="AF51"/>
      <c r="AG51"/>
      <c r="AH51"/>
      <c r="AI51"/>
      <c r="AJ51"/>
      <c r="AK51"/>
      <c r="AL51"/>
      <c r="AM51"/>
    </row>
    <row r="52" spans="1:39" s="10" customFormat="1" hidden="1" x14ac:dyDescent="0.25">
      <c r="A52" s="55">
        <f t="shared" si="2"/>
        <v>50</v>
      </c>
      <c r="B52" s="247">
        <v>44321</v>
      </c>
      <c r="C52" s="206">
        <v>400692</v>
      </c>
      <c r="D52" s="53" t="s">
        <v>412</v>
      </c>
      <c r="E52" s="208" t="s">
        <v>35</v>
      </c>
      <c r="F52" s="209">
        <v>4356435.5999999996</v>
      </c>
      <c r="G52" s="210" t="s">
        <v>710</v>
      </c>
      <c r="H52" s="185">
        <v>44322</v>
      </c>
      <c r="I52" s="186">
        <f t="shared" si="16"/>
        <v>4356435.5999999996</v>
      </c>
      <c r="J52" s="186"/>
      <c r="K52" s="169">
        <f t="shared" si="17"/>
        <v>43564.356</v>
      </c>
      <c r="L52" s="169">
        <f t="shared" si="18"/>
        <v>87128.712</v>
      </c>
      <c r="M52" s="289">
        <v>4312871.243999999</v>
      </c>
      <c r="N52" s="169">
        <f>I52-J52-L52-M52+K52</f>
        <v>3.2014213502407074E-10</v>
      </c>
      <c r="O52" s="242" t="s">
        <v>759</v>
      </c>
      <c r="P52" s="1102"/>
      <c r="Q52" s="286">
        <v>44372</v>
      </c>
      <c r="R52" s="226">
        <f t="shared" si="14"/>
        <v>111</v>
      </c>
      <c r="S52" s="226">
        <f t="shared" si="15"/>
        <v>51</v>
      </c>
      <c r="T52"/>
      <c r="U52"/>
      <c r="V52"/>
      <c r="W52"/>
      <c r="X52"/>
      <c r="Y52"/>
      <c r="Z52"/>
      <c r="AA52"/>
      <c r="AB52"/>
      <c r="AC52"/>
      <c r="AD52"/>
      <c r="AE52"/>
      <c r="AF52"/>
      <c r="AG52"/>
      <c r="AH52"/>
      <c r="AI52"/>
      <c r="AJ52"/>
      <c r="AK52"/>
      <c r="AL52"/>
      <c r="AM52"/>
    </row>
    <row r="53" spans="1:39" s="10" customFormat="1" ht="15" hidden="1" customHeight="1" x14ac:dyDescent="0.25">
      <c r="A53" s="55">
        <f t="shared" si="2"/>
        <v>51</v>
      </c>
      <c r="B53" s="247">
        <v>44321</v>
      </c>
      <c r="C53" s="206">
        <v>400690</v>
      </c>
      <c r="D53" s="53" t="s">
        <v>412</v>
      </c>
      <c r="E53" s="208" t="s">
        <v>32</v>
      </c>
      <c r="F53" s="211">
        <v>1485148.5</v>
      </c>
      <c r="G53" s="210" t="s">
        <v>711</v>
      </c>
      <c r="H53" s="185">
        <v>44322</v>
      </c>
      <c r="I53" s="186">
        <f t="shared" si="16"/>
        <v>1485148.5</v>
      </c>
      <c r="J53" s="186"/>
      <c r="K53" s="169">
        <f t="shared" si="17"/>
        <v>14851.485000000001</v>
      </c>
      <c r="L53" s="169">
        <f t="shared" si="18"/>
        <v>29702.97</v>
      </c>
      <c r="M53" s="289">
        <v>1470297.0150000001</v>
      </c>
      <c r="N53" s="169">
        <f>I53-J53-L53-M53+K53</f>
        <v>-1.0186340659856796E-10</v>
      </c>
      <c r="O53" s="242" t="s">
        <v>759</v>
      </c>
      <c r="P53" s="1102"/>
      <c r="Q53" s="286">
        <v>44372</v>
      </c>
      <c r="R53" s="226">
        <f t="shared" si="14"/>
        <v>111</v>
      </c>
      <c r="S53" s="226">
        <f t="shared" si="15"/>
        <v>51</v>
      </c>
      <c r="T53"/>
      <c r="U53"/>
      <c r="V53"/>
      <c r="W53"/>
      <c r="X53"/>
      <c r="Y53"/>
      <c r="Z53"/>
      <c r="AA53"/>
      <c r="AB53"/>
      <c r="AC53"/>
      <c r="AD53"/>
      <c r="AE53"/>
      <c r="AF53"/>
      <c r="AG53"/>
      <c r="AH53"/>
      <c r="AI53"/>
      <c r="AJ53"/>
      <c r="AK53"/>
      <c r="AL53"/>
      <c r="AM53"/>
    </row>
    <row r="54" spans="1:39" s="10" customFormat="1" hidden="1" x14ac:dyDescent="0.25">
      <c r="A54" s="55">
        <f t="shared" si="2"/>
        <v>52</v>
      </c>
      <c r="B54" s="246">
        <v>44322</v>
      </c>
      <c r="C54" s="115"/>
      <c r="D54" s="23" t="s">
        <v>279</v>
      </c>
      <c r="E54" s="6" t="s">
        <v>762</v>
      </c>
      <c r="F54" s="101">
        <v>2277227.7000000002</v>
      </c>
      <c r="G54" s="139" t="s">
        <v>761</v>
      </c>
      <c r="H54" s="25">
        <v>44336</v>
      </c>
      <c r="I54" s="186">
        <f t="shared" si="16"/>
        <v>2277227.7000000002</v>
      </c>
      <c r="J54" s="28"/>
      <c r="K54" s="169">
        <f t="shared" ref="K54:K58" si="20">I54*1%</f>
        <v>22772.277000000002</v>
      </c>
      <c r="L54" s="169">
        <f t="shared" ref="L54:L58" si="21">I54*2%</f>
        <v>45544.554000000004</v>
      </c>
      <c r="M54" s="289">
        <v>2254455.4230000004</v>
      </c>
      <c r="N54" s="169">
        <f t="shared" ref="N54:N58" si="22">I54-J54-L54-M54+K54</f>
        <v>-2.3283064365386963E-10</v>
      </c>
      <c r="O54" s="249">
        <v>44364</v>
      </c>
      <c r="P54" s="1104" t="s">
        <v>819</v>
      </c>
      <c r="Q54" s="286">
        <v>44372</v>
      </c>
      <c r="R54" s="226">
        <f t="shared" si="14"/>
        <v>8</v>
      </c>
      <c r="S54" s="226">
        <f t="shared" si="15"/>
        <v>50</v>
      </c>
      <c r="T54"/>
      <c r="U54"/>
      <c r="V54"/>
      <c r="W54"/>
      <c r="X54"/>
      <c r="Y54"/>
      <c r="Z54"/>
      <c r="AA54"/>
      <c r="AB54"/>
      <c r="AC54"/>
      <c r="AD54"/>
    </row>
    <row r="55" spans="1:39" s="10" customFormat="1" hidden="1" x14ac:dyDescent="0.25">
      <c r="A55" s="55">
        <f t="shared" si="2"/>
        <v>53</v>
      </c>
      <c r="B55" s="246">
        <v>44322</v>
      </c>
      <c r="C55" s="115"/>
      <c r="D55" s="23" t="s">
        <v>279</v>
      </c>
      <c r="E55" s="6" t="s">
        <v>190</v>
      </c>
      <c r="F55" s="101">
        <v>1188118.8</v>
      </c>
      <c r="G55" s="139" t="s">
        <v>764</v>
      </c>
      <c r="H55" s="25">
        <v>44336</v>
      </c>
      <c r="I55" s="186">
        <f t="shared" si="16"/>
        <v>1188118.8</v>
      </c>
      <c r="J55" s="28"/>
      <c r="K55" s="169">
        <f t="shared" si="20"/>
        <v>11881.188</v>
      </c>
      <c r="L55" s="169">
        <f t="shared" si="21"/>
        <v>23762.376</v>
      </c>
      <c r="M55" s="289">
        <v>1176237.6120000002</v>
      </c>
      <c r="N55" s="169">
        <f t="shared" si="22"/>
        <v>-8.1854523159563541E-11</v>
      </c>
      <c r="O55" s="249">
        <v>44364</v>
      </c>
      <c r="P55" s="1102"/>
      <c r="Q55" s="286">
        <v>44372</v>
      </c>
      <c r="R55" s="226">
        <f t="shared" si="14"/>
        <v>8</v>
      </c>
      <c r="S55" s="226">
        <f t="shared" si="15"/>
        <v>50</v>
      </c>
      <c r="T55"/>
      <c r="U55"/>
      <c r="V55"/>
      <c r="W55"/>
      <c r="X55"/>
      <c r="Y55"/>
      <c r="Z55"/>
      <c r="AA55"/>
      <c r="AB55"/>
      <c r="AC55"/>
      <c r="AD55"/>
    </row>
    <row r="56" spans="1:39" s="10" customFormat="1" hidden="1" x14ac:dyDescent="0.25">
      <c r="A56" s="55">
        <f t="shared" si="2"/>
        <v>54</v>
      </c>
      <c r="B56" s="246">
        <v>44321</v>
      </c>
      <c r="C56" s="115"/>
      <c r="D56" s="23" t="s">
        <v>279</v>
      </c>
      <c r="E56" s="6" t="s">
        <v>516</v>
      </c>
      <c r="F56" s="101">
        <v>3267326.7</v>
      </c>
      <c r="G56" s="139" t="s">
        <v>766</v>
      </c>
      <c r="H56" s="25">
        <v>44336</v>
      </c>
      <c r="I56" s="186">
        <f t="shared" si="16"/>
        <v>3267326.7</v>
      </c>
      <c r="J56" s="28"/>
      <c r="K56" s="169">
        <f t="shared" si="20"/>
        <v>32673.267000000003</v>
      </c>
      <c r="L56" s="169">
        <f t="shared" si="21"/>
        <v>65346.534000000007</v>
      </c>
      <c r="M56" s="289">
        <v>3234653.4330000002</v>
      </c>
      <c r="N56" s="169">
        <f t="shared" si="22"/>
        <v>0</v>
      </c>
      <c r="O56" s="249">
        <v>44364</v>
      </c>
      <c r="P56" s="1103"/>
      <c r="Q56" s="286">
        <v>44372</v>
      </c>
      <c r="R56" s="226">
        <f>Q56-O56</f>
        <v>8</v>
      </c>
      <c r="S56" s="226">
        <f t="shared" si="15"/>
        <v>51</v>
      </c>
      <c r="T56"/>
      <c r="U56"/>
      <c r="V56"/>
      <c r="W56"/>
      <c r="X56"/>
      <c r="Y56"/>
      <c r="Z56"/>
      <c r="AA56"/>
      <c r="AB56"/>
      <c r="AC56"/>
      <c r="AD56"/>
    </row>
    <row r="57" spans="1:39" s="10" customFormat="1" hidden="1" x14ac:dyDescent="0.25">
      <c r="A57" s="55">
        <f t="shared" si="2"/>
        <v>55</v>
      </c>
      <c r="B57" s="246">
        <v>44336</v>
      </c>
      <c r="C57" s="115"/>
      <c r="D57" s="23" t="s">
        <v>279</v>
      </c>
      <c r="E57" s="6" t="s">
        <v>809</v>
      </c>
      <c r="F57" s="101">
        <v>2277227.7000000002</v>
      </c>
      <c r="G57" s="139" t="s">
        <v>808</v>
      </c>
      <c r="H57" s="25">
        <v>44347</v>
      </c>
      <c r="I57" s="186">
        <f t="shared" si="16"/>
        <v>2277227.7000000002</v>
      </c>
      <c r="J57" s="28"/>
      <c r="K57" s="169">
        <f t="shared" si="20"/>
        <v>22772.277000000002</v>
      </c>
      <c r="L57" s="169">
        <f t="shared" si="21"/>
        <v>45544.554000000004</v>
      </c>
      <c r="M57" s="370">
        <v>2254455.4230000004</v>
      </c>
      <c r="N57" s="169">
        <f t="shared" si="22"/>
        <v>-2.3283064365386963E-10</v>
      </c>
      <c r="O57" s="249">
        <v>44378</v>
      </c>
      <c r="P57" s="1104" t="s">
        <v>951</v>
      </c>
      <c r="Q57" s="243">
        <v>44403</v>
      </c>
      <c r="R57" s="226">
        <f>Q57-O57</f>
        <v>25</v>
      </c>
      <c r="S57" s="226">
        <f t="shared" si="15"/>
        <v>67</v>
      </c>
      <c r="T57"/>
      <c r="U57"/>
      <c r="V57"/>
      <c r="W57"/>
      <c r="X57"/>
      <c r="Y57"/>
      <c r="Z57"/>
      <c r="AA57"/>
      <c r="AB57"/>
      <c r="AC57"/>
      <c r="AD57"/>
    </row>
    <row r="58" spans="1:39" s="10" customFormat="1" hidden="1" x14ac:dyDescent="0.25">
      <c r="A58" s="55">
        <f t="shared" si="2"/>
        <v>56</v>
      </c>
      <c r="B58" s="246">
        <v>44335</v>
      </c>
      <c r="C58" s="115"/>
      <c r="D58" s="23" t="s">
        <v>279</v>
      </c>
      <c r="E58" s="6" t="s">
        <v>811</v>
      </c>
      <c r="F58" s="101">
        <v>4059406</v>
      </c>
      <c r="G58" s="139" t="s">
        <v>810</v>
      </c>
      <c r="H58" s="25">
        <v>44347</v>
      </c>
      <c r="I58" s="186">
        <f t="shared" si="16"/>
        <v>4059406</v>
      </c>
      <c r="J58" s="28"/>
      <c r="K58" s="169">
        <f t="shared" si="20"/>
        <v>40594.06</v>
      </c>
      <c r="L58" s="169">
        <f t="shared" si="21"/>
        <v>81188.12</v>
      </c>
      <c r="M58" s="370">
        <v>4018811.94</v>
      </c>
      <c r="N58" s="169">
        <f t="shared" si="22"/>
        <v>-5.8207660913467407E-11</v>
      </c>
      <c r="O58" s="249">
        <v>44378</v>
      </c>
      <c r="P58" s="1109"/>
      <c r="Q58" s="243">
        <v>44403</v>
      </c>
      <c r="R58" s="226"/>
      <c r="S58" s="226"/>
      <c r="T58"/>
      <c r="U58"/>
      <c r="V58"/>
      <c r="W58"/>
      <c r="X58"/>
      <c r="Y58"/>
      <c r="Z58"/>
      <c r="AA58"/>
      <c r="AB58"/>
      <c r="AC58"/>
      <c r="AD58"/>
    </row>
    <row r="59" spans="1:39" s="10" customFormat="1" hidden="1" x14ac:dyDescent="0.25">
      <c r="A59" s="55">
        <f t="shared" si="2"/>
        <v>57</v>
      </c>
      <c r="B59" s="108">
        <v>44341</v>
      </c>
      <c r="C59" s="115"/>
      <c r="D59" s="23" t="s">
        <v>279</v>
      </c>
      <c r="E59" s="6" t="s">
        <v>881</v>
      </c>
      <c r="F59" s="101">
        <v>3267327</v>
      </c>
      <c r="G59" s="139" t="s">
        <v>873</v>
      </c>
      <c r="H59" s="25">
        <v>44349</v>
      </c>
      <c r="I59" s="186">
        <f t="shared" si="16"/>
        <v>3267327</v>
      </c>
      <c r="J59" s="28"/>
      <c r="K59" s="169">
        <f t="shared" ref="K59:K76" si="23">I59*1%</f>
        <v>32673.27</v>
      </c>
      <c r="L59" s="169">
        <f t="shared" ref="L59:L76" si="24">I59*2%</f>
        <v>65346.54</v>
      </c>
      <c r="M59" s="370">
        <v>3234653.73</v>
      </c>
      <c r="N59" s="169">
        <f t="shared" ref="N59:N76" si="25">I59-J59-L59-M59+K59</f>
        <v>0</v>
      </c>
      <c r="O59" s="249">
        <v>44378</v>
      </c>
      <c r="P59" s="1109"/>
      <c r="Q59" s="243">
        <v>44403</v>
      </c>
      <c r="R59" s="226"/>
      <c r="S59" s="226"/>
      <c r="T59"/>
      <c r="U59"/>
      <c r="V59"/>
      <c r="W59"/>
      <c r="X59"/>
      <c r="Y59"/>
      <c r="Z59"/>
      <c r="AA59"/>
      <c r="AB59"/>
      <c r="AC59"/>
      <c r="AD59"/>
    </row>
    <row r="60" spans="1:39" s="10" customFormat="1" hidden="1" x14ac:dyDescent="0.25">
      <c r="A60" s="55">
        <f t="shared" si="2"/>
        <v>58</v>
      </c>
      <c r="B60" s="108">
        <v>44321</v>
      </c>
      <c r="C60" s="115"/>
      <c r="D60" s="23" t="s">
        <v>279</v>
      </c>
      <c r="E60" s="6" t="s">
        <v>849</v>
      </c>
      <c r="F60" s="101">
        <v>3019802</v>
      </c>
      <c r="G60" s="139" t="s">
        <v>850</v>
      </c>
      <c r="H60" s="25">
        <v>44349</v>
      </c>
      <c r="I60" s="186">
        <f t="shared" si="16"/>
        <v>3019802</v>
      </c>
      <c r="J60" s="28"/>
      <c r="K60" s="169">
        <f t="shared" si="23"/>
        <v>30198.02</v>
      </c>
      <c r="L60" s="169">
        <f t="shared" si="24"/>
        <v>60396.04</v>
      </c>
      <c r="M60" s="370">
        <v>2989603.98</v>
      </c>
      <c r="N60" s="169">
        <f t="shared" si="25"/>
        <v>0</v>
      </c>
      <c r="O60" s="249">
        <v>44378</v>
      </c>
      <c r="P60" s="1109"/>
      <c r="Q60" s="243">
        <v>44403</v>
      </c>
      <c r="R60" s="226"/>
      <c r="S60" s="226"/>
      <c r="T60"/>
      <c r="U60"/>
      <c r="V60"/>
      <c r="W60"/>
      <c r="X60"/>
      <c r="Y60"/>
      <c r="Z60"/>
      <c r="AA60"/>
      <c r="AB60"/>
      <c r="AC60"/>
      <c r="AD60"/>
    </row>
    <row r="61" spans="1:39" s="10" customFormat="1" hidden="1" x14ac:dyDescent="0.25">
      <c r="A61" s="55">
        <f t="shared" si="2"/>
        <v>59</v>
      </c>
      <c r="B61" s="108">
        <v>44321</v>
      </c>
      <c r="C61" s="115"/>
      <c r="D61" s="23" t="s">
        <v>279</v>
      </c>
      <c r="E61" s="6" t="s">
        <v>285</v>
      </c>
      <c r="F61" s="101">
        <v>4059406</v>
      </c>
      <c r="G61" s="139" t="s">
        <v>852</v>
      </c>
      <c r="H61" s="25">
        <v>44349</v>
      </c>
      <c r="I61" s="186">
        <f t="shared" si="16"/>
        <v>4059406</v>
      </c>
      <c r="J61" s="28"/>
      <c r="K61" s="169">
        <f t="shared" si="23"/>
        <v>40594.06</v>
      </c>
      <c r="L61" s="169">
        <f t="shared" si="24"/>
        <v>81188.12</v>
      </c>
      <c r="M61" s="370">
        <v>4018811.94</v>
      </c>
      <c r="N61" s="169">
        <f t="shared" si="25"/>
        <v>-5.8207660913467407E-11</v>
      </c>
      <c r="O61" s="249">
        <v>44378</v>
      </c>
      <c r="P61" s="1109"/>
      <c r="Q61" s="243">
        <v>44403</v>
      </c>
      <c r="R61" s="226"/>
      <c r="S61" s="226"/>
      <c r="T61"/>
      <c r="U61"/>
      <c r="V61"/>
      <c r="W61"/>
      <c r="X61"/>
      <c r="Y61"/>
      <c r="Z61"/>
      <c r="AA61"/>
      <c r="AB61"/>
      <c r="AC61"/>
      <c r="AD61"/>
    </row>
    <row r="62" spans="1:39" s="10" customFormat="1" hidden="1" x14ac:dyDescent="0.25">
      <c r="A62" s="55">
        <f t="shared" si="2"/>
        <v>60</v>
      </c>
      <c r="B62" s="108">
        <v>44334</v>
      </c>
      <c r="C62" s="115"/>
      <c r="D62" s="23" t="s">
        <v>279</v>
      </c>
      <c r="E62" s="6" t="s">
        <v>315</v>
      </c>
      <c r="F62" s="101">
        <v>2178218</v>
      </c>
      <c r="G62" s="139" t="s">
        <v>853</v>
      </c>
      <c r="H62" s="25">
        <v>44349</v>
      </c>
      <c r="I62" s="186">
        <f t="shared" si="16"/>
        <v>2178218</v>
      </c>
      <c r="J62" s="28"/>
      <c r="K62" s="169">
        <f t="shared" si="23"/>
        <v>21782.18</v>
      </c>
      <c r="L62" s="169">
        <f t="shared" si="24"/>
        <v>43564.36</v>
      </c>
      <c r="M62" s="370">
        <v>2156435.8200000003</v>
      </c>
      <c r="N62" s="169">
        <f t="shared" si="25"/>
        <v>-1.673470251262188E-10</v>
      </c>
      <c r="O62" s="249">
        <v>44378</v>
      </c>
      <c r="P62" s="1109"/>
      <c r="Q62" s="243">
        <v>44403</v>
      </c>
      <c r="R62" s="226"/>
      <c r="S62" s="226"/>
      <c r="T62"/>
      <c r="U62"/>
      <c r="V62"/>
      <c r="W62"/>
      <c r="X62"/>
      <c r="Y62"/>
      <c r="Z62"/>
      <c r="AA62"/>
      <c r="AB62"/>
      <c r="AC62"/>
      <c r="AD62"/>
    </row>
    <row r="63" spans="1:39" s="10" customFormat="1" hidden="1" x14ac:dyDescent="0.25">
      <c r="A63" s="55">
        <f t="shared" si="2"/>
        <v>61</v>
      </c>
      <c r="B63" s="108">
        <v>44343</v>
      </c>
      <c r="C63" s="115"/>
      <c r="D63" s="23" t="s">
        <v>279</v>
      </c>
      <c r="E63" s="6" t="s">
        <v>838</v>
      </c>
      <c r="F63" s="101">
        <v>1782178</v>
      </c>
      <c r="G63" s="139" t="s">
        <v>882</v>
      </c>
      <c r="H63" s="25">
        <v>44349</v>
      </c>
      <c r="I63" s="186">
        <f t="shared" si="16"/>
        <v>1782178</v>
      </c>
      <c r="J63" s="28"/>
      <c r="K63" s="169">
        <f t="shared" si="23"/>
        <v>17821.78</v>
      </c>
      <c r="L63" s="169">
        <f t="shared" si="24"/>
        <v>35643.56</v>
      </c>
      <c r="M63" s="370">
        <v>1764356.22</v>
      </c>
      <c r="N63" s="169">
        <f t="shared" si="25"/>
        <v>-2.9103830456733704E-11</v>
      </c>
      <c r="O63" s="249">
        <v>44378</v>
      </c>
      <c r="P63" s="1110"/>
      <c r="Q63" s="243">
        <v>44403</v>
      </c>
      <c r="R63" s="226"/>
      <c r="S63" s="226"/>
      <c r="T63"/>
      <c r="U63"/>
      <c r="V63"/>
      <c r="W63"/>
      <c r="X63"/>
      <c r="Y63"/>
      <c r="Z63"/>
      <c r="AA63"/>
      <c r="AB63"/>
      <c r="AC63"/>
      <c r="AD63"/>
    </row>
    <row r="64" spans="1:39" s="10" customFormat="1" hidden="1" x14ac:dyDescent="0.25">
      <c r="A64" s="55">
        <f t="shared" si="2"/>
        <v>62</v>
      </c>
      <c r="B64" s="108">
        <v>44335</v>
      </c>
      <c r="C64" s="115"/>
      <c r="D64" s="23" t="s">
        <v>279</v>
      </c>
      <c r="E64" s="6" t="s">
        <v>848</v>
      </c>
      <c r="F64" s="101">
        <v>3019802</v>
      </c>
      <c r="G64" s="139" t="s">
        <v>855</v>
      </c>
      <c r="H64" s="25">
        <v>44356</v>
      </c>
      <c r="I64" s="186">
        <f t="shared" si="16"/>
        <v>3019802</v>
      </c>
      <c r="J64" s="28"/>
      <c r="K64" s="169">
        <f t="shared" si="23"/>
        <v>30198.02</v>
      </c>
      <c r="L64" s="169">
        <f t="shared" si="24"/>
        <v>60396.04</v>
      </c>
      <c r="M64" s="370">
        <v>2989603.98</v>
      </c>
      <c r="N64" s="169">
        <f t="shared" si="25"/>
        <v>0</v>
      </c>
      <c r="O64" s="302">
        <v>44385</v>
      </c>
      <c r="P64" s="1101">
        <v>125581</v>
      </c>
      <c r="Q64" s="243">
        <v>44403</v>
      </c>
      <c r="R64" s="226"/>
      <c r="S64" s="226"/>
      <c r="T64"/>
      <c r="U64"/>
      <c r="V64"/>
      <c r="W64"/>
      <c r="X64"/>
      <c r="Y64"/>
      <c r="Z64"/>
      <c r="AA64"/>
      <c r="AB64"/>
      <c r="AC64"/>
      <c r="AD64"/>
    </row>
    <row r="65" spans="1:30" s="10" customFormat="1" hidden="1" x14ac:dyDescent="0.25">
      <c r="A65" s="55">
        <f t="shared" si="2"/>
        <v>63</v>
      </c>
      <c r="B65" s="108">
        <v>44349</v>
      </c>
      <c r="C65" s="115"/>
      <c r="D65" s="23" t="s">
        <v>279</v>
      </c>
      <c r="E65" s="6" t="s">
        <v>32</v>
      </c>
      <c r="F65" s="101">
        <v>1485149</v>
      </c>
      <c r="G65" s="139" t="s">
        <v>958</v>
      </c>
      <c r="H65" s="25" t="s">
        <v>959</v>
      </c>
      <c r="I65" s="186">
        <f t="shared" si="16"/>
        <v>1485149</v>
      </c>
      <c r="J65" s="28"/>
      <c r="K65" s="169">
        <f t="shared" si="23"/>
        <v>14851.49</v>
      </c>
      <c r="L65" s="169">
        <f t="shared" si="24"/>
        <v>29702.98</v>
      </c>
      <c r="M65" s="370">
        <v>1470297.51</v>
      </c>
      <c r="N65" s="169">
        <f t="shared" si="25"/>
        <v>0</v>
      </c>
      <c r="O65" s="302">
        <v>44385</v>
      </c>
      <c r="P65" s="1102"/>
      <c r="Q65" s="243">
        <v>44403</v>
      </c>
      <c r="R65" s="226"/>
      <c r="S65" s="226"/>
      <c r="T65"/>
      <c r="U65"/>
      <c r="V65"/>
      <c r="W65"/>
      <c r="X65"/>
      <c r="Y65"/>
      <c r="Z65"/>
      <c r="AA65"/>
      <c r="AB65"/>
      <c r="AC65"/>
      <c r="AD65"/>
    </row>
    <row r="66" spans="1:30" s="10" customFormat="1" hidden="1" x14ac:dyDescent="0.25">
      <c r="A66" s="55">
        <f t="shared" si="2"/>
        <v>64</v>
      </c>
      <c r="B66" s="108">
        <v>44349</v>
      </c>
      <c r="C66" s="115"/>
      <c r="D66" s="23" t="s">
        <v>279</v>
      </c>
      <c r="E66" s="6" t="s">
        <v>417</v>
      </c>
      <c r="F66" s="101">
        <v>1980198</v>
      </c>
      <c r="G66" s="139" t="s">
        <v>960</v>
      </c>
      <c r="H66" s="25" t="s">
        <v>959</v>
      </c>
      <c r="I66" s="186">
        <f t="shared" si="16"/>
        <v>1980198</v>
      </c>
      <c r="J66" s="28"/>
      <c r="K66" s="169">
        <f t="shared" si="23"/>
        <v>19801.98</v>
      </c>
      <c r="L66" s="169">
        <f t="shared" si="24"/>
        <v>39603.96</v>
      </c>
      <c r="M66" s="370">
        <v>1960396.02</v>
      </c>
      <c r="N66" s="169">
        <f t="shared" si="25"/>
        <v>0</v>
      </c>
      <c r="O66" s="302">
        <v>44385</v>
      </c>
      <c r="P66" s="1102"/>
      <c r="Q66" s="243">
        <v>44403</v>
      </c>
      <c r="R66" s="226"/>
      <c r="S66" s="226"/>
      <c r="T66"/>
      <c r="U66"/>
      <c r="V66"/>
      <c r="W66"/>
      <c r="X66"/>
      <c r="Y66"/>
      <c r="Z66"/>
      <c r="AA66"/>
      <c r="AB66"/>
      <c r="AC66"/>
      <c r="AD66"/>
    </row>
    <row r="67" spans="1:30" s="10" customFormat="1" hidden="1" x14ac:dyDescent="0.25">
      <c r="A67" s="55">
        <f t="shared" si="2"/>
        <v>65</v>
      </c>
      <c r="B67" s="108">
        <v>44351</v>
      </c>
      <c r="C67" s="115"/>
      <c r="D67" s="23" t="s">
        <v>279</v>
      </c>
      <c r="E67" s="6" t="s">
        <v>962</v>
      </c>
      <c r="F67" s="101">
        <v>1782178</v>
      </c>
      <c r="G67" s="139" t="s">
        <v>961</v>
      </c>
      <c r="H67" s="25" t="s">
        <v>959</v>
      </c>
      <c r="I67" s="186">
        <f t="shared" si="16"/>
        <v>1782178</v>
      </c>
      <c r="J67" s="28"/>
      <c r="K67" s="169">
        <f t="shared" si="23"/>
        <v>17821.78</v>
      </c>
      <c r="L67" s="169">
        <f t="shared" si="24"/>
        <v>35643.56</v>
      </c>
      <c r="M67" s="370">
        <v>1764356.22</v>
      </c>
      <c r="N67" s="169">
        <f t="shared" si="25"/>
        <v>-2.9103830456733704E-11</v>
      </c>
      <c r="O67" s="302">
        <v>44385</v>
      </c>
      <c r="P67" s="1103"/>
      <c r="Q67" s="243">
        <v>44403</v>
      </c>
      <c r="R67" s="226"/>
      <c r="S67" s="226"/>
      <c r="T67"/>
      <c r="U67"/>
      <c r="V67"/>
      <c r="W67"/>
      <c r="X67"/>
      <c r="Y67"/>
      <c r="Z67"/>
      <c r="AA67"/>
      <c r="AB67"/>
      <c r="AC67"/>
      <c r="AD67"/>
    </row>
    <row r="68" spans="1:30" s="10" customFormat="1" hidden="1" x14ac:dyDescent="0.25">
      <c r="A68" s="55">
        <f t="shared" si="2"/>
        <v>66</v>
      </c>
      <c r="B68" s="108">
        <v>44349</v>
      </c>
      <c r="C68" s="115"/>
      <c r="D68" s="23" t="s">
        <v>279</v>
      </c>
      <c r="E68" s="6" t="s">
        <v>772</v>
      </c>
      <c r="F68" s="101">
        <v>3762376</v>
      </c>
      <c r="G68" s="139" t="s">
        <v>971</v>
      </c>
      <c r="H68" s="25" t="s">
        <v>970</v>
      </c>
      <c r="I68" s="186">
        <f t="shared" si="16"/>
        <v>3762376</v>
      </c>
      <c r="J68" s="28"/>
      <c r="K68" s="169">
        <f t="shared" si="23"/>
        <v>37623.760000000002</v>
      </c>
      <c r="L68" s="169">
        <f t="shared" si="24"/>
        <v>75247.520000000004</v>
      </c>
      <c r="M68" s="370">
        <v>3724752.2399999998</v>
      </c>
      <c r="N68" s="169">
        <f t="shared" si="25"/>
        <v>2.255546860396862E-10</v>
      </c>
      <c r="O68" s="302">
        <v>44392</v>
      </c>
      <c r="P68" s="1101">
        <v>124782</v>
      </c>
      <c r="Q68" s="243">
        <v>44403</v>
      </c>
      <c r="R68" s="226"/>
      <c r="S68" s="226"/>
      <c r="T68"/>
      <c r="U68"/>
      <c r="V68"/>
      <c r="W68"/>
      <c r="X68"/>
      <c r="Y68"/>
      <c r="Z68"/>
      <c r="AA68"/>
      <c r="AB68"/>
      <c r="AC68"/>
      <c r="AD68"/>
    </row>
    <row r="69" spans="1:30" s="10" customFormat="1" hidden="1" x14ac:dyDescent="0.25">
      <c r="A69" s="55">
        <f t="shared" si="2"/>
        <v>67</v>
      </c>
      <c r="B69" s="108">
        <v>44349</v>
      </c>
      <c r="C69" s="115"/>
      <c r="D69" s="23" t="s">
        <v>279</v>
      </c>
      <c r="E69" s="6" t="s">
        <v>811</v>
      </c>
      <c r="F69" s="101">
        <v>4059406</v>
      </c>
      <c r="G69" s="283" t="s">
        <v>972</v>
      </c>
      <c r="H69" s="25" t="s">
        <v>970</v>
      </c>
      <c r="I69" s="186">
        <f t="shared" si="16"/>
        <v>4059406</v>
      </c>
      <c r="J69" s="28"/>
      <c r="K69" s="169">
        <f t="shared" si="23"/>
        <v>40594.06</v>
      </c>
      <c r="L69" s="169">
        <f t="shared" si="24"/>
        <v>81188.12</v>
      </c>
      <c r="M69" s="370">
        <v>4018811.94</v>
      </c>
      <c r="N69" s="169">
        <f t="shared" si="25"/>
        <v>-5.8207660913467407E-11</v>
      </c>
      <c r="O69" s="302">
        <v>44392</v>
      </c>
      <c r="P69" s="1102"/>
      <c r="Q69" s="243">
        <v>44403</v>
      </c>
      <c r="R69" s="226"/>
      <c r="S69" s="226"/>
      <c r="T69"/>
      <c r="U69"/>
      <c r="V69"/>
      <c r="W69"/>
      <c r="X69"/>
      <c r="Y69"/>
      <c r="Z69"/>
      <c r="AA69"/>
      <c r="AB69"/>
      <c r="AC69"/>
      <c r="AD69"/>
    </row>
    <row r="70" spans="1:30" s="10" customFormat="1" hidden="1" x14ac:dyDescent="0.25">
      <c r="A70" s="55">
        <f t="shared" ref="A70:A87" si="26">A69+1</f>
        <v>68</v>
      </c>
      <c r="B70" s="108">
        <v>44358</v>
      </c>
      <c r="C70" s="115"/>
      <c r="D70" s="23" t="s">
        <v>279</v>
      </c>
      <c r="E70" s="6" t="s">
        <v>981</v>
      </c>
      <c r="F70" s="101">
        <v>1782178</v>
      </c>
      <c r="G70" s="283" t="s">
        <v>979</v>
      </c>
      <c r="H70" s="25" t="s">
        <v>980</v>
      </c>
      <c r="I70" s="186">
        <f t="shared" si="16"/>
        <v>1782178</v>
      </c>
      <c r="J70" s="28"/>
      <c r="K70" s="169">
        <f t="shared" si="23"/>
        <v>17821.78</v>
      </c>
      <c r="L70" s="169">
        <f t="shared" si="24"/>
        <v>35643.56</v>
      </c>
      <c r="M70" s="370">
        <v>1764356.22</v>
      </c>
      <c r="N70" s="169">
        <f t="shared" si="25"/>
        <v>-2.9103830456733704E-11</v>
      </c>
      <c r="O70" s="302">
        <v>44392</v>
      </c>
      <c r="P70" s="1102"/>
      <c r="Q70" s="243">
        <v>44403</v>
      </c>
      <c r="R70" s="226"/>
      <c r="S70" s="226"/>
      <c r="T70"/>
      <c r="U70"/>
      <c r="V70"/>
      <c r="W70"/>
      <c r="X70"/>
      <c r="Y70"/>
      <c r="Z70"/>
      <c r="AA70"/>
      <c r="AB70"/>
      <c r="AC70"/>
      <c r="AD70"/>
    </row>
    <row r="71" spans="1:30" s="10" customFormat="1" hidden="1" x14ac:dyDescent="0.25">
      <c r="A71" s="55">
        <f t="shared" si="26"/>
        <v>69</v>
      </c>
      <c r="B71" s="108">
        <v>44356</v>
      </c>
      <c r="C71" s="115"/>
      <c r="D71" s="23" t="s">
        <v>279</v>
      </c>
      <c r="E71" s="6" t="s">
        <v>983</v>
      </c>
      <c r="F71" s="101">
        <v>3267326.7</v>
      </c>
      <c r="G71" s="283" t="s">
        <v>982</v>
      </c>
      <c r="H71" s="25" t="s">
        <v>980</v>
      </c>
      <c r="I71" s="186">
        <f t="shared" si="16"/>
        <v>3267326.7</v>
      </c>
      <c r="J71" s="28"/>
      <c r="K71" s="169">
        <f t="shared" si="23"/>
        <v>32673.267000000003</v>
      </c>
      <c r="L71" s="169">
        <f t="shared" si="24"/>
        <v>65346.534000000007</v>
      </c>
      <c r="M71" s="370">
        <v>3234653.4330000002</v>
      </c>
      <c r="N71" s="169">
        <f t="shared" si="25"/>
        <v>0</v>
      </c>
      <c r="O71" s="302">
        <v>44392</v>
      </c>
      <c r="P71" s="1102"/>
      <c r="Q71" s="243">
        <v>44403</v>
      </c>
      <c r="R71" s="226"/>
      <c r="S71" s="226"/>
      <c r="T71"/>
      <c r="U71"/>
      <c r="V71"/>
      <c r="W71"/>
      <c r="X71"/>
      <c r="Y71"/>
      <c r="Z71"/>
      <c r="AA71"/>
      <c r="AB71"/>
      <c r="AC71"/>
      <c r="AD71"/>
    </row>
    <row r="72" spans="1:30" s="10" customFormat="1" hidden="1" x14ac:dyDescent="0.25">
      <c r="A72" s="55">
        <f t="shared" si="26"/>
        <v>70</v>
      </c>
      <c r="B72" s="108">
        <v>44322</v>
      </c>
      <c r="C72" s="115"/>
      <c r="D72" s="23" t="s">
        <v>279</v>
      </c>
      <c r="E72" s="6" t="s">
        <v>988</v>
      </c>
      <c r="F72" s="101">
        <v>15009900.9</v>
      </c>
      <c r="G72" s="283" t="s">
        <v>987</v>
      </c>
      <c r="H72" s="25" t="s">
        <v>984</v>
      </c>
      <c r="I72" s="186">
        <f t="shared" si="16"/>
        <v>15009900.9</v>
      </c>
      <c r="J72" s="28"/>
      <c r="K72" s="169">
        <f>I72*1%</f>
        <v>150099.00900000002</v>
      </c>
      <c r="L72" s="169">
        <f>I72*2%</f>
        <v>300198.01800000004</v>
      </c>
      <c r="M72" s="370">
        <v>14859801.891000001</v>
      </c>
      <c r="N72" s="169">
        <f>I72-J72-L72-M72+K72</f>
        <v>4.0745362639427185E-10</v>
      </c>
      <c r="O72" s="302">
        <v>44392</v>
      </c>
      <c r="P72" s="1103"/>
      <c r="Q72" s="243">
        <v>44403</v>
      </c>
      <c r="R72" s="226"/>
      <c r="S72" s="226"/>
      <c r="T72"/>
      <c r="U72"/>
      <c r="V72"/>
      <c r="W72"/>
      <c r="X72"/>
      <c r="Y72"/>
      <c r="Z72"/>
      <c r="AA72"/>
      <c r="AB72"/>
      <c r="AC72"/>
      <c r="AD72"/>
    </row>
    <row r="73" spans="1:30" s="10" customFormat="1" hidden="1" x14ac:dyDescent="0.25">
      <c r="A73" s="55">
        <f t="shared" si="26"/>
        <v>71</v>
      </c>
      <c r="B73" s="108">
        <v>44363</v>
      </c>
      <c r="C73" s="115"/>
      <c r="D73" s="23" t="s">
        <v>279</v>
      </c>
      <c r="E73" s="6" t="s">
        <v>417</v>
      </c>
      <c r="F73" s="101">
        <v>2178217.7999999998</v>
      </c>
      <c r="G73" s="283" t="s">
        <v>1003</v>
      </c>
      <c r="H73" s="25" t="s">
        <v>984</v>
      </c>
      <c r="I73" s="186">
        <f t="shared" si="16"/>
        <v>2178217.7999999998</v>
      </c>
      <c r="J73" s="28"/>
      <c r="K73" s="169">
        <f t="shared" si="23"/>
        <v>21782.178</v>
      </c>
      <c r="L73" s="169">
        <f t="shared" si="24"/>
        <v>43564.356</v>
      </c>
      <c r="M73" s="289">
        <v>2156435.6219999995</v>
      </c>
      <c r="N73" s="169">
        <f t="shared" si="25"/>
        <v>1.6007106751203537E-10</v>
      </c>
      <c r="O73" s="372">
        <v>44431</v>
      </c>
      <c r="P73" s="1106"/>
      <c r="Q73" s="243">
        <v>44446</v>
      </c>
      <c r="R73" s="226"/>
      <c r="S73" s="226"/>
      <c r="T73"/>
      <c r="U73"/>
      <c r="V73"/>
      <c r="W73"/>
      <c r="X73"/>
      <c r="Y73"/>
      <c r="Z73"/>
      <c r="AA73"/>
      <c r="AB73"/>
      <c r="AC73"/>
      <c r="AD73"/>
    </row>
    <row r="74" spans="1:30" s="10" customFormat="1" hidden="1" x14ac:dyDescent="0.25">
      <c r="A74" s="55">
        <f t="shared" si="26"/>
        <v>72</v>
      </c>
      <c r="B74" s="108">
        <v>44363</v>
      </c>
      <c r="C74" s="115"/>
      <c r="D74" s="23" t="s">
        <v>279</v>
      </c>
      <c r="E74" s="6" t="s">
        <v>421</v>
      </c>
      <c r="F74" s="101">
        <v>1485148.5</v>
      </c>
      <c r="G74" s="283" t="s">
        <v>986</v>
      </c>
      <c r="H74" s="25" t="s">
        <v>984</v>
      </c>
      <c r="I74" s="186">
        <f t="shared" si="16"/>
        <v>1485148.5</v>
      </c>
      <c r="J74" s="28"/>
      <c r="K74" s="169">
        <f t="shared" si="23"/>
        <v>14851.485000000001</v>
      </c>
      <c r="L74" s="169">
        <f t="shared" si="24"/>
        <v>29702.97</v>
      </c>
      <c r="M74" s="289">
        <v>1470297.0150000001</v>
      </c>
      <c r="N74" s="169">
        <f t="shared" si="25"/>
        <v>-1.0186340659856796E-10</v>
      </c>
      <c r="O74" s="372">
        <v>44431</v>
      </c>
      <c r="P74" s="1107"/>
      <c r="Q74" s="243">
        <v>44446</v>
      </c>
      <c r="R74" s="226"/>
      <c r="S74" s="226"/>
      <c r="T74"/>
      <c r="U74"/>
      <c r="V74"/>
      <c r="W74"/>
      <c r="X74"/>
      <c r="Y74"/>
      <c r="Z74"/>
      <c r="AA74"/>
      <c r="AB74"/>
      <c r="AC74"/>
      <c r="AD74"/>
    </row>
    <row r="75" spans="1:30" s="10" customFormat="1" hidden="1" x14ac:dyDescent="0.25">
      <c r="A75" s="55">
        <f t="shared" si="26"/>
        <v>73</v>
      </c>
      <c r="B75" s="108">
        <v>44363</v>
      </c>
      <c r="C75" s="115"/>
      <c r="D75" s="23" t="s">
        <v>279</v>
      </c>
      <c r="E75" s="6" t="s">
        <v>994</v>
      </c>
      <c r="F75" s="101">
        <v>3267327</v>
      </c>
      <c r="G75" s="283" t="s">
        <v>1009</v>
      </c>
      <c r="H75" s="25" t="s">
        <v>993</v>
      </c>
      <c r="I75" s="186">
        <f t="shared" si="16"/>
        <v>3267327</v>
      </c>
      <c r="J75" s="28"/>
      <c r="K75" s="169">
        <f t="shared" si="23"/>
        <v>32673.27</v>
      </c>
      <c r="L75" s="169">
        <f t="shared" si="24"/>
        <v>65346.54</v>
      </c>
      <c r="M75" s="289">
        <v>3234653.73</v>
      </c>
      <c r="N75" s="169">
        <f t="shared" si="25"/>
        <v>0</v>
      </c>
      <c r="O75" s="372">
        <v>44431</v>
      </c>
      <c r="P75" s="1107"/>
      <c r="Q75" s="243">
        <v>44446</v>
      </c>
      <c r="R75" s="226"/>
      <c r="S75" s="226"/>
      <c r="T75"/>
      <c r="U75"/>
      <c r="V75"/>
      <c r="W75"/>
      <c r="X75"/>
      <c r="Y75"/>
      <c r="Z75"/>
      <c r="AA75"/>
      <c r="AB75"/>
      <c r="AC75"/>
      <c r="AD75"/>
    </row>
    <row r="76" spans="1:30" s="10" customFormat="1" hidden="1" x14ac:dyDescent="0.25">
      <c r="A76" s="55">
        <f t="shared" si="26"/>
        <v>74</v>
      </c>
      <c r="B76" s="108">
        <v>44363</v>
      </c>
      <c r="C76" s="115"/>
      <c r="D76" s="23" t="s">
        <v>279</v>
      </c>
      <c r="E76" s="6" t="s">
        <v>772</v>
      </c>
      <c r="F76" s="101">
        <v>3019801.9</v>
      </c>
      <c r="G76" s="283" t="s">
        <v>1010</v>
      </c>
      <c r="H76" s="25" t="s">
        <v>993</v>
      </c>
      <c r="I76" s="186">
        <f t="shared" si="16"/>
        <v>3019801.9</v>
      </c>
      <c r="J76" s="28"/>
      <c r="K76" s="169">
        <f t="shared" si="23"/>
        <v>30198.019</v>
      </c>
      <c r="L76" s="169">
        <f t="shared" si="24"/>
        <v>60396.038</v>
      </c>
      <c r="M76" s="289">
        <v>2989603.8809999996</v>
      </c>
      <c r="N76" s="169">
        <f t="shared" si="25"/>
        <v>1.4551915228366852E-10</v>
      </c>
      <c r="O76" s="372">
        <v>44431</v>
      </c>
      <c r="P76" s="1107"/>
      <c r="Q76" s="243">
        <v>44446</v>
      </c>
      <c r="R76" s="226"/>
      <c r="S76" s="226"/>
      <c r="T76"/>
      <c r="U76"/>
      <c r="V76"/>
      <c r="W76"/>
      <c r="X76"/>
      <c r="Y76"/>
      <c r="Z76"/>
      <c r="AA76"/>
      <c r="AB76"/>
      <c r="AC76"/>
      <c r="AD76"/>
    </row>
    <row r="77" spans="1:30" s="10" customFormat="1" hidden="1" x14ac:dyDescent="0.25">
      <c r="A77" s="55">
        <f t="shared" si="26"/>
        <v>75</v>
      </c>
      <c r="B77" s="108">
        <v>44384</v>
      </c>
      <c r="C77" s="115" t="s">
        <v>1688</v>
      </c>
      <c r="D77" s="23" t="s">
        <v>412</v>
      </c>
      <c r="E77" s="6" t="s">
        <v>1206</v>
      </c>
      <c r="F77" s="101">
        <v>3465347</v>
      </c>
      <c r="G77" s="283" t="s">
        <v>1204</v>
      </c>
      <c r="H77" s="25" t="s">
        <v>1200</v>
      </c>
      <c r="I77" s="186">
        <f t="shared" si="16"/>
        <v>3465347</v>
      </c>
      <c r="J77" s="28"/>
      <c r="K77" s="169">
        <f t="shared" ref="K77:K78" si="27">I77*1%</f>
        <v>34653.47</v>
      </c>
      <c r="L77" s="169">
        <f t="shared" ref="L77:L78" si="28">I77*2%</f>
        <v>69306.94</v>
      </c>
      <c r="M77" s="289">
        <v>3430693.5300000003</v>
      </c>
      <c r="N77" s="169">
        <f t="shared" ref="N77:N86" si="29">I77-J77-L77-M77+K77</f>
        <v>-2.0372681319713593E-10</v>
      </c>
      <c r="O77" s="372">
        <v>44431</v>
      </c>
      <c r="P77" s="1107"/>
      <c r="Q77" s="243">
        <v>44446</v>
      </c>
      <c r="R77" s="226"/>
      <c r="S77" s="226"/>
      <c r="T77"/>
      <c r="U77"/>
      <c r="V77"/>
      <c r="W77"/>
      <c r="X77"/>
      <c r="Y77"/>
      <c r="Z77"/>
      <c r="AA77"/>
      <c r="AB77"/>
      <c r="AC77"/>
      <c r="AD77"/>
    </row>
    <row r="78" spans="1:30" s="10" customFormat="1" hidden="1" x14ac:dyDescent="0.25">
      <c r="A78" s="55">
        <f t="shared" si="26"/>
        <v>76</v>
      </c>
      <c r="B78" s="371">
        <v>44391</v>
      </c>
      <c r="C78" s="115" t="s">
        <v>1207</v>
      </c>
      <c r="D78" s="23" t="s">
        <v>412</v>
      </c>
      <c r="E78" s="6" t="s">
        <v>417</v>
      </c>
      <c r="F78" s="101">
        <v>1683168</v>
      </c>
      <c r="G78" s="283" t="s">
        <v>1208</v>
      </c>
      <c r="H78" s="25" t="s">
        <v>1209</v>
      </c>
      <c r="I78" s="186">
        <f t="shared" si="16"/>
        <v>1683168</v>
      </c>
      <c r="J78" s="28"/>
      <c r="K78" s="169">
        <f t="shared" si="27"/>
        <v>16831.68</v>
      </c>
      <c r="L78" s="169">
        <f t="shared" si="28"/>
        <v>33663.360000000001</v>
      </c>
      <c r="M78" s="289">
        <v>1666336.3199999998</v>
      </c>
      <c r="N78" s="169">
        <f t="shared" si="29"/>
        <v>6.5483618527650833E-11</v>
      </c>
      <c r="O78" s="372">
        <v>44431</v>
      </c>
      <c r="P78" s="1108"/>
      <c r="Q78" s="243">
        <v>44446</v>
      </c>
      <c r="R78" s="226"/>
      <c r="S78" s="226"/>
      <c r="T78"/>
      <c r="U78"/>
      <c r="V78"/>
      <c r="W78"/>
      <c r="X78"/>
      <c r="Y78"/>
      <c r="Z78"/>
      <c r="AA78"/>
      <c r="AB78"/>
      <c r="AC78"/>
      <c r="AD78"/>
    </row>
    <row r="79" spans="1:30" s="10" customFormat="1" hidden="1" x14ac:dyDescent="0.25">
      <c r="A79" s="55">
        <f t="shared" si="26"/>
        <v>77</v>
      </c>
      <c r="B79" s="108">
        <v>44393</v>
      </c>
      <c r="C79" s="115"/>
      <c r="D79" s="23" t="s">
        <v>412</v>
      </c>
      <c r="E79" s="6" t="s">
        <v>582</v>
      </c>
      <c r="F79" s="101">
        <v>5148515</v>
      </c>
      <c r="G79" s="378" t="s">
        <v>1401</v>
      </c>
      <c r="H79" s="25" t="s">
        <v>1352</v>
      </c>
      <c r="I79" s="186">
        <f t="shared" si="16"/>
        <v>5148515</v>
      </c>
      <c r="J79" s="28"/>
      <c r="K79" s="169">
        <f t="shared" ref="K79:K82" si="30">I79*1%</f>
        <v>51485.15</v>
      </c>
      <c r="L79" s="169">
        <f t="shared" ref="L79:L82" si="31">I79*2%</f>
        <v>102970.3</v>
      </c>
      <c r="M79" s="28"/>
      <c r="N79" s="169">
        <f t="shared" si="29"/>
        <v>5097029.8500000006</v>
      </c>
      <c r="O79" s="445">
        <v>44436</v>
      </c>
      <c r="P79" s="5"/>
      <c r="Q79" s="243">
        <v>44531</v>
      </c>
      <c r="R79" s="226"/>
      <c r="S79" s="226"/>
      <c r="T79"/>
      <c r="U79"/>
      <c r="V79"/>
      <c r="W79"/>
      <c r="X79"/>
      <c r="Y79"/>
      <c r="Z79"/>
      <c r="AA79"/>
      <c r="AB79"/>
      <c r="AC79"/>
      <c r="AD79"/>
    </row>
    <row r="80" spans="1:30" s="10" customFormat="1" hidden="1" x14ac:dyDescent="0.25">
      <c r="A80" s="55">
        <f t="shared" si="26"/>
        <v>78</v>
      </c>
      <c r="B80" s="108">
        <v>44427</v>
      </c>
      <c r="C80" s="115"/>
      <c r="D80" s="23" t="s">
        <v>412</v>
      </c>
      <c r="E80" s="6" t="s">
        <v>521</v>
      </c>
      <c r="F80" s="101">
        <v>583218</v>
      </c>
      <c r="G80" s="283" t="s">
        <v>1866</v>
      </c>
      <c r="H80" s="25">
        <v>44446</v>
      </c>
      <c r="I80" s="186">
        <f t="shared" si="16"/>
        <v>583218</v>
      </c>
      <c r="J80" s="28"/>
      <c r="K80" s="169">
        <f t="shared" si="30"/>
        <v>5832.18</v>
      </c>
      <c r="L80" s="169">
        <f t="shared" si="31"/>
        <v>11664.36</v>
      </c>
      <c r="M80" s="28"/>
      <c r="N80" s="169">
        <f t="shared" si="29"/>
        <v>577385.82000000007</v>
      </c>
      <c r="O80" s="445">
        <v>44476</v>
      </c>
      <c r="P80" s="5"/>
      <c r="Q80" s="243">
        <v>44531</v>
      </c>
      <c r="R80" s="226"/>
      <c r="S80" s="226"/>
      <c r="T80"/>
      <c r="U80"/>
      <c r="V80"/>
      <c r="W80"/>
      <c r="X80"/>
      <c r="Y80"/>
      <c r="Z80"/>
      <c r="AA80"/>
      <c r="AB80"/>
      <c r="AC80"/>
      <c r="AD80"/>
    </row>
    <row r="81" spans="1:30" s="10" customFormat="1" x14ac:dyDescent="0.25">
      <c r="A81" s="55">
        <f t="shared" si="26"/>
        <v>79</v>
      </c>
      <c r="B81" s="108">
        <v>44475</v>
      </c>
      <c r="C81" s="115"/>
      <c r="D81" s="23" t="s">
        <v>412</v>
      </c>
      <c r="E81" s="6" t="s">
        <v>417</v>
      </c>
      <c r="F81" s="101">
        <v>1980198</v>
      </c>
      <c r="G81" s="283" t="s">
        <v>2124</v>
      </c>
      <c r="H81" s="25">
        <v>44484</v>
      </c>
      <c r="I81" s="186">
        <f t="shared" si="16"/>
        <v>1980198</v>
      </c>
      <c r="J81" s="28"/>
      <c r="K81" s="169">
        <f t="shared" si="30"/>
        <v>19801.98</v>
      </c>
      <c r="L81" s="169">
        <f t="shared" si="31"/>
        <v>39603.96</v>
      </c>
      <c r="M81" s="28"/>
      <c r="N81" s="169">
        <f t="shared" si="29"/>
        <v>1960396.02</v>
      </c>
      <c r="O81" s="445">
        <v>44515</v>
      </c>
      <c r="P81" s="1106"/>
      <c r="Q81" s="243"/>
      <c r="R81" s="226"/>
      <c r="S81" s="226"/>
      <c r="T81"/>
      <c r="U81"/>
      <c r="V81"/>
      <c r="W81"/>
      <c r="X81"/>
      <c r="Y81"/>
      <c r="Z81"/>
      <c r="AA81"/>
      <c r="AB81"/>
      <c r="AC81"/>
      <c r="AD81"/>
    </row>
    <row r="82" spans="1:30" s="10" customFormat="1" ht="14.25" customHeight="1" x14ac:dyDescent="0.25">
      <c r="A82" s="55">
        <f t="shared" si="26"/>
        <v>80</v>
      </c>
      <c r="B82" s="108">
        <v>44482</v>
      </c>
      <c r="C82" s="115"/>
      <c r="D82" s="23" t="s">
        <v>412</v>
      </c>
      <c r="E82" s="6" t="s">
        <v>417</v>
      </c>
      <c r="F82" s="101">
        <v>1980198</v>
      </c>
      <c r="G82" s="283" t="s">
        <v>2126</v>
      </c>
      <c r="H82" s="25">
        <v>44484</v>
      </c>
      <c r="I82" s="186">
        <f t="shared" si="16"/>
        <v>1980198</v>
      </c>
      <c r="J82" s="28"/>
      <c r="K82" s="169">
        <f t="shared" si="30"/>
        <v>19801.98</v>
      </c>
      <c r="L82" s="169">
        <f t="shared" si="31"/>
        <v>39603.96</v>
      </c>
      <c r="M82" s="28"/>
      <c r="N82" s="169">
        <f t="shared" si="29"/>
        <v>1960396.02</v>
      </c>
      <c r="O82" s="445">
        <v>44515</v>
      </c>
      <c r="P82" s="1107"/>
      <c r="Q82" s="243"/>
      <c r="R82" s="226"/>
      <c r="S82" s="226"/>
      <c r="T82"/>
      <c r="U82"/>
      <c r="V82"/>
      <c r="W82"/>
      <c r="X82"/>
      <c r="Y82"/>
      <c r="Z82"/>
      <c r="AA82"/>
      <c r="AB82"/>
      <c r="AC82"/>
      <c r="AD82"/>
    </row>
    <row r="83" spans="1:30" s="10" customFormat="1" ht="14.25" customHeight="1" x14ac:dyDescent="0.25">
      <c r="A83" s="55">
        <f t="shared" si="26"/>
        <v>81</v>
      </c>
      <c r="B83" s="108">
        <v>44483</v>
      </c>
      <c r="C83" s="115"/>
      <c r="D83" s="23" t="s">
        <v>412</v>
      </c>
      <c r="E83" s="6" t="s">
        <v>521</v>
      </c>
      <c r="F83" s="101">
        <v>643500</v>
      </c>
      <c r="G83" s="575" t="s">
        <v>2392</v>
      </c>
      <c r="H83" s="25">
        <v>44501</v>
      </c>
      <c r="I83" s="186">
        <f t="shared" ref="I83" si="32">F83</f>
        <v>643500</v>
      </c>
      <c r="J83" s="28"/>
      <c r="K83" s="169">
        <f t="shared" ref="K83" si="33">I83*1%</f>
        <v>6435</v>
      </c>
      <c r="L83" s="169">
        <f t="shared" ref="L83" si="34">I83*2%</f>
        <v>12870</v>
      </c>
      <c r="M83" s="28"/>
      <c r="N83" s="169">
        <f t="shared" si="29"/>
        <v>637065</v>
      </c>
      <c r="O83" s="445">
        <v>44501</v>
      </c>
      <c r="P83" s="1108"/>
      <c r="Q83" s="243"/>
      <c r="R83" s="226"/>
      <c r="S83" s="226"/>
      <c r="T83"/>
      <c r="U83"/>
      <c r="V83"/>
      <c r="W83"/>
      <c r="X83"/>
      <c r="Y83"/>
      <c r="Z83"/>
      <c r="AA83"/>
      <c r="AB83"/>
      <c r="AC83"/>
      <c r="AD83"/>
    </row>
    <row r="84" spans="1:30" s="10" customFormat="1" x14ac:dyDescent="0.25">
      <c r="A84" s="55">
        <f t="shared" si="26"/>
        <v>82</v>
      </c>
      <c r="B84" s="108">
        <v>44504</v>
      </c>
      <c r="C84" s="115"/>
      <c r="D84" s="23" t="s">
        <v>412</v>
      </c>
      <c r="E84" s="6" t="s">
        <v>417</v>
      </c>
      <c r="F84" s="101">
        <v>1980198</v>
      </c>
      <c r="G84" s="283" t="s">
        <v>2490</v>
      </c>
      <c r="H84" s="25">
        <v>44512</v>
      </c>
      <c r="I84" s="186">
        <f t="shared" ref="I84:I86" si="35">F84</f>
        <v>1980198</v>
      </c>
      <c r="J84" s="28"/>
      <c r="K84" s="169">
        <f t="shared" ref="K84:K86" si="36">I84*1%</f>
        <v>19801.98</v>
      </c>
      <c r="L84" s="169">
        <f t="shared" ref="L84:L86" si="37">I84*2%</f>
        <v>39603.96</v>
      </c>
      <c r="M84" s="28"/>
      <c r="N84" s="169">
        <f t="shared" si="29"/>
        <v>1960396.02</v>
      </c>
      <c r="O84" s="224">
        <v>44542</v>
      </c>
      <c r="P84" s="5"/>
      <c r="Q84" s="243"/>
      <c r="R84" s="226"/>
      <c r="S84" s="226"/>
      <c r="T84"/>
      <c r="U84"/>
      <c r="V84"/>
      <c r="W84"/>
      <c r="X84"/>
      <c r="Y84"/>
      <c r="Z84"/>
      <c r="AA84"/>
      <c r="AB84"/>
      <c r="AC84"/>
      <c r="AD84"/>
    </row>
    <row r="85" spans="1:30" s="10" customFormat="1" x14ac:dyDescent="0.25">
      <c r="A85" s="55">
        <f t="shared" si="26"/>
        <v>83</v>
      </c>
      <c r="B85" s="108">
        <v>44504</v>
      </c>
      <c r="C85" s="115"/>
      <c r="D85" s="23" t="s">
        <v>412</v>
      </c>
      <c r="E85" s="6" t="s">
        <v>417</v>
      </c>
      <c r="F85" s="101">
        <v>1881188</v>
      </c>
      <c r="G85" s="283" t="s">
        <v>2492</v>
      </c>
      <c r="H85" s="25">
        <v>44512</v>
      </c>
      <c r="I85" s="186">
        <f t="shared" si="35"/>
        <v>1881188</v>
      </c>
      <c r="J85" s="28"/>
      <c r="K85" s="169">
        <f t="shared" si="36"/>
        <v>18811.88</v>
      </c>
      <c r="L85" s="169">
        <f t="shared" si="37"/>
        <v>37623.760000000002</v>
      </c>
      <c r="M85" s="28"/>
      <c r="N85" s="169">
        <f t="shared" si="29"/>
        <v>1862376.1199999999</v>
      </c>
      <c r="O85" s="224">
        <v>44542</v>
      </c>
      <c r="P85" s="5"/>
      <c r="Q85" s="243"/>
      <c r="R85" s="226"/>
      <c r="S85" s="226"/>
      <c r="T85"/>
      <c r="U85"/>
      <c r="V85"/>
      <c r="W85"/>
      <c r="X85"/>
      <c r="Y85"/>
      <c r="Z85"/>
      <c r="AA85"/>
      <c r="AB85"/>
      <c r="AC85"/>
      <c r="AD85"/>
    </row>
    <row r="86" spans="1:30" s="10" customFormat="1" x14ac:dyDescent="0.25">
      <c r="A86" s="55">
        <f t="shared" si="26"/>
        <v>84</v>
      </c>
      <c r="B86" s="108">
        <v>44508</v>
      </c>
      <c r="C86" s="115"/>
      <c r="D86" s="23" t="s">
        <v>412</v>
      </c>
      <c r="E86" s="6" t="s">
        <v>417</v>
      </c>
      <c r="F86" s="101">
        <v>1980198</v>
      </c>
      <c r="G86" s="283" t="s">
        <v>2493</v>
      </c>
      <c r="H86" s="25">
        <v>44512</v>
      </c>
      <c r="I86" s="186">
        <f t="shared" si="35"/>
        <v>1980198</v>
      </c>
      <c r="J86" s="28"/>
      <c r="K86" s="169">
        <f t="shared" si="36"/>
        <v>19801.98</v>
      </c>
      <c r="L86" s="169">
        <f t="shared" si="37"/>
        <v>39603.96</v>
      </c>
      <c r="M86" s="28"/>
      <c r="N86" s="169">
        <f t="shared" si="29"/>
        <v>1960396.02</v>
      </c>
      <c r="O86" s="224">
        <v>44542</v>
      </c>
      <c r="P86" s="5"/>
      <c r="Q86" s="243"/>
      <c r="R86" s="226"/>
      <c r="S86" s="226"/>
      <c r="T86"/>
      <c r="U86"/>
      <c r="V86"/>
      <c r="W86"/>
      <c r="X86"/>
      <c r="Y86"/>
      <c r="Z86"/>
      <c r="AA86"/>
      <c r="AB86"/>
      <c r="AC86"/>
      <c r="AD86"/>
    </row>
    <row r="87" spans="1:30" s="10" customFormat="1" hidden="1" x14ac:dyDescent="0.25">
      <c r="A87" s="55">
        <f t="shared" si="26"/>
        <v>85</v>
      </c>
      <c r="B87" s="108"/>
      <c r="C87" s="115"/>
      <c r="D87" s="23"/>
      <c r="E87" s="6"/>
      <c r="F87" s="101"/>
      <c r="G87" s="283"/>
      <c r="H87" s="25"/>
      <c r="I87" s="4"/>
      <c r="J87" s="28"/>
      <c r="K87" s="28"/>
      <c r="L87" s="28"/>
      <c r="M87" s="28"/>
      <c r="N87" s="4"/>
      <c r="O87" s="224"/>
      <c r="P87" s="5"/>
      <c r="Q87" s="243"/>
      <c r="R87" s="226"/>
      <c r="S87" s="226"/>
      <c r="T87"/>
      <c r="U87"/>
      <c r="V87"/>
      <c r="W87"/>
      <c r="X87"/>
      <c r="Y87"/>
      <c r="Z87"/>
      <c r="AA87"/>
      <c r="AB87"/>
      <c r="AC87"/>
      <c r="AD87"/>
    </row>
    <row r="88" spans="1:30" s="10" customFormat="1" x14ac:dyDescent="0.25">
      <c r="A88" s="55"/>
      <c r="B88" s="108"/>
      <c r="C88" s="115"/>
      <c r="D88" s="23"/>
      <c r="E88" s="6"/>
      <c r="F88" s="101"/>
      <c r="G88" s="283"/>
      <c r="H88" s="25"/>
      <c r="I88" s="4"/>
      <c r="J88" s="28"/>
      <c r="K88" s="28"/>
      <c r="L88" s="28"/>
      <c r="M88" s="28"/>
      <c r="N88" s="4"/>
      <c r="O88" s="224"/>
      <c r="P88" s="5"/>
      <c r="Q88" s="243"/>
      <c r="R88" s="226"/>
      <c r="S88" s="226"/>
      <c r="T88"/>
      <c r="U88"/>
      <c r="V88"/>
      <c r="W88"/>
      <c r="X88"/>
      <c r="Y88"/>
      <c r="Z88"/>
      <c r="AA88"/>
      <c r="AB88"/>
      <c r="AC88"/>
      <c r="AD88"/>
    </row>
    <row r="89" spans="1:30" s="10" customFormat="1" x14ac:dyDescent="0.25">
      <c r="A89" s="55"/>
      <c r="B89" s="108"/>
      <c r="C89" s="115"/>
      <c r="D89" s="23"/>
      <c r="E89" s="6"/>
      <c r="F89" s="101"/>
      <c r="G89" s="283"/>
      <c r="H89" s="25"/>
      <c r="I89" s="4"/>
      <c r="J89" s="28"/>
      <c r="K89" s="28"/>
      <c r="L89" s="28"/>
      <c r="M89" s="28"/>
      <c r="N89" s="4"/>
      <c r="O89" s="224"/>
      <c r="P89" s="5"/>
      <c r="Q89" s="243"/>
      <c r="R89" s="226"/>
      <c r="S89" s="226"/>
      <c r="T89"/>
      <c r="U89"/>
      <c r="V89"/>
      <c r="W89"/>
      <c r="X89"/>
      <c r="Y89"/>
      <c r="Z89"/>
      <c r="AA89"/>
      <c r="AB89"/>
      <c r="AC89"/>
      <c r="AD89"/>
    </row>
    <row r="90" spans="1:30" s="10" customFormat="1" x14ac:dyDescent="0.25">
      <c r="A90" s="55"/>
      <c r="B90" s="108"/>
      <c r="C90" s="115"/>
      <c r="D90" s="23"/>
      <c r="E90" s="6"/>
      <c r="F90" s="101"/>
      <c r="G90" s="139"/>
      <c r="H90" s="25"/>
      <c r="I90" s="4"/>
      <c r="J90" s="28"/>
      <c r="K90" s="28"/>
      <c r="L90" s="28"/>
      <c r="M90" s="28"/>
      <c r="N90" s="4"/>
      <c r="O90" s="224"/>
      <c r="P90" s="5"/>
      <c r="Q90" s="243"/>
      <c r="R90" s="226"/>
      <c r="S90" s="226"/>
      <c r="T90"/>
      <c r="U90"/>
      <c r="V90"/>
      <c r="W90"/>
      <c r="X90"/>
      <c r="Y90"/>
      <c r="Z90"/>
      <c r="AA90"/>
      <c r="AB90"/>
      <c r="AC90"/>
      <c r="AD90"/>
    </row>
    <row r="91" spans="1:30" s="10" customFormat="1" x14ac:dyDescent="0.25">
      <c r="A91" s="139"/>
      <c r="B91" s="108"/>
      <c r="C91" s="115"/>
      <c r="D91" s="23"/>
      <c r="E91" s="6"/>
      <c r="F91" s="101"/>
      <c r="G91" s="139"/>
      <c r="H91" s="25"/>
      <c r="I91" s="4"/>
      <c r="J91" s="28"/>
      <c r="K91" s="28"/>
      <c r="L91" s="28"/>
      <c r="M91" s="28"/>
      <c r="N91" s="4"/>
      <c r="O91" s="135"/>
      <c r="P91" s="5"/>
      <c r="Q91" s="243"/>
      <c r="R91" s="226"/>
      <c r="S91" s="226"/>
      <c r="T91"/>
      <c r="U91"/>
      <c r="V91"/>
      <c r="W91"/>
      <c r="X91"/>
      <c r="Y91"/>
      <c r="Z91"/>
      <c r="AA91"/>
      <c r="AB91"/>
      <c r="AC91"/>
      <c r="AD91"/>
    </row>
    <row r="92" spans="1:30" s="10" customFormat="1" x14ac:dyDescent="0.25">
      <c r="A92" s="139"/>
      <c r="B92" s="108"/>
      <c r="C92" s="115"/>
      <c r="D92" s="23"/>
      <c r="E92" s="6"/>
      <c r="F92" s="101"/>
      <c r="G92" s="139"/>
      <c r="H92" s="25"/>
      <c r="I92" s="4"/>
      <c r="J92" s="28"/>
      <c r="K92" s="28"/>
      <c r="L92" s="28"/>
      <c r="M92" s="28"/>
      <c r="N92" s="4"/>
      <c r="O92" s="135"/>
      <c r="P92" s="5"/>
      <c r="Q92" s="243"/>
      <c r="R92" s="226"/>
      <c r="S92" s="226"/>
      <c r="T92"/>
      <c r="U92"/>
      <c r="V92"/>
      <c r="W92"/>
      <c r="X92"/>
      <c r="Y92"/>
      <c r="Z92"/>
      <c r="AA92"/>
      <c r="AB92"/>
      <c r="AC92"/>
      <c r="AD92"/>
    </row>
    <row r="93" spans="1:30" s="10" customFormat="1" x14ac:dyDescent="0.25">
      <c r="A93" s="129"/>
      <c r="B93" s="108"/>
      <c r="C93" s="115"/>
      <c r="D93" s="23"/>
      <c r="E93" s="6"/>
      <c r="F93" s="101"/>
      <c r="G93" s="129"/>
      <c r="H93" s="25"/>
      <c r="I93" s="4"/>
      <c r="J93" s="28"/>
      <c r="K93" s="28"/>
      <c r="L93" s="28"/>
      <c r="M93" s="28"/>
      <c r="N93" s="4"/>
      <c r="O93" s="135"/>
      <c r="P93" s="5"/>
      <c r="Q93" s="243"/>
      <c r="R93" s="226"/>
      <c r="S93" s="226"/>
      <c r="T93"/>
      <c r="U93"/>
      <c r="V93"/>
      <c r="W93"/>
      <c r="X93"/>
      <c r="Y93"/>
      <c r="Z93"/>
      <c r="AA93"/>
      <c r="AB93"/>
      <c r="AC93"/>
      <c r="AD93"/>
    </row>
    <row r="94" spans="1:30" s="10" customFormat="1" x14ac:dyDescent="0.25">
      <c r="A94" s="127"/>
      <c r="B94" s="72"/>
      <c r="C94" s="70"/>
      <c r="D94" s="23"/>
      <c r="E94" s="53"/>
      <c r="F94" s="101"/>
      <c r="G94" s="70"/>
      <c r="H94" s="25"/>
      <c r="I94" s="4"/>
      <c r="J94" s="28"/>
      <c r="K94" s="28"/>
      <c r="L94" s="28"/>
      <c r="M94" s="28"/>
      <c r="N94" s="4"/>
      <c r="O94" s="135"/>
      <c r="P94" s="5"/>
      <c r="Q94" s="243"/>
      <c r="R94" s="226"/>
      <c r="S94" s="226"/>
      <c r="T94"/>
      <c r="U94"/>
      <c r="V94"/>
      <c r="W94"/>
      <c r="X94"/>
      <c r="Y94"/>
      <c r="Z94"/>
      <c r="AA94"/>
      <c r="AB94"/>
      <c r="AC94"/>
      <c r="AD94"/>
    </row>
    <row r="95" spans="1:30" s="10" customFormat="1" ht="32.25" customHeight="1" x14ac:dyDescent="0.25">
      <c r="A95" s="966" t="s">
        <v>399</v>
      </c>
      <c r="B95" s="975"/>
      <c r="C95" s="975"/>
      <c r="D95" s="975"/>
      <c r="E95" s="975"/>
      <c r="F95" s="975"/>
      <c r="G95" s="975"/>
      <c r="H95" s="975"/>
      <c r="I95" s="65">
        <f>I79+I80+I81+I82+I83</f>
        <v>10335629</v>
      </c>
      <c r="J95" s="65">
        <f t="shared" ref="J95:N95" si="38">J79+J80+J81+J82+J83</f>
        <v>0</v>
      </c>
      <c r="K95" s="65">
        <f t="shared" si="38"/>
        <v>103356.29</v>
      </c>
      <c r="L95" s="65">
        <f t="shared" si="38"/>
        <v>206712.58</v>
      </c>
      <c r="M95" s="65"/>
      <c r="N95" s="65">
        <f t="shared" si="38"/>
        <v>10232272.710000001</v>
      </c>
      <c r="O95" s="65"/>
      <c r="P95" s="48"/>
      <c r="Q95"/>
      <c r="R95"/>
      <c r="S95"/>
      <c r="T95"/>
      <c r="U95"/>
      <c r="V95"/>
      <c r="W95"/>
      <c r="X95"/>
      <c r="Y95"/>
      <c r="Z95"/>
      <c r="AA95"/>
      <c r="AB95"/>
      <c r="AC95"/>
      <c r="AD95"/>
    </row>
    <row r="96" spans="1:30" x14ac:dyDescent="0.25">
      <c r="A96" s="40"/>
      <c r="B96" s="41"/>
      <c r="C96" s="7"/>
      <c r="D96" s="7"/>
      <c r="E96" s="7"/>
      <c r="F96" s="42"/>
      <c r="G96" s="7"/>
      <c r="H96" s="7"/>
      <c r="I96"/>
      <c r="J96"/>
      <c r="K96"/>
      <c r="L96"/>
      <c r="M96"/>
      <c r="N96"/>
      <c r="O96"/>
    </row>
    <row r="97" spans="1:15" x14ac:dyDescent="0.25">
      <c r="A97" s="40"/>
      <c r="B97" s="41"/>
      <c r="C97" s="7"/>
      <c r="D97" s="7"/>
      <c r="E97" s="7"/>
      <c r="F97" s="42"/>
      <c r="G97" s="7"/>
      <c r="H97" s="7"/>
      <c r="I97"/>
      <c r="J97"/>
      <c r="K97"/>
      <c r="L97"/>
      <c r="M97"/>
      <c r="N97"/>
      <c r="O97"/>
    </row>
    <row r="98" spans="1:15" x14ac:dyDescent="0.25">
      <c r="A98" s="40"/>
      <c r="B98" s="41"/>
      <c r="C98" s="7"/>
      <c r="D98" s="7"/>
      <c r="E98" s="7"/>
      <c r="F98" s="42"/>
      <c r="G98" s="7"/>
      <c r="H98" s="7"/>
      <c r="I98"/>
      <c r="J98"/>
      <c r="K98"/>
      <c r="L98"/>
      <c r="M98"/>
      <c r="N98" s="16"/>
      <c r="O98" s="16"/>
    </row>
    <row r="99" spans="1:15" x14ac:dyDescent="0.25">
      <c r="A99" s="40"/>
      <c r="B99" s="41"/>
      <c r="C99" s="7"/>
      <c r="D99" s="7"/>
      <c r="E99" s="7"/>
      <c r="F99" s="42"/>
      <c r="G99" s="7"/>
      <c r="H99" s="7"/>
      <c r="I99"/>
      <c r="J99"/>
      <c r="K99"/>
      <c r="L99"/>
      <c r="M99"/>
      <c r="N99"/>
      <c r="O99"/>
    </row>
    <row r="100" spans="1:15" x14ac:dyDescent="0.25">
      <c r="A100" s="40"/>
      <c r="B100" s="41"/>
      <c r="C100" s="7"/>
      <c r="D100" s="7"/>
      <c r="E100" s="7"/>
      <c r="F100" s="42"/>
      <c r="G100" s="7"/>
      <c r="H100" s="7"/>
      <c r="I100"/>
      <c r="J100"/>
      <c r="K100"/>
      <c r="L100"/>
      <c r="M100"/>
      <c r="N100"/>
      <c r="O100"/>
    </row>
    <row r="101" spans="1:15" x14ac:dyDescent="0.25">
      <c r="A101" s="40"/>
      <c r="B101" s="41"/>
      <c r="C101" s="7"/>
      <c r="D101" s="7"/>
      <c r="E101" s="7"/>
      <c r="F101" s="42"/>
      <c r="G101" s="7"/>
      <c r="H101" s="7"/>
      <c r="I101"/>
      <c r="J101"/>
      <c r="K101"/>
      <c r="L101"/>
      <c r="M101"/>
      <c r="N101"/>
      <c r="O101"/>
    </row>
    <row r="102" spans="1:15" x14ac:dyDescent="0.25">
      <c r="A102" s="40"/>
      <c r="B102" s="41"/>
      <c r="C102" s="7"/>
      <c r="D102" s="7"/>
      <c r="E102" s="7"/>
      <c r="F102" s="42"/>
      <c r="G102" s="7"/>
      <c r="H102" s="7"/>
      <c r="I102"/>
      <c r="J102"/>
      <c r="K102"/>
      <c r="L102"/>
      <c r="M102"/>
      <c r="N102"/>
      <c r="O102"/>
    </row>
    <row r="103" spans="1:15" x14ac:dyDescent="0.25">
      <c r="A103" s="40"/>
      <c r="B103" s="41"/>
      <c r="C103" s="7"/>
      <c r="D103" s="7"/>
      <c r="E103" s="7"/>
      <c r="F103" s="42"/>
      <c r="G103" s="7"/>
      <c r="H103" s="7"/>
      <c r="I103"/>
      <c r="J103"/>
      <c r="K103"/>
      <c r="L103"/>
      <c r="M103"/>
      <c r="N103"/>
      <c r="O103"/>
    </row>
    <row r="104" spans="1:15" x14ac:dyDescent="0.25">
      <c r="A104" s="40"/>
      <c r="B104" s="41"/>
      <c r="C104" s="7"/>
      <c r="D104" s="7"/>
      <c r="E104" s="7"/>
      <c r="F104" s="42"/>
      <c r="G104" s="7"/>
      <c r="H104" s="7"/>
      <c r="I104"/>
      <c r="J104"/>
      <c r="K104"/>
      <c r="L104"/>
      <c r="M104"/>
      <c r="N104"/>
      <c r="O104"/>
    </row>
    <row r="105" spans="1:15" x14ac:dyDescent="0.25">
      <c r="A105" s="40"/>
      <c r="B105" s="41"/>
      <c r="C105" s="7"/>
      <c r="D105" s="7"/>
      <c r="E105" s="7"/>
      <c r="F105" s="42"/>
      <c r="G105" s="7"/>
      <c r="H105" s="7"/>
      <c r="I105"/>
      <c r="J105"/>
      <c r="K105"/>
      <c r="L105"/>
      <c r="M105"/>
      <c r="N105"/>
      <c r="O105"/>
    </row>
    <row r="106" spans="1:15" x14ac:dyDescent="0.25">
      <c r="A106" s="40"/>
      <c r="B106" s="41"/>
      <c r="C106" s="7"/>
      <c r="D106" s="7"/>
      <c r="E106" s="7"/>
      <c r="F106" s="42"/>
      <c r="G106" s="7"/>
      <c r="H106" s="7"/>
      <c r="I106"/>
      <c r="J106"/>
      <c r="K106"/>
      <c r="L106"/>
      <c r="M106"/>
      <c r="N106"/>
      <c r="O106"/>
    </row>
    <row r="107" spans="1:15" x14ac:dyDescent="0.25">
      <c r="A107" s="40"/>
      <c r="B107" s="41"/>
      <c r="C107" s="7"/>
      <c r="D107" s="7"/>
      <c r="E107" s="7"/>
      <c r="F107" s="42"/>
      <c r="G107" s="7"/>
      <c r="H107" s="7"/>
      <c r="I107"/>
      <c r="J107"/>
      <c r="K107"/>
      <c r="L107"/>
      <c r="M107"/>
      <c r="N107"/>
      <c r="O107"/>
    </row>
    <row r="108" spans="1:15" x14ac:dyDescent="0.25">
      <c r="A108" s="40"/>
      <c r="B108" s="41"/>
      <c r="C108" s="7"/>
      <c r="D108" s="7"/>
      <c r="E108" s="7"/>
      <c r="F108" s="42"/>
      <c r="G108" s="7"/>
      <c r="H108" s="7"/>
      <c r="I108"/>
      <c r="J108"/>
      <c r="K108"/>
      <c r="L108"/>
      <c r="M108"/>
      <c r="N108"/>
      <c r="O108"/>
    </row>
    <row r="109" spans="1:15" x14ac:dyDescent="0.25">
      <c r="A109" s="40"/>
      <c r="B109" s="41"/>
      <c r="C109" s="7"/>
      <c r="D109" s="7"/>
      <c r="E109" s="7"/>
      <c r="F109" s="42"/>
      <c r="G109" s="7"/>
      <c r="H109" s="7"/>
      <c r="I109"/>
      <c r="J109"/>
      <c r="K109"/>
      <c r="L109"/>
      <c r="M109"/>
      <c r="N109"/>
      <c r="O109"/>
    </row>
    <row r="110" spans="1:15" x14ac:dyDescent="0.25">
      <c r="A110" s="40"/>
      <c r="B110" s="41"/>
      <c r="C110" s="7"/>
      <c r="D110" s="7"/>
      <c r="E110" s="7"/>
      <c r="F110" s="42"/>
      <c r="G110" s="7"/>
      <c r="H110" s="7"/>
      <c r="I110"/>
      <c r="J110"/>
      <c r="K110"/>
      <c r="L110"/>
      <c r="M110"/>
      <c r="N110"/>
      <c r="O110"/>
    </row>
    <row r="111" spans="1:15" x14ac:dyDescent="0.25">
      <c r="A111" s="40"/>
      <c r="B111" s="41"/>
      <c r="C111" s="7"/>
      <c r="D111" s="7"/>
      <c r="E111" s="7"/>
      <c r="F111" s="42"/>
      <c r="G111" s="7"/>
      <c r="H111" s="7"/>
      <c r="I111"/>
      <c r="J111"/>
      <c r="K111"/>
      <c r="L111"/>
      <c r="M111"/>
      <c r="N111"/>
      <c r="O111"/>
    </row>
    <row r="112" spans="1:15" x14ac:dyDescent="0.25">
      <c r="A112" s="40"/>
      <c r="B112" s="41"/>
      <c r="C112" s="7"/>
      <c r="D112" s="7"/>
      <c r="E112" s="7"/>
      <c r="F112" s="42"/>
      <c r="G112" s="7"/>
      <c r="H112" s="7"/>
      <c r="I112"/>
      <c r="J112"/>
      <c r="K112"/>
      <c r="L112"/>
      <c r="M112"/>
      <c r="N112"/>
      <c r="O112"/>
    </row>
    <row r="113" spans="1:15" x14ac:dyDescent="0.25">
      <c r="A113" s="40"/>
      <c r="B113" s="41"/>
      <c r="C113" s="7"/>
      <c r="D113" s="7"/>
      <c r="E113" s="7"/>
      <c r="F113" s="42"/>
      <c r="G113" s="7"/>
      <c r="H113" s="7"/>
      <c r="I113"/>
      <c r="J113"/>
      <c r="K113"/>
      <c r="L113"/>
      <c r="M113"/>
      <c r="N113"/>
      <c r="O113"/>
    </row>
    <row r="114" spans="1:15" x14ac:dyDescent="0.25">
      <c r="A114" s="40"/>
      <c r="B114" s="41"/>
      <c r="C114" s="7"/>
      <c r="D114" s="7"/>
      <c r="E114" s="7"/>
      <c r="F114" s="42"/>
      <c r="G114" s="7"/>
      <c r="H114" s="7"/>
      <c r="I114"/>
      <c r="J114"/>
      <c r="K114"/>
      <c r="L114"/>
      <c r="M114"/>
      <c r="N114"/>
      <c r="O114"/>
    </row>
    <row r="115" spans="1:15" x14ac:dyDescent="0.25">
      <c r="A115" s="40"/>
      <c r="B115" s="41"/>
      <c r="C115" s="7"/>
      <c r="D115" s="7"/>
      <c r="E115" s="7"/>
      <c r="F115" s="42"/>
      <c r="G115" s="7"/>
      <c r="H115" s="7"/>
      <c r="I115"/>
      <c r="J115"/>
      <c r="K115"/>
      <c r="L115"/>
      <c r="M115"/>
      <c r="N115"/>
      <c r="O115"/>
    </row>
    <row r="116" spans="1:15" x14ac:dyDescent="0.25">
      <c r="A116" s="40"/>
      <c r="B116" s="41"/>
      <c r="C116" s="7"/>
      <c r="D116" s="7"/>
      <c r="E116" s="7"/>
      <c r="F116" s="42"/>
      <c r="G116" s="7"/>
      <c r="H116" s="7"/>
      <c r="I116"/>
      <c r="J116"/>
      <c r="K116"/>
      <c r="L116"/>
      <c r="M116"/>
      <c r="N116"/>
      <c r="O116"/>
    </row>
    <row r="117" spans="1:15" x14ac:dyDescent="0.25">
      <c r="A117" s="40"/>
      <c r="B117" s="41"/>
      <c r="C117" s="7"/>
      <c r="D117" s="7"/>
      <c r="E117" s="7"/>
      <c r="F117" s="42"/>
      <c r="G117" s="7"/>
      <c r="H117" s="7"/>
      <c r="I117"/>
      <c r="J117"/>
      <c r="K117"/>
      <c r="L117"/>
      <c r="M117"/>
      <c r="N117"/>
      <c r="O117"/>
    </row>
    <row r="118" spans="1:15" x14ac:dyDescent="0.25">
      <c r="A118" s="40"/>
      <c r="B118" s="41"/>
      <c r="C118" s="7"/>
      <c r="D118" s="7"/>
      <c r="E118" s="7"/>
      <c r="F118" s="42"/>
      <c r="G118" s="7"/>
      <c r="H118" s="7"/>
      <c r="I118"/>
      <c r="J118"/>
      <c r="K118"/>
      <c r="L118"/>
      <c r="M118"/>
      <c r="N118"/>
      <c r="O118"/>
    </row>
    <row r="119" spans="1:15" x14ac:dyDescent="0.25">
      <c r="A119" s="40"/>
      <c r="B119" s="41"/>
      <c r="C119" s="7"/>
      <c r="D119" s="7"/>
      <c r="E119" s="7"/>
      <c r="F119" s="42"/>
      <c r="G119" s="7"/>
      <c r="H119" s="7"/>
      <c r="I119"/>
      <c r="J119"/>
      <c r="K119"/>
      <c r="L119"/>
      <c r="M119"/>
      <c r="N119"/>
      <c r="O119"/>
    </row>
    <row r="120" spans="1:15" x14ac:dyDescent="0.25">
      <c r="A120" s="40"/>
      <c r="B120" s="41"/>
      <c r="C120" s="7"/>
      <c r="D120" s="7"/>
      <c r="E120" s="7"/>
      <c r="F120" s="42"/>
      <c r="G120" s="7"/>
      <c r="H120" s="7"/>
      <c r="I120"/>
      <c r="J120"/>
      <c r="K120"/>
      <c r="L120"/>
      <c r="M120"/>
      <c r="N120"/>
      <c r="O120"/>
    </row>
    <row r="121" spans="1:15" x14ac:dyDescent="0.25">
      <c r="A121" s="40"/>
      <c r="B121" s="41"/>
      <c r="C121" s="7"/>
      <c r="D121" s="7"/>
      <c r="E121" s="7"/>
      <c r="F121" s="42"/>
      <c r="G121" s="7"/>
      <c r="H121" s="7"/>
      <c r="I121"/>
      <c r="J121"/>
      <c r="K121"/>
      <c r="L121"/>
      <c r="M121"/>
      <c r="N121"/>
      <c r="O121"/>
    </row>
    <row r="122" spans="1:15" x14ac:dyDescent="0.25">
      <c r="A122" s="40"/>
      <c r="B122" s="41"/>
      <c r="C122" s="7"/>
      <c r="D122" s="7"/>
      <c r="E122" s="7"/>
      <c r="F122" s="42"/>
      <c r="G122" s="7"/>
      <c r="H122" s="7"/>
      <c r="I122"/>
      <c r="J122"/>
      <c r="K122"/>
      <c r="L122"/>
      <c r="M122"/>
      <c r="N122"/>
      <c r="O122"/>
    </row>
    <row r="123" spans="1:15" x14ac:dyDescent="0.25">
      <c r="A123" s="40"/>
      <c r="B123" s="41"/>
      <c r="C123" s="7"/>
      <c r="D123" s="7"/>
      <c r="E123" s="7"/>
      <c r="F123" s="42"/>
      <c r="G123" s="7"/>
      <c r="H123" s="7"/>
      <c r="I123"/>
      <c r="J123"/>
      <c r="K123"/>
      <c r="L123"/>
      <c r="M123"/>
      <c r="N123"/>
      <c r="O123"/>
    </row>
    <row r="124" spans="1:15" x14ac:dyDescent="0.25">
      <c r="A124" s="40"/>
      <c r="B124" s="41"/>
      <c r="C124" s="7"/>
      <c r="D124" s="7"/>
      <c r="E124" s="7"/>
      <c r="F124" s="42"/>
      <c r="G124" s="7"/>
      <c r="H124" s="7"/>
      <c r="I124"/>
      <c r="J124"/>
      <c r="K124"/>
      <c r="L124"/>
      <c r="M124"/>
      <c r="N124"/>
      <c r="O124"/>
    </row>
    <row r="125" spans="1:15" x14ac:dyDescent="0.25">
      <c r="A125" s="40"/>
      <c r="B125" s="41"/>
      <c r="C125" s="7"/>
      <c r="D125" s="7"/>
      <c r="E125" s="7"/>
      <c r="F125" s="42"/>
      <c r="G125" s="7"/>
      <c r="H125" s="7"/>
      <c r="I125"/>
      <c r="J125"/>
      <c r="K125"/>
      <c r="L125"/>
      <c r="M125"/>
      <c r="N125"/>
      <c r="O125"/>
    </row>
    <row r="126" spans="1:15" x14ac:dyDescent="0.25">
      <c r="A126" s="40"/>
      <c r="B126" s="41"/>
      <c r="C126" s="7"/>
      <c r="D126" s="7"/>
      <c r="E126" s="7"/>
      <c r="F126" s="42"/>
      <c r="G126" s="7"/>
      <c r="H126" s="7"/>
      <c r="I126"/>
      <c r="J126"/>
      <c r="K126"/>
      <c r="L126"/>
      <c r="M126"/>
      <c r="N126"/>
      <c r="O126"/>
    </row>
    <row r="127" spans="1:15" x14ac:dyDescent="0.25">
      <c r="A127" s="40"/>
      <c r="B127" s="41"/>
      <c r="C127" s="7"/>
      <c r="D127" s="7"/>
      <c r="E127" s="7"/>
      <c r="F127" s="42"/>
      <c r="G127" s="7"/>
      <c r="H127" s="7"/>
      <c r="I127"/>
      <c r="J127"/>
      <c r="K127"/>
      <c r="L127"/>
      <c r="M127"/>
      <c r="N127"/>
      <c r="O127"/>
    </row>
    <row r="128" spans="1:15" x14ac:dyDescent="0.25">
      <c r="A128" s="40"/>
      <c r="B128" s="41"/>
      <c r="C128" s="7"/>
      <c r="D128" s="7"/>
      <c r="E128" s="7"/>
      <c r="F128" s="42"/>
      <c r="G128" s="7"/>
      <c r="H128" s="7"/>
      <c r="I128"/>
      <c r="J128"/>
      <c r="K128"/>
      <c r="L128"/>
      <c r="M128"/>
      <c r="N128"/>
      <c r="O128"/>
    </row>
    <row r="129" spans="1:15" x14ac:dyDescent="0.25">
      <c r="A129" s="40"/>
      <c r="B129" s="41"/>
      <c r="C129" s="7"/>
      <c r="D129" s="7"/>
      <c r="E129" s="7"/>
      <c r="F129" s="42"/>
      <c r="G129" s="7"/>
      <c r="H129" s="7"/>
      <c r="I129"/>
      <c r="J129"/>
      <c r="K129"/>
      <c r="L129"/>
      <c r="M129"/>
      <c r="N129"/>
      <c r="O129"/>
    </row>
    <row r="130" spans="1:15" x14ac:dyDescent="0.25">
      <c r="A130" s="40"/>
      <c r="B130" s="41"/>
      <c r="C130" s="7"/>
      <c r="D130" s="7"/>
      <c r="E130" s="7"/>
      <c r="F130" s="42"/>
      <c r="G130" s="7"/>
      <c r="H130" s="7"/>
      <c r="I130"/>
      <c r="J130"/>
      <c r="K130"/>
      <c r="L130"/>
      <c r="M130"/>
      <c r="N130"/>
      <c r="O130"/>
    </row>
    <row r="131" spans="1:15" x14ac:dyDescent="0.25">
      <c r="A131" s="40"/>
      <c r="B131" s="41"/>
      <c r="C131" s="7"/>
      <c r="D131" s="7"/>
      <c r="E131" s="7"/>
      <c r="F131" s="42"/>
      <c r="G131" s="7"/>
      <c r="H131" s="7"/>
      <c r="I131"/>
      <c r="J131"/>
      <c r="K131"/>
      <c r="L131"/>
      <c r="M131"/>
      <c r="N131"/>
      <c r="O131"/>
    </row>
    <row r="132" spans="1:15" x14ac:dyDescent="0.25">
      <c r="A132" s="40"/>
      <c r="B132" s="41"/>
      <c r="C132" s="7"/>
      <c r="D132" s="7"/>
      <c r="E132" s="7"/>
      <c r="F132" s="42"/>
      <c r="G132" s="7"/>
      <c r="H132" s="7"/>
      <c r="I132"/>
      <c r="J132"/>
      <c r="K132"/>
      <c r="L132"/>
      <c r="M132"/>
      <c r="N132"/>
      <c r="O132"/>
    </row>
    <row r="133" spans="1:15" x14ac:dyDescent="0.25">
      <c r="A133" s="40"/>
      <c r="B133" s="41"/>
      <c r="C133" s="7"/>
      <c r="D133" s="7"/>
      <c r="E133" s="7"/>
      <c r="F133" s="42"/>
      <c r="G133" s="7"/>
      <c r="H133" s="7"/>
      <c r="I133"/>
      <c r="J133"/>
      <c r="K133"/>
      <c r="L133"/>
      <c r="M133"/>
      <c r="N133"/>
      <c r="O133"/>
    </row>
    <row r="134" spans="1:15" x14ac:dyDescent="0.25">
      <c r="A134" s="40"/>
      <c r="B134" s="41"/>
      <c r="C134" s="7"/>
      <c r="D134" s="7"/>
      <c r="E134" s="7"/>
      <c r="F134" s="42"/>
      <c r="G134" s="7"/>
      <c r="H134" s="7"/>
      <c r="I134"/>
      <c r="J134"/>
      <c r="K134"/>
      <c r="L134"/>
      <c r="M134"/>
      <c r="N134"/>
      <c r="O134"/>
    </row>
    <row r="135" spans="1:15" x14ac:dyDescent="0.25">
      <c r="A135" s="40"/>
      <c r="B135" s="41"/>
      <c r="C135" s="7"/>
      <c r="D135" s="7"/>
      <c r="E135" s="7"/>
      <c r="F135" s="42"/>
      <c r="G135" s="7"/>
      <c r="H135" s="7"/>
      <c r="I135"/>
      <c r="J135"/>
      <c r="K135"/>
      <c r="L135"/>
      <c r="M135"/>
      <c r="N135"/>
      <c r="O135"/>
    </row>
    <row r="136" spans="1:15" x14ac:dyDescent="0.25">
      <c r="A136" s="40"/>
      <c r="B136" s="41"/>
      <c r="C136" s="7"/>
      <c r="D136" s="7"/>
      <c r="E136" s="7"/>
      <c r="F136" s="42"/>
      <c r="G136" s="7"/>
      <c r="H136" s="7"/>
      <c r="I136"/>
      <c r="J136"/>
      <c r="K136"/>
      <c r="L136"/>
      <c r="M136"/>
      <c r="N136"/>
      <c r="O136"/>
    </row>
    <row r="137" spans="1:15" x14ac:dyDescent="0.25">
      <c r="A137" s="40"/>
      <c r="B137" s="41"/>
      <c r="C137" s="7"/>
      <c r="D137" s="7"/>
      <c r="E137" s="7"/>
      <c r="F137" s="42"/>
      <c r="G137" s="7"/>
      <c r="H137" s="7"/>
      <c r="I137"/>
      <c r="J137"/>
      <c r="K137"/>
      <c r="L137"/>
      <c r="M137"/>
      <c r="N137"/>
      <c r="O137"/>
    </row>
    <row r="138" spans="1:15" x14ac:dyDescent="0.25">
      <c r="A138" s="40"/>
      <c r="B138" s="41"/>
      <c r="C138" s="7"/>
      <c r="D138" s="7"/>
      <c r="E138" s="7"/>
      <c r="F138" s="42"/>
      <c r="G138" s="7"/>
      <c r="H138" s="7"/>
      <c r="I138"/>
      <c r="J138"/>
      <c r="K138"/>
      <c r="L138"/>
      <c r="M138"/>
      <c r="N138"/>
      <c r="O138"/>
    </row>
    <row r="139" spans="1:15" x14ac:dyDescent="0.25">
      <c r="A139" s="40"/>
      <c r="B139" s="41"/>
      <c r="C139" s="7"/>
      <c r="D139" s="7"/>
      <c r="E139" s="7"/>
      <c r="F139" s="42"/>
      <c r="G139" s="7"/>
      <c r="H139" s="7"/>
      <c r="I139"/>
      <c r="J139"/>
      <c r="K139"/>
      <c r="L139"/>
      <c r="M139"/>
      <c r="N139"/>
      <c r="O139"/>
    </row>
    <row r="140" spans="1:15" x14ac:dyDescent="0.25">
      <c r="A140" s="40"/>
      <c r="B140" s="41"/>
      <c r="C140" s="7"/>
      <c r="D140" s="7"/>
      <c r="E140" s="7"/>
      <c r="F140" s="42"/>
      <c r="G140" s="7"/>
      <c r="H140" s="7"/>
      <c r="I140"/>
      <c r="J140"/>
      <c r="K140"/>
      <c r="L140"/>
      <c r="M140"/>
      <c r="N140"/>
      <c r="O140"/>
    </row>
    <row r="141" spans="1:15" x14ac:dyDescent="0.25">
      <c r="A141" s="40"/>
      <c r="B141" s="41"/>
      <c r="C141" s="7"/>
      <c r="D141" s="7"/>
      <c r="E141" s="7"/>
      <c r="F141" s="42"/>
      <c r="G141" s="7"/>
      <c r="H141" s="7"/>
      <c r="I141"/>
      <c r="J141"/>
      <c r="K141"/>
      <c r="L141"/>
      <c r="M141"/>
      <c r="N141"/>
      <c r="O141"/>
    </row>
    <row r="142" spans="1:15" x14ac:dyDescent="0.25">
      <c r="A142" s="40"/>
      <c r="B142" s="41"/>
      <c r="C142" s="7"/>
      <c r="D142" s="7"/>
      <c r="E142" s="7"/>
      <c r="F142" s="42"/>
      <c r="G142" s="7"/>
      <c r="H142" s="7"/>
      <c r="I142"/>
      <c r="J142"/>
      <c r="K142"/>
      <c r="L142"/>
      <c r="M142"/>
      <c r="N142"/>
      <c r="O142"/>
    </row>
    <row r="143" spans="1:15" x14ac:dyDescent="0.25">
      <c r="A143" s="40"/>
      <c r="B143" s="41"/>
      <c r="C143" s="7"/>
      <c r="D143" s="7"/>
      <c r="E143" s="7"/>
      <c r="F143" s="42"/>
      <c r="G143" s="7"/>
      <c r="H143" s="7"/>
      <c r="I143"/>
      <c r="J143"/>
      <c r="K143"/>
      <c r="L143"/>
      <c r="M143"/>
      <c r="N143"/>
      <c r="O143"/>
    </row>
    <row r="144" spans="1:15" x14ac:dyDescent="0.25">
      <c r="A144" s="40"/>
      <c r="B144" s="41"/>
      <c r="C144" s="7"/>
      <c r="D144" s="7"/>
      <c r="E144" s="7"/>
      <c r="F144" s="42"/>
      <c r="G144" s="7"/>
      <c r="H144" s="7"/>
      <c r="I144"/>
      <c r="J144"/>
      <c r="K144"/>
      <c r="L144"/>
      <c r="M144"/>
      <c r="N144"/>
      <c r="O144"/>
    </row>
    <row r="145" spans="1:15" x14ac:dyDescent="0.25">
      <c r="A145" s="40"/>
      <c r="B145" s="41"/>
      <c r="C145" s="7"/>
      <c r="D145" s="7"/>
      <c r="E145" s="7"/>
      <c r="F145" s="42"/>
      <c r="G145" s="7"/>
      <c r="H145" s="7"/>
      <c r="I145"/>
      <c r="J145"/>
      <c r="K145"/>
      <c r="L145"/>
      <c r="M145"/>
      <c r="N145"/>
      <c r="O145"/>
    </row>
    <row r="146" spans="1:15" x14ac:dyDescent="0.25">
      <c r="A146" s="40"/>
      <c r="B146" s="41"/>
      <c r="C146" s="7"/>
      <c r="D146" s="7"/>
      <c r="E146" s="7"/>
      <c r="F146" s="42"/>
      <c r="G146" s="7"/>
      <c r="H146" s="7"/>
      <c r="I146"/>
      <c r="J146"/>
      <c r="K146"/>
      <c r="L146"/>
      <c r="M146"/>
      <c r="N146"/>
      <c r="O146"/>
    </row>
    <row r="147" spans="1:15" x14ac:dyDescent="0.25">
      <c r="A147" s="40"/>
      <c r="B147" s="41"/>
      <c r="C147" s="7"/>
      <c r="D147" s="7"/>
      <c r="E147" s="7"/>
      <c r="F147" s="42"/>
      <c r="G147" s="7"/>
      <c r="H147" s="7"/>
      <c r="I147"/>
      <c r="J147"/>
      <c r="K147"/>
      <c r="L147"/>
      <c r="M147"/>
      <c r="N147"/>
      <c r="O147"/>
    </row>
    <row r="148" spans="1:15" x14ac:dyDescent="0.25">
      <c r="A148" s="40"/>
      <c r="B148" s="41"/>
      <c r="C148" s="7"/>
      <c r="D148" s="7"/>
      <c r="E148" s="7"/>
      <c r="F148" s="42"/>
      <c r="G148" s="7"/>
      <c r="H148" s="7"/>
      <c r="I148"/>
      <c r="J148"/>
      <c r="K148"/>
      <c r="L148"/>
      <c r="M148"/>
      <c r="N148"/>
      <c r="O148"/>
    </row>
    <row r="149" spans="1:15" x14ac:dyDescent="0.25">
      <c r="A149" s="40"/>
      <c r="B149" s="41"/>
      <c r="C149" s="7"/>
      <c r="D149" s="7"/>
      <c r="E149" s="7"/>
      <c r="F149" s="42"/>
      <c r="G149" s="7"/>
      <c r="H149" s="7"/>
      <c r="I149"/>
      <c r="J149"/>
      <c r="K149"/>
      <c r="L149"/>
      <c r="M149"/>
      <c r="N149"/>
      <c r="O149"/>
    </row>
    <row r="150" spans="1:15" x14ac:dyDescent="0.25">
      <c r="A150" s="40"/>
      <c r="B150" s="41"/>
      <c r="C150" s="7"/>
      <c r="D150" s="7"/>
      <c r="E150" s="7"/>
      <c r="F150" s="42"/>
      <c r="G150" s="7"/>
      <c r="H150" s="7"/>
      <c r="I150"/>
      <c r="J150"/>
      <c r="K150"/>
      <c r="L150"/>
      <c r="M150"/>
      <c r="N150"/>
      <c r="O150"/>
    </row>
    <row r="151" spans="1:15" x14ac:dyDescent="0.25">
      <c r="A151" s="40"/>
      <c r="B151" s="41"/>
      <c r="C151" s="7"/>
      <c r="D151" s="7"/>
      <c r="E151" s="7"/>
      <c r="F151" s="42"/>
      <c r="G151" s="7"/>
      <c r="H151" s="7"/>
      <c r="I151"/>
      <c r="J151"/>
      <c r="K151"/>
      <c r="L151"/>
      <c r="M151"/>
      <c r="N151"/>
      <c r="O151"/>
    </row>
    <row r="152" spans="1:15" x14ac:dyDescent="0.25">
      <c r="A152" s="40"/>
      <c r="B152" s="41"/>
      <c r="C152" s="7"/>
      <c r="D152" s="7"/>
      <c r="E152" s="7"/>
      <c r="F152" s="42"/>
      <c r="G152" s="7"/>
      <c r="H152" s="7"/>
      <c r="I152"/>
      <c r="J152"/>
      <c r="K152"/>
      <c r="L152"/>
      <c r="M152"/>
      <c r="N152"/>
      <c r="O152"/>
    </row>
    <row r="153" spans="1:15" x14ac:dyDescent="0.25">
      <c r="A153" s="40"/>
      <c r="B153" s="41"/>
      <c r="C153" s="7"/>
      <c r="D153" s="7"/>
      <c r="E153" s="7"/>
      <c r="F153" s="42"/>
      <c r="G153" s="7"/>
      <c r="H153" s="7"/>
      <c r="I153"/>
      <c r="J153"/>
      <c r="K153"/>
      <c r="L153"/>
      <c r="M153"/>
      <c r="N153"/>
      <c r="O153"/>
    </row>
    <row r="154" spans="1:15" x14ac:dyDescent="0.25">
      <c r="A154" s="40"/>
      <c r="B154" s="41"/>
      <c r="C154" s="7"/>
      <c r="D154" s="7"/>
      <c r="E154" s="7"/>
      <c r="F154" s="42"/>
      <c r="G154" s="7"/>
      <c r="H154" s="7"/>
      <c r="I154"/>
      <c r="J154"/>
      <c r="K154"/>
      <c r="L154"/>
      <c r="M154"/>
      <c r="N154"/>
      <c r="O154"/>
    </row>
    <row r="155" spans="1:15" x14ac:dyDescent="0.25">
      <c r="A155" s="40"/>
      <c r="B155" s="41"/>
      <c r="C155" s="7"/>
      <c r="D155" s="7"/>
      <c r="E155" s="7"/>
      <c r="F155" s="42"/>
      <c r="G155" s="7"/>
      <c r="H155" s="7"/>
      <c r="I155"/>
      <c r="J155"/>
      <c r="K155"/>
      <c r="L155"/>
      <c r="M155"/>
      <c r="N155"/>
      <c r="O155"/>
    </row>
    <row r="156" spans="1:15" x14ac:dyDescent="0.25">
      <c r="A156" s="40"/>
      <c r="B156" s="41"/>
      <c r="C156" s="7"/>
      <c r="D156" s="7"/>
      <c r="E156" s="7"/>
      <c r="F156" s="42"/>
      <c r="G156" s="7"/>
      <c r="H156" s="7"/>
      <c r="I156"/>
      <c r="J156"/>
      <c r="K156"/>
      <c r="L156"/>
      <c r="M156"/>
      <c r="N156"/>
      <c r="O156"/>
    </row>
    <row r="157" spans="1:15" x14ac:dyDescent="0.25">
      <c r="A157" s="40"/>
      <c r="B157" s="41"/>
      <c r="C157" s="7"/>
      <c r="D157" s="7"/>
      <c r="E157" s="7"/>
      <c r="F157" s="42"/>
      <c r="G157" s="7"/>
      <c r="H157" s="7"/>
      <c r="I157"/>
      <c r="J157"/>
      <c r="K157"/>
      <c r="L157"/>
      <c r="M157"/>
      <c r="N157"/>
      <c r="O157"/>
    </row>
    <row r="158" spans="1:15" x14ac:dyDescent="0.25">
      <c r="A158" s="40"/>
      <c r="B158" s="41"/>
      <c r="C158" s="7"/>
      <c r="D158" s="7"/>
      <c r="E158" s="7"/>
      <c r="F158" s="42"/>
      <c r="G158" s="7"/>
      <c r="H158" s="7"/>
      <c r="I158"/>
      <c r="J158"/>
      <c r="K158"/>
      <c r="L158"/>
      <c r="M158"/>
      <c r="N158"/>
      <c r="O158"/>
    </row>
    <row r="159" spans="1:15" x14ac:dyDescent="0.25">
      <c r="A159" s="40"/>
      <c r="B159" s="41"/>
      <c r="C159" s="7"/>
      <c r="D159" s="7"/>
      <c r="E159" s="7"/>
      <c r="F159" s="42"/>
      <c r="G159" s="7"/>
      <c r="H159" s="7"/>
      <c r="I159"/>
      <c r="J159"/>
      <c r="K159"/>
      <c r="L159"/>
      <c r="M159"/>
      <c r="N159"/>
      <c r="O159"/>
    </row>
    <row r="160" spans="1:15" x14ac:dyDescent="0.25">
      <c r="A160" s="40"/>
      <c r="B160" s="41"/>
      <c r="C160" s="7"/>
      <c r="D160" s="7"/>
      <c r="E160" s="7"/>
      <c r="F160" s="42"/>
      <c r="G160" s="7"/>
      <c r="H160" s="7"/>
      <c r="I160"/>
      <c r="J160"/>
      <c r="K160"/>
      <c r="L160"/>
      <c r="M160"/>
      <c r="N160"/>
      <c r="O160"/>
    </row>
    <row r="161" spans="1:15" x14ac:dyDescent="0.25">
      <c r="A161" s="40"/>
      <c r="B161" s="41"/>
      <c r="C161" s="7"/>
      <c r="D161" s="7"/>
      <c r="E161" s="7"/>
      <c r="F161" s="42"/>
      <c r="G161" s="7"/>
      <c r="H161" s="7"/>
      <c r="I161"/>
      <c r="J161"/>
      <c r="K161"/>
      <c r="L161"/>
      <c r="M161"/>
      <c r="N161"/>
      <c r="O161"/>
    </row>
    <row r="162" spans="1:15" x14ac:dyDescent="0.25">
      <c r="A162" s="40"/>
      <c r="B162" s="41"/>
      <c r="C162" s="7"/>
      <c r="D162" s="7"/>
      <c r="E162" s="7"/>
      <c r="F162" s="42"/>
      <c r="G162" s="7"/>
      <c r="H162" s="7"/>
      <c r="I162"/>
      <c r="J162"/>
      <c r="K162"/>
      <c r="L162"/>
      <c r="M162"/>
      <c r="N162"/>
      <c r="O162"/>
    </row>
    <row r="163" spans="1:15" x14ac:dyDescent="0.25">
      <c r="A163" s="40"/>
      <c r="B163" s="41"/>
      <c r="C163" s="7"/>
      <c r="D163" s="7"/>
      <c r="E163" s="7"/>
      <c r="F163" s="42"/>
      <c r="G163" s="7"/>
      <c r="H163" s="7"/>
      <c r="I163"/>
      <c r="J163"/>
      <c r="K163"/>
      <c r="L163"/>
      <c r="M163"/>
      <c r="N163"/>
      <c r="O163"/>
    </row>
    <row r="164" spans="1:15" x14ac:dyDescent="0.25">
      <c r="A164" s="40"/>
      <c r="B164" s="41"/>
      <c r="C164" s="7"/>
      <c r="D164" s="7"/>
      <c r="E164" s="7"/>
      <c r="F164" s="42"/>
      <c r="G164" s="7"/>
      <c r="H164" s="7"/>
      <c r="I164"/>
      <c r="J164"/>
      <c r="K164"/>
      <c r="L164"/>
      <c r="M164"/>
      <c r="N164"/>
      <c r="O164"/>
    </row>
    <row r="165" spans="1:15" x14ac:dyDescent="0.25">
      <c r="A165" s="40"/>
      <c r="B165" s="41"/>
      <c r="C165" s="7"/>
      <c r="D165" s="7"/>
      <c r="E165" s="7"/>
      <c r="F165" s="42"/>
      <c r="G165" s="7"/>
      <c r="H165" s="7"/>
      <c r="I165"/>
      <c r="J165"/>
      <c r="K165"/>
      <c r="L165"/>
      <c r="M165"/>
      <c r="N165"/>
      <c r="O165"/>
    </row>
    <row r="166" spans="1:15" x14ac:dyDescent="0.25">
      <c r="A166" s="40"/>
      <c r="B166" s="41"/>
      <c r="C166" s="7"/>
      <c r="D166" s="7"/>
      <c r="E166" s="7"/>
      <c r="F166" s="42"/>
      <c r="G166" s="7"/>
      <c r="H166" s="7"/>
      <c r="I166"/>
      <c r="J166"/>
      <c r="K166"/>
      <c r="L166"/>
      <c r="M166"/>
      <c r="N166"/>
      <c r="O166"/>
    </row>
    <row r="167" spans="1:15" x14ac:dyDescent="0.25">
      <c r="A167" s="40"/>
      <c r="B167" s="41"/>
      <c r="C167" s="7"/>
      <c r="D167" s="7"/>
      <c r="E167" s="7"/>
      <c r="F167" s="42"/>
      <c r="G167" s="7"/>
      <c r="H167" s="7"/>
      <c r="I167"/>
      <c r="J167"/>
      <c r="K167"/>
      <c r="L167"/>
      <c r="M167"/>
      <c r="N167"/>
      <c r="O167"/>
    </row>
    <row r="168" spans="1:15" x14ac:dyDescent="0.25">
      <c r="A168" s="40"/>
      <c r="B168" s="41"/>
      <c r="C168" s="7"/>
      <c r="D168" s="7"/>
      <c r="E168" s="7"/>
      <c r="F168" s="42"/>
      <c r="G168" s="7"/>
      <c r="H168" s="7"/>
      <c r="I168"/>
      <c r="J168"/>
      <c r="K168"/>
      <c r="L168"/>
      <c r="M168"/>
      <c r="N168"/>
      <c r="O168"/>
    </row>
    <row r="169" spans="1:15" x14ac:dyDescent="0.25">
      <c r="A169" s="40"/>
      <c r="B169" s="41"/>
      <c r="C169" s="7"/>
      <c r="D169" s="7"/>
      <c r="E169" s="7"/>
      <c r="F169" s="42"/>
      <c r="G169" s="7"/>
      <c r="H169" s="7"/>
      <c r="I169"/>
      <c r="J169"/>
      <c r="K169"/>
      <c r="L169"/>
      <c r="M169"/>
      <c r="N169"/>
      <c r="O169"/>
    </row>
    <row r="170" spans="1:15" x14ac:dyDescent="0.25">
      <c r="A170" s="40"/>
      <c r="B170" s="41"/>
      <c r="C170" s="7"/>
      <c r="D170" s="7"/>
      <c r="E170" s="7"/>
      <c r="F170" s="42"/>
      <c r="G170" s="7"/>
      <c r="H170" s="7"/>
      <c r="I170"/>
      <c r="J170"/>
      <c r="K170"/>
      <c r="L170"/>
      <c r="M170"/>
      <c r="N170"/>
      <c r="O170"/>
    </row>
    <row r="171" spans="1:15" x14ac:dyDescent="0.25">
      <c r="A171" s="40"/>
      <c r="B171" s="41"/>
      <c r="C171" s="7"/>
      <c r="D171" s="7"/>
      <c r="E171" s="7"/>
      <c r="F171" s="42"/>
      <c r="G171" s="7"/>
      <c r="H171" s="7"/>
      <c r="I171"/>
      <c r="J171"/>
      <c r="K171"/>
      <c r="L171"/>
      <c r="M171"/>
      <c r="N171"/>
      <c r="O171"/>
    </row>
    <row r="172" spans="1:15" x14ac:dyDescent="0.25">
      <c r="A172" s="40"/>
      <c r="B172" s="41"/>
      <c r="C172" s="7"/>
      <c r="D172" s="7"/>
      <c r="E172" s="7"/>
      <c r="F172" s="42"/>
      <c r="G172" s="7"/>
      <c r="H172" s="7"/>
      <c r="I172"/>
      <c r="J172"/>
      <c r="K172"/>
      <c r="L172"/>
      <c r="M172"/>
      <c r="N172"/>
      <c r="O172"/>
    </row>
    <row r="173" spans="1:15" x14ac:dyDescent="0.25">
      <c r="A173" s="40"/>
      <c r="B173" s="41"/>
      <c r="C173" s="7"/>
      <c r="D173" s="7"/>
      <c r="E173" s="7"/>
      <c r="F173" s="42"/>
      <c r="G173" s="7"/>
      <c r="H173" s="7"/>
      <c r="I173"/>
      <c r="J173"/>
      <c r="K173"/>
      <c r="L173"/>
      <c r="M173"/>
      <c r="N173"/>
      <c r="O173"/>
    </row>
    <row r="174" spans="1:15" x14ac:dyDescent="0.25">
      <c r="A174" s="40"/>
      <c r="B174" s="41"/>
      <c r="C174" s="7"/>
      <c r="D174" s="7"/>
      <c r="E174" s="7"/>
      <c r="F174" s="42"/>
      <c r="G174" s="7"/>
      <c r="H174" s="7"/>
      <c r="I174"/>
      <c r="J174"/>
      <c r="K174"/>
      <c r="L174"/>
      <c r="M174"/>
      <c r="N174"/>
      <c r="O174"/>
    </row>
    <row r="175" spans="1:15" x14ac:dyDescent="0.25">
      <c r="A175" s="40"/>
      <c r="B175" s="41"/>
      <c r="C175" s="7"/>
      <c r="D175" s="7"/>
      <c r="E175" s="7"/>
      <c r="F175" s="42"/>
      <c r="G175" s="7"/>
      <c r="H175" s="7"/>
      <c r="I175"/>
      <c r="J175"/>
      <c r="K175"/>
      <c r="L175"/>
      <c r="M175"/>
      <c r="N175"/>
      <c r="O175"/>
    </row>
    <row r="176" spans="1:15" x14ac:dyDescent="0.25">
      <c r="A176" s="40"/>
      <c r="B176" s="41"/>
      <c r="C176" s="7"/>
      <c r="D176" s="7"/>
      <c r="E176" s="7"/>
      <c r="F176" s="42"/>
      <c r="G176" s="7"/>
      <c r="H176" s="7"/>
      <c r="I176"/>
      <c r="J176"/>
      <c r="K176"/>
      <c r="L176"/>
      <c r="M176"/>
      <c r="N176"/>
      <c r="O176"/>
    </row>
    <row r="177" spans="1:15" x14ac:dyDescent="0.25">
      <c r="A177" s="40"/>
      <c r="B177" s="41"/>
      <c r="C177" s="7"/>
      <c r="D177" s="7"/>
      <c r="E177" s="7"/>
      <c r="F177" s="42"/>
      <c r="G177" s="7"/>
      <c r="H177" s="7"/>
      <c r="I177"/>
      <c r="J177"/>
      <c r="K177"/>
      <c r="L177"/>
      <c r="M177"/>
      <c r="N177"/>
      <c r="O177"/>
    </row>
    <row r="178" spans="1:15" x14ac:dyDescent="0.25">
      <c r="C178" t="s">
        <v>42</v>
      </c>
      <c r="E178" s="17" t="e">
        <f>SUM(#REF!)</f>
        <v>#REF!</v>
      </c>
      <c r="I178"/>
      <c r="J178"/>
      <c r="K178"/>
      <c r="L178"/>
      <c r="M178"/>
      <c r="N178"/>
      <c r="O178"/>
    </row>
    <row r="179" spans="1:15" x14ac:dyDescent="0.25">
      <c r="I179"/>
      <c r="J179"/>
      <c r="K179"/>
      <c r="L179"/>
      <c r="M179"/>
      <c r="N179"/>
      <c r="O179"/>
    </row>
    <row r="180" spans="1:15" x14ac:dyDescent="0.25">
      <c r="I180"/>
      <c r="J180"/>
      <c r="K180"/>
      <c r="L180"/>
      <c r="M180"/>
      <c r="N180"/>
      <c r="O180"/>
    </row>
    <row r="181" spans="1:15" x14ac:dyDescent="0.25">
      <c r="C181" t="s">
        <v>36</v>
      </c>
      <c r="F181" s="9">
        <f>SUM(F3:F95)</f>
        <v>219951113.60000005</v>
      </c>
      <c r="I181"/>
      <c r="J181" s="16"/>
      <c r="K181" s="16"/>
      <c r="L181" s="16"/>
      <c r="M181" s="16"/>
      <c r="N181"/>
      <c r="O181"/>
    </row>
    <row r="182" spans="1:15" x14ac:dyDescent="0.25">
      <c r="C182" t="s">
        <v>37</v>
      </c>
      <c r="F182" s="15">
        <f>[2]Phapros!H379</f>
        <v>299675900</v>
      </c>
      <c r="I182"/>
      <c r="J182"/>
      <c r="K182"/>
      <c r="L182"/>
      <c r="M182"/>
      <c r="N182"/>
      <c r="O182"/>
    </row>
    <row r="183" spans="1:15" x14ac:dyDescent="0.25">
      <c r="D183" t="s">
        <v>43</v>
      </c>
      <c r="F183" s="14">
        <f>F181+F182</f>
        <v>519627013.60000002</v>
      </c>
      <c r="I183"/>
      <c r="J183"/>
      <c r="K183"/>
      <c r="L183"/>
      <c r="M183"/>
      <c r="N183"/>
      <c r="O183"/>
    </row>
    <row r="184" spans="1:15" ht="11.25" customHeight="1" x14ac:dyDescent="0.25">
      <c r="F184" s="14"/>
      <c r="I184"/>
      <c r="J184"/>
      <c r="K184"/>
      <c r="L184"/>
      <c r="M184"/>
      <c r="N184"/>
      <c r="O184"/>
    </row>
    <row r="185" spans="1:15" x14ac:dyDescent="0.25">
      <c r="C185" t="s">
        <v>38</v>
      </c>
      <c r="I185"/>
      <c r="J185"/>
      <c r="K185"/>
      <c r="L185"/>
      <c r="M185"/>
      <c r="N185"/>
      <c r="O185"/>
    </row>
    <row r="186" spans="1:15" x14ac:dyDescent="0.25">
      <c r="C186" t="s">
        <v>44</v>
      </c>
      <c r="E186" s="9">
        <v>220186527</v>
      </c>
      <c r="I186"/>
      <c r="J186"/>
      <c r="K186"/>
      <c r="L186"/>
      <c r="M186"/>
      <c r="N186"/>
      <c r="O186"/>
    </row>
    <row r="187" spans="1:15" x14ac:dyDescent="0.25">
      <c r="C187" t="s">
        <v>45</v>
      </c>
      <c r="E187" s="15">
        <v>452400140</v>
      </c>
      <c r="I187"/>
      <c r="J187"/>
      <c r="K187"/>
      <c r="L187"/>
      <c r="M187"/>
      <c r="N187"/>
      <c r="O187"/>
    </row>
    <row r="188" spans="1:15" ht="15.75" x14ac:dyDescent="0.25">
      <c r="C188" t="s">
        <v>46</v>
      </c>
      <c r="F188" s="18">
        <f>E186+E187</f>
        <v>672586667</v>
      </c>
      <c r="I188"/>
      <c r="J188"/>
      <c r="K188"/>
      <c r="L188"/>
      <c r="M188"/>
      <c r="N188"/>
      <c r="O188"/>
    </row>
    <row r="189" spans="1:15" ht="15.75" x14ac:dyDescent="0.25">
      <c r="D189" s="1" t="s">
        <v>39</v>
      </c>
      <c r="F189" s="9">
        <f>F183-F188</f>
        <v>-152959653.39999998</v>
      </c>
      <c r="I189"/>
      <c r="J189"/>
      <c r="K189"/>
      <c r="L189"/>
      <c r="M189"/>
      <c r="N189"/>
      <c r="O189"/>
    </row>
    <row r="190" spans="1:15" x14ac:dyDescent="0.25">
      <c r="I190"/>
      <c r="J190"/>
      <c r="K190"/>
      <c r="L190"/>
      <c r="M190"/>
      <c r="N190"/>
      <c r="O190"/>
    </row>
    <row r="191" spans="1:15" x14ac:dyDescent="0.25">
      <c r="I191"/>
      <c r="J191"/>
      <c r="K191"/>
      <c r="L191"/>
      <c r="M191"/>
      <c r="N191"/>
      <c r="O191"/>
    </row>
    <row r="192" spans="1:15" x14ac:dyDescent="0.25">
      <c r="I192"/>
      <c r="J192"/>
      <c r="K192"/>
      <c r="L192"/>
      <c r="M192"/>
      <c r="N192"/>
      <c r="O192"/>
    </row>
    <row r="193" spans="9:15" x14ac:dyDescent="0.25">
      <c r="I193"/>
      <c r="J193" s="19"/>
      <c r="K193" s="19"/>
      <c r="L193" s="19"/>
      <c r="M193" s="19"/>
      <c r="N193"/>
      <c r="O193"/>
    </row>
    <row r="194" spans="9:15" x14ac:dyDescent="0.25">
      <c r="I194"/>
      <c r="J194" s="19"/>
      <c r="K194" s="19"/>
      <c r="L194" s="19"/>
      <c r="M194" s="19"/>
      <c r="N194"/>
      <c r="O194"/>
    </row>
    <row r="195" spans="9:15" x14ac:dyDescent="0.25">
      <c r="I195"/>
      <c r="J195" s="7"/>
      <c r="K195" s="7"/>
      <c r="L195" s="7"/>
      <c r="M195" s="7"/>
      <c r="N195"/>
      <c r="O195"/>
    </row>
    <row r="196" spans="9:15" x14ac:dyDescent="0.25">
      <c r="I196"/>
      <c r="J196" s="19"/>
      <c r="K196" s="19"/>
      <c r="L196" s="19"/>
      <c r="M196" s="19"/>
      <c r="N196"/>
      <c r="O196"/>
    </row>
    <row r="197" spans="9:15" x14ac:dyDescent="0.25">
      <c r="I197"/>
      <c r="J197" s="19"/>
      <c r="K197" s="19"/>
      <c r="L197" s="19"/>
      <c r="M197" s="19"/>
      <c r="N197"/>
      <c r="O197"/>
    </row>
    <row r="198" spans="9:15" x14ac:dyDescent="0.25">
      <c r="I198"/>
      <c r="J198" s="7"/>
      <c r="K198" s="7"/>
      <c r="L198" s="7"/>
      <c r="M198" s="7"/>
      <c r="N198"/>
      <c r="O198"/>
    </row>
    <row r="199" spans="9:15" x14ac:dyDescent="0.25">
      <c r="I199"/>
      <c r="J199" s="19"/>
      <c r="K199" s="19"/>
      <c r="L199" s="19"/>
      <c r="M199" s="19"/>
      <c r="N199"/>
      <c r="O199"/>
    </row>
    <row r="200" spans="9:15" x14ac:dyDescent="0.25">
      <c r="I200"/>
      <c r="J200" s="19"/>
      <c r="K200" s="19"/>
      <c r="L200" s="19"/>
      <c r="M200" s="19"/>
      <c r="N200"/>
      <c r="O200"/>
    </row>
    <row r="201" spans="9:15" x14ac:dyDescent="0.25">
      <c r="I201"/>
      <c r="J201" s="7"/>
      <c r="K201" s="7"/>
      <c r="L201" s="7"/>
      <c r="M201" s="7"/>
      <c r="N201"/>
      <c r="O201"/>
    </row>
    <row r="202" spans="9:15" x14ac:dyDescent="0.25">
      <c r="I202"/>
      <c r="J202"/>
      <c r="K202"/>
      <c r="L202"/>
      <c r="M202"/>
      <c r="N202"/>
      <c r="O202"/>
    </row>
    <row r="203" spans="9:15" x14ac:dyDescent="0.25">
      <c r="I203"/>
      <c r="J203"/>
      <c r="K203"/>
      <c r="L203"/>
      <c r="M203"/>
      <c r="N203"/>
      <c r="O203"/>
    </row>
    <row r="204" spans="9:15" x14ac:dyDescent="0.25">
      <c r="I204"/>
      <c r="J204"/>
      <c r="K204"/>
      <c r="L204"/>
      <c r="M204"/>
      <c r="N204"/>
      <c r="O204"/>
    </row>
    <row r="205" spans="9:15" x14ac:dyDescent="0.25">
      <c r="I205"/>
      <c r="J205"/>
      <c r="K205"/>
      <c r="L205"/>
      <c r="M205"/>
      <c r="N205"/>
      <c r="O205"/>
    </row>
    <row r="206" spans="9:15" x14ac:dyDescent="0.25">
      <c r="I206"/>
      <c r="J206"/>
      <c r="K206"/>
      <c r="L206"/>
      <c r="M206"/>
      <c r="N206"/>
      <c r="O206"/>
    </row>
    <row r="207" spans="9:15" x14ac:dyDescent="0.25">
      <c r="I207"/>
      <c r="J207"/>
      <c r="K207"/>
      <c r="L207"/>
      <c r="M207"/>
      <c r="N207"/>
      <c r="O207"/>
    </row>
    <row r="208" spans="9:15" x14ac:dyDescent="0.25">
      <c r="I208"/>
      <c r="J208"/>
      <c r="K208"/>
      <c r="L208"/>
      <c r="M208"/>
      <c r="N208"/>
      <c r="O208"/>
    </row>
    <row r="209" spans="9:15" x14ac:dyDescent="0.25">
      <c r="I209"/>
      <c r="J209"/>
      <c r="K209"/>
      <c r="L209"/>
      <c r="M209"/>
      <c r="N209"/>
      <c r="O209"/>
    </row>
    <row r="210" spans="9:15" x14ac:dyDescent="0.25">
      <c r="I210"/>
      <c r="J210"/>
      <c r="K210"/>
      <c r="L210"/>
      <c r="M210"/>
      <c r="N210"/>
      <c r="O210"/>
    </row>
    <row r="211" spans="9:15" x14ac:dyDescent="0.25">
      <c r="I211"/>
      <c r="J211"/>
      <c r="K211"/>
      <c r="L211"/>
      <c r="M211"/>
      <c r="N211"/>
      <c r="O211"/>
    </row>
    <row r="212" spans="9:15" x14ac:dyDescent="0.25">
      <c r="I212"/>
      <c r="J212"/>
      <c r="K212"/>
      <c r="L212"/>
      <c r="M212"/>
      <c r="N212"/>
      <c r="O212"/>
    </row>
    <row r="213" spans="9:15" x14ac:dyDescent="0.25">
      <c r="I213"/>
      <c r="J213"/>
      <c r="K213"/>
      <c r="L213"/>
      <c r="M213"/>
      <c r="N213"/>
      <c r="O213"/>
    </row>
    <row r="214" spans="9:15" x14ac:dyDescent="0.25">
      <c r="I214"/>
      <c r="J214"/>
      <c r="K214"/>
      <c r="L214"/>
      <c r="M214"/>
      <c r="N214"/>
      <c r="O214"/>
    </row>
    <row r="215" spans="9:15" x14ac:dyDescent="0.25">
      <c r="I215"/>
      <c r="J215"/>
      <c r="K215"/>
      <c r="L215"/>
      <c r="M215"/>
      <c r="N215"/>
      <c r="O215"/>
    </row>
    <row r="216" spans="9:15" x14ac:dyDescent="0.25">
      <c r="I216"/>
      <c r="J216"/>
      <c r="K216"/>
      <c r="L216"/>
      <c r="M216"/>
      <c r="N216"/>
      <c r="O216"/>
    </row>
    <row r="217" spans="9:15" x14ac:dyDescent="0.25">
      <c r="I217"/>
      <c r="J217"/>
      <c r="K217"/>
      <c r="L217"/>
      <c r="M217"/>
      <c r="N217"/>
      <c r="O217"/>
    </row>
    <row r="218" spans="9:15" x14ac:dyDescent="0.25">
      <c r="I218"/>
      <c r="J218"/>
      <c r="K218"/>
      <c r="L218"/>
      <c r="M218"/>
      <c r="N218"/>
      <c r="O218"/>
    </row>
    <row r="219" spans="9:15" x14ac:dyDescent="0.25">
      <c r="I219"/>
      <c r="J219"/>
      <c r="K219"/>
      <c r="L219"/>
      <c r="M219"/>
      <c r="N219"/>
      <c r="O219"/>
    </row>
    <row r="220" spans="9:15" x14ac:dyDescent="0.25">
      <c r="I220"/>
      <c r="J220"/>
      <c r="K220"/>
      <c r="L220"/>
      <c r="M220"/>
      <c r="N220"/>
      <c r="O220"/>
    </row>
    <row r="221" spans="9:15" x14ac:dyDescent="0.25">
      <c r="I221"/>
      <c r="J221"/>
      <c r="K221"/>
      <c r="L221"/>
      <c r="M221"/>
      <c r="N221"/>
      <c r="O221"/>
    </row>
    <row r="222" spans="9:15" x14ac:dyDescent="0.25">
      <c r="I222"/>
      <c r="J222"/>
      <c r="K222"/>
      <c r="L222"/>
      <c r="M222"/>
      <c r="N222"/>
      <c r="O222"/>
    </row>
    <row r="223" spans="9:15" x14ac:dyDescent="0.25">
      <c r="I223"/>
      <c r="J223"/>
      <c r="K223"/>
      <c r="L223"/>
      <c r="M223"/>
      <c r="N223"/>
      <c r="O223"/>
    </row>
    <row r="224" spans="9:15" x14ac:dyDescent="0.25">
      <c r="I224"/>
      <c r="J224"/>
      <c r="K224"/>
      <c r="L224"/>
      <c r="M224"/>
      <c r="N224"/>
      <c r="O224"/>
    </row>
    <row r="225" spans="9:15" x14ac:dyDescent="0.25">
      <c r="I225"/>
      <c r="J225"/>
      <c r="K225"/>
      <c r="L225"/>
      <c r="M225"/>
      <c r="N225"/>
      <c r="O225"/>
    </row>
    <row r="226" spans="9:15" x14ac:dyDescent="0.25">
      <c r="I226"/>
      <c r="J226"/>
      <c r="K226"/>
      <c r="L226"/>
      <c r="M226"/>
      <c r="N226"/>
      <c r="O226"/>
    </row>
    <row r="227" spans="9:15" x14ac:dyDescent="0.25">
      <c r="I227"/>
      <c r="J227"/>
      <c r="K227"/>
      <c r="L227"/>
      <c r="M227"/>
      <c r="N227"/>
      <c r="O227"/>
    </row>
    <row r="228" spans="9:15" x14ac:dyDescent="0.25">
      <c r="I228"/>
      <c r="J228"/>
      <c r="K228"/>
      <c r="L228"/>
      <c r="M228"/>
      <c r="N228"/>
      <c r="O228"/>
    </row>
    <row r="229" spans="9:15" x14ac:dyDescent="0.25">
      <c r="I229"/>
      <c r="J229"/>
      <c r="K229"/>
      <c r="L229"/>
      <c r="M229"/>
      <c r="N229"/>
      <c r="O229"/>
    </row>
    <row r="230" spans="9:15" x14ac:dyDescent="0.25">
      <c r="I230"/>
      <c r="J230"/>
      <c r="K230"/>
      <c r="L230"/>
      <c r="M230"/>
      <c r="N230"/>
      <c r="O230"/>
    </row>
    <row r="231" spans="9:15" x14ac:dyDescent="0.25">
      <c r="I231"/>
      <c r="J231"/>
      <c r="K231"/>
      <c r="L231"/>
      <c r="M231"/>
      <c r="N231"/>
      <c r="O231"/>
    </row>
    <row r="232" spans="9:15" x14ac:dyDescent="0.25">
      <c r="I232"/>
      <c r="J232"/>
      <c r="K232"/>
      <c r="L232"/>
      <c r="M232"/>
      <c r="N232"/>
      <c r="O232"/>
    </row>
    <row r="233" spans="9:15" x14ac:dyDescent="0.25">
      <c r="I233"/>
      <c r="J233"/>
      <c r="K233"/>
      <c r="L233"/>
      <c r="M233"/>
      <c r="N233"/>
      <c r="O233"/>
    </row>
    <row r="234" spans="9:15" x14ac:dyDescent="0.25">
      <c r="I234"/>
      <c r="J234"/>
      <c r="K234"/>
      <c r="L234"/>
      <c r="M234"/>
      <c r="N234"/>
      <c r="O234"/>
    </row>
    <row r="235" spans="9:15" x14ac:dyDescent="0.25">
      <c r="I235"/>
      <c r="J235"/>
      <c r="K235"/>
      <c r="L235"/>
      <c r="M235"/>
      <c r="N235"/>
      <c r="O235"/>
    </row>
    <row r="236" spans="9:15" x14ac:dyDescent="0.25">
      <c r="I236"/>
      <c r="J236"/>
      <c r="K236"/>
      <c r="L236"/>
      <c r="M236"/>
      <c r="N236"/>
      <c r="O236"/>
    </row>
    <row r="237" spans="9:15" x14ac:dyDescent="0.25">
      <c r="I237"/>
      <c r="J237"/>
      <c r="K237"/>
      <c r="L237"/>
      <c r="M237"/>
      <c r="N237"/>
      <c r="O237"/>
    </row>
    <row r="238" spans="9:15" x14ac:dyDescent="0.25">
      <c r="I238"/>
      <c r="J238"/>
      <c r="K238"/>
      <c r="L238"/>
      <c r="M238"/>
      <c r="N238"/>
      <c r="O238"/>
    </row>
    <row r="239" spans="9:15" x14ac:dyDescent="0.25">
      <c r="I239"/>
      <c r="J239"/>
      <c r="K239"/>
      <c r="L239"/>
      <c r="M239"/>
      <c r="N239"/>
      <c r="O239"/>
    </row>
    <row r="240" spans="9:15" x14ac:dyDescent="0.25">
      <c r="I240"/>
      <c r="J240"/>
      <c r="K240"/>
      <c r="L240"/>
      <c r="M240"/>
      <c r="N240"/>
      <c r="O240"/>
    </row>
    <row r="241" spans="9:15" x14ac:dyDescent="0.25">
      <c r="I241"/>
      <c r="J241"/>
      <c r="K241"/>
      <c r="L241"/>
      <c r="M241"/>
      <c r="N241"/>
      <c r="O241"/>
    </row>
    <row r="242" spans="9:15" x14ac:dyDescent="0.25">
      <c r="I242"/>
      <c r="J242"/>
      <c r="K242"/>
      <c r="L242"/>
      <c r="M242"/>
      <c r="N242"/>
      <c r="O242"/>
    </row>
    <row r="243" spans="9:15" x14ac:dyDescent="0.25">
      <c r="I243"/>
      <c r="J243"/>
      <c r="K243"/>
      <c r="L243"/>
      <c r="M243"/>
      <c r="N243"/>
      <c r="O243"/>
    </row>
    <row r="244" spans="9:15" x14ac:dyDescent="0.25">
      <c r="I244"/>
      <c r="J244"/>
      <c r="K244"/>
      <c r="L244"/>
      <c r="M244"/>
      <c r="N244"/>
      <c r="O244"/>
    </row>
    <row r="245" spans="9:15" x14ac:dyDescent="0.25">
      <c r="I245"/>
      <c r="J245"/>
      <c r="K245"/>
      <c r="L245"/>
      <c r="M245"/>
      <c r="N245"/>
      <c r="O245"/>
    </row>
    <row r="246" spans="9:15" x14ac:dyDescent="0.25">
      <c r="I246"/>
      <c r="J246"/>
      <c r="K246"/>
      <c r="L246"/>
      <c r="M246"/>
      <c r="N246"/>
      <c r="O246"/>
    </row>
    <row r="247" spans="9:15" x14ac:dyDescent="0.25">
      <c r="I247"/>
      <c r="J247"/>
      <c r="K247"/>
      <c r="L247"/>
      <c r="M247"/>
      <c r="N247"/>
      <c r="O247"/>
    </row>
    <row r="248" spans="9:15" x14ac:dyDescent="0.25">
      <c r="I248"/>
      <c r="J248"/>
      <c r="K248"/>
      <c r="L248"/>
      <c r="M248"/>
      <c r="N248"/>
      <c r="O248"/>
    </row>
    <row r="249" spans="9:15" x14ac:dyDescent="0.25">
      <c r="I249"/>
      <c r="J249"/>
      <c r="K249"/>
      <c r="L249"/>
      <c r="M249"/>
      <c r="N249"/>
      <c r="O249"/>
    </row>
    <row r="250" spans="9:15" x14ac:dyDescent="0.25">
      <c r="I250"/>
      <c r="J250"/>
      <c r="K250"/>
      <c r="L250"/>
      <c r="M250"/>
      <c r="N250"/>
      <c r="O250"/>
    </row>
    <row r="251" spans="9:15" x14ac:dyDescent="0.25">
      <c r="I251"/>
      <c r="J251"/>
      <c r="K251"/>
      <c r="L251"/>
      <c r="M251"/>
      <c r="N251"/>
      <c r="O251"/>
    </row>
    <row r="252" spans="9:15" x14ac:dyDescent="0.25">
      <c r="I252"/>
      <c r="J252"/>
      <c r="K252"/>
      <c r="L252"/>
      <c r="M252"/>
      <c r="N252"/>
      <c r="O252"/>
    </row>
    <row r="253" spans="9:15" x14ac:dyDescent="0.25">
      <c r="I253"/>
      <c r="J253"/>
      <c r="K253"/>
      <c r="L253"/>
      <c r="M253"/>
      <c r="N253"/>
      <c r="O253"/>
    </row>
    <row r="254" spans="9:15" x14ac:dyDescent="0.25">
      <c r="I254"/>
      <c r="J254"/>
      <c r="K254"/>
      <c r="L254"/>
      <c r="M254"/>
      <c r="N254"/>
      <c r="O254"/>
    </row>
    <row r="255" spans="9:15" x14ac:dyDescent="0.25">
      <c r="I255"/>
      <c r="J255"/>
      <c r="K255"/>
      <c r="L255"/>
      <c r="M255"/>
      <c r="N255"/>
      <c r="O255"/>
    </row>
    <row r="256" spans="9:15" x14ac:dyDescent="0.25">
      <c r="I256"/>
      <c r="J256"/>
      <c r="K256"/>
      <c r="L256"/>
      <c r="M256"/>
      <c r="N256"/>
      <c r="O256"/>
    </row>
    <row r="257" spans="9:15" x14ac:dyDescent="0.25">
      <c r="I257"/>
      <c r="J257"/>
      <c r="K257"/>
      <c r="L257"/>
      <c r="M257"/>
      <c r="N257"/>
      <c r="O257"/>
    </row>
    <row r="258" spans="9:15" x14ac:dyDescent="0.25">
      <c r="I258"/>
      <c r="J258"/>
      <c r="K258"/>
      <c r="L258"/>
      <c r="M258"/>
      <c r="N258"/>
      <c r="O258"/>
    </row>
    <row r="259" spans="9:15" x14ac:dyDescent="0.25">
      <c r="I259"/>
      <c r="J259"/>
      <c r="K259"/>
      <c r="L259"/>
      <c r="M259"/>
      <c r="N259"/>
      <c r="O259"/>
    </row>
    <row r="260" spans="9:15" x14ac:dyDescent="0.25">
      <c r="I260"/>
      <c r="J260"/>
      <c r="K260"/>
      <c r="L260"/>
      <c r="M260"/>
      <c r="N260"/>
      <c r="O260"/>
    </row>
    <row r="261" spans="9:15" x14ac:dyDescent="0.25">
      <c r="I261"/>
      <c r="J261"/>
      <c r="K261"/>
      <c r="L261"/>
      <c r="M261"/>
      <c r="N261"/>
      <c r="O261"/>
    </row>
    <row r="262" spans="9:15" x14ac:dyDescent="0.25">
      <c r="I262"/>
      <c r="J262"/>
      <c r="K262"/>
      <c r="L262"/>
      <c r="M262"/>
      <c r="N262"/>
      <c r="O262"/>
    </row>
    <row r="263" spans="9:15" x14ac:dyDescent="0.25">
      <c r="I263"/>
      <c r="J263"/>
      <c r="K263"/>
      <c r="L263"/>
      <c r="M263"/>
      <c r="N263"/>
      <c r="O263"/>
    </row>
    <row r="264" spans="9:15" x14ac:dyDescent="0.25">
      <c r="I264"/>
      <c r="J264"/>
      <c r="K264"/>
      <c r="L264"/>
      <c r="M264"/>
      <c r="N264"/>
      <c r="O264"/>
    </row>
    <row r="265" spans="9:15" x14ac:dyDescent="0.25">
      <c r="I265"/>
      <c r="J265"/>
      <c r="K265"/>
      <c r="L265"/>
      <c r="M265"/>
      <c r="N265"/>
      <c r="O265"/>
    </row>
    <row r="266" spans="9:15" x14ac:dyDescent="0.25">
      <c r="I266"/>
      <c r="J266"/>
      <c r="K266"/>
      <c r="L266"/>
      <c r="M266"/>
      <c r="N266"/>
      <c r="O266"/>
    </row>
    <row r="267" spans="9:15" x14ac:dyDescent="0.25">
      <c r="I267"/>
      <c r="J267"/>
      <c r="K267"/>
      <c r="L267"/>
      <c r="M267"/>
      <c r="N267"/>
      <c r="O267"/>
    </row>
    <row r="268" spans="9:15" x14ac:dyDescent="0.25">
      <c r="I268"/>
      <c r="J268"/>
      <c r="K268"/>
      <c r="L268"/>
      <c r="M268"/>
      <c r="N268"/>
      <c r="O268"/>
    </row>
    <row r="269" spans="9:15" x14ac:dyDescent="0.25">
      <c r="I269"/>
      <c r="J269"/>
      <c r="K269"/>
      <c r="L269"/>
      <c r="M269"/>
      <c r="N269"/>
      <c r="O269"/>
    </row>
    <row r="270" spans="9:15" x14ac:dyDescent="0.25">
      <c r="I270"/>
      <c r="J270"/>
      <c r="K270"/>
      <c r="L270"/>
      <c r="M270"/>
      <c r="N270"/>
      <c r="O270"/>
    </row>
    <row r="271" spans="9:15" x14ac:dyDescent="0.25">
      <c r="I271"/>
      <c r="J271"/>
      <c r="K271"/>
      <c r="L271"/>
      <c r="M271"/>
      <c r="N271"/>
      <c r="O271"/>
    </row>
    <row r="272" spans="9:15" x14ac:dyDescent="0.25">
      <c r="I272"/>
      <c r="J272"/>
      <c r="K272"/>
      <c r="L272"/>
      <c r="M272"/>
      <c r="N272"/>
      <c r="O272"/>
    </row>
    <row r="273" spans="9:15" x14ac:dyDescent="0.25">
      <c r="I273"/>
      <c r="J273"/>
      <c r="K273"/>
      <c r="L273"/>
      <c r="M273"/>
      <c r="N273"/>
      <c r="O273"/>
    </row>
    <row r="274" spans="9:15" x14ac:dyDescent="0.25">
      <c r="I274"/>
      <c r="J274"/>
      <c r="K274"/>
      <c r="L274"/>
      <c r="M274"/>
      <c r="N274"/>
      <c r="O274"/>
    </row>
    <row r="275" spans="9:15" x14ac:dyDescent="0.25">
      <c r="I275"/>
      <c r="J275"/>
      <c r="K275"/>
      <c r="L275"/>
      <c r="M275"/>
      <c r="N275"/>
      <c r="O275"/>
    </row>
    <row r="276" spans="9:15" x14ac:dyDescent="0.25">
      <c r="I276"/>
      <c r="J276"/>
      <c r="K276"/>
      <c r="L276"/>
      <c r="M276"/>
      <c r="N276"/>
      <c r="O276"/>
    </row>
    <row r="277" spans="9:15" x14ac:dyDescent="0.25">
      <c r="I277"/>
      <c r="J277"/>
      <c r="K277"/>
      <c r="L277"/>
      <c r="M277"/>
      <c r="N277"/>
      <c r="O277"/>
    </row>
    <row r="278" spans="9:15" x14ac:dyDescent="0.25">
      <c r="I278"/>
      <c r="J278"/>
      <c r="K278"/>
      <c r="L278"/>
      <c r="M278"/>
      <c r="N278"/>
      <c r="O278"/>
    </row>
    <row r="279" spans="9:15" x14ac:dyDescent="0.25">
      <c r="I279"/>
      <c r="J279"/>
      <c r="K279"/>
      <c r="L279"/>
      <c r="M279"/>
      <c r="N279"/>
      <c r="O279"/>
    </row>
    <row r="280" spans="9:15" x14ac:dyDescent="0.25">
      <c r="I280"/>
      <c r="J280"/>
      <c r="K280"/>
      <c r="L280"/>
      <c r="M280"/>
      <c r="N280"/>
      <c r="O280"/>
    </row>
    <row r="281" spans="9:15" x14ac:dyDescent="0.25">
      <c r="I281"/>
      <c r="J281"/>
      <c r="K281"/>
      <c r="L281"/>
      <c r="M281"/>
      <c r="N281"/>
      <c r="O281"/>
    </row>
    <row r="282" spans="9:15" x14ac:dyDescent="0.25">
      <c r="I282"/>
      <c r="J282"/>
      <c r="K282"/>
      <c r="L282"/>
      <c r="M282"/>
      <c r="N282"/>
      <c r="O282"/>
    </row>
    <row r="283" spans="9:15" x14ac:dyDescent="0.25">
      <c r="I283"/>
      <c r="J283"/>
      <c r="K283"/>
      <c r="L283"/>
      <c r="M283"/>
      <c r="N283"/>
      <c r="O283"/>
    </row>
    <row r="284" spans="9:15" x14ac:dyDescent="0.25">
      <c r="I284"/>
      <c r="J284"/>
      <c r="K284"/>
      <c r="L284"/>
      <c r="M284"/>
      <c r="N284"/>
      <c r="O284"/>
    </row>
    <row r="285" spans="9:15" x14ac:dyDescent="0.25">
      <c r="I285"/>
      <c r="J285"/>
      <c r="K285"/>
      <c r="L285"/>
      <c r="M285"/>
      <c r="N285"/>
      <c r="O285"/>
    </row>
    <row r="286" spans="9:15" x14ac:dyDescent="0.25">
      <c r="I286"/>
      <c r="J286"/>
      <c r="K286"/>
      <c r="L286"/>
      <c r="M286"/>
      <c r="N286"/>
      <c r="O286"/>
    </row>
    <row r="287" spans="9:15" x14ac:dyDescent="0.25">
      <c r="I287"/>
      <c r="J287"/>
      <c r="K287"/>
      <c r="L287"/>
      <c r="M287"/>
      <c r="N287"/>
      <c r="O287"/>
    </row>
    <row r="288" spans="9:15" x14ac:dyDescent="0.25">
      <c r="I288"/>
      <c r="J288"/>
      <c r="K288"/>
      <c r="L288"/>
      <c r="M288"/>
      <c r="N288"/>
      <c r="O288"/>
    </row>
    <row r="289" spans="9:15" x14ac:dyDescent="0.25">
      <c r="I289"/>
      <c r="J289"/>
      <c r="K289"/>
      <c r="L289"/>
      <c r="M289"/>
      <c r="N289"/>
      <c r="O289"/>
    </row>
    <row r="290" spans="9:15" x14ac:dyDescent="0.25">
      <c r="I290"/>
      <c r="J290"/>
      <c r="K290"/>
      <c r="L290"/>
      <c r="M290"/>
      <c r="N290"/>
      <c r="O290"/>
    </row>
    <row r="291" spans="9:15" x14ac:dyDescent="0.25">
      <c r="I291"/>
      <c r="J291"/>
      <c r="K291"/>
      <c r="L291"/>
      <c r="M291"/>
      <c r="N291"/>
      <c r="O291"/>
    </row>
    <row r="292" spans="9:15" x14ac:dyDescent="0.25">
      <c r="I292"/>
      <c r="J292"/>
      <c r="K292"/>
      <c r="L292"/>
      <c r="M292"/>
      <c r="N292"/>
      <c r="O292"/>
    </row>
    <row r="293" spans="9:15" x14ac:dyDescent="0.25">
      <c r="I293"/>
      <c r="J293"/>
      <c r="K293"/>
      <c r="L293"/>
      <c r="M293"/>
      <c r="N293"/>
      <c r="O293"/>
    </row>
    <row r="294" spans="9:15" x14ac:dyDescent="0.25">
      <c r="I294"/>
      <c r="J294"/>
      <c r="K294"/>
      <c r="L294"/>
      <c r="M294"/>
      <c r="N294"/>
      <c r="O294"/>
    </row>
    <row r="295" spans="9:15" x14ac:dyDescent="0.25">
      <c r="I295"/>
      <c r="J295"/>
      <c r="K295"/>
      <c r="L295"/>
      <c r="M295"/>
      <c r="N295"/>
      <c r="O295"/>
    </row>
    <row r="296" spans="9:15" x14ac:dyDescent="0.25">
      <c r="I296"/>
      <c r="J296"/>
      <c r="K296"/>
      <c r="L296"/>
      <c r="M296"/>
      <c r="N296"/>
      <c r="O296"/>
    </row>
    <row r="297" spans="9:15" x14ac:dyDescent="0.25">
      <c r="I297"/>
      <c r="J297"/>
      <c r="K297"/>
      <c r="L297"/>
      <c r="M297"/>
      <c r="N297"/>
      <c r="O297"/>
    </row>
    <row r="298" spans="9:15" x14ac:dyDescent="0.25">
      <c r="I298"/>
      <c r="J298"/>
      <c r="K298"/>
      <c r="L298"/>
      <c r="M298"/>
      <c r="N298"/>
      <c r="O298"/>
    </row>
    <row r="299" spans="9:15" x14ac:dyDescent="0.25">
      <c r="I299"/>
      <c r="J299"/>
      <c r="K299"/>
      <c r="L299"/>
      <c r="M299"/>
      <c r="N299"/>
      <c r="O299"/>
    </row>
    <row r="300" spans="9:15" x14ac:dyDescent="0.25">
      <c r="I300"/>
      <c r="J300"/>
      <c r="K300"/>
      <c r="L300"/>
      <c r="M300"/>
      <c r="N300"/>
      <c r="O300"/>
    </row>
    <row r="301" spans="9:15" x14ac:dyDescent="0.25">
      <c r="I301"/>
      <c r="J301"/>
      <c r="K301"/>
      <c r="L301"/>
      <c r="M301"/>
      <c r="N301"/>
      <c r="O301"/>
    </row>
    <row r="302" spans="9:15" x14ac:dyDescent="0.25">
      <c r="I302"/>
      <c r="J302"/>
      <c r="K302"/>
      <c r="L302"/>
      <c r="M302"/>
      <c r="N302"/>
      <c r="O302"/>
    </row>
    <row r="303" spans="9:15" x14ac:dyDescent="0.25">
      <c r="I303"/>
      <c r="J303"/>
      <c r="K303"/>
      <c r="L303"/>
      <c r="M303"/>
      <c r="N303"/>
      <c r="O303"/>
    </row>
    <row r="304" spans="9:15" x14ac:dyDescent="0.25">
      <c r="I304"/>
      <c r="J304"/>
      <c r="K304"/>
      <c r="L304"/>
      <c r="M304"/>
      <c r="N304"/>
      <c r="O304"/>
    </row>
    <row r="305" spans="9:15" x14ac:dyDescent="0.25">
      <c r="I305"/>
      <c r="J305"/>
      <c r="K305"/>
      <c r="L305"/>
      <c r="M305"/>
      <c r="N305"/>
      <c r="O305"/>
    </row>
    <row r="306" spans="9:15" x14ac:dyDescent="0.25">
      <c r="I306"/>
      <c r="J306"/>
      <c r="K306"/>
      <c r="L306"/>
      <c r="M306"/>
      <c r="N306"/>
      <c r="O306"/>
    </row>
    <row r="307" spans="9:15" x14ac:dyDescent="0.25">
      <c r="I307"/>
      <c r="J307"/>
      <c r="K307"/>
      <c r="L307"/>
      <c r="M307"/>
      <c r="N307"/>
      <c r="O307"/>
    </row>
    <row r="308" spans="9:15" x14ac:dyDescent="0.25">
      <c r="I308"/>
      <c r="J308"/>
      <c r="K308"/>
      <c r="L308"/>
      <c r="M308"/>
      <c r="N308"/>
      <c r="O308"/>
    </row>
    <row r="309" spans="9:15" x14ac:dyDescent="0.25">
      <c r="I309"/>
      <c r="J309"/>
      <c r="K309"/>
      <c r="L309"/>
      <c r="M309"/>
      <c r="N309"/>
      <c r="O309"/>
    </row>
    <row r="310" spans="9:15" x14ac:dyDescent="0.25">
      <c r="I310"/>
      <c r="J310"/>
      <c r="K310"/>
      <c r="L310"/>
      <c r="M310"/>
      <c r="N310"/>
      <c r="O310"/>
    </row>
    <row r="311" spans="9:15" x14ac:dyDescent="0.25">
      <c r="I311"/>
      <c r="J311"/>
      <c r="K311"/>
      <c r="L311"/>
      <c r="M311"/>
      <c r="N311"/>
      <c r="O311"/>
    </row>
    <row r="312" spans="9:15" x14ac:dyDescent="0.25">
      <c r="I312"/>
      <c r="J312"/>
      <c r="K312"/>
      <c r="L312"/>
      <c r="M312"/>
      <c r="N312"/>
      <c r="O312"/>
    </row>
    <row r="313" spans="9:15" x14ac:dyDescent="0.25">
      <c r="I313"/>
      <c r="J313"/>
      <c r="K313"/>
      <c r="L313"/>
      <c r="M313"/>
      <c r="N313"/>
      <c r="O313"/>
    </row>
    <row r="314" spans="9:15" x14ac:dyDescent="0.25">
      <c r="I314"/>
      <c r="J314"/>
      <c r="K314"/>
      <c r="L314"/>
      <c r="M314"/>
      <c r="N314"/>
      <c r="O314"/>
    </row>
    <row r="315" spans="9:15" x14ac:dyDescent="0.25">
      <c r="I315"/>
      <c r="J315"/>
      <c r="K315"/>
      <c r="L315"/>
      <c r="M315"/>
      <c r="N315"/>
      <c r="O315"/>
    </row>
    <row r="316" spans="9:15" x14ac:dyDescent="0.25">
      <c r="I316"/>
      <c r="J316"/>
      <c r="K316"/>
      <c r="L316"/>
      <c r="M316"/>
      <c r="N316"/>
      <c r="O316"/>
    </row>
    <row r="317" spans="9:15" x14ac:dyDescent="0.25">
      <c r="I317"/>
      <c r="J317"/>
      <c r="K317"/>
      <c r="L317"/>
      <c r="M317"/>
      <c r="N317"/>
      <c r="O317"/>
    </row>
    <row r="318" spans="9:15" x14ac:dyDescent="0.25">
      <c r="I318"/>
      <c r="J318"/>
      <c r="K318"/>
      <c r="L318"/>
      <c r="M318"/>
      <c r="N318"/>
      <c r="O318"/>
    </row>
    <row r="319" spans="9:15" x14ac:dyDescent="0.25">
      <c r="I319"/>
      <c r="J319"/>
      <c r="K319"/>
      <c r="L319"/>
      <c r="M319"/>
      <c r="N319"/>
      <c r="O319"/>
    </row>
    <row r="320" spans="9:15" x14ac:dyDescent="0.25">
      <c r="I320"/>
      <c r="J320"/>
      <c r="K320"/>
      <c r="L320"/>
      <c r="M320"/>
      <c r="N320"/>
      <c r="O320"/>
    </row>
    <row r="321" spans="9:15" x14ac:dyDescent="0.25">
      <c r="I321"/>
      <c r="J321"/>
      <c r="K321"/>
      <c r="L321"/>
      <c r="M321"/>
      <c r="N321"/>
      <c r="O321"/>
    </row>
    <row r="322" spans="9:15" x14ac:dyDescent="0.25">
      <c r="I322"/>
      <c r="J322"/>
      <c r="K322"/>
      <c r="L322"/>
      <c r="M322"/>
      <c r="N322"/>
      <c r="O322"/>
    </row>
    <row r="323" spans="9:15" x14ac:dyDescent="0.25">
      <c r="I323"/>
      <c r="J323"/>
      <c r="K323"/>
      <c r="L323"/>
      <c r="M323"/>
      <c r="N323"/>
      <c r="O323"/>
    </row>
    <row r="324" spans="9:15" x14ac:dyDescent="0.25">
      <c r="I324"/>
      <c r="J324"/>
      <c r="K324"/>
      <c r="L324"/>
      <c r="M324"/>
      <c r="N324"/>
      <c r="O324"/>
    </row>
    <row r="325" spans="9:15" x14ac:dyDescent="0.25">
      <c r="I325"/>
      <c r="J325"/>
      <c r="K325"/>
      <c r="L325"/>
      <c r="M325"/>
      <c r="N325"/>
      <c r="O325"/>
    </row>
    <row r="326" spans="9:15" x14ac:dyDescent="0.25">
      <c r="I326"/>
      <c r="J326"/>
      <c r="K326"/>
      <c r="L326"/>
      <c r="M326"/>
      <c r="N326"/>
      <c r="O326"/>
    </row>
    <row r="327" spans="9:15" x14ac:dyDescent="0.25">
      <c r="I327"/>
      <c r="J327"/>
      <c r="K327"/>
      <c r="L327"/>
      <c r="M327"/>
      <c r="N327"/>
      <c r="O327"/>
    </row>
    <row r="328" spans="9:15" x14ac:dyDescent="0.25">
      <c r="I328"/>
      <c r="J328"/>
      <c r="K328"/>
      <c r="L328"/>
      <c r="M328"/>
      <c r="N328"/>
      <c r="O328"/>
    </row>
    <row r="329" spans="9:15" x14ac:dyDescent="0.25">
      <c r="I329"/>
      <c r="J329"/>
      <c r="K329"/>
      <c r="L329"/>
      <c r="M329"/>
      <c r="N329"/>
      <c r="O329"/>
    </row>
    <row r="330" spans="9:15" x14ac:dyDescent="0.25">
      <c r="I330"/>
      <c r="J330"/>
      <c r="K330"/>
      <c r="L330"/>
      <c r="M330"/>
      <c r="N330"/>
      <c r="O330"/>
    </row>
    <row r="331" spans="9:15" x14ac:dyDescent="0.25">
      <c r="I331"/>
      <c r="J331"/>
      <c r="K331"/>
      <c r="L331"/>
      <c r="M331"/>
      <c r="N331"/>
      <c r="O331"/>
    </row>
    <row r="332" spans="9:15" x14ac:dyDescent="0.25">
      <c r="I332"/>
      <c r="J332"/>
      <c r="K332"/>
      <c r="L332"/>
      <c r="M332"/>
      <c r="N332"/>
      <c r="O332"/>
    </row>
    <row r="333" spans="9:15" x14ac:dyDescent="0.25">
      <c r="I333"/>
      <c r="J333"/>
      <c r="K333"/>
      <c r="L333"/>
      <c r="M333"/>
      <c r="N333"/>
      <c r="O333"/>
    </row>
    <row r="334" spans="9:15" x14ac:dyDescent="0.25">
      <c r="I334"/>
      <c r="J334"/>
      <c r="K334"/>
      <c r="L334"/>
      <c r="M334"/>
      <c r="N334"/>
      <c r="O334"/>
    </row>
    <row r="335" spans="9:15" x14ac:dyDescent="0.25">
      <c r="I335"/>
      <c r="J335"/>
      <c r="K335"/>
      <c r="L335"/>
      <c r="M335"/>
      <c r="N335"/>
      <c r="O335"/>
    </row>
    <row r="336" spans="9:15" x14ac:dyDescent="0.25">
      <c r="I336"/>
      <c r="J336"/>
      <c r="K336"/>
      <c r="L336"/>
      <c r="M336"/>
      <c r="N336"/>
      <c r="O336"/>
    </row>
    <row r="337" spans="9:15" x14ac:dyDescent="0.25">
      <c r="I337"/>
      <c r="J337"/>
      <c r="K337"/>
      <c r="L337"/>
      <c r="M337"/>
      <c r="N337"/>
      <c r="O337"/>
    </row>
    <row r="338" spans="9:15" x14ac:dyDescent="0.25">
      <c r="I338"/>
      <c r="J338"/>
      <c r="K338"/>
      <c r="L338"/>
      <c r="M338"/>
      <c r="N338"/>
      <c r="O338"/>
    </row>
    <row r="339" spans="9:15" x14ac:dyDescent="0.25">
      <c r="I339"/>
      <c r="J339"/>
      <c r="K339"/>
      <c r="L339"/>
      <c r="M339"/>
      <c r="N339"/>
      <c r="O339"/>
    </row>
    <row r="340" spans="9:15" x14ac:dyDescent="0.25">
      <c r="I340"/>
      <c r="J340"/>
      <c r="K340"/>
      <c r="L340"/>
      <c r="M340"/>
      <c r="N340"/>
      <c r="O340"/>
    </row>
    <row r="341" spans="9:15" x14ac:dyDescent="0.25">
      <c r="I341"/>
      <c r="J341"/>
      <c r="K341"/>
      <c r="L341"/>
      <c r="M341"/>
      <c r="N341"/>
      <c r="O341"/>
    </row>
    <row r="342" spans="9:15" x14ac:dyDescent="0.25">
      <c r="I342"/>
      <c r="J342"/>
      <c r="K342"/>
      <c r="L342"/>
      <c r="M342"/>
      <c r="N342"/>
      <c r="O342"/>
    </row>
    <row r="343" spans="9:15" x14ac:dyDescent="0.25">
      <c r="I343"/>
      <c r="J343"/>
      <c r="K343"/>
      <c r="L343"/>
      <c r="M343"/>
      <c r="N343"/>
      <c r="O343"/>
    </row>
    <row r="344" spans="9:15" x14ac:dyDescent="0.25">
      <c r="I344"/>
      <c r="J344"/>
      <c r="K344"/>
      <c r="L344"/>
      <c r="M344"/>
      <c r="N344"/>
      <c r="O344"/>
    </row>
    <row r="345" spans="9:15" x14ac:dyDescent="0.25">
      <c r="I345"/>
      <c r="J345"/>
      <c r="K345"/>
      <c r="L345"/>
      <c r="M345"/>
      <c r="N345"/>
      <c r="O345"/>
    </row>
    <row r="346" spans="9:15" x14ac:dyDescent="0.25">
      <c r="I346"/>
      <c r="J346"/>
      <c r="K346"/>
      <c r="L346"/>
      <c r="M346"/>
      <c r="N346"/>
      <c r="O346"/>
    </row>
    <row r="347" spans="9:15" x14ac:dyDescent="0.25">
      <c r="I347"/>
      <c r="J347"/>
      <c r="K347"/>
      <c r="L347"/>
      <c r="M347"/>
      <c r="N347"/>
      <c r="O347"/>
    </row>
    <row r="348" spans="9:15" x14ac:dyDescent="0.25">
      <c r="I348"/>
      <c r="J348"/>
      <c r="K348"/>
      <c r="L348"/>
      <c r="M348"/>
      <c r="N348"/>
      <c r="O348"/>
    </row>
    <row r="349" spans="9:15" x14ac:dyDescent="0.25">
      <c r="I349"/>
      <c r="J349"/>
      <c r="K349"/>
      <c r="L349"/>
      <c r="M349"/>
      <c r="N349"/>
      <c r="O349"/>
    </row>
    <row r="350" spans="9:15" x14ac:dyDescent="0.25">
      <c r="I350"/>
      <c r="J350"/>
      <c r="K350"/>
      <c r="L350"/>
      <c r="M350"/>
      <c r="N350"/>
      <c r="O350"/>
    </row>
    <row r="351" spans="9:15" x14ac:dyDescent="0.25">
      <c r="I351"/>
      <c r="J351"/>
      <c r="K351"/>
      <c r="L351"/>
      <c r="M351"/>
      <c r="N351"/>
      <c r="O351"/>
    </row>
    <row r="352" spans="9:15" x14ac:dyDescent="0.25">
      <c r="I352"/>
      <c r="J352"/>
      <c r="K352"/>
      <c r="L352"/>
      <c r="M352"/>
      <c r="N352"/>
      <c r="O352"/>
    </row>
    <row r="353" spans="9:15" x14ac:dyDescent="0.25">
      <c r="I353"/>
      <c r="J353"/>
      <c r="K353"/>
      <c r="L353"/>
      <c r="M353"/>
      <c r="N353"/>
      <c r="O353"/>
    </row>
    <row r="354" spans="9:15" x14ac:dyDescent="0.25">
      <c r="I354"/>
      <c r="J354"/>
      <c r="K354"/>
      <c r="L354"/>
      <c r="M354"/>
      <c r="N354"/>
      <c r="O354"/>
    </row>
    <row r="355" spans="9:15" x14ac:dyDescent="0.25">
      <c r="I355"/>
      <c r="J355"/>
      <c r="K355"/>
      <c r="L355"/>
      <c r="M355"/>
      <c r="N355"/>
      <c r="O355"/>
    </row>
    <row r="356" spans="9:15" x14ac:dyDescent="0.25">
      <c r="I356"/>
      <c r="J356"/>
      <c r="K356"/>
      <c r="L356"/>
      <c r="M356"/>
      <c r="N356"/>
      <c r="O356"/>
    </row>
    <row r="357" spans="9:15" x14ac:dyDescent="0.25">
      <c r="I357"/>
      <c r="J357"/>
      <c r="K357"/>
      <c r="L357"/>
      <c r="M357"/>
      <c r="N357"/>
      <c r="O357"/>
    </row>
    <row r="358" spans="9:15" x14ac:dyDescent="0.25">
      <c r="I358"/>
      <c r="J358"/>
      <c r="K358"/>
      <c r="L358"/>
      <c r="M358"/>
      <c r="N358"/>
      <c r="O358"/>
    </row>
    <row r="359" spans="9:15" x14ac:dyDescent="0.25">
      <c r="I359"/>
      <c r="J359"/>
      <c r="K359"/>
      <c r="L359"/>
      <c r="M359"/>
      <c r="N359"/>
      <c r="O359"/>
    </row>
    <row r="360" spans="9:15" x14ac:dyDescent="0.25">
      <c r="I360"/>
      <c r="J360"/>
      <c r="K360"/>
      <c r="L360"/>
      <c r="M360"/>
      <c r="N360"/>
      <c r="O360"/>
    </row>
    <row r="361" spans="9:15" x14ac:dyDescent="0.25">
      <c r="I361"/>
      <c r="J361"/>
      <c r="K361"/>
      <c r="L361"/>
      <c r="M361"/>
      <c r="N361"/>
      <c r="O361"/>
    </row>
    <row r="362" spans="9:15" x14ac:dyDescent="0.25">
      <c r="I362"/>
      <c r="J362"/>
      <c r="K362"/>
      <c r="L362"/>
      <c r="M362"/>
      <c r="N362"/>
      <c r="O362"/>
    </row>
    <row r="363" spans="9:15" x14ac:dyDescent="0.25">
      <c r="I363"/>
      <c r="J363"/>
      <c r="K363"/>
      <c r="L363"/>
      <c r="M363"/>
      <c r="N363"/>
      <c r="O363"/>
    </row>
    <row r="364" spans="9:15" x14ac:dyDescent="0.25">
      <c r="I364"/>
      <c r="J364"/>
      <c r="K364"/>
      <c r="L364"/>
      <c r="M364"/>
      <c r="N364"/>
      <c r="O364"/>
    </row>
    <row r="365" spans="9:15" x14ac:dyDescent="0.25">
      <c r="I365"/>
      <c r="J365"/>
      <c r="K365"/>
      <c r="L365"/>
      <c r="M365"/>
      <c r="N365"/>
      <c r="O365"/>
    </row>
    <row r="366" spans="9:15" x14ac:dyDescent="0.25">
      <c r="I366"/>
      <c r="J366"/>
      <c r="K366"/>
      <c r="L366"/>
      <c r="M366"/>
      <c r="N366"/>
      <c r="O366"/>
    </row>
    <row r="367" spans="9:15" x14ac:dyDescent="0.25">
      <c r="I367"/>
      <c r="J367"/>
      <c r="K367"/>
      <c r="L367"/>
      <c r="M367"/>
      <c r="N367"/>
      <c r="O367"/>
    </row>
    <row r="368" spans="9:15" x14ac:dyDescent="0.25">
      <c r="I368"/>
      <c r="J368"/>
      <c r="K368"/>
      <c r="L368"/>
      <c r="M368"/>
      <c r="N368"/>
      <c r="O368"/>
    </row>
    <row r="369" spans="9:15" x14ac:dyDescent="0.25">
      <c r="I369"/>
      <c r="J369"/>
      <c r="K369"/>
      <c r="L369"/>
      <c r="M369"/>
      <c r="N369"/>
      <c r="O369"/>
    </row>
    <row r="370" spans="9:15" x14ac:dyDescent="0.25">
      <c r="I370"/>
      <c r="J370"/>
      <c r="K370"/>
      <c r="L370"/>
      <c r="M370"/>
      <c r="N370"/>
      <c r="O370"/>
    </row>
    <row r="371" spans="9:15" x14ac:dyDescent="0.25">
      <c r="I371"/>
      <c r="J371"/>
      <c r="K371"/>
      <c r="L371"/>
      <c r="M371"/>
      <c r="N371"/>
      <c r="O371"/>
    </row>
    <row r="372" spans="9:15" x14ac:dyDescent="0.25">
      <c r="I372"/>
      <c r="J372"/>
      <c r="K372"/>
      <c r="L372"/>
      <c r="M372"/>
      <c r="N372"/>
      <c r="O372"/>
    </row>
    <row r="373" spans="9:15" x14ac:dyDescent="0.25">
      <c r="I373"/>
      <c r="J373"/>
      <c r="K373"/>
      <c r="L373"/>
      <c r="M373"/>
      <c r="N373"/>
      <c r="O373"/>
    </row>
    <row r="374" spans="9:15" x14ac:dyDescent="0.25">
      <c r="I374"/>
      <c r="J374"/>
      <c r="K374"/>
      <c r="L374"/>
      <c r="M374"/>
      <c r="N374"/>
      <c r="O374"/>
    </row>
    <row r="375" spans="9:15" x14ac:dyDescent="0.25">
      <c r="I375"/>
      <c r="J375"/>
      <c r="K375"/>
      <c r="L375"/>
      <c r="M375"/>
      <c r="N375"/>
      <c r="O375"/>
    </row>
    <row r="376" spans="9:15" x14ac:dyDescent="0.25">
      <c r="I376"/>
      <c r="J376"/>
      <c r="K376"/>
      <c r="L376"/>
      <c r="M376"/>
      <c r="N376"/>
      <c r="O376"/>
    </row>
    <row r="377" spans="9:15" x14ac:dyDescent="0.25">
      <c r="I377"/>
      <c r="J377"/>
      <c r="K377"/>
      <c r="L377"/>
      <c r="M377"/>
      <c r="N377"/>
      <c r="O377"/>
    </row>
    <row r="378" spans="9:15" x14ac:dyDescent="0.25">
      <c r="I378"/>
      <c r="J378"/>
      <c r="K378"/>
      <c r="L378"/>
      <c r="M378"/>
      <c r="N378"/>
      <c r="O378"/>
    </row>
    <row r="379" spans="9:15" x14ac:dyDescent="0.25">
      <c r="I379"/>
      <c r="J379"/>
      <c r="K379"/>
      <c r="L379"/>
      <c r="M379"/>
      <c r="N379"/>
      <c r="O379"/>
    </row>
    <row r="380" spans="9:15" x14ac:dyDescent="0.25">
      <c r="I380"/>
      <c r="J380"/>
      <c r="K380"/>
      <c r="L380"/>
      <c r="M380"/>
      <c r="N380"/>
      <c r="O380"/>
    </row>
    <row r="381" spans="9:15" x14ac:dyDescent="0.25">
      <c r="I381"/>
      <c r="J381"/>
      <c r="K381"/>
      <c r="L381"/>
      <c r="M381"/>
      <c r="N381"/>
      <c r="O381"/>
    </row>
    <row r="382" spans="9:15" x14ac:dyDescent="0.25">
      <c r="I382"/>
      <c r="J382"/>
      <c r="K382"/>
      <c r="L382"/>
      <c r="M382"/>
      <c r="N382"/>
      <c r="O382"/>
    </row>
    <row r="383" spans="9:15" x14ac:dyDescent="0.25">
      <c r="I383"/>
      <c r="J383"/>
      <c r="K383"/>
      <c r="L383"/>
      <c r="M383"/>
      <c r="N383"/>
      <c r="O383"/>
    </row>
    <row r="384" spans="9:15" x14ac:dyDescent="0.25">
      <c r="I384"/>
      <c r="J384"/>
      <c r="K384"/>
      <c r="L384"/>
      <c r="M384"/>
      <c r="N384"/>
      <c r="O384"/>
    </row>
    <row r="385" spans="9:15" x14ac:dyDescent="0.25">
      <c r="I385"/>
      <c r="J385"/>
      <c r="K385"/>
      <c r="L385"/>
      <c r="M385"/>
      <c r="N385"/>
      <c r="O385"/>
    </row>
    <row r="386" spans="9:15" x14ac:dyDescent="0.25">
      <c r="I386"/>
      <c r="J386"/>
      <c r="K386"/>
      <c r="L386"/>
      <c r="M386"/>
      <c r="N386"/>
      <c r="O386"/>
    </row>
    <row r="387" spans="9:15" x14ac:dyDescent="0.25">
      <c r="I387"/>
      <c r="J387"/>
      <c r="K387"/>
      <c r="L387"/>
      <c r="M387"/>
      <c r="N387"/>
      <c r="O387"/>
    </row>
    <row r="388" spans="9:15" x14ac:dyDescent="0.25">
      <c r="I388"/>
      <c r="J388"/>
      <c r="K388"/>
      <c r="L388"/>
      <c r="M388"/>
      <c r="N388"/>
      <c r="O388"/>
    </row>
    <row r="389" spans="9:15" x14ac:dyDescent="0.25">
      <c r="I389"/>
      <c r="J389"/>
      <c r="K389"/>
      <c r="L389"/>
      <c r="M389"/>
      <c r="N389"/>
      <c r="O389"/>
    </row>
    <row r="390" spans="9:15" x14ac:dyDescent="0.25">
      <c r="I390"/>
      <c r="J390"/>
      <c r="K390"/>
      <c r="L390"/>
      <c r="M390"/>
      <c r="N390"/>
      <c r="O390"/>
    </row>
    <row r="391" spans="9:15" x14ac:dyDescent="0.25">
      <c r="I391"/>
      <c r="J391"/>
      <c r="K391"/>
      <c r="L391"/>
      <c r="M391"/>
      <c r="N391"/>
      <c r="O391"/>
    </row>
    <row r="392" spans="9:15" x14ac:dyDescent="0.25">
      <c r="I392"/>
      <c r="J392"/>
      <c r="K392"/>
      <c r="L392"/>
      <c r="M392"/>
      <c r="N392"/>
      <c r="O392"/>
    </row>
    <row r="393" spans="9:15" x14ac:dyDescent="0.25">
      <c r="I393"/>
      <c r="J393"/>
      <c r="K393"/>
      <c r="L393"/>
      <c r="M393"/>
      <c r="N393"/>
      <c r="O393"/>
    </row>
    <row r="394" spans="9:15" x14ac:dyDescent="0.25">
      <c r="I394"/>
      <c r="J394"/>
      <c r="K394"/>
      <c r="L394"/>
      <c r="M394"/>
      <c r="N394"/>
      <c r="O394"/>
    </row>
    <row r="395" spans="9:15" x14ac:dyDescent="0.25">
      <c r="I395"/>
      <c r="J395"/>
      <c r="K395"/>
      <c r="L395"/>
      <c r="M395"/>
      <c r="N395"/>
      <c r="O395"/>
    </row>
    <row r="396" spans="9:15" x14ac:dyDescent="0.25">
      <c r="I396"/>
      <c r="J396"/>
      <c r="K396"/>
      <c r="L396"/>
      <c r="M396"/>
      <c r="N396"/>
      <c r="O396"/>
    </row>
    <row r="397" spans="9:15" x14ac:dyDescent="0.25">
      <c r="I397"/>
      <c r="J397"/>
      <c r="K397"/>
      <c r="L397"/>
      <c r="M397"/>
      <c r="N397"/>
      <c r="O397"/>
    </row>
    <row r="398" spans="9:15" x14ac:dyDescent="0.25">
      <c r="I398"/>
      <c r="J398"/>
      <c r="K398"/>
      <c r="L398"/>
      <c r="M398"/>
      <c r="N398"/>
      <c r="O398"/>
    </row>
    <row r="399" spans="9:15" x14ac:dyDescent="0.25">
      <c r="I399"/>
      <c r="J399"/>
      <c r="K399"/>
      <c r="L399"/>
      <c r="M399"/>
      <c r="N399"/>
      <c r="O399"/>
    </row>
    <row r="400" spans="9:15" x14ac:dyDescent="0.25">
      <c r="I400"/>
      <c r="J400"/>
      <c r="K400"/>
      <c r="L400"/>
      <c r="M400"/>
      <c r="N400"/>
      <c r="O400"/>
    </row>
    <row r="401" spans="9:15" x14ac:dyDescent="0.25">
      <c r="I401"/>
      <c r="J401"/>
      <c r="K401"/>
      <c r="L401"/>
      <c r="M401"/>
      <c r="N401"/>
      <c r="O401"/>
    </row>
    <row r="402" spans="9:15" x14ac:dyDescent="0.25">
      <c r="I402"/>
      <c r="J402"/>
      <c r="K402"/>
      <c r="L402"/>
      <c r="M402"/>
      <c r="N402"/>
      <c r="O402"/>
    </row>
    <row r="403" spans="9:15" x14ac:dyDescent="0.25">
      <c r="I403"/>
      <c r="J403"/>
      <c r="K403"/>
      <c r="L403"/>
      <c r="M403"/>
      <c r="N403"/>
      <c r="O403"/>
    </row>
    <row r="404" spans="9:15" x14ac:dyDescent="0.25">
      <c r="I404"/>
      <c r="J404"/>
      <c r="K404"/>
      <c r="L404"/>
      <c r="M404"/>
      <c r="N404"/>
      <c r="O404"/>
    </row>
    <row r="405" spans="9:15" x14ac:dyDescent="0.25">
      <c r="I405"/>
      <c r="J405"/>
      <c r="K405"/>
      <c r="L405"/>
      <c r="M405"/>
      <c r="N405"/>
      <c r="O405"/>
    </row>
    <row r="406" spans="9:15" x14ac:dyDescent="0.25">
      <c r="I406"/>
      <c r="J406"/>
      <c r="K406"/>
      <c r="L406"/>
      <c r="M406"/>
      <c r="N406"/>
      <c r="O406"/>
    </row>
    <row r="407" spans="9:15" x14ac:dyDescent="0.25">
      <c r="I407"/>
      <c r="J407"/>
      <c r="K407"/>
      <c r="L407"/>
      <c r="M407"/>
      <c r="N407"/>
      <c r="O407"/>
    </row>
    <row r="408" spans="9:15" x14ac:dyDescent="0.25">
      <c r="I408"/>
      <c r="J408"/>
      <c r="K408"/>
      <c r="L408"/>
      <c r="M408"/>
      <c r="N408"/>
      <c r="O408"/>
    </row>
    <row r="409" spans="9:15" x14ac:dyDescent="0.25">
      <c r="I409"/>
      <c r="J409"/>
      <c r="K409"/>
      <c r="L409"/>
      <c r="M409"/>
      <c r="N409"/>
      <c r="O409"/>
    </row>
    <row r="410" spans="9:15" x14ac:dyDescent="0.25">
      <c r="I410"/>
      <c r="J410"/>
      <c r="K410"/>
      <c r="L410"/>
      <c r="M410"/>
      <c r="N410"/>
      <c r="O410"/>
    </row>
    <row r="411" spans="9:15" x14ac:dyDescent="0.25">
      <c r="I411"/>
      <c r="J411"/>
      <c r="K411"/>
      <c r="L411"/>
      <c r="M411"/>
      <c r="N411"/>
      <c r="O411"/>
    </row>
    <row r="412" spans="9:15" x14ac:dyDescent="0.25">
      <c r="I412"/>
      <c r="J412"/>
      <c r="K412"/>
      <c r="L412"/>
      <c r="M412"/>
      <c r="N412"/>
      <c r="O412"/>
    </row>
    <row r="413" spans="9:15" x14ac:dyDescent="0.25">
      <c r="I413"/>
      <c r="J413"/>
      <c r="K413"/>
      <c r="L413"/>
      <c r="M413"/>
      <c r="N413"/>
      <c r="O413"/>
    </row>
    <row r="414" spans="9:15" x14ac:dyDescent="0.25">
      <c r="I414"/>
      <c r="J414"/>
      <c r="K414"/>
      <c r="L414"/>
      <c r="M414"/>
      <c r="N414"/>
      <c r="O414"/>
    </row>
    <row r="415" spans="9:15" x14ac:dyDescent="0.25">
      <c r="I415"/>
      <c r="J415"/>
      <c r="K415"/>
      <c r="L415"/>
      <c r="M415"/>
      <c r="N415"/>
      <c r="O415"/>
    </row>
    <row r="416" spans="9:15" x14ac:dyDescent="0.25">
      <c r="I416"/>
      <c r="J416"/>
      <c r="K416"/>
      <c r="L416"/>
      <c r="M416"/>
      <c r="N416"/>
      <c r="O416"/>
    </row>
    <row r="417" spans="9:15" x14ac:dyDescent="0.25">
      <c r="I417"/>
      <c r="J417"/>
      <c r="K417"/>
      <c r="L417"/>
      <c r="M417"/>
      <c r="N417"/>
      <c r="O417"/>
    </row>
    <row r="418" spans="9:15" x14ac:dyDescent="0.25">
      <c r="I418"/>
      <c r="J418"/>
      <c r="K418"/>
      <c r="L418"/>
      <c r="M418"/>
      <c r="N418"/>
      <c r="O418"/>
    </row>
    <row r="419" spans="9:15" x14ac:dyDescent="0.25">
      <c r="I419"/>
      <c r="J419"/>
      <c r="K419"/>
      <c r="L419"/>
      <c r="M419"/>
      <c r="N419"/>
      <c r="O419"/>
    </row>
    <row r="420" spans="9:15" x14ac:dyDescent="0.25">
      <c r="I420"/>
      <c r="J420"/>
      <c r="K420"/>
      <c r="L420"/>
      <c r="M420"/>
      <c r="N420"/>
      <c r="O420"/>
    </row>
    <row r="421" spans="9:15" x14ac:dyDescent="0.25">
      <c r="I421"/>
      <c r="J421"/>
      <c r="K421"/>
      <c r="L421"/>
      <c r="M421"/>
      <c r="N421"/>
      <c r="O421"/>
    </row>
    <row r="422" spans="9:15" x14ac:dyDescent="0.25">
      <c r="I422"/>
      <c r="J422"/>
      <c r="K422"/>
      <c r="L422"/>
      <c r="M422"/>
      <c r="N422"/>
      <c r="O422"/>
    </row>
    <row r="423" spans="9:15" x14ac:dyDescent="0.25">
      <c r="I423"/>
      <c r="J423"/>
      <c r="K423"/>
      <c r="L423"/>
      <c r="M423"/>
      <c r="N423"/>
      <c r="O423"/>
    </row>
    <row r="424" spans="9:15" x14ac:dyDescent="0.25">
      <c r="I424"/>
      <c r="J424"/>
      <c r="K424"/>
      <c r="L424"/>
      <c r="M424"/>
      <c r="N424"/>
      <c r="O424"/>
    </row>
    <row r="425" spans="9:15" x14ac:dyDescent="0.25">
      <c r="I425"/>
      <c r="J425"/>
      <c r="K425"/>
      <c r="L425"/>
      <c r="M425"/>
      <c r="N425"/>
      <c r="O425"/>
    </row>
    <row r="426" spans="9:15" x14ac:dyDescent="0.25">
      <c r="I426"/>
      <c r="J426"/>
      <c r="K426"/>
      <c r="L426"/>
      <c r="M426"/>
      <c r="N426"/>
      <c r="O426"/>
    </row>
    <row r="427" spans="9:15" x14ac:dyDescent="0.25">
      <c r="I427"/>
      <c r="J427"/>
      <c r="K427"/>
      <c r="L427"/>
      <c r="M427"/>
      <c r="N427"/>
      <c r="O427"/>
    </row>
    <row r="428" spans="9:15" x14ac:dyDescent="0.25">
      <c r="I428"/>
      <c r="J428"/>
      <c r="K428"/>
      <c r="L428"/>
      <c r="M428"/>
      <c r="N428"/>
      <c r="O428"/>
    </row>
    <row r="429" spans="9:15" x14ac:dyDescent="0.25">
      <c r="I429"/>
      <c r="J429"/>
      <c r="K429"/>
      <c r="L429"/>
      <c r="M429"/>
      <c r="N429"/>
      <c r="O429"/>
    </row>
    <row r="430" spans="9:15" x14ac:dyDescent="0.25">
      <c r="I430"/>
      <c r="J430"/>
      <c r="K430"/>
      <c r="L430"/>
      <c r="M430"/>
      <c r="N430"/>
      <c r="O430"/>
    </row>
    <row r="431" spans="9:15" x14ac:dyDescent="0.25">
      <c r="I431"/>
      <c r="J431"/>
      <c r="K431"/>
      <c r="L431"/>
      <c r="M431"/>
      <c r="N431"/>
      <c r="O431"/>
    </row>
    <row r="432" spans="9:15" x14ac:dyDescent="0.25">
      <c r="I432"/>
      <c r="J432"/>
      <c r="K432"/>
      <c r="L432"/>
      <c r="M432"/>
      <c r="N432"/>
      <c r="O432"/>
    </row>
    <row r="433" spans="9:15" x14ac:dyDescent="0.25">
      <c r="I433"/>
      <c r="J433"/>
      <c r="K433"/>
      <c r="L433"/>
      <c r="M433"/>
      <c r="N433"/>
      <c r="O433"/>
    </row>
    <row r="434" spans="9:15" x14ac:dyDescent="0.25">
      <c r="I434"/>
      <c r="J434"/>
      <c r="K434"/>
      <c r="L434"/>
      <c r="M434"/>
      <c r="N434"/>
      <c r="O434"/>
    </row>
    <row r="435" spans="9:15" x14ac:dyDescent="0.25">
      <c r="I435"/>
      <c r="J435"/>
      <c r="K435"/>
      <c r="L435"/>
      <c r="M435"/>
      <c r="N435"/>
      <c r="O435"/>
    </row>
    <row r="436" spans="9:15" x14ac:dyDescent="0.25">
      <c r="I436"/>
      <c r="J436"/>
      <c r="K436"/>
      <c r="L436"/>
      <c r="M436"/>
      <c r="N436"/>
      <c r="O436"/>
    </row>
    <row r="437" spans="9:15" x14ac:dyDescent="0.25">
      <c r="I437"/>
      <c r="J437"/>
      <c r="K437"/>
      <c r="L437"/>
      <c r="M437"/>
      <c r="N437"/>
      <c r="O437"/>
    </row>
    <row r="438" spans="9:15" x14ac:dyDescent="0.25">
      <c r="I438"/>
      <c r="J438"/>
      <c r="K438"/>
      <c r="L438"/>
      <c r="M438"/>
      <c r="N438"/>
      <c r="O438"/>
    </row>
    <row r="439" spans="9:15" x14ac:dyDescent="0.25">
      <c r="I439"/>
      <c r="J439"/>
      <c r="K439"/>
      <c r="L439"/>
      <c r="M439"/>
      <c r="N439"/>
      <c r="O439"/>
    </row>
    <row r="440" spans="9:15" x14ac:dyDescent="0.25">
      <c r="I440"/>
      <c r="J440"/>
      <c r="K440"/>
      <c r="L440"/>
      <c r="M440"/>
      <c r="N440"/>
      <c r="O440"/>
    </row>
    <row r="441" spans="9:15" x14ac:dyDescent="0.25">
      <c r="I441"/>
      <c r="J441"/>
      <c r="K441"/>
      <c r="L441"/>
      <c r="M441"/>
      <c r="N441"/>
      <c r="O441"/>
    </row>
    <row r="442" spans="9:15" x14ac:dyDescent="0.25">
      <c r="I442"/>
      <c r="J442"/>
      <c r="K442"/>
      <c r="L442"/>
      <c r="M442"/>
      <c r="N442"/>
      <c r="O442"/>
    </row>
    <row r="443" spans="9:15" x14ac:dyDescent="0.25">
      <c r="I443"/>
      <c r="J443"/>
      <c r="K443"/>
      <c r="L443"/>
      <c r="M443"/>
      <c r="N443"/>
      <c r="O443"/>
    </row>
    <row r="444" spans="9:15" x14ac:dyDescent="0.25">
      <c r="I444"/>
      <c r="J444"/>
      <c r="K444"/>
      <c r="L444"/>
      <c r="M444"/>
      <c r="N444"/>
      <c r="O444"/>
    </row>
    <row r="445" spans="9:15" x14ac:dyDescent="0.25">
      <c r="I445"/>
      <c r="J445"/>
      <c r="K445"/>
      <c r="L445"/>
      <c r="M445"/>
      <c r="N445"/>
      <c r="O445"/>
    </row>
    <row r="446" spans="9:15" x14ac:dyDescent="0.25">
      <c r="I446"/>
      <c r="J446"/>
      <c r="K446"/>
      <c r="L446"/>
      <c r="M446"/>
      <c r="N446"/>
      <c r="O446"/>
    </row>
    <row r="447" spans="9:15" x14ac:dyDescent="0.25">
      <c r="I447"/>
      <c r="J447"/>
      <c r="K447"/>
      <c r="L447"/>
      <c r="M447"/>
      <c r="N447"/>
      <c r="O447"/>
    </row>
    <row r="448" spans="9:15" x14ac:dyDescent="0.25">
      <c r="I448"/>
      <c r="J448"/>
      <c r="K448"/>
      <c r="L448"/>
      <c r="M448"/>
      <c r="N448"/>
      <c r="O448"/>
    </row>
    <row r="449" spans="9:15" x14ac:dyDescent="0.25">
      <c r="I449"/>
      <c r="J449"/>
      <c r="K449"/>
      <c r="L449"/>
      <c r="M449"/>
      <c r="N449"/>
      <c r="O449"/>
    </row>
    <row r="450" spans="9:15" x14ac:dyDescent="0.25">
      <c r="I450"/>
      <c r="J450"/>
      <c r="K450"/>
      <c r="L450"/>
      <c r="M450"/>
      <c r="N450"/>
      <c r="O450"/>
    </row>
    <row r="451" spans="9:15" x14ac:dyDescent="0.25">
      <c r="I451"/>
      <c r="J451"/>
      <c r="K451"/>
      <c r="L451"/>
      <c r="M451"/>
      <c r="N451"/>
      <c r="O451"/>
    </row>
    <row r="452" spans="9:15" x14ac:dyDescent="0.25">
      <c r="I452"/>
      <c r="J452"/>
      <c r="K452"/>
      <c r="L452"/>
      <c r="M452"/>
      <c r="N452"/>
      <c r="O452"/>
    </row>
    <row r="453" spans="9:15" x14ac:dyDescent="0.25">
      <c r="I453"/>
      <c r="J453"/>
      <c r="K453"/>
      <c r="L453"/>
      <c r="M453"/>
      <c r="N453"/>
      <c r="O453"/>
    </row>
    <row r="454" spans="9:15" x14ac:dyDescent="0.25">
      <c r="I454"/>
      <c r="J454"/>
      <c r="K454"/>
      <c r="L454"/>
      <c r="M454"/>
      <c r="N454"/>
      <c r="O454"/>
    </row>
    <row r="455" spans="9:15" x14ac:dyDescent="0.25">
      <c r="I455"/>
      <c r="J455"/>
      <c r="K455"/>
      <c r="L455"/>
      <c r="M455"/>
      <c r="N455"/>
      <c r="O455"/>
    </row>
    <row r="456" spans="9:15" x14ac:dyDescent="0.25">
      <c r="I456"/>
      <c r="J456"/>
      <c r="K456"/>
      <c r="L456"/>
      <c r="M456"/>
      <c r="N456"/>
      <c r="O456"/>
    </row>
    <row r="457" spans="9:15" x14ac:dyDescent="0.25">
      <c r="I457"/>
      <c r="J457"/>
      <c r="K457"/>
      <c r="L457"/>
      <c r="M457"/>
      <c r="N457"/>
      <c r="O457"/>
    </row>
    <row r="458" spans="9:15" x14ac:dyDescent="0.25">
      <c r="I458"/>
      <c r="J458"/>
      <c r="K458"/>
      <c r="L458"/>
      <c r="M458"/>
      <c r="N458"/>
      <c r="O458"/>
    </row>
    <row r="459" spans="9:15" x14ac:dyDescent="0.25">
      <c r="I459"/>
      <c r="J459"/>
      <c r="K459"/>
      <c r="L459"/>
      <c r="M459"/>
      <c r="N459"/>
      <c r="O459"/>
    </row>
    <row r="460" spans="9:15" x14ac:dyDescent="0.25">
      <c r="I460"/>
      <c r="J460"/>
      <c r="K460"/>
      <c r="L460"/>
      <c r="M460"/>
      <c r="N460"/>
      <c r="O460"/>
    </row>
    <row r="461" spans="9:15" x14ac:dyDescent="0.25">
      <c r="I461"/>
      <c r="J461"/>
      <c r="K461"/>
      <c r="L461"/>
      <c r="M461"/>
      <c r="N461"/>
      <c r="O461"/>
    </row>
    <row r="462" spans="9:15" x14ac:dyDescent="0.25">
      <c r="I462"/>
      <c r="J462"/>
      <c r="K462"/>
      <c r="L462"/>
      <c r="M462"/>
      <c r="N462"/>
      <c r="O462"/>
    </row>
    <row r="463" spans="9:15" x14ac:dyDescent="0.25">
      <c r="I463"/>
      <c r="J463"/>
      <c r="K463"/>
      <c r="L463"/>
      <c r="M463"/>
      <c r="N463"/>
      <c r="O463"/>
    </row>
    <row r="464" spans="9:15" x14ac:dyDescent="0.25">
      <c r="I464"/>
      <c r="J464"/>
      <c r="K464"/>
      <c r="L464"/>
      <c r="M464"/>
      <c r="N464"/>
      <c r="O464"/>
    </row>
    <row r="465" spans="9:15" x14ac:dyDescent="0.25">
      <c r="I465"/>
      <c r="J465"/>
      <c r="K465"/>
      <c r="L465"/>
      <c r="M465"/>
      <c r="N465"/>
      <c r="O465"/>
    </row>
    <row r="466" spans="9:15" x14ac:dyDescent="0.25">
      <c r="I466"/>
      <c r="J466"/>
      <c r="K466"/>
      <c r="L466"/>
      <c r="M466"/>
      <c r="N466"/>
      <c r="O466"/>
    </row>
    <row r="467" spans="9:15" x14ac:dyDescent="0.25">
      <c r="I467"/>
      <c r="J467"/>
      <c r="K467"/>
      <c r="L467"/>
      <c r="M467"/>
      <c r="N467"/>
      <c r="O467"/>
    </row>
    <row r="468" spans="9:15" x14ac:dyDescent="0.25">
      <c r="I468"/>
      <c r="J468"/>
      <c r="K468"/>
      <c r="L468"/>
      <c r="M468"/>
      <c r="N468"/>
      <c r="O468"/>
    </row>
    <row r="469" spans="9:15" x14ac:dyDescent="0.25">
      <c r="I469"/>
      <c r="J469"/>
      <c r="K469"/>
      <c r="L469"/>
      <c r="M469"/>
      <c r="N469"/>
      <c r="O469"/>
    </row>
    <row r="470" spans="9:15" x14ac:dyDescent="0.25">
      <c r="I470"/>
      <c r="J470"/>
      <c r="K470"/>
      <c r="L470"/>
      <c r="M470"/>
      <c r="N470"/>
      <c r="O470"/>
    </row>
    <row r="471" spans="9:15" x14ac:dyDescent="0.25">
      <c r="I471"/>
      <c r="J471"/>
      <c r="K471"/>
      <c r="L471"/>
      <c r="M471"/>
      <c r="N471"/>
      <c r="O471"/>
    </row>
    <row r="472" spans="9:15" x14ac:dyDescent="0.25">
      <c r="I472"/>
      <c r="J472"/>
      <c r="K472"/>
      <c r="L472"/>
      <c r="M472"/>
      <c r="N472"/>
      <c r="O472"/>
    </row>
    <row r="473" spans="9:15" x14ac:dyDescent="0.25">
      <c r="I473"/>
      <c r="J473"/>
      <c r="K473"/>
      <c r="L473"/>
      <c r="M473"/>
      <c r="N473"/>
      <c r="O473"/>
    </row>
    <row r="474" spans="9:15" x14ac:dyDescent="0.25">
      <c r="I474"/>
      <c r="J474"/>
      <c r="K474"/>
      <c r="L474"/>
      <c r="M474"/>
      <c r="N474"/>
      <c r="O474"/>
    </row>
    <row r="475" spans="9:15" x14ac:dyDescent="0.25">
      <c r="I475"/>
      <c r="J475"/>
      <c r="K475"/>
      <c r="L475"/>
      <c r="M475"/>
      <c r="N475"/>
      <c r="O475"/>
    </row>
    <row r="476" spans="9:15" x14ac:dyDescent="0.25">
      <c r="I476"/>
      <c r="J476"/>
      <c r="K476"/>
      <c r="L476"/>
      <c r="M476"/>
      <c r="N476"/>
      <c r="O476"/>
    </row>
    <row r="477" spans="9:15" x14ac:dyDescent="0.25">
      <c r="I477"/>
      <c r="J477"/>
      <c r="K477"/>
      <c r="L477"/>
      <c r="M477"/>
      <c r="N477"/>
      <c r="O477"/>
    </row>
    <row r="478" spans="9:15" x14ac:dyDescent="0.25">
      <c r="I478"/>
      <c r="J478"/>
      <c r="K478"/>
      <c r="L478"/>
      <c r="M478"/>
      <c r="N478"/>
      <c r="O478"/>
    </row>
    <row r="479" spans="9:15" x14ac:dyDescent="0.25">
      <c r="I479"/>
      <c r="J479"/>
      <c r="K479"/>
      <c r="L479"/>
      <c r="M479"/>
      <c r="N479"/>
      <c r="O479"/>
    </row>
    <row r="480" spans="9:15" x14ac:dyDescent="0.25">
      <c r="I480"/>
      <c r="J480"/>
      <c r="K480"/>
      <c r="L480"/>
      <c r="M480"/>
      <c r="N480"/>
      <c r="O480"/>
    </row>
    <row r="481" spans="9:15" x14ac:dyDescent="0.25">
      <c r="I481"/>
      <c r="J481"/>
      <c r="K481"/>
      <c r="L481"/>
      <c r="M481"/>
      <c r="N481"/>
      <c r="O481"/>
    </row>
    <row r="482" spans="9:15" x14ac:dyDescent="0.25">
      <c r="I482"/>
      <c r="J482"/>
      <c r="K482"/>
      <c r="L482"/>
      <c r="M482"/>
      <c r="N482"/>
      <c r="O482"/>
    </row>
    <row r="483" spans="9:15" x14ac:dyDescent="0.25">
      <c r="I483"/>
      <c r="J483"/>
      <c r="K483"/>
      <c r="L483"/>
      <c r="M483"/>
      <c r="N483"/>
      <c r="O483"/>
    </row>
    <row r="484" spans="9:15" x14ac:dyDescent="0.25">
      <c r="I484"/>
      <c r="J484"/>
      <c r="K484"/>
      <c r="L484"/>
      <c r="M484"/>
      <c r="N484"/>
      <c r="O484"/>
    </row>
    <row r="485" spans="9:15" x14ac:dyDescent="0.25">
      <c r="I485"/>
      <c r="J485"/>
      <c r="K485"/>
      <c r="L485"/>
      <c r="M485"/>
      <c r="N485"/>
      <c r="O485"/>
    </row>
    <row r="486" spans="9:15" x14ac:dyDescent="0.25">
      <c r="I486"/>
      <c r="J486"/>
      <c r="K486"/>
      <c r="L486"/>
      <c r="M486"/>
      <c r="N486"/>
      <c r="O486"/>
    </row>
    <row r="487" spans="9:15" x14ac:dyDescent="0.25">
      <c r="I487"/>
      <c r="J487"/>
      <c r="K487"/>
      <c r="L487"/>
      <c r="M487"/>
      <c r="N487"/>
      <c r="O487"/>
    </row>
    <row r="488" spans="9:15" x14ac:dyDescent="0.25">
      <c r="I488"/>
      <c r="J488"/>
      <c r="K488"/>
      <c r="L488"/>
      <c r="M488"/>
      <c r="N488"/>
      <c r="O488"/>
    </row>
    <row r="489" spans="9:15" x14ac:dyDescent="0.25">
      <c r="I489"/>
      <c r="J489"/>
      <c r="K489"/>
      <c r="L489"/>
      <c r="M489"/>
      <c r="N489"/>
      <c r="O489"/>
    </row>
    <row r="490" spans="9:15" x14ac:dyDescent="0.25">
      <c r="I490"/>
      <c r="J490"/>
      <c r="K490"/>
      <c r="L490"/>
      <c r="M490"/>
      <c r="N490"/>
      <c r="O490"/>
    </row>
    <row r="491" spans="9:15" x14ac:dyDescent="0.25">
      <c r="I491"/>
      <c r="J491"/>
      <c r="K491"/>
      <c r="L491"/>
      <c r="M491"/>
      <c r="N491"/>
      <c r="O491"/>
    </row>
    <row r="492" spans="9:15" x14ac:dyDescent="0.25">
      <c r="I492"/>
      <c r="J492"/>
      <c r="K492"/>
      <c r="L492"/>
      <c r="M492"/>
      <c r="N492"/>
      <c r="O492"/>
    </row>
    <row r="493" spans="9:15" x14ac:dyDescent="0.25">
      <c r="I493"/>
      <c r="J493"/>
      <c r="K493"/>
      <c r="L493"/>
      <c r="M493"/>
      <c r="N493"/>
      <c r="O493"/>
    </row>
    <row r="494" spans="9:15" x14ac:dyDescent="0.25">
      <c r="I494"/>
      <c r="J494"/>
      <c r="K494"/>
      <c r="L494"/>
      <c r="M494"/>
      <c r="N494"/>
      <c r="O494"/>
    </row>
    <row r="495" spans="9:15" x14ac:dyDescent="0.25">
      <c r="I495"/>
      <c r="J495"/>
      <c r="K495"/>
      <c r="L495"/>
      <c r="M495"/>
      <c r="N495"/>
      <c r="O495"/>
    </row>
    <row r="496" spans="9:15" x14ac:dyDescent="0.25">
      <c r="I496"/>
      <c r="J496"/>
      <c r="K496"/>
      <c r="L496"/>
      <c r="M496"/>
      <c r="N496"/>
      <c r="O496"/>
    </row>
    <row r="497" spans="9:15" x14ac:dyDescent="0.25">
      <c r="I497"/>
      <c r="J497"/>
      <c r="K497"/>
      <c r="L497"/>
      <c r="M497"/>
      <c r="N497"/>
      <c r="O497"/>
    </row>
    <row r="498" spans="9:15" x14ac:dyDescent="0.25">
      <c r="I498"/>
      <c r="J498"/>
      <c r="K498"/>
      <c r="L498"/>
      <c r="M498"/>
      <c r="N498"/>
      <c r="O498"/>
    </row>
    <row r="499" spans="9:15" x14ac:dyDescent="0.25">
      <c r="I499"/>
      <c r="J499"/>
      <c r="K499"/>
      <c r="L499"/>
      <c r="M499"/>
      <c r="N499"/>
      <c r="O499"/>
    </row>
    <row r="500" spans="9:15" x14ac:dyDescent="0.25">
      <c r="I500"/>
      <c r="J500"/>
      <c r="K500"/>
      <c r="L500"/>
      <c r="M500"/>
      <c r="N500"/>
      <c r="O500"/>
    </row>
    <row r="501" spans="9:15" x14ac:dyDescent="0.25">
      <c r="I501"/>
      <c r="J501"/>
      <c r="K501"/>
      <c r="L501"/>
      <c r="M501"/>
      <c r="N501"/>
      <c r="O501"/>
    </row>
    <row r="502" spans="9:15" x14ac:dyDescent="0.25">
      <c r="I502"/>
      <c r="J502"/>
      <c r="K502"/>
      <c r="L502"/>
      <c r="M502"/>
      <c r="N502"/>
      <c r="O502"/>
    </row>
    <row r="503" spans="9:15" x14ac:dyDescent="0.25">
      <c r="I503"/>
      <c r="J503"/>
      <c r="K503"/>
      <c r="L503"/>
      <c r="M503"/>
      <c r="N503"/>
      <c r="O503"/>
    </row>
    <row r="504" spans="9:15" x14ac:dyDescent="0.25">
      <c r="I504"/>
      <c r="J504"/>
      <c r="K504"/>
      <c r="L504"/>
      <c r="M504"/>
      <c r="N504"/>
      <c r="O504"/>
    </row>
    <row r="505" spans="9:15" x14ac:dyDescent="0.25">
      <c r="I505"/>
      <c r="J505"/>
      <c r="K505"/>
      <c r="L505"/>
      <c r="M505"/>
      <c r="N505"/>
      <c r="O505"/>
    </row>
    <row r="506" spans="9:15" x14ac:dyDescent="0.25">
      <c r="I506"/>
      <c r="J506"/>
      <c r="K506"/>
      <c r="L506"/>
      <c r="M506"/>
      <c r="N506"/>
      <c r="O506"/>
    </row>
    <row r="507" spans="9:15" x14ac:dyDescent="0.25">
      <c r="I507"/>
      <c r="J507"/>
      <c r="K507"/>
      <c r="L507"/>
      <c r="M507"/>
      <c r="N507"/>
      <c r="O507"/>
    </row>
    <row r="508" spans="9:15" x14ac:dyDescent="0.25">
      <c r="I508"/>
      <c r="J508"/>
      <c r="K508"/>
      <c r="L508"/>
      <c r="M508"/>
      <c r="N508"/>
      <c r="O508"/>
    </row>
    <row r="509" spans="9:15" x14ac:dyDescent="0.25">
      <c r="I509"/>
      <c r="J509"/>
      <c r="K509"/>
      <c r="L509"/>
      <c r="M509"/>
      <c r="N509"/>
      <c r="O509"/>
    </row>
    <row r="510" spans="9:15" x14ac:dyDescent="0.25">
      <c r="I510"/>
      <c r="J510"/>
      <c r="K510"/>
      <c r="L510"/>
      <c r="M510"/>
      <c r="N510"/>
      <c r="O510"/>
    </row>
    <row r="511" spans="9:15" x14ac:dyDescent="0.25">
      <c r="I511"/>
      <c r="J511"/>
      <c r="K511"/>
      <c r="L511"/>
      <c r="M511"/>
      <c r="N511"/>
      <c r="O511"/>
    </row>
    <row r="512" spans="9:15" x14ac:dyDescent="0.25">
      <c r="I512"/>
      <c r="J512"/>
      <c r="K512"/>
      <c r="L512"/>
      <c r="M512"/>
      <c r="N512"/>
      <c r="O512"/>
    </row>
    <row r="513" spans="9:15" x14ac:dyDescent="0.25">
      <c r="I513"/>
      <c r="J513"/>
      <c r="K513"/>
      <c r="L513"/>
      <c r="M513"/>
      <c r="N513"/>
      <c r="O513"/>
    </row>
    <row r="514" spans="9:15" x14ac:dyDescent="0.25">
      <c r="I514"/>
      <c r="J514"/>
      <c r="K514"/>
      <c r="L514"/>
      <c r="M514"/>
      <c r="N514"/>
      <c r="O514"/>
    </row>
    <row r="515" spans="9:15" x14ac:dyDescent="0.25">
      <c r="I515"/>
      <c r="J515"/>
      <c r="K515"/>
      <c r="L515"/>
      <c r="M515"/>
      <c r="N515"/>
      <c r="O515"/>
    </row>
    <row r="516" spans="9:15" x14ac:dyDescent="0.25">
      <c r="I516"/>
      <c r="J516"/>
      <c r="K516"/>
      <c r="L516"/>
      <c r="M516"/>
      <c r="N516"/>
      <c r="O516"/>
    </row>
    <row r="517" spans="9:15" x14ac:dyDescent="0.25">
      <c r="I517"/>
      <c r="J517"/>
      <c r="K517"/>
      <c r="L517"/>
      <c r="M517"/>
      <c r="N517"/>
      <c r="O517"/>
    </row>
    <row r="518" spans="9:15" x14ac:dyDescent="0.25">
      <c r="I518"/>
      <c r="J518"/>
      <c r="K518"/>
      <c r="L518"/>
      <c r="M518"/>
      <c r="N518"/>
      <c r="O518"/>
    </row>
    <row r="519" spans="9:15" x14ac:dyDescent="0.25">
      <c r="I519"/>
      <c r="J519"/>
      <c r="K519"/>
      <c r="L519"/>
      <c r="M519"/>
      <c r="N519"/>
      <c r="O519"/>
    </row>
    <row r="520" spans="9:15" x14ac:dyDescent="0.25">
      <c r="I520"/>
      <c r="J520"/>
      <c r="K520"/>
      <c r="L520"/>
      <c r="M520"/>
      <c r="N520"/>
      <c r="O520"/>
    </row>
    <row r="521" spans="9:15" x14ac:dyDescent="0.25">
      <c r="I521"/>
      <c r="J521"/>
      <c r="K521"/>
      <c r="L521"/>
      <c r="M521"/>
      <c r="N521"/>
      <c r="O521"/>
    </row>
    <row r="522" spans="9:15" x14ac:dyDescent="0.25">
      <c r="I522"/>
      <c r="J522"/>
      <c r="K522"/>
      <c r="L522"/>
      <c r="M522"/>
      <c r="N522"/>
      <c r="O522"/>
    </row>
    <row r="523" spans="9:15" x14ac:dyDescent="0.25">
      <c r="I523"/>
      <c r="J523"/>
      <c r="K523"/>
      <c r="L523"/>
      <c r="M523"/>
      <c r="N523"/>
      <c r="O523"/>
    </row>
    <row r="524" spans="9:15" x14ac:dyDescent="0.25">
      <c r="I524"/>
      <c r="J524"/>
      <c r="K524"/>
      <c r="L524"/>
      <c r="M524"/>
      <c r="N524"/>
      <c r="O524"/>
    </row>
    <row r="525" spans="9:15" x14ac:dyDescent="0.25">
      <c r="I525"/>
      <c r="J525"/>
      <c r="K525"/>
      <c r="L525"/>
      <c r="M525"/>
      <c r="N525"/>
      <c r="O525"/>
    </row>
    <row r="526" spans="9:15" x14ac:dyDescent="0.25">
      <c r="I526"/>
      <c r="J526"/>
      <c r="K526"/>
      <c r="L526"/>
      <c r="M526"/>
      <c r="N526"/>
      <c r="O526"/>
    </row>
    <row r="527" spans="9:15" x14ac:dyDescent="0.25">
      <c r="I527"/>
      <c r="J527"/>
      <c r="K527"/>
      <c r="L527"/>
      <c r="M527"/>
      <c r="N527"/>
      <c r="O527"/>
    </row>
    <row r="528" spans="9:15" x14ac:dyDescent="0.25">
      <c r="I528"/>
      <c r="J528"/>
      <c r="K528"/>
      <c r="L528"/>
      <c r="M528"/>
      <c r="N528"/>
      <c r="O528"/>
    </row>
    <row r="529" spans="9:15" x14ac:dyDescent="0.25">
      <c r="I529"/>
      <c r="J529"/>
      <c r="K529"/>
      <c r="L529"/>
      <c r="M529"/>
      <c r="N529"/>
      <c r="O529"/>
    </row>
    <row r="530" spans="9:15" x14ac:dyDescent="0.25">
      <c r="I530"/>
      <c r="J530"/>
      <c r="K530"/>
      <c r="L530"/>
      <c r="M530"/>
      <c r="N530"/>
      <c r="O530"/>
    </row>
    <row r="531" spans="9:15" x14ac:dyDescent="0.25">
      <c r="I531"/>
      <c r="J531"/>
      <c r="K531"/>
      <c r="L531"/>
      <c r="M531"/>
      <c r="N531"/>
      <c r="O531"/>
    </row>
    <row r="532" spans="9:15" x14ac:dyDescent="0.25">
      <c r="I532"/>
      <c r="J532"/>
      <c r="K532"/>
      <c r="L532"/>
      <c r="M532"/>
      <c r="N532"/>
      <c r="O532"/>
    </row>
    <row r="533" spans="9:15" x14ac:dyDescent="0.25">
      <c r="I533"/>
      <c r="J533"/>
      <c r="K533"/>
      <c r="L533"/>
      <c r="M533"/>
      <c r="N533"/>
      <c r="O533"/>
    </row>
    <row r="534" spans="9:15" x14ac:dyDescent="0.25">
      <c r="I534"/>
      <c r="J534"/>
      <c r="K534"/>
      <c r="L534"/>
      <c r="M534"/>
      <c r="N534"/>
      <c r="O534"/>
    </row>
    <row r="535" spans="9:15" x14ac:dyDescent="0.25">
      <c r="I535"/>
      <c r="J535"/>
      <c r="K535"/>
      <c r="L535"/>
      <c r="M535"/>
      <c r="N535"/>
      <c r="O535"/>
    </row>
    <row r="536" spans="9:15" x14ac:dyDescent="0.25">
      <c r="I536"/>
      <c r="J536"/>
      <c r="K536"/>
      <c r="L536"/>
      <c r="M536"/>
      <c r="N536"/>
      <c r="O536"/>
    </row>
    <row r="537" spans="9:15" x14ac:dyDescent="0.25">
      <c r="I537"/>
      <c r="J537"/>
      <c r="K537"/>
      <c r="L537"/>
      <c r="M537"/>
      <c r="N537"/>
      <c r="O537"/>
    </row>
    <row r="538" spans="9:15" x14ac:dyDescent="0.25">
      <c r="I538"/>
      <c r="J538"/>
      <c r="K538"/>
      <c r="L538"/>
      <c r="M538"/>
      <c r="N538"/>
      <c r="O538"/>
    </row>
    <row r="539" spans="9:15" x14ac:dyDescent="0.25">
      <c r="I539"/>
      <c r="J539"/>
      <c r="K539"/>
      <c r="L539"/>
      <c r="M539"/>
      <c r="N539"/>
      <c r="O539"/>
    </row>
    <row r="540" spans="9:15" x14ac:dyDescent="0.25">
      <c r="I540"/>
      <c r="J540"/>
      <c r="K540"/>
      <c r="L540"/>
      <c r="M540"/>
      <c r="N540"/>
      <c r="O540"/>
    </row>
    <row r="541" spans="9:15" x14ac:dyDescent="0.25">
      <c r="I541"/>
      <c r="J541"/>
      <c r="K541"/>
      <c r="L541"/>
      <c r="M541"/>
      <c r="N541"/>
      <c r="O541"/>
    </row>
    <row r="542" spans="9:15" x14ac:dyDescent="0.25">
      <c r="I542"/>
      <c r="J542"/>
      <c r="K542"/>
      <c r="L542"/>
      <c r="M542"/>
      <c r="N542"/>
      <c r="O542"/>
    </row>
    <row r="543" spans="9:15" x14ac:dyDescent="0.25">
      <c r="I543"/>
      <c r="J543"/>
      <c r="K543"/>
      <c r="L543"/>
      <c r="M543"/>
      <c r="N543"/>
      <c r="O543"/>
    </row>
    <row r="544" spans="9:15" x14ac:dyDescent="0.25">
      <c r="I544"/>
      <c r="J544"/>
      <c r="K544"/>
      <c r="L544"/>
      <c r="M544"/>
      <c r="N544"/>
      <c r="O544"/>
    </row>
    <row r="545" spans="9:15" x14ac:dyDescent="0.25">
      <c r="I545"/>
      <c r="J545"/>
      <c r="K545"/>
      <c r="L545"/>
      <c r="M545"/>
      <c r="N545"/>
      <c r="O545"/>
    </row>
    <row r="546" spans="9:15" x14ac:dyDescent="0.25">
      <c r="I546"/>
      <c r="J546"/>
      <c r="K546"/>
      <c r="L546"/>
      <c r="M546"/>
      <c r="N546"/>
      <c r="O546"/>
    </row>
    <row r="547" spans="9:15" x14ac:dyDescent="0.25">
      <c r="I547"/>
      <c r="J547"/>
      <c r="K547"/>
      <c r="L547"/>
      <c r="M547"/>
      <c r="N547"/>
      <c r="O547"/>
    </row>
    <row r="548" spans="9:15" x14ac:dyDescent="0.25">
      <c r="I548"/>
      <c r="J548"/>
      <c r="K548"/>
      <c r="L548"/>
      <c r="M548"/>
      <c r="N548"/>
      <c r="O548"/>
    </row>
    <row r="549" spans="9:15" x14ac:dyDescent="0.25">
      <c r="I549"/>
      <c r="J549"/>
      <c r="K549"/>
      <c r="L549"/>
      <c r="M549"/>
      <c r="N549"/>
      <c r="O549"/>
    </row>
    <row r="550" spans="9:15" x14ac:dyDescent="0.25">
      <c r="I550"/>
      <c r="J550"/>
      <c r="K550"/>
      <c r="L550"/>
      <c r="M550"/>
      <c r="N550"/>
      <c r="O550"/>
    </row>
    <row r="551" spans="9:15" x14ac:dyDescent="0.25">
      <c r="I551"/>
      <c r="J551"/>
      <c r="K551"/>
      <c r="L551"/>
      <c r="M551"/>
      <c r="N551"/>
      <c r="O551"/>
    </row>
    <row r="552" spans="9:15" x14ac:dyDescent="0.25">
      <c r="I552"/>
      <c r="J552"/>
      <c r="K552"/>
      <c r="L552"/>
      <c r="M552"/>
      <c r="N552"/>
      <c r="O552"/>
    </row>
    <row r="553" spans="9:15" x14ac:dyDescent="0.25">
      <c r="I553"/>
      <c r="J553"/>
      <c r="K553"/>
      <c r="L553"/>
      <c r="M553"/>
      <c r="N553"/>
      <c r="O553"/>
    </row>
    <row r="554" spans="9:15" x14ac:dyDescent="0.25">
      <c r="I554"/>
      <c r="J554"/>
      <c r="K554"/>
      <c r="L554"/>
      <c r="M554"/>
      <c r="N554"/>
      <c r="O554"/>
    </row>
    <row r="555" spans="9:15" x14ac:dyDescent="0.25">
      <c r="I555"/>
      <c r="J555"/>
      <c r="K555"/>
      <c r="L555"/>
      <c r="M555"/>
      <c r="N555"/>
      <c r="O555"/>
    </row>
    <row r="556" spans="9:15" x14ac:dyDescent="0.25">
      <c r="I556"/>
      <c r="J556"/>
      <c r="K556"/>
      <c r="L556"/>
      <c r="M556"/>
      <c r="N556"/>
      <c r="O556"/>
    </row>
    <row r="557" spans="9:15" x14ac:dyDescent="0.25">
      <c r="I557"/>
      <c r="J557"/>
      <c r="K557"/>
      <c r="L557"/>
      <c r="M557"/>
      <c r="N557"/>
      <c r="O557"/>
    </row>
    <row r="558" spans="9:15" x14ac:dyDescent="0.25">
      <c r="I558"/>
      <c r="J558"/>
      <c r="K558"/>
      <c r="L558"/>
      <c r="M558"/>
      <c r="N558"/>
      <c r="O558"/>
    </row>
    <row r="559" spans="9:15" x14ac:dyDescent="0.25">
      <c r="I559"/>
      <c r="J559"/>
      <c r="K559"/>
      <c r="L559"/>
      <c r="M559"/>
      <c r="N559"/>
      <c r="O559"/>
    </row>
    <row r="560" spans="9:15" x14ac:dyDescent="0.25">
      <c r="I560"/>
      <c r="J560"/>
      <c r="K560"/>
      <c r="L560"/>
      <c r="M560"/>
      <c r="N560"/>
      <c r="O560"/>
    </row>
    <row r="561" spans="9:15" x14ac:dyDescent="0.25">
      <c r="I561"/>
      <c r="J561"/>
      <c r="K561"/>
      <c r="L561"/>
      <c r="M561"/>
      <c r="N561"/>
      <c r="O561"/>
    </row>
    <row r="562" spans="9:15" x14ac:dyDescent="0.25">
      <c r="I562"/>
      <c r="J562"/>
      <c r="K562"/>
      <c r="L562"/>
      <c r="M562"/>
      <c r="N562"/>
      <c r="O562"/>
    </row>
    <row r="563" spans="9:15" x14ac:dyDescent="0.25">
      <c r="I563"/>
      <c r="J563"/>
      <c r="K563"/>
      <c r="L563"/>
      <c r="M563"/>
      <c r="N563"/>
      <c r="O563"/>
    </row>
    <row r="564" spans="9:15" x14ac:dyDescent="0.25">
      <c r="I564"/>
      <c r="J564"/>
      <c r="K564"/>
      <c r="L564"/>
      <c r="M564"/>
      <c r="N564"/>
      <c r="O564"/>
    </row>
    <row r="565" spans="9:15" x14ac:dyDescent="0.25">
      <c r="I565"/>
      <c r="J565"/>
      <c r="K565"/>
      <c r="L565"/>
      <c r="M565"/>
      <c r="N565"/>
      <c r="O565"/>
    </row>
    <row r="566" spans="9:15" x14ac:dyDescent="0.25">
      <c r="I566"/>
      <c r="J566"/>
      <c r="K566"/>
      <c r="L566"/>
      <c r="M566"/>
      <c r="N566"/>
      <c r="O566"/>
    </row>
    <row r="567" spans="9:15" x14ac:dyDescent="0.25">
      <c r="I567"/>
      <c r="J567"/>
      <c r="K567"/>
      <c r="L567"/>
      <c r="M567"/>
      <c r="N567"/>
      <c r="O567"/>
    </row>
    <row r="568" spans="9:15" x14ac:dyDescent="0.25">
      <c r="I568"/>
      <c r="J568"/>
      <c r="K568"/>
      <c r="L568"/>
      <c r="M568"/>
      <c r="N568"/>
      <c r="O568"/>
    </row>
    <row r="569" spans="9:15" x14ac:dyDescent="0.25">
      <c r="I569"/>
      <c r="J569"/>
      <c r="K569"/>
      <c r="L569"/>
      <c r="M569"/>
      <c r="N569"/>
      <c r="O569"/>
    </row>
    <row r="570" spans="9:15" x14ac:dyDescent="0.25">
      <c r="I570"/>
      <c r="J570"/>
      <c r="K570"/>
      <c r="L570"/>
      <c r="M570"/>
      <c r="N570"/>
      <c r="O570"/>
    </row>
    <row r="571" spans="9:15" x14ac:dyDescent="0.25">
      <c r="I571"/>
      <c r="J571"/>
      <c r="K571"/>
      <c r="L571"/>
      <c r="M571"/>
      <c r="N571"/>
      <c r="O571"/>
    </row>
    <row r="572" spans="9:15" x14ac:dyDescent="0.25">
      <c r="I572"/>
      <c r="J572"/>
      <c r="K572"/>
      <c r="L572"/>
      <c r="M572"/>
      <c r="N572"/>
      <c r="O572"/>
    </row>
    <row r="573" spans="9:15" x14ac:dyDescent="0.25">
      <c r="I573"/>
      <c r="J573"/>
      <c r="K573"/>
      <c r="L573"/>
      <c r="M573"/>
      <c r="N573"/>
      <c r="O573"/>
    </row>
    <row r="574" spans="9:15" x14ac:dyDescent="0.25">
      <c r="I574"/>
      <c r="J574"/>
      <c r="K574"/>
      <c r="L574"/>
      <c r="M574"/>
      <c r="N574"/>
      <c r="O574"/>
    </row>
    <row r="575" spans="9:15" x14ac:dyDescent="0.25">
      <c r="I575"/>
      <c r="J575"/>
      <c r="K575"/>
      <c r="L575"/>
      <c r="M575"/>
      <c r="N575"/>
      <c r="O575"/>
    </row>
    <row r="576" spans="9:15" x14ac:dyDescent="0.25">
      <c r="I576"/>
      <c r="J576"/>
      <c r="K576"/>
      <c r="L576"/>
      <c r="M576"/>
      <c r="N576"/>
      <c r="O576"/>
    </row>
    <row r="577" spans="9:15" x14ac:dyDescent="0.25">
      <c r="I577"/>
      <c r="J577"/>
      <c r="K577"/>
      <c r="L577"/>
      <c r="M577"/>
      <c r="N577"/>
      <c r="O577"/>
    </row>
    <row r="578" spans="9:15" x14ac:dyDescent="0.25">
      <c r="I578"/>
      <c r="J578"/>
      <c r="K578"/>
      <c r="L578"/>
      <c r="M578"/>
      <c r="N578"/>
      <c r="O578"/>
    </row>
    <row r="579" spans="9:15" x14ac:dyDescent="0.25">
      <c r="I579"/>
      <c r="J579"/>
      <c r="K579"/>
      <c r="L579"/>
      <c r="M579"/>
      <c r="N579"/>
      <c r="O579"/>
    </row>
    <row r="580" spans="9:15" x14ac:dyDescent="0.25">
      <c r="I580"/>
      <c r="J580"/>
      <c r="K580"/>
      <c r="L580"/>
      <c r="M580"/>
      <c r="N580"/>
      <c r="O580"/>
    </row>
    <row r="581" spans="9:15" x14ac:dyDescent="0.25">
      <c r="I581"/>
      <c r="J581"/>
      <c r="K581"/>
      <c r="L581"/>
      <c r="M581"/>
      <c r="N581"/>
      <c r="O581"/>
    </row>
    <row r="582" spans="9:15" x14ac:dyDescent="0.25">
      <c r="I582"/>
      <c r="J582"/>
      <c r="K582"/>
      <c r="L582"/>
      <c r="M582"/>
      <c r="N582"/>
      <c r="O582"/>
    </row>
    <row r="583" spans="9:15" x14ac:dyDescent="0.25">
      <c r="I583"/>
      <c r="J583"/>
      <c r="K583"/>
      <c r="L583"/>
      <c r="M583"/>
      <c r="N583"/>
      <c r="O583"/>
    </row>
    <row r="584" spans="9:15" x14ac:dyDescent="0.25">
      <c r="I584"/>
      <c r="J584"/>
      <c r="K584"/>
      <c r="L584"/>
      <c r="M584"/>
      <c r="N584"/>
      <c r="O584"/>
    </row>
    <row r="585" spans="9:15" x14ac:dyDescent="0.25">
      <c r="I585"/>
      <c r="J585"/>
      <c r="K585"/>
      <c r="L585"/>
      <c r="M585"/>
      <c r="N585"/>
      <c r="O585"/>
    </row>
  </sheetData>
  <autoFilter ref="A2:S87">
    <filterColumn colId="6">
      <filters>
        <filter val="030/PCI/K1/III/21"/>
        <filter val="031/PCI/K1/III/21"/>
        <filter val="032/PCI/K1/III/21"/>
        <filter val="033/PCI/K1/III/21"/>
        <filter val="034/PCI/K1/III/21"/>
        <filter val="037/PCI/K1/III/21"/>
        <filter val="039/PCI/K1/III/21"/>
        <filter val="040/PCI/K1/III/21"/>
        <filter val="041/PCI/K1/III/21"/>
        <filter val="042/PCI/K1/IV/21"/>
        <filter val="043/PCI/K1/IV/21"/>
        <filter val="044/PCI/K1/IV/21"/>
        <filter val="045/PCI/K1/IV/21"/>
        <filter val="047/PCI/K1/IV/21"/>
        <filter val="048/PCI/K1/IV/21"/>
        <filter val="049/PCI/K1/IV/21"/>
        <filter val="057/PCI/K1/IV/21"/>
        <filter val="058/PCI/K1/IV/21"/>
        <filter val="059/PCI/K1/IV/21"/>
        <filter val="060/PCI/K1/IV/21"/>
        <filter val="072/PCI/K1/V/21"/>
        <filter val="073/PCI/K1/V/21"/>
        <filter val="074/PCI/K1/V/21"/>
        <filter val="075/PCI/K1/V/21"/>
        <filter val="076/PCI/K1/V/21"/>
        <filter val="077/PCI/K1/V/21"/>
        <filter val="078/PCI/K1/V/21"/>
        <filter val="082/PCI/K1/V/21"/>
        <filter val="083/PCI/K1/V/21"/>
        <filter val="084/PCI/K1/V/21"/>
        <filter val="089/PCI/K1/V/21"/>
        <filter val="090/PCI/K1/V/21"/>
        <filter val="091/PCI/K1/VI/21"/>
        <filter val="092/PCI/K1/VI/21"/>
        <filter val="093/PCI/K1/VI/21"/>
        <filter val="094/PCI/K1/VI/21"/>
        <filter val="095/PCI/K1/VI/21"/>
        <filter val="112/PCI/K1/VI/21"/>
        <filter val="113/PCI/K1/VI/21"/>
        <filter val="114/PCI/K1/VI/21"/>
        <filter val="115/PCI/K1/VI/21"/>
        <filter val="120/PCI/K1/VI/21"/>
        <filter val="121/PCI/K1/VI/21"/>
        <filter val="126/PCI/K1/VI/21"/>
        <filter val="127/PCI/K1/VI/21"/>
        <filter val="128/PCI/K1/VI/21"/>
        <filter val="129/PCI/K1/VI/21"/>
        <filter val="130/PCI/K1/VI/21"/>
        <filter val="139/PCI/K1/VI/21"/>
        <filter val="140/PCI/K1/VI/21"/>
        <filter val="172/PCI/K1/VII/21"/>
        <filter val="173/PCI/K1/VII/21"/>
        <filter val="213/PCI/K1/VII/21"/>
        <filter val="274/PCI/K1/IX/21"/>
        <filter val="319/PCI/K1/X/21"/>
        <filter val="320/PCI/K1/X/21"/>
        <filter val="339/PCI/K1/XI/21"/>
        <filter val="361/PCI/K1/XI/21"/>
        <filter val="362/PCI/K1/XI/21"/>
        <filter val="363/PCI/K1/XI/21"/>
      </filters>
    </filterColumn>
  </autoFilter>
  <mergeCells count="26">
    <mergeCell ref="P81:P83"/>
    <mergeCell ref="P73:P78"/>
    <mergeCell ref="P57:P63"/>
    <mergeCell ref="A95:H95"/>
    <mergeCell ref="P39:P40"/>
    <mergeCell ref="F46:F47"/>
    <mergeCell ref="G46:G47"/>
    <mergeCell ref="H46:H47"/>
    <mergeCell ref="I46:I47"/>
    <mergeCell ref="J46:J47"/>
    <mergeCell ref="K46:K47"/>
    <mergeCell ref="L46:L47"/>
    <mergeCell ref="N46:N47"/>
    <mergeCell ref="P46:P53"/>
    <mergeCell ref="P54:P56"/>
    <mergeCell ref="P41:P45"/>
    <mergeCell ref="P68:P72"/>
    <mergeCell ref="P64:P67"/>
    <mergeCell ref="P16:P18"/>
    <mergeCell ref="P11:P15"/>
    <mergeCell ref="P8:P10"/>
    <mergeCell ref="P31:P32"/>
    <mergeCell ref="P33:P38"/>
    <mergeCell ref="P27:P30"/>
    <mergeCell ref="P19:P21"/>
    <mergeCell ref="P22:P26"/>
  </mergeCells>
  <printOptions horizontalCentered="1"/>
  <pageMargins left="0" right="0" top="0.39370078740157483" bottom="0" header="0.31496062992125984" footer="0.31496062992125984"/>
  <pageSetup paperSize="9" scale="55" orientation="landscape" horizontalDpi="4294967293" verticalDpi="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L496"/>
  <sheetViews>
    <sheetView showGridLines="0" zoomScale="81" zoomScaleNormal="81" workbookViewId="0">
      <pane xSplit="4" ySplit="3" topLeftCell="E4" activePane="bottomRight" state="frozen"/>
      <selection pane="topRight" activeCell="F1" sqref="F1"/>
      <selection pane="bottomLeft" activeCell="A4" sqref="A4"/>
      <selection pane="bottomRight" activeCell="D14" sqref="D14"/>
    </sheetView>
  </sheetViews>
  <sheetFormatPr defaultRowHeight="15" x14ac:dyDescent="0.25"/>
  <cols>
    <col min="1" max="1" width="5.5703125" customWidth="1"/>
    <col min="2" max="2" width="14.28515625" style="8" customWidth="1"/>
    <col min="3" max="3" width="12.140625" customWidth="1"/>
    <col min="4" max="4" width="27.28515625" bestFit="1" customWidth="1"/>
    <col min="5" max="5" width="24.140625" customWidth="1"/>
    <col min="6" max="6" width="14.5703125" style="9" customWidth="1"/>
    <col min="7" max="7" width="17.85546875" customWidth="1"/>
    <col min="8" max="8" width="13.140625" customWidth="1"/>
    <col min="9" max="9" width="13.140625" style="11" customWidth="1"/>
    <col min="10" max="10" width="15.28515625" style="11" bestFit="1" customWidth="1"/>
    <col min="11" max="11" width="15.28515625" style="11" customWidth="1"/>
    <col min="12" max="12" width="18.28515625" style="11" customWidth="1"/>
  </cols>
  <sheetData>
    <row r="2" spans="1:12" ht="42" customHeight="1" x14ac:dyDescent="0.25">
      <c r="A2" s="1121" t="s">
        <v>6</v>
      </c>
      <c r="B2" s="1122" t="s">
        <v>0</v>
      </c>
      <c r="C2" s="1121" t="s">
        <v>7</v>
      </c>
      <c r="D2" s="1121" t="s">
        <v>8</v>
      </c>
      <c r="E2" s="1121" t="s">
        <v>9</v>
      </c>
      <c r="F2" s="1123" t="s">
        <v>10</v>
      </c>
      <c r="G2" s="1121" t="s">
        <v>11</v>
      </c>
      <c r="H2" s="1124" t="s">
        <v>138</v>
      </c>
      <c r="I2" s="1062" t="s">
        <v>49</v>
      </c>
      <c r="J2" s="1118" t="s">
        <v>1</v>
      </c>
      <c r="K2" s="1118" t="s">
        <v>40</v>
      </c>
      <c r="L2" s="1120" t="s">
        <v>2</v>
      </c>
    </row>
    <row r="3" spans="1:12" ht="21" customHeight="1" x14ac:dyDescent="0.25">
      <c r="A3" s="1121"/>
      <c r="B3" s="1122"/>
      <c r="C3" s="1121"/>
      <c r="D3" s="1121"/>
      <c r="E3" s="1121"/>
      <c r="F3" s="1123"/>
      <c r="G3" s="1121"/>
      <c r="H3" s="1124"/>
      <c r="I3" s="1062"/>
      <c r="J3" s="1119"/>
      <c r="K3" s="1119"/>
      <c r="L3" s="1120"/>
    </row>
    <row r="4" spans="1:12" ht="33" customHeight="1" x14ac:dyDescent="0.25">
      <c r="A4" s="193">
        <v>1</v>
      </c>
      <c r="B4" s="194">
        <v>44375</v>
      </c>
      <c r="C4" s="348" t="s">
        <v>1106</v>
      </c>
      <c r="D4" s="53" t="s">
        <v>53</v>
      </c>
      <c r="E4" s="230" t="s">
        <v>417</v>
      </c>
      <c r="F4" s="280">
        <v>1700000</v>
      </c>
      <c r="G4" s="133" t="s">
        <v>1105</v>
      </c>
      <c r="H4" s="399">
        <v>44377</v>
      </c>
      <c r="I4" s="322">
        <f t="shared" ref="I4:I5" si="0">F4</f>
        <v>1700000</v>
      </c>
      <c r="J4" s="189"/>
      <c r="K4" s="189"/>
      <c r="L4" s="192">
        <f t="shared" ref="L4:L5" si="1">I4-J4-K4</f>
        <v>1700000</v>
      </c>
    </row>
    <row r="5" spans="1:12" ht="29.25" customHeight="1" x14ac:dyDescent="0.25">
      <c r="A5" s="193">
        <v>2</v>
      </c>
      <c r="B5" s="194">
        <v>44352</v>
      </c>
      <c r="C5" s="580"/>
      <c r="D5" s="53" t="s">
        <v>53</v>
      </c>
      <c r="E5" s="281" t="s">
        <v>1349</v>
      </c>
      <c r="F5" s="231">
        <v>1326700</v>
      </c>
      <c r="G5" s="193" t="s">
        <v>1350</v>
      </c>
      <c r="H5" s="400">
        <v>44466</v>
      </c>
      <c r="I5" s="322">
        <f t="shared" si="0"/>
        <v>1326700</v>
      </c>
      <c r="J5" s="321"/>
      <c r="K5" s="321"/>
      <c r="L5" s="282">
        <f t="shared" si="1"/>
        <v>1326700</v>
      </c>
    </row>
    <row r="6" spans="1:12" ht="29.25" customHeight="1" x14ac:dyDescent="0.25">
      <c r="A6" s="193">
        <v>3</v>
      </c>
      <c r="B6" s="194">
        <v>44501</v>
      </c>
      <c r="C6" s="580" t="s">
        <v>2655</v>
      </c>
      <c r="D6" s="53" t="s">
        <v>53</v>
      </c>
      <c r="E6" s="281" t="s">
        <v>1179</v>
      </c>
      <c r="F6" s="231">
        <v>1100000</v>
      </c>
      <c r="G6" s="193" t="s">
        <v>2654</v>
      </c>
      <c r="H6" s="400">
        <v>44524</v>
      </c>
      <c r="I6" s="322">
        <f t="shared" ref="I6" si="2">F6</f>
        <v>1100000</v>
      </c>
      <c r="J6" s="579"/>
      <c r="K6" s="579"/>
      <c r="L6" s="282">
        <f t="shared" ref="L6" si="3">I6-J6-K6</f>
        <v>1100000</v>
      </c>
    </row>
    <row r="7" spans="1:12" ht="38.25" customHeight="1" x14ac:dyDescent="0.25">
      <c r="A7" s="1074" t="s">
        <v>788</v>
      </c>
      <c r="B7" s="1074"/>
      <c r="C7" s="1074"/>
      <c r="D7" s="1074"/>
      <c r="E7" s="1074"/>
      <c r="F7" s="1074"/>
      <c r="G7" s="1074"/>
      <c r="H7" s="1074"/>
      <c r="I7" s="1074"/>
      <c r="J7" s="1074"/>
      <c r="K7" s="187"/>
      <c r="L7" s="106">
        <f>SUM(L4:L6)</f>
        <v>4126700</v>
      </c>
    </row>
    <row r="8" spans="1:12" x14ac:dyDescent="0.25">
      <c r="A8" s="40"/>
      <c r="B8" s="41"/>
      <c r="C8" s="7"/>
      <c r="D8" s="7"/>
      <c r="E8" s="7"/>
      <c r="F8" s="42"/>
      <c r="G8" s="7"/>
      <c r="H8" s="7"/>
      <c r="I8"/>
      <c r="J8"/>
      <c r="K8"/>
      <c r="L8"/>
    </row>
    <row r="9" spans="1:12" x14ac:dyDescent="0.25">
      <c r="A9" s="40"/>
      <c r="B9" s="41"/>
      <c r="C9" s="7"/>
      <c r="D9" s="7"/>
      <c r="E9" s="7"/>
      <c r="F9" s="42"/>
      <c r="G9" s="7"/>
      <c r="H9" s="7"/>
      <c r="I9"/>
      <c r="J9"/>
      <c r="K9"/>
      <c r="L9" s="16"/>
    </row>
    <row r="10" spans="1:12" x14ac:dyDescent="0.25">
      <c r="A10" s="40"/>
      <c r="B10" s="41"/>
      <c r="C10" s="7"/>
      <c r="D10" s="7"/>
      <c r="E10" s="7"/>
      <c r="F10" s="42"/>
      <c r="G10" s="7"/>
      <c r="H10" s="7"/>
      <c r="I10"/>
      <c r="J10"/>
      <c r="K10"/>
      <c r="L10"/>
    </row>
    <row r="11" spans="1:12" x14ac:dyDescent="0.25">
      <c r="A11" s="40"/>
      <c r="B11" s="41"/>
      <c r="C11" s="7"/>
      <c r="D11" s="7"/>
      <c r="E11" s="7"/>
      <c r="F11" s="42"/>
      <c r="G11" s="7"/>
      <c r="H11" s="7"/>
      <c r="I11"/>
      <c r="J11"/>
      <c r="K11"/>
      <c r="L11"/>
    </row>
    <row r="12" spans="1:12" x14ac:dyDescent="0.25">
      <c r="A12" s="40"/>
      <c r="B12" s="41"/>
      <c r="C12" s="7"/>
      <c r="D12" s="7"/>
      <c r="E12" s="7"/>
      <c r="F12" s="42"/>
      <c r="G12" s="7"/>
      <c r="H12" s="7"/>
      <c r="I12"/>
      <c r="J12"/>
      <c r="K12"/>
      <c r="L12"/>
    </row>
    <row r="13" spans="1:12" x14ac:dyDescent="0.25">
      <c r="A13" s="40"/>
      <c r="B13" s="41"/>
      <c r="C13" s="7"/>
      <c r="D13" s="7"/>
      <c r="E13" s="7"/>
      <c r="F13" s="42"/>
      <c r="G13" s="7"/>
      <c r="H13" s="7"/>
      <c r="I13"/>
      <c r="J13"/>
      <c r="K13"/>
      <c r="L13"/>
    </row>
    <row r="14" spans="1:12" x14ac:dyDescent="0.25">
      <c r="A14" s="40"/>
      <c r="B14" s="41"/>
      <c r="C14" s="7"/>
      <c r="D14" s="7"/>
      <c r="E14" s="7"/>
      <c r="F14" s="42"/>
      <c r="G14" s="7"/>
      <c r="H14" s="7"/>
      <c r="I14"/>
      <c r="J14"/>
      <c r="K14"/>
      <c r="L14"/>
    </row>
    <row r="15" spans="1:12" x14ac:dyDescent="0.25">
      <c r="A15" s="40"/>
      <c r="B15" s="41"/>
      <c r="C15" s="7"/>
      <c r="D15" s="7"/>
      <c r="E15" s="7"/>
      <c r="F15" s="42"/>
      <c r="G15" s="7"/>
      <c r="H15" s="7"/>
      <c r="I15"/>
      <c r="J15"/>
      <c r="K15"/>
      <c r="L15"/>
    </row>
    <row r="16" spans="1:12" x14ac:dyDescent="0.25">
      <c r="A16" s="40"/>
      <c r="B16" s="41"/>
      <c r="C16" s="7"/>
      <c r="D16" s="7"/>
      <c r="E16" s="7"/>
      <c r="F16" s="42"/>
      <c r="G16" s="7"/>
      <c r="H16" s="7"/>
      <c r="I16"/>
      <c r="J16"/>
      <c r="K16"/>
      <c r="L16"/>
    </row>
    <row r="17" spans="1:12" x14ac:dyDescent="0.25">
      <c r="A17" s="40"/>
      <c r="B17" s="41"/>
      <c r="C17" s="7"/>
      <c r="D17" s="7"/>
      <c r="E17" s="7"/>
      <c r="F17" s="42"/>
      <c r="G17" s="7"/>
      <c r="H17" s="7"/>
      <c r="I17"/>
      <c r="J17"/>
      <c r="K17"/>
      <c r="L17"/>
    </row>
    <row r="18" spans="1:12" x14ac:dyDescent="0.25">
      <c r="A18" s="40"/>
      <c r="B18" s="41"/>
      <c r="C18" s="7"/>
      <c r="D18" s="7"/>
      <c r="E18" s="7"/>
      <c r="F18" s="42"/>
      <c r="G18" s="7"/>
      <c r="H18" s="7"/>
      <c r="I18"/>
      <c r="J18"/>
      <c r="K18"/>
      <c r="L18"/>
    </row>
    <row r="19" spans="1:12" x14ac:dyDescent="0.25">
      <c r="A19" s="40"/>
      <c r="B19" s="41"/>
      <c r="C19" s="7"/>
      <c r="D19" s="7"/>
      <c r="E19" s="7"/>
      <c r="F19" s="42"/>
      <c r="G19" s="7"/>
      <c r="H19" s="7"/>
      <c r="I19"/>
      <c r="J19"/>
      <c r="K19"/>
      <c r="L19"/>
    </row>
    <row r="20" spans="1:12" x14ac:dyDescent="0.25">
      <c r="A20" s="40"/>
      <c r="B20" s="41"/>
      <c r="C20" s="7"/>
      <c r="D20" s="7"/>
      <c r="E20" s="7"/>
      <c r="F20" s="42"/>
      <c r="G20" s="7"/>
      <c r="H20" s="7"/>
      <c r="I20"/>
      <c r="J20"/>
      <c r="K20"/>
      <c r="L20"/>
    </row>
    <row r="21" spans="1:12" x14ac:dyDescent="0.25">
      <c r="A21" s="40"/>
      <c r="B21" s="41"/>
      <c r="C21" s="7"/>
      <c r="D21" s="7"/>
      <c r="E21" s="7"/>
      <c r="F21" s="42"/>
      <c r="G21" s="7"/>
      <c r="H21" s="7"/>
      <c r="I21"/>
      <c r="J21"/>
      <c r="K21"/>
      <c r="L21"/>
    </row>
    <row r="22" spans="1:12" x14ac:dyDescent="0.25">
      <c r="A22" s="40"/>
      <c r="B22" s="41"/>
      <c r="C22" s="7"/>
      <c r="D22" s="7"/>
      <c r="E22" s="7"/>
      <c r="F22" s="42"/>
      <c r="G22" s="7"/>
      <c r="H22" s="7"/>
      <c r="I22"/>
      <c r="J22"/>
      <c r="K22"/>
      <c r="L22"/>
    </row>
    <row r="23" spans="1:12" x14ac:dyDescent="0.25">
      <c r="A23" s="40"/>
      <c r="B23" s="41"/>
      <c r="C23" s="7"/>
      <c r="D23" s="7"/>
      <c r="E23" s="7"/>
      <c r="F23" s="42"/>
      <c r="G23" s="7"/>
      <c r="H23" s="7"/>
      <c r="I23"/>
      <c r="J23"/>
      <c r="K23"/>
      <c r="L23"/>
    </row>
    <row r="24" spans="1:12" x14ac:dyDescent="0.25">
      <c r="A24" s="40"/>
      <c r="B24" s="41"/>
      <c r="C24" s="7"/>
      <c r="D24" s="7"/>
      <c r="E24" s="7"/>
      <c r="F24" s="42"/>
      <c r="G24" s="7"/>
      <c r="H24" s="7"/>
      <c r="I24"/>
      <c r="J24"/>
      <c r="K24"/>
      <c r="L24"/>
    </row>
    <row r="25" spans="1:12" x14ac:dyDescent="0.25">
      <c r="A25" s="40"/>
      <c r="B25" s="41"/>
      <c r="C25" s="7"/>
      <c r="D25" s="7"/>
      <c r="E25" s="7"/>
      <c r="F25" s="42"/>
      <c r="G25" s="7"/>
      <c r="H25" s="7"/>
      <c r="I25"/>
      <c r="J25"/>
      <c r="K25"/>
      <c r="L25"/>
    </row>
    <row r="26" spans="1:12" x14ac:dyDescent="0.25">
      <c r="A26" s="40"/>
      <c r="B26" s="41"/>
      <c r="C26" s="7"/>
      <c r="D26" s="7"/>
      <c r="E26" s="7"/>
      <c r="F26" s="42"/>
      <c r="G26" s="7"/>
      <c r="H26" s="7"/>
      <c r="I26"/>
      <c r="J26"/>
      <c r="K26"/>
      <c r="L26"/>
    </row>
    <row r="27" spans="1:12" x14ac:dyDescent="0.25">
      <c r="A27" s="40"/>
      <c r="B27" s="41"/>
      <c r="C27" s="7"/>
      <c r="D27" s="7"/>
      <c r="E27" s="7"/>
      <c r="F27" s="42"/>
      <c r="G27" s="7"/>
      <c r="H27" s="7"/>
      <c r="I27"/>
      <c r="J27"/>
      <c r="K27"/>
      <c r="L27"/>
    </row>
    <row r="28" spans="1:12" x14ac:dyDescent="0.25">
      <c r="A28" s="40"/>
      <c r="B28" s="41"/>
      <c r="C28" s="7"/>
      <c r="D28" s="7"/>
      <c r="E28" s="7"/>
      <c r="F28" s="42"/>
      <c r="G28" s="7"/>
      <c r="H28" s="7"/>
      <c r="I28"/>
      <c r="J28"/>
      <c r="K28"/>
      <c r="L28"/>
    </row>
    <row r="29" spans="1:12" x14ac:dyDescent="0.25">
      <c r="A29" s="40"/>
      <c r="B29" s="41"/>
      <c r="C29" s="7"/>
      <c r="D29" s="7"/>
      <c r="E29" s="7"/>
      <c r="F29" s="42"/>
      <c r="G29" s="7"/>
      <c r="H29" s="7"/>
      <c r="I29"/>
      <c r="J29"/>
      <c r="K29"/>
      <c r="L29"/>
    </row>
    <row r="30" spans="1:12" x14ac:dyDescent="0.25">
      <c r="A30" s="40"/>
      <c r="B30" s="41"/>
      <c r="C30" s="7"/>
      <c r="D30" s="7"/>
      <c r="E30" s="7"/>
      <c r="F30" s="42"/>
      <c r="G30" s="7"/>
      <c r="H30" s="7"/>
      <c r="I30"/>
      <c r="J30"/>
      <c r="K30"/>
      <c r="L30"/>
    </row>
    <row r="31" spans="1:12" x14ac:dyDescent="0.25">
      <c r="A31" s="40"/>
      <c r="B31" s="41"/>
      <c r="C31" s="7"/>
      <c r="D31" s="7"/>
      <c r="E31" s="7"/>
      <c r="F31" s="42"/>
      <c r="G31" s="7"/>
      <c r="H31" s="7"/>
      <c r="I31"/>
      <c r="J31"/>
      <c r="K31"/>
      <c r="L31"/>
    </row>
    <row r="32" spans="1:12" x14ac:dyDescent="0.25">
      <c r="A32" s="40"/>
      <c r="B32" s="41"/>
      <c r="C32" s="7"/>
      <c r="D32" s="7"/>
      <c r="E32" s="7"/>
      <c r="F32" s="42"/>
      <c r="G32" s="7"/>
      <c r="H32" s="7"/>
      <c r="I32"/>
      <c r="J32"/>
      <c r="K32"/>
      <c r="L32"/>
    </row>
    <row r="33" spans="1:12" x14ac:dyDescent="0.25">
      <c r="A33" s="40"/>
      <c r="B33" s="41"/>
      <c r="C33" s="7"/>
      <c r="D33" s="7"/>
      <c r="E33" s="7"/>
      <c r="F33" s="42"/>
      <c r="G33" s="7"/>
      <c r="H33" s="7"/>
      <c r="I33"/>
      <c r="J33"/>
      <c r="K33"/>
      <c r="L33"/>
    </row>
    <row r="34" spans="1:12" x14ac:dyDescent="0.25">
      <c r="A34" s="40"/>
      <c r="B34" s="41"/>
      <c r="C34" s="7"/>
      <c r="D34" s="7"/>
      <c r="E34" s="7"/>
      <c r="F34" s="42"/>
      <c r="G34" s="7"/>
      <c r="H34" s="7"/>
      <c r="I34"/>
      <c r="J34"/>
      <c r="K34"/>
      <c r="L34"/>
    </row>
    <row r="35" spans="1:12" x14ac:dyDescent="0.25">
      <c r="A35" s="40"/>
      <c r="B35" s="41"/>
      <c r="C35" s="7"/>
      <c r="D35" s="7"/>
      <c r="E35" s="7"/>
      <c r="F35" s="42"/>
      <c r="G35" s="7"/>
      <c r="H35" s="7"/>
      <c r="I35"/>
      <c r="J35"/>
      <c r="K35"/>
      <c r="L35"/>
    </row>
    <row r="36" spans="1:12" x14ac:dyDescent="0.25">
      <c r="A36" s="40"/>
      <c r="B36" s="41"/>
      <c r="C36" s="7"/>
      <c r="D36" s="7"/>
      <c r="E36" s="7"/>
      <c r="F36" s="42"/>
      <c r="G36" s="7"/>
      <c r="H36" s="7"/>
      <c r="I36"/>
      <c r="J36"/>
      <c r="K36"/>
      <c r="L36"/>
    </row>
    <row r="37" spans="1:12" x14ac:dyDescent="0.25">
      <c r="A37" s="40"/>
      <c r="B37" s="41"/>
      <c r="C37" s="7"/>
      <c r="D37" s="7"/>
      <c r="E37" s="7"/>
      <c r="F37" s="42"/>
      <c r="G37" s="7"/>
      <c r="H37" s="7"/>
      <c r="I37"/>
      <c r="J37"/>
      <c r="K37"/>
      <c r="L37"/>
    </row>
    <row r="38" spans="1:12" x14ac:dyDescent="0.25">
      <c r="A38" s="40"/>
      <c r="B38" s="41"/>
      <c r="C38" s="7"/>
      <c r="D38" s="7"/>
      <c r="E38" s="7"/>
      <c r="F38" s="42"/>
      <c r="G38" s="7"/>
      <c r="H38" s="7"/>
      <c r="I38"/>
      <c r="J38"/>
      <c r="K38"/>
      <c r="L38"/>
    </row>
    <row r="39" spans="1:12" x14ac:dyDescent="0.25">
      <c r="A39" s="40"/>
      <c r="B39" s="41"/>
      <c r="C39" s="7"/>
      <c r="D39" s="7"/>
      <c r="E39" s="7"/>
      <c r="F39" s="42"/>
      <c r="G39" s="7"/>
      <c r="H39" s="7"/>
      <c r="I39"/>
      <c r="J39"/>
      <c r="K39"/>
      <c r="L39"/>
    </row>
    <row r="40" spans="1:12" x14ac:dyDescent="0.25">
      <c r="A40" s="40"/>
      <c r="B40" s="41"/>
      <c r="C40" s="7"/>
      <c r="D40" s="7"/>
      <c r="E40" s="7"/>
      <c r="F40" s="42"/>
      <c r="G40" s="7"/>
      <c r="H40" s="7"/>
      <c r="I40"/>
      <c r="J40"/>
      <c r="K40"/>
      <c r="L40"/>
    </row>
    <row r="41" spans="1:12" x14ac:dyDescent="0.25">
      <c r="A41" s="40"/>
      <c r="B41" s="41"/>
      <c r="C41" s="7"/>
      <c r="D41" s="7"/>
      <c r="E41" s="7"/>
      <c r="F41" s="42"/>
      <c r="G41" s="7"/>
      <c r="H41" s="7"/>
      <c r="I41"/>
      <c r="J41"/>
      <c r="K41"/>
      <c r="L41"/>
    </row>
    <row r="42" spans="1:12" x14ac:dyDescent="0.25">
      <c r="A42" s="40"/>
      <c r="B42" s="41"/>
      <c r="C42" s="7"/>
      <c r="D42" s="7"/>
      <c r="E42" s="7"/>
      <c r="F42" s="42"/>
      <c r="G42" s="7"/>
      <c r="H42" s="7"/>
      <c r="I42"/>
      <c r="J42"/>
      <c r="K42"/>
      <c r="L42"/>
    </row>
    <row r="43" spans="1:12" x14ac:dyDescent="0.25">
      <c r="A43" s="40"/>
      <c r="B43" s="41"/>
      <c r="C43" s="7"/>
      <c r="D43" s="7"/>
      <c r="E43" s="7"/>
      <c r="F43" s="42"/>
      <c r="G43" s="7"/>
      <c r="H43" s="7"/>
      <c r="I43"/>
      <c r="J43"/>
      <c r="K43"/>
      <c r="L43"/>
    </row>
    <row r="44" spans="1:12" x14ac:dyDescent="0.25">
      <c r="A44" s="40"/>
      <c r="B44" s="41"/>
      <c r="C44" s="7"/>
      <c r="D44" s="7"/>
      <c r="E44" s="7"/>
      <c r="F44" s="42"/>
      <c r="G44" s="7"/>
      <c r="H44" s="7"/>
      <c r="I44"/>
      <c r="J44"/>
      <c r="K44"/>
      <c r="L44"/>
    </row>
    <row r="45" spans="1:12" x14ac:dyDescent="0.25">
      <c r="A45" s="40"/>
      <c r="B45" s="41"/>
      <c r="C45" s="7"/>
      <c r="D45" s="7"/>
      <c r="E45" s="7"/>
      <c r="F45" s="42"/>
      <c r="G45" s="7"/>
      <c r="H45" s="7"/>
      <c r="I45"/>
      <c r="J45"/>
      <c r="K45"/>
      <c r="L45"/>
    </row>
    <row r="46" spans="1:12" x14ac:dyDescent="0.25">
      <c r="A46" s="40"/>
      <c r="B46" s="41"/>
      <c r="C46" s="7"/>
      <c r="D46" s="7"/>
      <c r="E46" s="7"/>
      <c r="F46" s="42"/>
      <c r="G46" s="7"/>
      <c r="H46" s="7"/>
      <c r="I46"/>
      <c r="J46"/>
      <c r="K46"/>
      <c r="L46"/>
    </row>
    <row r="47" spans="1:12" x14ac:dyDescent="0.25">
      <c r="A47" s="40"/>
      <c r="B47" s="41"/>
      <c r="C47" s="7"/>
      <c r="D47" s="7"/>
      <c r="E47" s="7"/>
      <c r="F47" s="42"/>
      <c r="G47" s="7"/>
      <c r="H47" s="7"/>
      <c r="I47"/>
      <c r="J47"/>
      <c r="K47"/>
      <c r="L47"/>
    </row>
    <row r="48" spans="1:12" x14ac:dyDescent="0.25">
      <c r="A48" s="40"/>
      <c r="B48" s="41"/>
      <c r="C48" s="7"/>
      <c r="D48" s="7"/>
      <c r="E48" s="7"/>
      <c r="F48" s="42"/>
      <c r="G48" s="7"/>
      <c r="H48" s="7"/>
      <c r="I48"/>
      <c r="J48"/>
      <c r="K48"/>
      <c r="L48"/>
    </row>
    <row r="49" spans="1:12" x14ac:dyDescent="0.25">
      <c r="A49" s="40"/>
      <c r="B49" s="41"/>
      <c r="C49" s="7"/>
      <c r="D49" s="7"/>
      <c r="E49" s="7"/>
      <c r="F49" s="42"/>
      <c r="G49" s="7"/>
      <c r="H49" s="7"/>
      <c r="I49"/>
      <c r="J49"/>
      <c r="K49"/>
      <c r="L49"/>
    </row>
    <row r="50" spans="1:12" x14ac:dyDescent="0.25">
      <c r="A50" s="40"/>
      <c r="B50" s="41"/>
      <c r="C50" s="7"/>
      <c r="D50" s="7"/>
      <c r="E50" s="7"/>
      <c r="F50" s="42"/>
      <c r="G50" s="7"/>
      <c r="H50" s="7"/>
      <c r="I50"/>
      <c r="J50"/>
      <c r="K50"/>
      <c r="L50"/>
    </row>
    <row r="51" spans="1:12" x14ac:dyDescent="0.25">
      <c r="A51" s="40"/>
      <c r="B51" s="41"/>
      <c r="C51" s="7"/>
      <c r="D51" s="7"/>
      <c r="E51" s="7"/>
      <c r="F51" s="42"/>
      <c r="G51" s="7"/>
      <c r="H51" s="7"/>
      <c r="I51"/>
      <c r="J51"/>
      <c r="K51"/>
      <c r="L51"/>
    </row>
    <row r="52" spans="1:12" x14ac:dyDescent="0.25">
      <c r="A52" s="40"/>
      <c r="B52" s="41"/>
      <c r="C52" s="7"/>
      <c r="D52" s="7"/>
      <c r="E52" s="7"/>
      <c r="F52" s="42"/>
      <c r="G52" s="7"/>
      <c r="H52" s="7"/>
      <c r="I52"/>
      <c r="J52"/>
      <c r="K52"/>
      <c r="L52"/>
    </row>
    <row r="53" spans="1:12" x14ac:dyDescent="0.25">
      <c r="A53" s="40"/>
      <c r="B53" s="41"/>
      <c r="C53" s="7"/>
      <c r="D53" s="7"/>
      <c r="E53" s="7"/>
      <c r="F53" s="42"/>
      <c r="G53" s="7"/>
      <c r="H53" s="7"/>
      <c r="I53"/>
      <c r="J53"/>
      <c r="K53"/>
      <c r="L53"/>
    </row>
    <row r="54" spans="1:12" x14ac:dyDescent="0.25">
      <c r="A54" s="40"/>
      <c r="B54" s="41"/>
      <c r="C54" s="7"/>
      <c r="D54" s="7"/>
      <c r="E54" s="7"/>
      <c r="F54" s="42"/>
      <c r="G54" s="7"/>
      <c r="H54" s="7"/>
      <c r="I54"/>
      <c r="J54"/>
      <c r="K54"/>
      <c r="L54"/>
    </row>
    <row r="55" spans="1:12" x14ac:dyDescent="0.25">
      <c r="A55" s="40"/>
      <c r="B55" s="41"/>
      <c r="C55" s="7"/>
      <c r="D55" s="7"/>
      <c r="E55" s="7"/>
      <c r="F55" s="42"/>
      <c r="G55" s="7"/>
      <c r="H55" s="7"/>
      <c r="I55"/>
      <c r="J55"/>
      <c r="K55"/>
      <c r="L55"/>
    </row>
    <row r="56" spans="1:12" x14ac:dyDescent="0.25">
      <c r="A56" s="40"/>
      <c r="B56" s="41"/>
      <c r="C56" s="7"/>
      <c r="D56" s="7"/>
      <c r="E56" s="7"/>
      <c r="F56" s="42"/>
      <c r="G56" s="7"/>
      <c r="H56" s="7"/>
      <c r="I56"/>
      <c r="J56"/>
      <c r="K56"/>
      <c r="L56"/>
    </row>
    <row r="57" spans="1:12" x14ac:dyDescent="0.25">
      <c r="A57" s="40"/>
      <c r="B57" s="41"/>
      <c r="C57" s="7"/>
      <c r="D57" s="7"/>
      <c r="E57" s="7"/>
      <c r="F57" s="42"/>
      <c r="G57" s="7"/>
      <c r="H57" s="7"/>
      <c r="I57"/>
      <c r="J57"/>
      <c r="K57"/>
      <c r="L57"/>
    </row>
    <row r="58" spans="1:12" x14ac:dyDescent="0.25">
      <c r="A58" s="40"/>
      <c r="B58" s="41"/>
      <c r="C58" s="7"/>
      <c r="D58" s="7"/>
      <c r="E58" s="7"/>
      <c r="F58" s="42"/>
      <c r="G58" s="7"/>
      <c r="H58" s="7"/>
      <c r="I58"/>
      <c r="J58"/>
      <c r="K58"/>
      <c r="L58"/>
    </row>
    <row r="59" spans="1:12" x14ac:dyDescent="0.25">
      <c r="A59" s="40"/>
      <c r="B59" s="41"/>
      <c r="C59" s="7"/>
      <c r="D59" s="7"/>
      <c r="E59" s="7"/>
      <c r="F59" s="42"/>
      <c r="G59" s="7"/>
      <c r="H59" s="7"/>
      <c r="I59"/>
      <c r="J59"/>
      <c r="K59"/>
      <c r="L59"/>
    </row>
    <row r="60" spans="1:12" x14ac:dyDescent="0.25">
      <c r="A60" s="40"/>
      <c r="B60" s="41"/>
      <c r="C60" s="7"/>
      <c r="D60" s="7"/>
      <c r="E60" s="7"/>
      <c r="F60" s="42"/>
      <c r="G60" s="7"/>
      <c r="H60" s="7"/>
      <c r="I60"/>
      <c r="J60"/>
      <c r="K60"/>
      <c r="L60"/>
    </row>
    <row r="61" spans="1:12" x14ac:dyDescent="0.25">
      <c r="A61" s="40"/>
      <c r="B61" s="41"/>
      <c r="C61" s="7"/>
      <c r="D61" s="7"/>
      <c r="E61" s="7"/>
      <c r="F61" s="42"/>
      <c r="G61" s="7"/>
      <c r="H61" s="7"/>
      <c r="I61"/>
      <c r="J61"/>
      <c r="K61"/>
      <c r="L61"/>
    </row>
    <row r="62" spans="1:12" x14ac:dyDescent="0.25">
      <c r="A62" s="40"/>
      <c r="B62" s="41"/>
      <c r="C62" s="7"/>
      <c r="D62" s="7"/>
      <c r="E62" s="7"/>
      <c r="F62" s="42"/>
      <c r="G62" s="7"/>
      <c r="H62" s="7"/>
      <c r="I62"/>
      <c r="J62"/>
      <c r="K62"/>
      <c r="L62"/>
    </row>
    <row r="63" spans="1:12" x14ac:dyDescent="0.25">
      <c r="A63" s="40"/>
      <c r="B63" s="41"/>
      <c r="C63" s="7"/>
      <c r="D63" s="7"/>
      <c r="E63" s="7"/>
      <c r="F63" s="42"/>
      <c r="G63" s="7"/>
      <c r="H63" s="7"/>
      <c r="I63"/>
      <c r="J63"/>
      <c r="K63"/>
      <c r="L63"/>
    </row>
    <row r="64" spans="1:12" x14ac:dyDescent="0.25">
      <c r="A64" s="40"/>
      <c r="B64" s="41"/>
      <c r="C64" s="7"/>
      <c r="D64" s="7"/>
      <c r="E64" s="7"/>
      <c r="F64" s="42"/>
      <c r="G64" s="7"/>
      <c r="H64" s="7"/>
      <c r="I64"/>
      <c r="J64"/>
      <c r="K64"/>
      <c r="L64"/>
    </row>
    <row r="65" spans="1:12" x14ac:dyDescent="0.25">
      <c r="A65" s="40"/>
      <c r="B65" s="41"/>
      <c r="C65" s="7"/>
      <c r="D65" s="7"/>
      <c r="E65" s="7"/>
      <c r="F65" s="42"/>
      <c r="G65" s="7"/>
      <c r="H65" s="7"/>
      <c r="I65"/>
      <c r="J65"/>
      <c r="K65"/>
      <c r="L65"/>
    </row>
    <row r="66" spans="1:12" x14ac:dyDescent="0.25">
      <c r="A66" s="40"/>
      <c r="B66" s="41"/>
      <c r="C66" s="7"/>
      <c r="D66" s="7"/>
      <c r="E66" s="7"/>
      <c r="F66" s="42"/>
      <c r="G66" s="7"/>
      <c r="H66" s="7"/>
      <c r="I66"/>
      <c r="J66"/>
      <c r="K66"/>
      <c r="L66"/>
    </row>
    <row r="67" spans="1:12" x14ac:dyDescent="0.25">
      <c r="A67" s="40"/>
      <c r="B67" s="41"/>
      <c r="C67" s="7"/>
      <c r="D67" s="7"/>
      <c r="E67" s="7"/>
      <c r="F67" s="42"/>
      <c r="G67" s="7"/>
      <c r="H67" s="7"/>
      <c r="I67"/>
      <c r="J67"/>
      <c r="K67"/>
      <c r="L67"/>
    </row>
    <row r="68" spans="1:12" x14ac:dyDescent="0.25">
      <c r="A68" s="40"/>
      <c r="B68" s="41"/>
      <c r="C68" s="7"/>
      <c r="D68" s="7"/>
      <c r="E68" s="7"/>
      <c r="F68" s="42"/>
      <c r="G68" s="7"/>
      <c r="H68" s="7"/>
      <c r="I68"/>
      <c r="J68"/>
      <c r="K68"/>
      <c r="L68"/>
    </row>
    <row r="69" spans="1:12" x14ac:dyDescent="0.25">
      <c r="A69" s="40"/>
      <c r="B69" s="41"/>
      <c r="C69" s="7"/>
      <c r="D69" s="7"/>
      <c r="E69" s="7"/>
      <c r="F69" s="42"/>
      <c r="G69" s="7"/>
      <c r="H69" s="7"/>
      <c r="I69"/>
      <c r="J69"/>
      <c r="K69"/>
      <c r="L69"/>
    </row>
    <row r="70" spans="1:12" x14ac:dyDescent="0.25">
      <c r="A70" s="40"/>
      <c r="B70" s="41"/>
      <c r="C70" s="7"/>
      <c r="D70" s="7"/>
      <c r="E70" s="7"/>
      <c r="F70" s="42"/>
      <c r="G70" s="7"/>
      <c r="H70" s="7"/>
      <c r="I70"/>
      <c r="J70"/>
      <c r="K70"/>
      <c r="L70"/>
    </row>
    <row r="71" spans="1:12" x14ac:dyDescent="0.25">
      <c r="A71" s="40"/>
      <c r="B71" s="41"/>
      <c r="C71" s="7"/>
      <c r="D71" s="7"/>
      <c r="E71" s="7"/>
      <c r="F71" s="42"/>
      <c r="G71" s="7"/>
      <c r="H71" s="7"/>
      <c r="I71"/>
      <c r="J71"/>
      <c r="K71"/>
      <c r="L71"/>
    </row>
    <row r="72" spans="1:12" x14ac:dyDescent="0.25">
      <c r="A72" s="40"/>
      <c r="B72" s="41"/>
      <c r="C72" s="7"/>
      <c r="D72" s="7"/>
      <c r="E72" s="7"/>
      <c r="F72" s="42"/>
      <c r="G72" s="7"/>
      <c r="H72" s="7"/>
      <c r="I72"/>
      <c r="J72"/>
      <c r="K72"/>
      <c r="L72"/>
    </row>
    <row r="73" spans="1:12" x14ac:dyDescent="0.25">
      <c r="A73" s="40"/>
      <c r="B73" s="41"/>
      <c r="C73" s="7"/>
      <c r="D73" s="7"/>
      <c r="E73" s="7"/>
      <c r="F73" s="42"/>
      <c r="G73" s="7"/>
      <c r="H73" s="7"/>
      <c r="I73"/>
      <c r="J73"/>
      <c r="K73"/>
      <c r="L73"/>
    </row>
    <row r="74" spans="1:12" x14ac:dyDescent="0.25">
      <c r="A74" s="40"/>
      <c r="B74" s="41"/>
      <c r="C74" s="7"/>
      <c r="D74" s="7"/>
      <c r="E74" s="7"/>
      <c r="F74" s="42"/>
      <c r="G74" s="7"/>
      <c r="H74" s="7"/>
      <c r="I74"/>
      <c r="J74"/>
      <c r="K74"/>
      <c r="L74"/>
    </row>
    <row r="75" spans="1:12" x14ac:dyDescent="0.25">
      <c r="A75" s="40"/>
      <c r="B75" s="41"/>
      <c r="C75" s="7"/>
      <c r="D75" s="7"/>
      <c r="E75" s="7"/>
      <c r="F75" s="42"/>
      <c r="G75" s="7"/>
      <c r="H75" s="7"/>
      <c r="I75"/>
      <c r="J75"/>
      <c r="K75"/>
      <c r="L75"/>
    </row>
    <row r="76" spans="1:12" x14ac:dyDescent="0.25">
      <c r="A76" s="40"/>
      <c r="B76" s="41"/>
      <c r="C76" s="7"/>
      <c r="D76" s="7"/>
      <c r="E76" s="7"/>
      <c r="F76" s="42"/>
      <c r="G76" s="7"/>
      <c r="H76" s="7"/>
      <c r="I76"/>
      <c r="J76"/>
      <c r="K76"/>
      <c r="L76"/>
    </row>
    <row r="77" spans="1:12" x14ac:dyDescent="0.25">
      <c r="A77" s="40"/>
      <c r="B77" s="41"/>
      <c r="C77" s="7"/>
      <c r="D77" s="7"/>
      <c r="E77" s="7"/>
      <c r="F77" s="42"/>
      <c r="G77" s="7"/>
      <c r="H77" s="7"/>
      <c r="I77"/>
      <c r="J77"/>
      <c r="K77"/>
      <c r="L77"/>
    </row>
    <row r="78" spans="1:12" x14ac:dyDescent="0.25">
      <c r="A78" s="40"/>
      <c r="B78" s="41"/>
      <c r="C78" s="7"/>
      <c r="D78" s="7"/>
      <c r="E78" s="7"/>
      <c r="F78" s="42"/>
      <c r="G78" s="7"/>
      <c r="H78" s="7"/>
      <c r="I78"/>
      <c r="J78"/>
      <c r="K78"/>
      <c r="L78"/>
    </row>
    <row r="79" spans="1:12" x14ac:dyDescent="0.25">
      <c r="A79" s="40"/>
      <c r="B79" s="41"/>
      <c r="C79" s="7"/>
      <c r="D79" s="7"/>
      <c r="E79" s="7"/>
      <c r="F79" s="42"/>
      <c r="G79" s="7"/>
      <c r="H79" s="7"/>
      <c r="I79"/>
      <c r="J79"/>
      <c r="K79"/>
      <c r="L79"/>
    </row>
    <row r="80" spans="1:12" x14ac:dyDescent="0.25">
      <c r="A80" s="40"/>
      <c r="B80" s="41"/>
      <c r="C80" s="7"/>
      <c r="D80" s="7"/>
      <c r="E80" s="7"/>
      <c r="F80" s="42"/>
      <c r="G80" s="7"/>
      <c r="H80" s="7"/>
      <c r="I80"/>
      <c r="J80"/>
      <c r="K80"/>
      <c r="L80"/>
    </row>
    <row r="81" spans="1:12" x14ac:dyDescent="0.25">
      <c r="A81" s="40"/>
      <c r="B81" s="41"/>
      <c r="C81" s="7"/>
      <c r="D81" s="7"/>
      <c r="E81" s="7"/>
      <c r="F81" s="42"/>
      <c r="G81" s="7"/>
      <c r="H81" s="7"/>
      <c r="I81"/>
      <c r="J81"/>
      <c r="K81"/>
      <c r="L81"/>
    </row>
    <row r="82" spans="1:12" x14ac:dyDescent="0.25">
      <c r="A82" s="40"/>
      <c r="B82" s="41"/>
      <c r="C82" s="7"/>
      <c r="D82" s="7"/>
      <c r="E82" s="7"/>
      <c r="F82" s="42"/>
      <c r="G82" s="7"/>
      <c r="H82" s="7"/>
      <c r="I82"/>
      <c r="J82"/>
      <c r="K82"/>
      <c r="L82"/>
    </row>
    <row r="83" spans="1:12" x14ac:dyDescent="0.25">
      <c r="A83" s="40"/>
      <c r="B83" s="41"/>
      <c r="C83" s="7"/>
      <c r="D83" s="7"/>
      <c r="E83" s="7"/>
      <c r="F83" s="42"/>
      <c r="G83" s="7"/>
      <c r="H83" s="7"/>
      <c r="I83"/>
      <c r="J83"/>
      <c r="K83"/>
      <c r="L83"/>
    </row>
    <row r="84" spans="1:12" x14ac:dyDescent="0.25">
      <c r="A84" s="40"/>
      <c r="B84" s="41"/>
      <c r="C84" s="7"/>
      <c r="D84" s="7"/>
      <c r="E84" s="7"/>
      <c r="F84" s="42"/>
      <c r="G84" s="7"/>
      <c r="H84" s="7"/>
      <c r="I84"/>
      <c r="J84"/>
      <c r="K84"/>
      <c r="L84"/>
    </row>
    <row r="85" spans="1:12" x14ac:dyDescent="0.25">
      <c r="A85" s="40"/>
      <c r="B85" s="41"/>
      <c r="C85" s="7"/>
      <c r="D85" s="7"/>
      <c r="E85" s="7"/>
      <c r="F85" s="42"/>
      <c r="G85" s="7"/>
      <c r="H85" s="7"/>
      <c r="I85"/>
      <c r="J85"/>
      <c r="K85"/>
      <c r="L85"/>
    </row>
    <row r="86" spans="1:12" x14ac:dyDescent="0.25">
      <c r="A86" s="40"/>
      <c r="B86" s="41"/>
      <c r="C86" s="7"/>
      <c r="D86" s="7"/>
      <c r="E86" s="7"/>
      <c r="F86" s="42"/>
      <c r="G86" s="7"/>
      <c r="H86" s="7"/>
      <c r="I86"/>
      <c r="J86"/>
      <c r="K86"/>
      <c r="L86"/>
    </row>
    <row r="87" spans="1:12" x14ac:dyDescent="0.25">
      <c r="A87" s="40"/>
      <c r="B87" s="41"/>
      <c r="C87" s="7"/>
      <c r="D87" s="7"/>
      <c r="E87" s="7"/>
      <c r="F87" s="42"/>
      <c r="G87" s="7"/>
      <c r="H87" s="7"/>
      <c r="I87"/>
      <c r="J87"/>
      <c r="K87"/>
      <c r="L87"/>
    </row>
    <row r="88" spans="1:12" x14ac:dyDescent="0.25">
      <c r="A88" s="40"/>
      <c r="B88" s="41"/>
      <c r="C88" s="7"/>
      <c r="D88" s="7"/>
      <c r="E88" s="7"/>
      <c r="F88" s="42"/>
      <c r="G88" s="7"/>
      <c r="H88" s="7"/>
      <c r="I88"/>
      <c r="J88"/>
      <c r="K88"/>
      <c r="L88"/>
    </row>
    <row r="89" spans="1:12" x14ac:dyDescent="0.25">
      <c r="C89" t="s">
        <v>42</v>
      </c>
      <c r="E89" s="17" t="e">
        <f>SUM(#REF!)</f>
        <v>#REF!</v>
      </c>
      <c r="I89"/>
      <c r="J89"/>
      <c r="K89"/>
      <c r="L89"/>
    </row>
    <row r="90" spans="1:12" x14ac:dyDescent="0.25">
      <c r="I90"/>
      <c r="J90"/>
      <c r="K90"/>
      <c r="L90"/>
    </row>
    <row r="91" spans="1:12" x14ac:dyDescent="0.25">
      <c r="I91"/>
      <c r="J91"/>
      <c r="K91"/>
      <c r="L91"/>
    </row>
    <row r="92" spans="1:12" x14ac:dyDescent="0.25">
      <c r="C92" t="s">
        <v>36</v>
      </c>
      <c r="F92" s="9" t="e">
        <f>SUM(#REF!)</f>
        <v>#REF!</v>
      </c>
      <c r="I92"/>
      <c r="J92" s="16"/>
      <c r="K92" s="16"/>
      <c r="L92"/>
    </row>
    <row r="93" spans="1:12" x14ac:dyDescent="0.25">
      <c r="C93" t="s">
        <v>37</v>
      </c>
      <c r="F93" s="15">
        <f>[2]Phapros!H379</f>
        <v>299675900</v>
      </c>
      <c r="I93"/>
      <c r="J93"/>
      <c r="K93"/>
      <c r="L93"/>
    </row>
    <row r="94" spans="1:12" x14ac:dyDescent="0.25">
      <c r="D94" t="s">
        <v>43</v>
      </c>
      <c r="F94" s="14" t="e">
        <f>F92+F93</f>
        <v>#REF!</v>
      </c>
      <c r="I94"/>
      <c r="J94"/>
      <c r="K94"/>
      <c r="L94"/>
    </row>
    <row r="95" spans="1:12" ht="11.25" customHeight="1" x14ac:dyDescent="0.25">
      <c r="F95" s="14"/>
      <c r="I95"/>
      <c r="J95"/>
      <c r="K95"/>
      <c r="L95"/>
    </row>
    <row r="96" spans="1:12" x14ac:dyDescent="0.25">
      <c r="C96" t="s">
        <v>38</v>
      </c>
      <c r="I96"/>
      <c r="J96"/>
      <c r="K96"/>
      <c r="L96"/>
    </row>
    <row r="97" spans="3:12" x14ac:dyDescent="0.25">
      <c r="C97" t="s">
        <v>44</v>
      </c>
      <c r="E97" s="9">
        <v>220186527</v>
      </c>
      <c r="I97"/>
      <c r="J97"/>
      <c r="K97"/>
      <c r="L97"/>
    </row>
    <row r="98" spans="3:12" x14ac:dyDescent="0.25">
      <c r="C98" t="s">
        <v>45</v>
      </c>
      <c r="E98" s="15">
        <v>452400140</v>
      </c>
      <c r="I98"/>
      <c r="J98"/>
      <c r="K98"/>
      <c r="L98"/>
    </row>
    <row r="99" spans="3:12" ht="15.75" x14ac:dyDescent="0.25">
      <c r="C99" t="s">
        <v>46</v>
      </c>
      <c r="F99" s="18">
        <f>E97+E98</f>
        <v>672586667</v>
      </c>
      <c r="I99"/>
      <c r="J99"/>
      <c r="K99"/>
      <c r="L99"/>
    </row>
    <row r="100" spans="3:12" ht="15.75" x14ac:dyDescent="0.25">
      <c r="D100" s="1" t="s">
        <v>39</v>
      </c>
      <c r="F100" s="9" t="e">
        <f>F94-F99</f>
        <v>#REF!</v>
      </c>
      <c r="I100"/>
      <c r="J100"/>
      <c r="K100"/>
      <c r="L100"/>
    </row>
    <row r="101" spans="3:12" x14ac:dyDescent="0.25">
      <c r="I101"/>
      <c r="J101"/>
      <c r="K101"/>
      <c r="L101"/>
    </row>
    <row r="102" spans="3:12" x14ac:dyDescent="0.25">
      <c r="I102"/>
      <c r="J102"/>
      <c r="K102"/>
      <c r="L102"/>
    </row>
    <row r="103" spans="3:12" x14ac:dyDescent="0.25">
      <c r="I103"/>
      <c r="J103"/>
      <c r="K103"/>
      <c r="L103"/>
    </row>
    <row r="104" spans="3:12" x14ac:dyDescent="0.25">
      <c r="I104"/>
      <c r="J104" s="19"/>
      <c r="K104" s="19"/>
      <c r="L104"/>
    </row>
    <row r="105" spans="3:12" x14ac:dyDescent="0.25">
      <c r="I105"/>
      <c r="J105" s="19"/>
      <c r="K105" s="19"/>
      <c r="L105"/>
    </row>
    <row r="106" spans="3:12" x14ac:dyDescent="0.25">
      <c r="I106"/>
      <c r="J106" s="7"/>
      <c r="K106" s="7"/>
      <c r="L106"/>
    </row>
    <row r="107" spans="3:12" x14ac:dyDescent="0.25">
      <c r="I107"/>
      <c r="J107" s="19"/>
      <c r="K107" s="19"/>
      <c r="L107"/>
    </row>
    <row r="108" spans="3:12" x14ac:dyDescent="0.25">
      <c r="I108"/>
      <c r="J108" s="19"/>
      <c r="K108" s="19"/>
      <c r="L108"/>
    </row>
    <row r="109" spans="3:12" x14ac:dyDescent="0.25">
      <c r="I109"/>
      <c r="J109" s="7"/>
      <c r="K109" s="7"/>
      <c r="L109"/>
    </row>
    <row r="110" spans="3:12" x14ac:dyDescent="0.25">
      <c r="I110"/>
      <c r="J110" s="19"/>
      <c r="K110" s="19"/>
      <c r="L110"/>
    </row>
    <row r="111" spans="3:12" x14ac:dyDescent="0.25">
      <c r="I111"/>
      <c r="J111" s="19"/>
      <c r="K111" s="19"/>
      <c r="L111"/>
    </row>
    <row r="112" spans="3:12" x14ac:dyDescent="0.25">
      <c r="I112"/>
      <c r="J112" s="7"/>
      <c r="K112" s="7"/>
      <c r="L112"/>
    </row>
    <row r="113" spans="9:12" x14ac:dyDescent="0.25">
      <c r="I113"/>
      <c r="J113"/>
      <c r="K113"/>
      <c r="L113"/>
    </row>
    <row r="114" spans="9:12" x14ac:dyDescent="0.25">
      <c r="I114"/>
      <c r="J114"/>
      <c r="K114"/>
      <c r="L114"/>
    </row>
    <row r="115" spans="9:12" x14ac:dyDescent="0.25">
      <c r="I115"/>
      <c r="J115"/>
      <c r="K115"/>
      <c r="L115"/>
    </row>
    <row r="116" spans="9:12" x14ac:dyDescent="0.25">
      <c r="I116"/>
      <c r="J116"/>
      <c r="K116"/>
      <c r="L116"/>
    </row>
    <row r="117" spans="9:12" x14ac:dyDescent="0.25">
      <c r="I117"/>
      <c r="J117"/>
      <c r="K117"/>
      <c r="L117"/>
    </row>
    <row r="118" spans="9:12" x14ac:dyDescent="0.25">
      <c r="I118"/>
      <c r="J118"/>
      <c r="K118"/>
      <c r="L118"/>
    </row>
    <row r="119" spans="9:12" x14ac:dyDescent="0.25">
      <c r="I119"/>
      <c r="J119"/>
      <c r="K119"/>
      <c r="L119"/>
    </row>
    <row r="120" spans="9:12" x14ac:dyDescent="0.25">
      <c r="I120"/>
      <c r="J120"/>
      <c r="K120"/>
      <c r="L120"/>
    </row>
    <row r="121" spans="9:12" x14ac:dyDescent="0.25">
      <c r="I121"/>
      <c r="J121"/>
      <c r="K121"/>
      <c r="L121"/>
    </row>
    <row r="122" spans="9:12" x14ac:dyDescent="0.25">
      <c r="I122"/>
      <c r="J122"/>
      <c r="K122"/>
      <c r="L122"/>
    </row>
    <row r="123" spans="9:12" x14ac:dyDescent="0.25">
      <c r="I123"/>
      <c r="J123"/>
      <c r="K123"/>
      <c r="L123"/>
    </row>
    <row r="124" spans="9:12" x14ac:dyDescent="0.25">
      <c r="I124"/>
      <c r="J124"/>
      <c r="K124"/>
      <c r="L124"/>
    </row>
    <row r="125" spans="9:12" x14ac:dyDescent="0.25">
      <c r="I125"/>
      <c r="J125"/>
      <c r="K125"/>
      <c r="L125"/>
    </row>
    <row r="126" spans="9:12" x14ac:dyDescent="0.25">
      <c r="I126"/>
      <c r="J126"/>
      <c r="K126"/>
      <c r="L126"/>
    </row>
    <row r="127" spans="9:12" x14ac:dyDescent="0.25">
      <c r="I127"/>
      <c r="J127"/>
      <c r="K127"/>
      <c r="L127"/>
    </row>
    <row r="128" spans="9:12" x14ac:dyDescent="0.25">
      <c r="I128"/>
      <c r="J128"/>
      <c r="K128"/>
      <c r="L128"/>
    </row>
    <row r="129" spans="9:12" x14ac:dyDescent="0.25">
      <c r="I129"/>
      <c r="J129"/>
      <c r="K129"/>
      <c r="L129"/>
    </row>
    <row r="130" spans="9:12" x14ac:dyDescent="0.25">
      <c r="I130"/>
      <c r="J130"/>
      <c r="K130"/>
      <c r="L130"/>
    </row>
    <row r="131" spans="9:12" x14ac:dyDescent="0.25">
      <c r="I131"/>
      <c r="J131"/>
      <c r="K131"/>
      <c r="L131"/>
    </row>
    <row r="132" spans="9:12" x14ac:dyDescent="0.25">
      <c r="I132"/>
      <c r="J132"/>
      <c r="K132"/>
      <c r="L132"/>
    </row>
    <row r="133" spans="9:12" x14ac:dyDescent="0.25">
      <c r="I133"/>
      <c r="J133"/>
      <c r="K133"/>
      <c r="L133"/>
    </row>
    <row r="134" spans="9:12" x14ac:dyDescent="0.25">
      <c r="I134"/>
      <c r="J134"/>
      <c r="K134"/>
      <c r="L134"/>
    </row>
    <row r="135" spans="9:12" x14ac:dyDescent="0.25">
      <c r="I135"/>
      <c r="J135"/>
      <c r="K135"/>
      <c r="L135"/>
    </row>
    <row r="136" spans="9:12" x14ac:dyDescent="0.25">
      <c r="I136"/>
      <c r="J136"/>
      <c r="K136"/>
      <c r="L136"/>
    </row>
    <row r="137" spans="9:12" x14ac:dyDescent="0.25">
      <c r="I137"/>
      <c r="J137"/>
      <c r="K137"/>
      <c r="L137"/>
    </row>
    <row r="138" spans="9:12" x14ac:dyDescent="0.25">
      <c r="I138"/>
      <c r="J138"/>
      <c r="K138"/>
      <c r="L138"/>
    </row>
    <row r="139" spans="9:12" x14ac:dyDescent="0.25">
      <c r="I139"/>
      <c r="J139"/>
      <c r="K139"/>
      <c r="L139"/>
    </row>
    <row r="140" spans="9:12" x14ac:dyDescent="0.25">
      <c r="I140"/>
      <c r="J140"/>
      <c r="K140"/>
      <c r="L140"/>
    </row>
    <row r="141" spans="9:12" x14ac:dyDescent="0.25">
      <c r="I141"/>
      <c r="J141"/>
      <c r="K141"/>
      <c r="L141"/>
    </row>
    <row r="142" spans="9:12" x14ac:dyDescent="0.25">
      <c r="I142"/>
      <c r="J142"/>
      <c r="K142"/>
      <c r="L142"/>
    </row>
    <row r="143" spans="9:12" x14ac:dyDescent="0.25">
      <c r="I143"/>
      <c r="J143"/>
      <c r="K143"/>
      <c r="L143"/>
    </row>
    <row r="144" spans="9:12" x14ac:dyDescent="0.25">
      <c r="I144"/>
      <c r="J144"/>
      <c r="K144"/>
      <c r="L144"/>
    </row>
    <row r="145" spans="9:12" x14ac:dyDescent="0.25">
      <c r="I145"/>
      <c r="J145"/>
      <c r="K145"/>
      <c r="L145"/>
    </row>
    <row r="146" spans="9:12" x14ac:dyDescent="0.25">
      <c r="I146"/>
      <c r="J146"/>
      <c r="K146"/>
      <c r="L146"/>
    </row>
    <row r="147" spans="9:12" x14ac:dyDescent="0.25">
      <c r="I147"/>
      <c r="J147"/>
      <c r="K147"/>
      <c r="L147"/>
    </row>
    <row r="148" spans="9:12" x14ac:dyDescent="0.25">
      <c r="I148"/>
      <c r="J148"/>
      <c r="K148"/>
      <c r="L148"/>
    </row>
    <row r="149" spans="9:12" x14ac:dyDescent="0.25">
      <c r="I149"/>
      <c r="J149"/>
      <c r="K149"/>
      <c r="L149"/>
    </row>
    <row r="150" spans="9:12" x14ac:dyDescent="0.25">
      <c r="I150"/>
      <c r="J150"/>
      <c r="K150"/>
      <c r="L150"/>
    </row>
    <row r="151" spans="9:12" x14ac:dyDescent="0.25">
      <c r="I151"/>
      <c r="J151"/>
      <c r="K151"/>
      <c r="L151"/>
    </row>
    <row r="152" spans="9:12" x14ac:dyDescent="0.25">
      <c r="I152"/>
      <c r="J152"/>
      <c r="K152"/>
      <c r="L152"/>
    </row>
    <row r="153" spans="9:12" x14ac:dyDescent="0.25">
      <c r="I153"/>
      <c r="J153"/>
      <c r="K153"/>
      <c r="L153"/>
    </row>
    <row r="154" spans="9:12" x14ac:dyDescent="0.25">
      <c r="I154"/>
      <c r="J154"/>
      <c r="K154"/>
      <c r="L154"/>
    </row>
    <row r="155" spans="9:12" x14ac:dyDescent="0.25">
      <c r="I155"/>
      <c r="J155"/>
      <c r="K155"/>
      <c r="L155"/>
    </row>
    <row r="156" spans="9:12" x14ac:dyDescent="0.25">
      <c r="I156"/>
      <c r="J156"/>
      <c r="K156"/>
      <c r="L156"/>
    </row>
    <row r="157" spans="9:12" x14ac:dyDescent="0.25">
      <c r="I157"/>
      <c r="J157"/>
      <c r="K157"/>
      <c r="L157"/>
    </row>
    <row r="158" spans="9:12" x14ac:dyDescent="0.25">
      <c r="I158"/>
      <c r="J158"/>
      <c r="K158"/>
      <c r="L158"/>
    </row>
    <row r="159" spans="9:12" x14ac:dyDescent="0.25">
      <c r="I159"/>
      <c r="J159"/>
      <c r="K159"/>
      <c r="L159"/>
    </row>
    <row r="160" spans="9:12" x14ac:dyDescent="0.25">
      <c r="I160"/>
      <c r="J160"/>
      <c r="K160"/>
      <c r="L160"/>
    </row>
    <row r="161" spans="9:12" x14ac:dyDescent="0.25">
      <c r="I161"/>
      <c r="J161"/>
      <c r="K161"/>
      <c r="L161"/>
    </row>
    <row r="162" spans="9:12" x14ac:dyDescent="0.25">
      <c r="I162"/>
      <c r="J162"/>
      <c r="K162"/>
      <c r="L162"/>
    </row>
    <row r="163" spans="9:12" x14ac:dyDescent="0.25">
      <c r="I163"/>
      <c r="J163"/>
      <c r="K163"/>
      <c r="L163"/>
    </row>
    <row r="164" spans="9:12" x14ac:dyDescent="0.25">
      <c r="I164"/>
      <c r="J164"/>
      <c r="K164"/>
      <c r="L164"/>
    </row>
    <row r="165" spans="9:12" x14ac:dyDescent="0.25">
      <c r="I165"/>
      <c r="J165"/>
      <c r="K165"/>
      <c r="L165"/>
    </row>
    <row r="166" spans="9:12" x14ac:dyDescent="0.25">
      <c r="I166"/>
      <c r="J166"/>
      <c r="K166"/>
      <c r="L166"/>
    </row>
    <row r="167" spans="9:12" x14ac:dyDescent="0.25">
      <c r="I167"/>
      <c r="J167"/>
      <c r="K167"/>
      <c r="L167"/>
    </row>
    <row r="168" spans="9:12" x14ac:dyDescent="0.25">
      <c r="I168"/>
      <c r="J168"/>
      <c r="K168"/>
      <c r="L168"/>
    </row>
    <row r="169" spans="9:12" x14ac:dyDescent="0.25">
      <c r="I169"/>
      <c r="J169"/>
      <c r="K169"/>
      <c r="L169"/>
    </row>
    <row r="170" spans="9:12" x14ac:dyDescent="0.25">
      <c r="I170"/>
      <c r="J170"/>
      <c r="K170"/>
      <c r="L170"/>
    </row>
    <row r="171" spans="9:12" x14ac:dyDescent="0.25">
      <c r="I171"/>
      <c r="J171"/>
      <c r="K171"/>
      <c r="L171"/>
    </row>
    <row r="172" spans="9:12" x14ac:dyDescent="0.25">
      <c r="I172"/>
      <c r="J172"/>
      <c r="K172"/>
      <c r="L172"/>
    </row>
    <row r="173" spans="9:12" x14ac:dyDescent="0.25">
      <c r="I173"/>
      <c r="J173"/>
      <c r="K173"/>
      <c r="L173"/>
    </row>
    <row r="174" spans="9:12" x14ac:dyDescent="0.25">
      <c r="I174"/>
      <c r="J174"/>
      <c r="K174"/>
      <c r="L174"/>
    </row>
    <row r="175" spans="9:12" x14ac:dyDescent="0.25">
      <c r="I175"/>
      <c r="J175"/>
      <c r="K175"/>
      <c r="L175"/>
    </row>
    <row r="176" spans="9:12" x14ac:dyDescent="0.25">
      <c r="I176"/>
      <c r="J176"/>
      <c r="K176"/>
      <c r="L176"/>
    </row>
    <row r="177" spans="9:12" x14ac:dyDescent="0.25">
      <c r="I177"/>
      <c r="J177"/>
      <c r="K177"/>
      <c r="L177"/>
    </row>
    <row r="178" spans="9:12" x14ac:dyDescent="0.25">
      <c r="I178"/>
      <c r="J178"/>
      <c r="K178"/>
      <c r="L178"/>
    </row>
    <row r="179" spans="9:12" x14ac:dyDescent="0.25">
      <c r="I179"/>
      <c r="J179"/>
      <c r="K179"/>
      <c r="L179"/>
    </row>
    <row r="180" spans="9:12" x14ac:dyDescent="0.25">
      <c r="I180"/>
      <c r="J180"/>
      <c r="K180"/>
      <c r="L180"/>
    </row>
    <row r="181" spans="9:12" x14ac:dyDescent="0.25">
      <c r="I181"/>
      <c r="J181"/>
      <c r="K181"/>
      <c r="L181"/>
    </row>
    <row r="182" spans="9:12" x14ac:dyDescent="0.25">
      <c r="I182"/>
      <c r="J182"/>
      <c r="K182"/>
      <c r="L182"/>
    </row>
    <row r="183" spans="9:12" x14ac:dyDescent="0.25">
      <c r="I183"/>
      <c r="J183"/>
      <c r="K183"/>
      <c r="L183"/>
    </row>
    <row r="184" spans="9:12" x14ac:dyDescent="0.25">
      <c r="I184"/>
      <c r="J184"/>
      <c r="K184"/>
      <c r="L184"/>
    </row>
    <row r="185" spans="9:12" x14ac:dyDescent="0.25">
      <c r="I185"/>
      <c r="J185"/>
      <c r="K185"/>
      <c r="L185"/>
    </row>
    <row r="186" spans="9:12" x14ac:dyDescent="0.25">
      <c r="I186"/>
      <c r="J186"/>
      <c r="K186"/>
      <c r="L186"/>
    </row>
    <row r="187" spans="9:12" x14ac:dyDescent="0.25">
      <c r="I187"/>
      <c r="J187"/>
      <c r="K187"/>
      <c r="L187"/>
    </row>
    <row r="188" spans="9:12" x14ac:dyDescent="0.25">
      <c r="I188"/>
      <c r="J188"/>
      <c r="K188"/>
      <c r="L188"/>
    </row>
    <row r="189" spans="9:12" x14ac:dyDescent="0.25">
      <c r="I189"/>
      <c r="J189"/>
      <c r="K189"/>
      <c r="L189"/>
    </row>
    <row r="190" spans="9:12" x14ac:dyDescent="0.25">
      <c r="I190"/>
      <c r="J190"/>
      <c r="K190"/>
      <c r="L190"/>
    </row>
    <row r="191" spans="9:12" x14ac:dyDescent="0.25">
      <c r="I191"/>
      <c r="J191"/>
      <c r="K191"/>
      <c r="L191"/>
    </row>
    <row r="192" spans="9:12" x14ac:dyDescent="0.25">
      <c r="I192"/>
      <c r="J192"/>
      <c r="K192"/>
      <c r="L192"/>
    </row>
    <row r="193" spans="9:12" x14ac:dyDescent="0.25">
      <c r="I193"/>
      <c r="J193"/>
      <c r="K193"/>
      <c r="L193"/>
    </row>
    <row r="194" spans="9:12" x14ac:dyDescent="0.25">
      <c r="I194"/>
      <c r="J194"/>
      <c r="K194"/>
      <c r="L194"/>
    </row>
    <row r="195" spans="9:12" x14ac:dyDescent="0.25">
      <c r="I195"/>
      <c r="J195"/>
      <c r="K195"/>
      <c r="L195"/>
    </row>
    <row r="196" spans="9:12" x14ac:dyDescent="0.25">
      <c r="I196"/>
      <c r="J196"/>
      <c r="K196"/>
      <c r="L196"/>
    </row>
    <row r="197" spans="9:12" x14ac:dyDescent="0.25">
      <c r="I197"/>
      <c r="J197"/>
      <c r="K197"/>
      <c r="L197"/>
    </row>
    <row r="198" spans="9:12" x14ac:dyDescent="0.25">
      <c r="I198"/>
      <c r="J198"/>
      <c r="K198"/>
      <c r="L198"/>
    </row>
    <row r="199" spans="9:12" x14ac:dyDescent="0.25">
      <c r="I199"/>
      <c r="J199"/>
      <c r="K199"/>
      <c r="L199"/>
    </row>
    <row r="200" spans="9:12" x14ac:dyDescent="0.25">
      <c r="I200"/>
      <c r="J200"/>
      <c r="K200"/>
      <c r="L200"/>
    </row>
    <row r="201" spans="9:12" x14ac:dyDescent="0.25">
      <c r="I201"/>
      <c r="J201"/>
      <c r="K201"/>
      <c r="L201"/>
    </row>
    <row r="202" spans="9:12" x14ac:dyDescent="0.25">
      <c r="I202"/>
      <c r="J202"/>
      <c r="K202"/>
      <c r="L202"/>
    </row>
    <row r="203" spans="9:12" x14ac:dyDescent="0.25">
      <c r="I203"/>
      <c r="J203"/>
      <c r="K203"/>
      <c r="L203"/>
    </row>
    <row r="204" spans="9:12" x14ac:dyDescent="0.25">
      <c r="I204"/>
      <c r="J204"/>
      <c r="K204"/>
      <c r="L204"/>
    </row>
    <row r="205" spans="9:12" x14ac:dyDescent="0.25">
      <c r="I205"/>
      <c r="J205"/>
      <c r="K205"/>
      <c r="L205"/>
    </row>
    <row r="206" spans="9:12" x14ac:dyDescent="0.25">
      <c r="I206"/>
      <c r="J206"/>
      <c r="K206"/>
      <c r="L206"/>
    </row>
    <row r="207" spans="9:12" x14ac:dyDescent="0.25">
      <c r="I207"/>
      <c r="J207"/>
      <c r="K207"/>
      <c r="L207"/>
    </row>
    <row r="208" spans="9:12" x14ac:dyDescent="0.25">
      <c r="I208"/>
      <c r="J208"/>
      <c r="K208"/>
      <c r="L208"/>
    </row>
    <row r="209" spans="9:12" x14ac:dyDescent="0.25">
      <c r="I209"/>
      <c r="J209"/>
      <c r="K209"/>
      <c r="L209"/>
    </row>
    <row r="210" spans="9:12" x14ac:dyDescent="0.25">
      <c r="I210"/>
      <c r="J210"/>
      <c r="K210"/>
      <c r="L210"/>
    </row>
    <row r="211" spans="9:12" x14ac:dyDescent="0.25">
      <c r="I211"/>
      <c r="J211"/>
      <c r="K211"/>
      <c r="L211"/>
    </row>
    <row r="212" spans="9:12" x14ac:dyDescent="0.25">
      <c r="I212"/>
      <c r="J212"/>
      <c r="K212"/>
      <c r="L212"/>
    </row>
    <row r="213" spans="9:12" x14ac:dyDescent="0.25">
      <c r="I213"/>
      <c r="J213"/>
      <c r="K213"/>
      <c r="L213"/>
    </row>
    <row r="214" spans="9:12" x14ac:dyDescent="0.25">
      <c r="I214"/>
      <c r="J214"/>
      <c r="K214"/>
      <c r="L214"/>
    </row>
    <row r="215" spans="9:12" x14ac:dyDescent="0.25">
      <c r="I215"/>
      <c r="J215"/>
      <c r="K215"/>
      <c r="L215"/>
    </row>
    <row r="216" spans="9:12" x14ac:dyDescent="0.25">
      <c r="I216"/>
      <c r="J216"/>
      <c r="K216"/>
      <c r="L216"/>
    </row>
    <row r="217" spans="9:12" x14ac:dyDescent="0.25">
      <c r="I217"/>
      <c r="J217"/>
      <c r="K217"/>
      <c r="L217"/>
    </row>
    <row r="218" spans="9:12" x14ac:dyDescent="0.25">
      <c r="I218"/>
      <c r="J218"/>
      <c r="K218"/>
      <c r="L218"/>
    </row>
    <row r="219" spans="9:12" x14ac:dyDescent="0.25">
      <c r="I219"/>
      <c r="J219"/>
      <c r="K219"/>
      <c r="L219"/>
    </row>
    <row r="220" spans="9:12" x14ac:dyDescent="0.25">
      <c r="I220"/>
      <c r="J220"/>
      <c r="K220"/>
      <c r="L220"/>
    </row>
    <row r="221" spans="9:12" x14ac:dyDescent="0.25">
      <c r="I221"/>
      <c r="J221"/>
      <c r="K221"/>
      <c r="L221"/>
    </row>
    <row r="222" spans="9:12" x14ac:dyDescent="0.25">
      <c r="I222"/>
      <c r="J222"/>
      <c r="K222"/>
      <c r="L222"/>
    </row>
    <row r="223" spans="9:12" x14ac:dyDescent="0.25">
      <c r="I223"/>
      <c r="J223"/>
      <c r="K223"/>
      <c r="L223"/>
    </row>
    <row r="224" spans="9:12" x14ac:dyDescent="0.25">
      <c r="I224"/>
      <c r="J224"/>
      <c r="K224"/>
      <c r="L224"/>
    </row>
    <row r="225" spans="9:12" x14ac:dyDescent="0.25">
      <c r="I225"/>
      <c r="J225"/>
      <c r="K225"/>
      <c r="L225"/>
    </row>
    <row r="226" spans="9:12" x14ac:dyDescent="0.25">
      <c r="I226"/>
      <c r="J226"/>
      <c r="K226"/>
      <c r="L226"/>
    </row>
    <row r="227" spans="9:12" x14ac:dyDescent="0.25">
      <c r="I227"/>
      <c r="J227"/>
      <c r="K227"/>
      <c r="L227"/>
    </row>
    <row r="228" spans="9:12" x14ac:dyDescent="0.25">
      <c r="I228"/>
      <c r="J228"/>
      <c r="K228"/>
      <c r="L228"/>
    </row>
    <row r="229" spans="9:12" x14ac:dyDescent="0.25">
      <c r="I229"/>
      <c r="J229"/>
      <c r="K229"/>
      <c r="L229"/>
    </row>
    <row r="230" spans="9:12" x14ac:dyDescent="0.25">
      <c r="I230"/>
      <c r="J230"/>
      <c r="K230"/>
      <c r="L230"/>
    </row>
    <row r="231" spans="9:12" x14ac:dyDescent="0.25">
      <c r="I231"/>
      <c r="J231"/>
      <c r="K231"/>
      <c r="L231"/>
    </row>
    <row r="232" spans="9:12" x14ac:dyDescent="0.25">
      <c r="I232"/>
      <c r="J232"/>
      <c r="K232"/>
      <c r="L232"/>
    </row>
    <row r="233" spans="9:12" x14ac:dyDescent="0.25">
      <c r="I233"/>
      <c r="J233"/>
      <c r="K233"/>
      <c r="L233"/>
    </row>
    <row r="234" spans="9:12" x14ac:dyDescent="0.25">
      <c r="I234"/>
      <c r="J234"/>
      <c r="K234"/>
      <c r="L234"/>
    </row>
    <row r="235" spans="9:12" x14ac:dyDescent="0.25">
      <c r="I235"/>
      <c r="J235"/>
      <c r="K235"/>
      <c r="L235"/>
    </row>
    <row r="236" spans="9:12" x14ac:dyDescent="0.25">
      <c r="I236"/>
      <c r="J236"/>
      <c r="K236"/>
      <c r="L236"/>
    </row>
    <row r="237" spans="9:12" x14ac:dyDescent="0.25">
      <c r="I237"/>
      <c r="J237"/>
      <c r="K237"/>
      <c r="L237"/>
    </row>
    <row r="238" spans="9:12" x14ac:dyDescent="0.25">
      <c r="I238"/>
      <c r="J238"/>
      <c r="K238"/>
      <c r="L238"/>
    </row>
    <row r="239" spans="9:12" x14ac:dyDescent="0.25">
      <c r="I239"/>
      <c r="J239"/>
      <c r="K239"/>
      <c r="L239"/>
    </row>
    <row r="240" spans="9:12" x14ac:dyDescent="0.25">
      <c r="I240"/>
      <c r="J240"/>
      <c r="K240"/>
      <c r="L240"/>
    </row>
    <row r="241" spans="9:12" x14ac:dyDescent="0.25">
      <c r="I241"/>
      <c r="J241"/>
      <c r="K241"/>
      <c r="L241"/>
    </row>
    <row r="242" spans="9:12" x14ac:dyDescent="0.25">
      <c r="I242"/>
      <c r="J242"/>
      <c r="K242"/>
      <c r="L242"/>
    </row>
    <row r="243" spans="9:12" x14ac:dyDescent="0.25">
      <c r="I243"/>
      <c r="J243"/>
      <c r="K243"/>
      <c r="L243"/>
    </row>
    <row r="244" spans="9:12" x14ac:dyDescent="0.25">
      <c r="I244"/>
      <c r="J244"/>
      <c r="K244"/>
      <c r="L244"/>
    </row>
    <row r="245" spans="9:12" x14ac:dyDescent="0.25">
      <c r="I245"/>
      <c r="J245"/>
      <c r="K245"/>
      <c r="L245"/>
    </row>
    <row r="246" spans="9:12" x14ac:dyDescent="0.25">
      <c r="I246"/>
      <c r="J246"/>
      <c r="K246"/>
      <c r="L246"/>
    </row>
    <row r="247" spans="9:12" x14ac:dyDescent="0.25">
      <c r="I247"/>
      <c r="J247"/>
      <c r="K247"/>
      <c r="L247"/>
    </row>
    <row r="248" spans="9:12" x14ac:dyDescent="0.25">
      <c r="I248"/>
      <c r="J248"/>
      <c r="K248"/>
      <c r="L248"/>
    </row>
    <row r="249" spans="9:12" x14ac:dyDescent="0.25">
      <c r="I249"/>
      <c r="J249"/>
      <c r="K249"/>
      <c r="L249"/>
    </row>
    <row r="250" spans="9:12" x14ac:dyDescent="0.25">
      <c r="I250"/>
      <c r="J250"/>
      <c r="K250"/>
      <c r="L250"/>
    </row>
    <row r="251" spans="9:12" x14ac:dyDescent="0.25">
      <c r="I251"/>
      <c r="J251"/>
      <c r="K251"/>
      <c r="L251"/>
    </row>
    <row r="252" spans="9:12" x14ac:dyDescent="0.25">
      <c r="I252"/>
      <c r="J252"/>
      <c r="K252"/>
      <c r="L252"/>
    </row>
    <row r="253" spans="9:12" x14ac:dyDescent="0.25">
      <c r="I253"/>
      <c r="J253"/>
      <c r="K253"/>
      <c r="L253"/>
    </row>
    <row r="254" spans="9:12" x14ac:dyDescent="0.25">
      <c r="I254"/>
      <c r="J254"/>
      <c r="K254"/>
      <c r="L254"/>
    </row>
    <row r="255" spans="9:12" x14ac:dyDescent="0.25">
      <c r="I255"/>
      <c r="J255"/>
      <c r="K255"/>
      <c r="L255"/>
    </row>
    <row r="256" spans="9:12" x14ac:dyDescent="0.25">
      <c r="I256"/>
      <c r="J256"/>
      <c r="K256"/>
      <c r="L256"/>
    </row>
    <row r="257" spans="9:12" x14ac:dyDescent="0.25">
      <c r="I257"/>
      <c r="J257"/>
      <c r="K257"/>
      <c r="L257"/>
    </row>
    <row r="258" spans="9:12" x14ac:dyDescent="0.25">
      <c r="I258"/>
      <c r="J258"/>
      <c r="K258"/>
      <c r="L258"/>
    </row>
    <row r="259" spans="9:12" x14ac:dyDescent="0.25">
      <c r="I259"/>
      <c r="J259"/>
      <c r="K259"/>
      <c r="L259"/>
    </row>
    <row r="260" spans="9:12" x14ac:dyDescent="0.25">
      <c r="I260"/>
      <c r="J260"/>
      <c r="K260"/>
      <c r="L260"/>
    </row>
    <row r="261" spans="9:12" x14ac:dyDescent="0.25">
      <c r="I261"/>
      <c r="J261"/>
      <c r="K261"/>
      <c r="L261"/>
    </row>
    <row r="262" spans="9:12" x14ac:dyDescent="0.25">
      <c r="I262"/>
      <c r="J262"/>
      <c r="K262"/>
      <c r="L262"/>
    </row>
    <row r="263" spans="9:12" x14ac:dyDescent="0.25">
      <c r="I263"/>
      <c r="J263"/>
      <c r="K263"/>
      <c r="L263"/>
    </row>
    <row r="264" spans="9:12" x14ac:dyDescent="0.25">
      <c r="I264"/>
      <c r="J264"/>
      <c r="K264"/>
      <c r="L264"/>
    </row>
    <row r="265" spans="9:12" x14ac:dyDescent="0.25">
      <c r="I265"/>
      <c r="J265"/>
      <c r="K265"/>
      <c r="L265"/>
    </row>
    <row r="266" spans="9:12" x14ac:dyDescent="0.25">
      <c r="I266"/>
      <c r="J266"/>
      <c r="K266"/>
      <c r="L266"/>
    </row>
    <row r="267" spans="9:12" x14ac:dyDescent="0.25">
      <c r="I267"/>
      <c r="J267"/>
      <c r="K267"/>
      <c r="L267"/>
    </row>
    <row r="268" spans="9:12" x14ac:dyDescent="0.25">
      <c r="I268"/>
      <c r="J268"/>
      <c r="K268"/>
      <c r="L268"/>
    </row>
    <row r="269" spans="9:12" x14ac:dyDescent="0.25">
      <c r="I269"/>
      <c r="J269"/>
      <c r="K269"/>
      <c r="L269"/>
    </row>
    <row r="270" spans="9:12" x14ac:dyDescent="0.25">
      <c r="I270"/>
      <c r="J270"/>
      <c r="K270"/>
      <c r="L270"/>
    </row>
    <row r="271" spans="9:12" x14ac:dyDescent="0.25">
      <c r="I271"/>
      <c r="J271"/>
      <c r="K271"/>
      <c r="L271"/>
    </row>
    <row r="272" spans="9:12" x14ac:dyDescent="0.25">
      <c r="I272"/>
      <c r="J272"/>
      <c r="K272"/>
      <c r="L272"/>
    </row>
    <row r="273" spans="9:12" x14ac:dyDescent="0.25">
      <c r="I273"/>
      <c r="J273"/>
      <c r="K273"/>
      <c r="L273"/>
    </row>
    <row r="274" spans="9:12" x14ac:dyDescent="0.25">
      <c r="I274"/>
      <c r="J274"/>
      <c r="K274"/>
      <c r="L274"/>
    </row>
    <row r="275" spans="9:12" x14ac:dyDescent="0.25">
      <c r="I275"/>
      <c r="J275"/>
      <c r="K275"/>
      <c r="L275"/>
    </row>
    <row r="276" spans="9:12" x14ac:dyDescent="0.25">
      <c r="I276"/>
      <c r="J276"/>
      <c r="K276"/>
      <c r="L276"/>
    </row>
    <row r="277" spans="9:12" x14ac:dyDescent="0.25">
      <c r="I277"/>
      <c r="J277"/>
      <c r="K277"/>
      <c r="L277"/>
    </row>
    <row r="278" spans="9:12" x14ac:dyDescent="0.25">
      <c r="I278"/>
      <c r="J278"/>
      <c r="K278"/>
      <c r="L278"/>
    </row>
    <row r="279" spans="9:12" x14ac:dyDescent="0.25">
      <c r="I279"/>
      <c r="J279"/>
      <c r="K279"/>
      <c r="L279"/>
    </row>
    <row r="280" spans="9:12" x14ac:dyDescent="0.25">
      <c r="I280"/>
      <c r="J280"/>
      <c r="K280"/>
      <c r="L280"/>
    </row>
    <row r="281" spans="9:12" x14ac:dyDescent="0.25">
      <c r="I281"/>
      <c r="J281"/>
      <c r="K281"/>
      <c r="L281"/>
    </row>
    <row r="282" spans="9:12" x14ac:dyDescent="0.25">
      <c r="I282"/>
      <c r="J282"/>
      <c r="K282"/>
      <c r="L282"/>
    </row>
    <row r="283" spans="9:12" x14ac:dyDescent="0.25">
      <c r="I283"/>
      <c r="J283"/>
      <c r="K283"/>
      <c r="L283"/>
    </row>
    <row r="284" spans="9:12" x14ac:dyDescent="0.25">
      <c r="I284"/>
      <c r="J284"/>
      <c r="K284"/>
      <c r="L284"/>
    </row>
    <row r="285" spans="9:12" x14ac:dyDescent="0.25">
      <c r="I285"/>
      <c r="J285"/>
      <c r="K285"/>
      <c r="L285"/>
    </row>
    <row r="286" spans="9:12" x14ac:dyDescent="0.25">
      <c r="I286"/>
      <c r="J286"/>
      <c r="K286"/>
      <c r="L286"/>
    </row>
    <row r="287" spans="9:12" x14ac:dyDescent="0.25">
      <c r="I287"/>
      <c r="J287"/>
      <c r="K287"/>
      <c r="L287"/>
    </row>
    <row r="288" spans="9:12" x14ac:dyDescent="0.25">
      <c r="I288"/>
      <c r="J288"/>
      <c r="K288"/>
      <c r="L288"/>
    </row>
    <row r="289" spans="9:12" x14ac:dyDescent="0.25">
      <c r="I289"/>
      <c r="J289"/>
      <c r="K289"/>
      <c r="L289"/>
    </row>
    <row r="290" spans="9:12" x14ac:dyDescent="0.25">
      <c r="I290"/>
      <c r="J290"/>
      <c r="K290"/>
      <c r="L290"/>
    </row>
    <row r="291" spans="9:12" x14ac:dyDescent="0.25">
      <c r="I291"/>
      <c r="J291"/>
      <c r="K291"/>
      <c r="L291"/>
    </row>
    <row r="292" spans="9:12" x14ac:dyDescent="0.25">
      <c r="I292"/>
      <c r="J292"/>
      <c r="K292"/>
      <c r="L292"/>
    </row>
    <row r="293" spans="9:12" x14ac:dyDescent="0.25">
      <c r="I293"/>
      <c r="J293"/>
      <c r="K293"/>
      <c r="L293"/>
    </row>
    <row r="294" spans="9:12" x14ac:dyDescent="0.25">
      <c r="I294"/>
      <c r="J294"/>
      <c r="K294"/>
      <c r="L294"/>
    </row>
    <row r="295" spans="9:12" x14ac:dyDescent="0.25">
      <c r="I295"/>
      <c r="J295"/>
      <c r="K295"/>
      <c r="L295"/>
    </row>
    <row r="296" spans="9:12" x14ac:dyDescent="0.25">
      <c r="I296"/>
      <c r="J296"/>
      <c r="K296"/>
      <c r="L296"/>
    </row>
    <row r="297" spans="9:12" x14ac:dyDescent="0.25">
      <c r="I297"/>
      <c r="J297"/>
      <c r="K297"/>
      <c r="L297"/>
    </row>
    <row r="298" spans="9:12" x14ac:dyDescent="0.25">
      <c r="I298"/>
      <c r="J298"/>
      <c r="K298"/>
      <c r="L298"/>
    </row>
    <row r="299" spans="9:12" x14ac:dyDescent="0.25">
      <c r="I299"/>
      <c r="J299"/>
      <c r="K299"/>
      <c r="L299"/>
    </row>
    <row r="300" spans="9:12" x14ac:dyDescent="0.25">
      <c r="I300"/>
      <c r="J300"/>
      <c r="K300"/>
      <c r="L300"/>
    </row>
    <row r="301" spans="9:12" x14ac:dyDescent="0.25">
      <c r="I301"/>
      <c r="J301"/>
      <c r="K301"/>
      <c r="L301"/>
    </row>
    <row r="302" spans="9:12" x14ac:dyDescent="0.25">
      <c r="I302"/>
      <c r="J302"/>
      <c r="K302"/>
      <c r="L302"/>
    </row>
    <row r="303" spans="9:12" x14ac:dyDescent="0.25">
      <c r="I303"/>
      <c r="J303"/>
      <c r="K303"/>
      <c r="L303"/>
    </row>
    <row r="304" spans="9:12" x14ac:dyDescent="0.25">
      <c r="I304"/>
      <c r="J304"/>
      <c r="K304"/>
      <c r="L304"/>
    </row>
    <row r="305" spans="9:12" x14ac:dyDescent="0.25">
      <c r="I305"/>
      <c r="J305"/>
      <c r="K305"/>
      <c r="L305"/>
    </row>
    <row r="306" spans="9:12" x14ac:dyDescent="0.25">
      <c r="I306"/>
      <c r="J306"/>
      <c r="K306"/>
      <c r="L306"/>
    </row>
    <row r="307" spans="9:12" x14ac:dyDescent="0.25">
      <c r="I307"/>
      <c r="J307"/>
      <c r="K307"/>
      <c r="L307"/>
    </row>
    <row r="308" spans="9:12" x14ac:dyDescent="0.25">
      <c r="I308"/>
      <c r="J308"/>
      <c r="K308"/>
      <c r="L308"/>
    </row>
    <row r="309" spans="9:12" x14ac:dyDescent="0.25">
      <c r="I309"/>
      <c r="J309"/>
      <c r="K309"/>
      <c r="L309"/>
    </row>
    <row r="310" spans="9:12" x14ac:dyDescent="0.25">
      <c r="I310"/>
      <c r="J310"/>
      <c r="K310"/>
      <c r="L310"/>
    </row>
    <row r="311" spans="9:12" x14ac:dyDescent="0.25">
      <c r="I311"/>
      <c r="J311"/>
      <c r="K311"/>
      <c r="L311"/>
    </row>
    <row r="312" spans="9:12" x14ac:dyDescent="0.25">
      <c r="I312"/>
      <c r="J312"/>
      <c r="K312"/>
      <c r="L312"/>
    </row>
    <row r="313" spans="9:12" x14ac:dyDescent="0.25">
      <c r="I313"/>
      <c r="J313"/>
      <c r="K313"/>
      <c r="L313"/>
    </row>
    <row r="314" spans="9:12" x14ac:dyDescent="0.25">
      <c r="I314"/>
      <c r="J314"/>
      <c r="K314"/>
      <c r="L314"/>
    </row>
    <row r="315" spans="9:12" x14ac:dyDescent="0.25">
      <c r="I315"/>
      <c r="J315"/>
      <c r="K315"/>
      <c r="L315"/>
    </row>
    <row r="316" spans="9:12" x14ac:dyDescent="0.25">
      <c r="I316"/>
      <c r="J316"/>
      <c r="K316"/>
      <c r="L316"/>
    </row>
    <row r="317" spans="9:12" x14ac:dyDescent="0.25">
      <c r="I317"/>
      <c r="J317"/>
      <c r="K317"/>
      <c r="L317"/>
    </row>
    <row r="318" spans="9:12" x14ac:dyDescent="0.25">
      <c r="I318"/>
      <c r="J318"/>
      <c r="K318"/>
      <c r="L318"/>
    </row>
    <row r="319" spans="9:12" x14ac:dyDescent="0.25">
      <c r="I319"/>
      <c r="J319"/>
      <c r="K319"/>
      <c r="L319"/>
    </row>
    <row r="320" spans="9:12" x14ac:dyDescent="0.25">
      <c r="I320"/>
      <c r="J320"/>
      <c r="K320"/>
      <c r="L320"/>
    </row>
    <row r="321" spans="9:12" x14ac:dyDescent="0.25">
      <c r="I321"/>
      <c r="J321"/>
      <c r="K321"/>
      <c r="L321"/>
    </row>
    <row r="322" spans="9:12" x14ac:dyDescent="0.25">
      <c r="I322"/>
      <c r="J322"/>
      <c r="K322"/>
      <c r="L322"/>
    </row>
    <row r="323" spans="9:12" x14ac:dyDescent="0.25">
      <c r="I323"/>
      <c r="J323"/>
      <c r="K323"/>
      <c r="L323"/>
    </row>
    <row r="324" spans="9:12" x14ac:dyDescent="0.25">
      <c r="I324"/>
      <c r="J324"/>
      <c r="K324"/>
      <c r="L324"/>
    </row>
    <row r="325" spans="9:12" x14ac:dyDescent="0.25">
      <c r="I325"/>
      <c r="J325"/>
      <c r="K325"/>
      <c r="L325"/>
    </row>
    <row r="326" spans="9:12" x14ac:dyDescent="0.25">
      <c r="I326"/>
      <c r="J326"/>
      <c r="K326"/>
      <c r="L326"/>
    </row>
    <row r="327" spans="9:12" x14ac:dyDescent="0.25">
      <c r="I327"/>
      <c r="J327"/>
      <c r="K327"/>
      <c r="L327"/>
    </row>
    <row r="328" spans="9:12" x14ac:dyDescent="0.25">
      <c r="I328"/>
      <c r="J328"/>
      <c r="K328"/>
      <c r="L328"/>
    </row>
    <row r="329" spans="9:12" x14ac:dyDescent="0.25">
      <c r="I329"/>
      <c r="J329"/>
      <c r="K329"/>
      <c r="L329"/>
    </row>
    <row r="330" spans="9:12" x14ac:dyDescent="0.25">
      <c r="I330"/>
      <c r="J330"/>
      <c r="K330"/>
      <c r="L330"/>
    </row>
    <row r="331" spans="9:12" x14ac:dyDescent="0.25">
      <c r="I331"/>
      <c r="J331"/>
      <c r="K331"/>
      <c r="L331"/>
    </row>
    <row r="332" spans="9:12" x14ac:dyDescent="0.25">
      <c r="I332"/>
      <c r="J332"/>
      <c r="K332"/>
      <c r="L332"/>
    </row>
    <row r="333" spans="9:12" x14ac:dyDescent="0.25">
      <c r="I333"/>
      <c r="J333"/>
      <c r="K333"/>
      <c r="L333"/>
    </row>
    <row r="334" spans="9:12" x14ac:dyDescent="0.25">
      <c r="I334"/>
      <c r="J334"/>
      <c r="K334"/>
      <c r="L334"/>
    </row>
    <row r="335" spans="9:12" x14ac:dyDescent="0.25">
      <c r="I335"/>
      <c r="J335"/>
      <c r="K335"/>
      <c r="L335"/>
    </row>
    <row r="336" spans="9:12" x14ac:dyDescent="0.25">
      <c r="I336"/>
      <c r="J336"/>
      <c r="K336"/>
      <c r="L336"/>
    </row>
    <row r="337" spans="9:12" x14ac:dyDescent="0.25">
      <c r="I337"/>
      <c r="J337"/>
      <c r="K337"/>
      <c r="L337"/>
    </row>
    <row r="338" spans="9:12" x14ac:dyDescent="0.25">
      <c r="I338"/>
      <c r="J338"/>
      <c r="K338"/>
      <c r="L338"/>
    </row>
    <row r="339" spans="9:12" x14ac:dyDescent="0.25">
      <c r="I339"/>
      <c r="J339"/>
      <c r="K339"/>
      <c r="L339"/>
    </row>
    <row r="340" spans="9:12" x14ac:dyDescent="0.25">
      <c r="I340"/>
      <c r="J340"/>
      <c r="K340"/>
      <c r="L340"/>
    </row>
    <row r="341" spans="9:12" x14ac:dyDescent="0.25">
      <c r="I341"/>
      <c r="J341"/>
      <c r="K341"/>
      <c r="L341"/>
    </row>
    <row r="342" spans="9:12" x14ac:dyDescent="0.25">
      <c r="I342"/>
      <c r="J342"/>
      <c r="K342"/>
      <c r="L342"/>
    </row>
    <row r="343" spans="9:12" x14ac:dyDescent="0.25">
      <c r="I343"/>
      <c r="J343"/>
      <c r="K343"/>
      <c r="L343"/>
    </row>
    <row r="344" spans="9:12" x14ac:dyDescent="0.25">
      <c r="I344"/>
      <c r="J344"/>
      <c r="K344"/>
      <c r="L344"/>
    </row>
    <row r="345" spans="9:12" x14ac:dyDescent="0.25">
      <c r="I345"/>
      <c r="J345"/>
      <c r="K345"/>
      <c r="L345"/>
    </row>
    <row r="346" spans="9:12" x14ac:dyDescent="0.25">
      <c r="I346"/>
      <c r="J346"/>
      <c r="K346"/>
      <c r="L346"/>
    </row>
    <row r="347" spans="9:12" x14ac:dyDescent="0.25">
      <c r="I347"/>
      <c r="J347"/>
      <c r="K347"/>
      <c r="L347"/>
    </row>
    <row r="348" spans="9:12" x14ac:dyDescent="0.25">
      <c r="I348"/>
      <c r="J348"/>
      <c r="K348"/>
      <c r="L348"/>
    </row>
    <row r="349" spans="9:12" x14ac:dyDescent="0.25">
      <c r="I349"/>
      <c r="J349"/>
      <c r="K349"/>
      <c r="L349"/>
    </row>
    <row r="350" spans="9:12" x14ac:dyDescent="0.25">
      <c r="I350"/>
      <c r="J350"/>
      <c r="K350"/>
      <c r="L350"/>
    </row>
    <row r="351" spans="9:12" x14ac:dyDescent="0.25">
      <c r="I351"/>
      <c r="J351"/>
      <c r="K351"/>
      <c r="L351"/>
    </row>
    <row r="352" spans="9:12" x14ac:dyDescent="0.25">
      <c r="I352"/>
      <c r="J352"/>
      <c r="K352"/>
      <c r="L352"/>
    </row>
    <row r="353" spans="9:12" x14ac:dyDescent="0.25">
      <c r="I353"/>
      <c r="J353"/>
      <c r="K353"/>
      <c r="L353"/>
    </row>
    <row r="354" spans="9:12" x14ac:dyDescent="0.25">
      <c r="I354"/>
      <c r="J354"/>
      <c r="K354"/>
      <c r="L354"/>
    </row>
    <row r="355" spans="9:12" x14ac:dyDescent="0.25">
      <c r="I355"/>
      <c r="J355"/>
      <c r="K355"/>
      <c r="L355"/>
    </row>
    <row r="356" spans="9:12" x14ac:dyDescent="0.25">
      <c r="I356"/>
      <c r="J356"/>
      <c r="K356"/>
      <c r="L356"/>
    </row>
    <row r="357" spans="9:12" x14ac:dyDescent="0.25">
      <c r="I357"/>
      <c r="J357"/>
      <c r="K357"/>
      <c r="L357"/>
    </row>
    <row r="358" spans="9:12" x14ac:dyDescent="0.25">
      <c r="I358"/>
      <c r="J358"/>
      <c r="K358"/>
      <c r="L358"/>
    </row>
    <row r="359" spans="9:12" x14ac:dyDescent="0.25">
      <c r="I359"/>
      <c r="J359"/>
      <c r="K359"/>
      <c r="L359"/>
    </row>
    <row r="360" spans="9:12" x14ac:dyDescent="0.25">
      <c r="I360"/>
      <c r="J360"/>
      <c r="K360"/>
      <c r="L360"/>
    </row>
    <row r="361" spans="9:12" x14ac:dyDescent="0.25">
      <c r="I361"/>
      <c r="J361"/>
      <c r="K361"/>
      <c r="L361"/>
    </row>
    <row r="362" spans="9:12" x14ac:dyDescent="0.25">
      <c r="I362"/>
      <c r="J362"/>
      <c r="K362"/>
      <c r="L362"/>
    </row>
    <row r="363" spans="9:12" x14ac:dyDescent="0.25">
      <c r="I363"/>
      <c r="J363"/>
      <c r="K363"/>
      <c r="L363"/>
    </row>
    <row r="364" spans="9:12" x14ac:dyDescent="0.25">
      <c r="I364"/>
      <c r="J364"/>
      <c r="K364"/>
      <c r="L364"/>
    </row>
    <row r="365" spans="9:12" x14ac:dyDescent="0.25">
      <c r="I365"/>
      <c r="J365"/>
      <c r="K365"/>
      <c r="L365"/>
    </row>
    <row r="366" spans="9:12" x14ac:dyDescent="0.25">
      <c r="I366"/>
      <c r="J366"/>
      <c r="K366"/>
      <c r="L366"/>
    </row>
    <row r="367" spans="9:12" x14ac:dyDescent="0.25">
      <c r="I367"/>
      <c r="J367"/>
      <c r="K367"/>
      <c r="L367"/>
    </row>
    <row r="368" spans="9:12" x14ac:dyDescent="0.25">
      <c r="I368"/>
      <c r="J368"/>
      <c r="K368"/>
      <c r="L368"/>
    </row>
    <row r="369" spans="9:12" x14ac:dyDescent="0.25">
      <c r="I369"/>
      <c r="J369"/>
      <c r="K369"/>
      <c r="L369"/>
    </row>
    <row r="370" spans="9:12" x14ac:dyDescent="0.25">
      <c r="I370"/>
      <c r="J370"/>
      <c r="K370"/>
      <c r="L370"/>
    </row>
    <row r="371" spans="9:12" x14ac:dyDescent="0.25">
      <c r="I371"/>
      <c r="J371"/>
      <c r="K371"/>
      <c r="L371"/>
    </row>
    <row r="372" spans="9:12" x14ac:dyDescent="0.25">
      <c r="I372"/>
      <c r="J372"/>
      <c r="K372"/>
      <c r="L372"/>
    </row>
    <row r="373" spans="9:12" x14ac:dyDescent="0.25">
      <c r="I373"/>
      <c r="J373"/>
      <c r="K373"/>
      <c r="L373"/>
    </row>
    <row r="374" spans="9:12" x14ac:dyDescent="0.25">
      <c r="I374"/>
      <c r="J374"/>
      <c r="K374"/>
      <c r="L374"/>
    </row>
    <row r="375" spans="9:12" x14ac:dyDescent="0.25">
      <c r="I375"/>
      <c r="J375"/>
      <c r="K375"/>
      <c r="L375"/>
    </row>
    <row r="376" spans="9:12" x14ac:dyDescent="0.25">
      <c r="I376"/>
      <c r="J376"/>
      <c r="K376"/>
      <c r="L376"/>
    </row>
    <row r="377" spans="9:12" x14ac:dyDescent="0.25">
      <c r="I377"/>
      <c r="J377"/>
      <c r="K377"/>
      <c r="L377"/>
    </row>
    <row r="378" spans="9:12" x14ac:dyDescent="0.25">
      <c r="I378"/>
      <c r="J378"/>
      <c r="K378"/>
      <c r="L378"/>
    </row>
    <row r="379" spans="9:12" x14ac:dyDescent="0.25">
      <c r="I379"/>
      <c r="J379"/>
      <c r="K379"/>
      <c r="L379"/>
    </row>
    <row r="380" spans="9:12" x14ac:dyDescent="0.25">
      <c r="I380"/>
      <c r="J380"/>
      <c r="K380"/>
      <c r="L380"/>
    </row>
    <row r="381" spans="9:12" x14ac:dyDescent="0.25">
      <c r="I381"/>
      <c r="J381"/>
      <c r="K381"/>
      <c r="L381"/>
    </row>
    <row r="382" spans="9:12" x14ac:dyDescent="0.25">
      <c r="I382"/>
      <c r="J382"/>
      <c r="K382"/>
      <c r="L382"/>
    </row>
    <row r="383" spans="9:12" x14ac:dyDescent="0.25">
      <c r="I383"/>
      <c r="J383"/>
      <c r="K383"/>
      <c r="L383"/>
    </row>
    <row r="384" spans="9:12" x14ac:dyDescent="0.25">
      <c r="I384"/>
      <c r="J384"/>
      <c r="K384"/>
      <c r="L384"/>
    </row>
    <row r="385" spans="9:12" x14ac:dyDescent="0.25">
      <c r="I385"/>
      <c r="J385"/>
      <c r="K385"/>
      <c r="L385"/>
    </row>
    <row r="386" spans="9:12" x14ac:dyDescent="0.25">
      <c r="I386"/>
      <c r="J386"/>
      <c r="K386"/>
      <c r="L386"/>
    </row>
    <row r="387" spans="9:12" x14ac:dyDescent="0.25">
      <c r="I387"/>
      <c r="J387"/>
      <c r="K387"/>
      <c r="L387"/>
    </row>
    <row r="388" spans="9:12" x14ac:dyDescent="0.25">
      <c r="I388"/>
      <c r="J388"/>
      <c r="K388"/>
      <c r="L388"/>
    </row>
    <row r="389" spans="9:12" x14ac:dyDescent="0.25">
      <c r="I389"/>
      <c r="J389"/>
      <c r="K389"/>
      <c r="L389"/>
    </row>
    <row r="390" spans="9:12" x14ac:dyDescent="0.25">
      <c r="I390"/>
      <c r="J390"/>
      <c r="K390"/>
      <c r="L390"/>
    </row>
    <row r="391" spans="9:12" x14ac:dyDescent="0.25">
      <c r="I391"/>
      <c r="J391"/>
      <c r="K391"/>
      <c r="L391"/>
    </row>
    <row r="392" spans="9:12" x14ac:dyDescent="0.25">
      <c r="I392"/>
      <c r="J392"/>
      <c r="K392"/>
      <c r="L392"/>
    </row>
    <row r="393" spans="9:12" x14ac:dyDescent="0.25">
      <c r="I393"/>
      <c r="J393"/>
      <c r="K393"/>
      <c r="L393"/>
    </row>
    <row r="394" spans="9:12" x14ac:dyDescent="0.25">
      <c r="I394"/>
      <c r="J394"/>
      <c r="K394"/>
      <c r="L394"/>
    </row>
    <row r="395" spans="9:12" x14ac:dyDescent="0.25">
      <c r="I395"/>
      <c r="J395"/>
      <c r="K395"/>
      <c r="L395"/>
    </row>
    <row r="396" spans="9:12" x14ac:dyDescent="0.25">
      <c r="I396"/>
      <c r="J396"/>
      <c r="K396"/>
      <c r="L396"/>
    </row>
    <row r="397" spans="9:12" x14ac:dyDescent="0.25">
      <c r="I397"/>
      <c r="J397"/>
      <c r="K397"/>
      <c r="L397"/>
    </row>
    <row r="398" spans="9:12" x14ac:dyDescent="0.25">
      <c r="I398"/>
      <c r="J398"/>
      <c r="K398"/>
      <c r="L398"/>
    </row>
    <row r="399" spans="9:12" x14ac:dyDescent="0.25">
      <c r="I399"/>
      <c r="J399"/>
      <c r="K399"/>
      <c r="L399"/>
    </row>
    <row r="400" spans="9:12" x14ac:dyDescent="0.25">
      <c r="I400"/>
      <c r="J400"/>
      <c r="K400"/>
      <c r="L400"/>
    </row>
    <row r="401" spans="9:12" x14ac:dyDescent="0.25">
      <c r="I401"/>
      <c r="J401"/>
      <c r="K401"/>
      <c r="L401"/>
    </row>
    <row r="402" spans="9:12" x14ac:dyDescent="0.25">
      <c r="I402"/>
      <c r="J402"/>
      <c r="K402"/>
      <c r="L402"/>
    </row>
    <row r="403" spans="9:12" x14ac:dyDescent="0.25">
      <c r="I403"/>
      <c r="J403"/>
      <c r="K403"/>
      <c r="L403"/>
    </row>
    <row r="404" spans="9:12" x14ac:dyDescent="0.25">
      <c r="I404"/>
      <c r="J404"/>
      <c r="K404"/>
      <c r="L404"/>
    </row>
    <row r="405" spans="9:12" x14ac:dyDescent="0.25">
      <c r="I405"/>
      <c r="J405"/>
      <c r="K405"/>
      <c r="L405"/>
    </row>
    <row r="406" spans="9:12" x14ac:dyDescent="0.25">
      <c r="I406"/>
      <c r="J406"/>
      <c r="K406"/>
      <c r="L406"/>
    </row>
    <row r="407" spans="9:12" x14ac:dyDescent="0.25">
      <c r="I407"/>
      <c r="J407"/>
      <c r="K407"/>
      <c r="L407"/>
    </row>
    <row r="408" spans="9:12" x14ac:dyDescent="0.25">
      <c r="I408"/>
      <c r="J408"/>
      <c r="K408"/>
      <c r="L408"/>
    </row>
    <row r="409" spans="9:12" x14ac:dyDescent="0.25">
      <c r="I409"/>
      <c r="J409"/>
      <c r="K409"/>
      <c r="L409"/>
    </row>
    <row r="410" spans="9:12" x14ac:dyDescent="0.25">
      <c r="I410"/>
      <c r="J410"/>
      <c r="K410"/>
      <c r="L410"/>
    </row>
    <row r="411" spans="9:12" x14ac:dyDescent="0.25">
      <c r="I411"/>
      <c r="J411"/>
      <c r="K411"/>
      <c r="L411"/>
    </row>
    <row r="412" spans="9:12" x14ac:dyDescent="0.25">
      <c r="I412"/>
      <c r="J412"/>
      <c r="K412"/>
      <c r="L412"/>
    </row>
    <row r="413" spans="9:12" x14ac:dyDescent="0.25">
      <c r="I413"/>
      <c r="J413"/>
      <c r="K413"/>
      <c r="L413"/>
    </row>
    <row r="414" spans="9:12" x14ac:dyDescent="0.25">
      <c r="I414"/>
      <c r="J414"/>
      <c r="K414"/>
      <c r="L414"/>
    </row>
    <row r="415" spans="9:12" x14ac:dyDescent="0.25">
      <c r="I415"/>
      <c r="J415"/>
      <c r="K415"/>
      <c r="L415"/>
    </row>
    <row r="416" spans="9:12" x14ac:dyDescent="0.25">
      <c r="I416"/>
      <c r="J416"/>
      <c r="K416"/>
      <c r="L416"/>
    </row>
    <row r="417" spans="9:12" x14ac:dyDescent="0.25">
      <c r="I417"/>
      <c r="J417"/>
      <c r="K417"/>
      <c r="L417"/>
    </row>
    <row r="418" spans="9:12" x14ac:dyDescent="0.25">
      <c r="I418"/>
      <c r="J418"/>
      <c r="K418"/>
      <c r="L418"/>
    </row>
    <row r="419" spans="9:12" x14ac:dyDescent="0.25">
      <c r="I419"/>
      <c r="J419"/>
      <c r="K419"/>
      <c r="L419"/>
    </row>
    <row r="420" spans="9:12" x14ac:dyDescent="0.25">
      <c r="I420"/>
      <c r="J420"/>
      <c r="K420"/>
      <c r="L420"/>
    </row>
    <row r="421" spans="9:12" x14ac:dyDescent="0.25">
      <c r="I421"/>
      <c r="J421"/>
      <c r="K421"/>
      <c r="L421"/>
    </row>
    <row r="422" spans="9:12" x14ac:dyDescent="0.25">
      <c r="I422"/>
      <c r="J422"/>
      <c r="K422"/>
      <c r="L422"/>
    </row>
    <row r="423" spans="9:12" x14ac:dyDescent="0.25">
      <c r="I423"/>
      <c r="J423"/>
      <c r="K423"/>
      <c r="L423"/>
    </row>
    <row r="424" spans="9:12" x14ac:dyDescent="0.25">
      <c r="I424"/>
      <c r="J424"/>
      <c r="K424"/>
      <c r="L424"/>
    </row>
    <row r="425" spans="9:12" x14ac:dyDescent="0.25">
      <c r="I425"/>
      <c r="J425"/>
      <c r="K425"/>
      <c r="L425"/>
    </row>
    <row r="426" spans="9:12" x14ac:dyDescent="0.25">
      <c r="I426"/>
      <c r="J426"/>
      <c r="K426"/>
      <c r="L426"/>
    </row>
    <row r="427" spans="9:12" x14ac:dyDescent="0.25">
      <c r="I427"/>
      <c r="J427"/>
      <c r="K427"/>
      <c r="L427"/>
    </row>
    <row r="428" spans="9:12" x14ac:dyDescent="0.25">
      <c r="I428"/>
      <c r="J428"/>
      <c r="K428"/>
      <c r="L428"/>
    </row>
    <row r="429" spans="9:12" x14ac:dyDescent="0.25">
      <c r="I429"/>
      <c r="J429"/>
      <c r="K429"/>
      <c r="L429"/>
    </row>
    <row r="430" spans="9:12" x14ac:dyDescent="0.25">
      <c r="I430"/>
      <c r="J430"/>
      <c r="K430"/>
      <c r="L430"/>
    </row>
    <row r="431" spans="9:12" x14ac:dyDescent="0.25">
      <c r="I431"/>
      <c r="J431"/>
      <c r="K431"/>
      <c r="L431"/>
    </row>
    <row r="432" spans="9:12" x14ac:dyDescent="0.25">
      <c r="I432"/>
      <c r="J432"/>
      <c r="K432"/>
      <c r="L432"/>
    </row>
    <row r="433" spans="9:12" x14ac:dyDescent="0.25">
      <c r="I433"/>
      <c r="J433"/>
      <c r="K433"/>
      <c r="L433"/>
    </row>
    <row r="434" spans="9:12" x14ac:dyDescent="0.25">
      <c r="I434"/>
      <c r="J434"/>
      <c r="K434"/>
      <c r="L434"/>
    </row>
    <row r="435" spans="9:12" x14ac:dyDescent="0.25">
      <c r="I435"/>
      <c r="J435"/>
      <c r="K435"/>
      <c r="L435"/>
    </row>
    <row r="436" spans="9:12" x14ac:dyDescent="0.25">
      <c r="I436"/>
      <c r="J436"/>
      <c r="K436"/>
      <c r="L436"/>
    </row>
    <row r="437" spans="9:12" x14ac:dyDescent="0.25">
      <c r="I437"/>
      <c r="J437"/>
      <c r="K437"/>
      <c r="L437"/>
    </row>
    <row r="438" spans="9:12" x14ac:dyDescent="0.25">
      <c r="I438"/>
      <c r="J438"/>
      <c r="K438"/>
      <c r="L438"/>
    </row>
    <row r="439" spans="9:12" x14ac:dyDescent="0.25">
      <c r="I439"/>
      <c r="J439"/>
      <c r="K439"/>
      <c r="L439"/>
    </row>
    <row r="440" spans="9:12" x14ac:dyDescent="0.25">
      <c r="I440"/>
      <c r="J440"/>
      <c r="K440"/>
      <c r="L440"/>
    </row>
    <row r="441" spans="9:12" x14ac:dyDescent="0.25">
      <c r="I441"/>
      <c r="J441"/>
      <c r="K441"/>
      <c r="L441"/>
    </row>
    <row r="442" spans="9:12" x14ac:dyDescent="0.25">
      <c r="I442"/>
      <c r="J442"/>
      <c r="K442"/>
      <c r="L442"/>
    </row>
    <row r="443" spans="9:12" x14ac:dyDescent="0.25">
      <c r="I443"/>
      <c r="J443"/>
      <c r="K443"/>
      <c r="L443"/>
    </row>
    <row r="444" spans="9:12" x14ac:dyDescent="0.25">
      <c r="I444"/>
      <c r="J444"/>
      <c r="K444"/>
      <c r="L444"/>
    </row>
    <row r="445" spans="9:12" x14ac:dyDescent="0.25">
      <c r="I445"/>
      <c r="J445"/>
      <c r="K445"/>
      <c r="L445"/>
    </row>
    <row r="446" spans="9:12" x14ac:dyDescent="0.25">
      <c r="I446"/>
      <c r="J446"/>
      <c r="K446"/>
      <c r="L446"/>
    </row>
    <row r="447" spans="9:12" x14ac:dyDescent="0.25">
      <c r="I447"/>
      <c r="J447"/>
      <c r="K447"/>
      <c r="L447"/>
    </row>
    <row r="448" spans="9:12" x14ac:dyDescent="0.25">
      <c r="I448"/>
      <c r="J448"/>
      <c r="K448"/>
      <c r="L448"/>
    </row>
    <row r="449" spans="9:12" x14ac:dyDescent="0.25">
      <c r="I449"/>
      <c r="J449"/>
      <c r="K449"/>
      <c r="L449"/>
    </row>
    <row r="450" spans="9:12" x14ac:dyDescent="0.25">
      <c r="I450"/>
      <c r="J450"/>
      <c r="K450"/>
      <c r="L450"/>
    </row>
    <row r="451" spans="9:12" x14ac:dyDescent="0.25">
      <c r="I451"/>
      <c r="J451"/>
      <c r="K451"/>
      <c r="L451"/>
    </row>
    <row r="452" spans="9:12" x14ac:dyDescent="0.25">
      <c r="I452"/>
      <c r="J452"/>
      <c r="K452"/>
      <c r="L452"/>
    </row>
    <row r="453" spans="9:12" x14ac:dyDescent="0.25">
      <c r="I453"/>
      <c r="J453"/>
      <c r="K453"/>
      <c r="L453"/>
    </row>
    <row r="454" spans="9:12" x14ac:dyDescent="0.25">
      <c r="I454"/>
      <c r="J454"/>
      <c r="K454"/>
      <c r="L454"/>
    </row>
    <row r="455" spans="9:12" x14ac:dyDescent="0.25">
      <c r="I455"/>
      <c r="J455"/>
      <c r="K455"/>
      <c r="L455"/>
    </row>
    <row r="456" spans="9:12" x14ac:dyDescent="0.25">
      <c r="I456"/>
      <c r="J456"/>
      <c r="K456"/>
      <c r="L456"/>
    </row>
    <row r="457" spans="9:12" x14ac:dyDescent="0.25">
      <c r="I457"/>
      <c r="J457"/>
      <c r="K457"/>
      <c r="L457"/>
    </row>
    <row r="458" spans="9:12" x14ac:dyDescent="0.25">
      <c r="I458"/>
      <c r="J458"/>
      <c r="K458"/>
      <c r="L458"/>
    </row>
    <row r="459" spans="9:12" x14ac:dyDescent="0.25">
      <c r="I459"/>
      <c r="J459"/>
      <c r="K459"/>
      <c r="L459"/>
    </row>
    <row r="460" spans="9:12" x14ac:dyDescent="0.25">
      <c r="I460"/>
      <c r="J460"/>
      <c r="K460"/>
      <c r="L460"/>
    </row>
    <row r="461" spans="9:12" x14ac:dyDescent="0.25">
      <c r="I461"/>
      <c r="J461"/>
      <c r="K461"/>
      <c r="L461"/>
    </row>
    <row r="462" spans="9:12" x14ac:dyDescent="0.25">
      <c r="I462"/>
      <c r="J462"/>
      <c r="K462"/>
      <c r="L462"/>
    </row>
    <row r="463" spans="9:12" x14ac:dyDescent="0.25">
      <c r="I463"/>
      <c r="J463"/>
      <c r="K463"/>
      <c r="L463"/>
    </row>
    <row r="464" spans="9:12" x14ac:dyDescent="0.25">
      <c r="I464"/>
      <c r="J464"/>
      <c r="K464"/>
      <c r="L464"/>
    </row>
    <row r="465" spans="9:12" x14ac:dyDescent="0.25">
      <c r="I465"/>
      <c r="J465"/>
      <c r="K465"/>
      <c r="L465"/>
    </row>
    <row r="466" spans="9:12" x14ac:dyDescent="0.25">
      <c r="I466"/>
      <c r="J466"/>
      <c r="K466"/>
      <c r="L466"/>
    </row>
    <row r="467" spans="9:12" x14ac:dyDescent="0.25">
      <c r="I467"/>
      <c r="J467"/>
      <c r="K467"/>
      <c r="L467"/>
    </row>
    <row r="468" spans="9:12" x14ac:dyDescent="0.25">
      <c r="I468"/>
      <c r="J468"/>
      <c r="K468"/>
      <c r="L468"/>
    </row>
    <row r="469" spans="9:12" x14ac:dyDescent="0.25">
      <c r="I469"/>
      <c r="J469"/>
      <c r="K469"/>
      <c r="L469"/>
    </row>
    <row r="470" spans="9:12" x14ac:dyDescent="0.25">
      <c r="I470"/>
      <c r="J470"/>
      <c r="K470"/>
      <c r="L470"/>
    </row>
    <row r="471" spans="9:12" x14ac:dyDescent="0.25">
      <c r="I471"/>
      <c r="J471"/>
      <c r="K471"/>
      <c r="L471"/>
    </row>
    <row r="472" spans="9:12" x14ac:dyDescent="0.25">
      <c r="I472"/>
      <c r="J472"/>
      <c r="K472"/>
      <c r="L472"/>
    </row>
    <row r="473" spans="9:12" x14ac:dyDescent="0.25">
      <c r="I473"/>
      <c r="J473"/>
      <c r="K473"/>
      <c r="L473"/>
    </row>
    <row r="474" spans="9:12" x14ac:dyDescent="0.25">
      <c r="I474"/>
      <c r="J474"/>
      <c r="K474"/>
      <c r="L474"/>
    </row>
    <row r="475" spans="9:12" x14ac:dyDescent="0.25">
      <c r="I475"/>
      <c r="J475"/>
      <c r="K475"/>
      <c r="L475"/>
    </row>
    <row r="476" spans="9:12" x14ac:dyDescent="0.25">
      <c r="I476"/>
      <c r="J476"/>
      <c r="K476"/>
      <c r="L476"/>
    </row>
    <row r="477" spans="9:12" x14ac:dyDescent="0.25">
      <c r="I477"/>
      <c r="J477"/>
      <c r="K477"/>
      <c r="L477"/>
    </row>
    <row r="478" spans="9:12" x14ac:dyDescent="0.25">
      <c r="I478"/>
      <c r="J478"/>
      <c r="K478"/>
      <c r="L478"/>
    </row>
    <row r="479" spans="9:12" x14ac:dyDescent="0.25">
      <c r="I479"/>
      <c r="J479"/>
      <c r="K479"/>
      <c r="L479"/>
    </row>
    <row r="480" spans="9:12" x14ac:dyDescent="0.25">
      <c r="I480"/>
      <c r="J480"/>
      <c r="K480"/>
      <c r="L480"/>
    </row>
    <row r="481" spans="9:12" x14ac:dyDescent="0.25">
      <c r="I481"/>
      <c r="J481"/>
      <c r="K481"/>
      <c r="L481"/>
    </row>
    <row r="482" spans="9:12" x14ac:dyDescent="0.25">
      <c r="I482"/>
      <c r="J482"/>
      <c r="K482"/>
      <c r="L482"/>
    </row>
    <row r="483" spans="9:12" x14ac:dyDescent="0.25">
      <c r="I483"/>
      <c r="J483"/>
      <c r="K483"/>
      <c r="L483"/>
    </row>
    <row r="484" spans="9:12" x14ac:dyDescent="0.25">
      <c r="I484"/>
      <c r="J484"/>
      <c r="K484"/>
      <c r="L484"/>
    </row>
    <row r="485" spans="9:12" x14ac:dyDescent="0.25">
      <c r="I485"/>
      <c r="J485"/>
      <c r="K485"/>
      <c r="L485"/>
    </row>
    <row r="486" spans="9:12" x14ac:dyDescent="0.25">
      <c r="I486"/>
      <c r="J486"/>
      <c r="K486"/>
      <c r="L486"/>
    </row>
    <row r="487" spans="9:12" x14ac:dyDescent="0.25">
      <c r="I487"/>
      <c r="J487"/>
      <c r="K487"/>
      <c r="L487"/>
    </row>
    <row r="488" spans="9:12" x14ac:dyDescent="0.25">
      <c r="I488"/>
      <c r="J488"/>
      <c r="K488"/>
      <c r="L488"/>
    </row>
    <row r="489" spans="9:12" x14ac:dyDescent="0.25">
      <c r="I489"/>
      <c r="J489"/>
      <c r="K489"/>
      <c r="L489"/>
    </row>
    <row r="490" spans="9:12" x14ac:dyDescent="0.25">
      <c r="I490"/>
      <c r="J490"/>
      <c r="K490"/>
      <c r="L490"/>
    </row>
    <row r="491" spans="9:12" x14ac:dyDescent="0.25">
      <c r="I491"/>
      <c r="J491"/>
      <c r="K491"/>
      <c r="L491"/>
    </row>
    <row r="492" spans="9:12" x14ac:dyDescent="0.25">
      <c r="I492"/>
      <c r="J492"/>
      <c r="K492"/>
      <c r="L492"/>
    </row>
    <row r="493" spans="9:12" x14ac:dyDescent="0.25">
      <c r="I493"/>
      <c r="J493"/>
      <c r="K493"/>
      <c r="L493"/>
    </row>
    <row r="494" spans="9:12" x14ac:dyDescent="0.25">
      <c r="I494"/>
      <c r="J494"/>
      <c r="K494"/>
      <c r="L494"/>
    </row>
    <row r="495" spans="9:12" x14ac:dyDescent="0.25">
      <c r="I495"/>
      <c r="J495"/>
      <c r="K495"/>
      <c r="L495"/>
    </row>
    <row r="496" spans="9:12" x14ac:dyDescent="0.25">
      <c r="I496"/>
      <c r="J496"/>
      <c r="K496"/>
      <c r="L496"/>
    </row>
  </sheetData>
  <mergeCells count="13">
    <mergeCell ref="A7:J7"/>
    <mergeCell ref="G2:G3"/>
    <mergeCell ref="H2:H3"/>
    <mergeCell ref="I2:I3"/>
    <mergeCell ref="J2:J3"/>
    <mergeCell ref="K2:K3"/>
    <mergeCell ref="L2:L3"/>
    <mergeCell ref="A2:A3"/>
    <mergeCell ref="B2:B3"/>
    <mergeCell ref="C2:C3"/>
    <mergeCell ref="D2:D3"/>
    <mergeCell ref="E2:E3"/>
    <mergeCell ref="F2:F3"/>
  </mergeCells>
  <pageMargins left="0" right="0" top="0.39370078740157483" bottom="0" header="0.31496062992125984" footer="0.31496062992125984"/>
  <pageSetup scale="85" orientation="landscape"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36"/>
  <sheetViews>
    <sheetView showGridLines="0" topLeftCell="F4" zoomScale="98" zoomScaleNormal="98" workbookViewId="0">
      <selection activeCell="N17" sqref="N17"/>
    </sheetView>
  </sheetViews>
  <sheetFormatPr defaultRowHeight="15" x14ac:dyDescent="0.25"/>
  <cols>
    <col min="1" max="1" width="5.5703125" customWidth="1"/>
    <col min="2" max="2" width="14.28515625" style="8" customWidth="1"/>
    <col min="3" max="3" width="30.7109375" customWidth="1"/>
    <col min="4" max="4" width="31.140625" customWidth="1"/>
    <col min="5" max="5" width="22.42578125" customWidth="1"/>
    <col min="6" max="6" width="25" customWidth="1"/>
    <col min="7" max="7" width="14.5703125" style="9" customWidth="1"/>
    <col min="8" max="8" width="17.85546875" customWidth="1"/>
    <col min="9" max="9" width="11" customWidth="1"/>
    <col min="10" max="10" width="17.85546875" style="11" customWidth="1"/>
    <col min="11" max="11" width="15.5703125" style="11" customWidth="1"/>
    <col min="12" max="14" width="13.28515625" style="11" customWidth="1"/>
    <col min="15" max="15" width="18.28515625" style="11" customWidth="1"/>
    <col min="16" max="16" width="14.28515625" style="11" customWidth="1"/>
    <col min="17" max="17" width="12.7109375" style="11" customWidth="1"/>
  </cols>
  <sheetData>
    <row r="1" spans="1:28" ht="39.75" customHeight="1" x14ac:dyDescent="0.25">
      <c r="A1" s="1033" t="s">
        <v>1915</v>
      </c>
      <c r="B1" s="1033"/>
      <c r="C1" s="1033"/>
      <c r="D1" s="1033"/>
      <c r="E1" s="1033"/>
      <c r="F1" s="1033"/>
      <c r="G1" s="1033"/>
      <c r="H1" s="1033"/>
      <c r="I1" s="1033"/>
      <c r="J1" s="1033"/>
      <c r="K1" s="1033"/>
      <c r="L1" s="1033"/>
      <c r="M1" s="1033"/>
      <c r="N1" s="1033"/>
      <c r="O1" s="1033"/>
      <c r="P1" s="1033"/>
      <c r="Q1" s="1033"/>
    </row>
    <row r="2" spans="1:28" ht="71.25" customHeight="1" x14ac:dyDescent="0.25">
      <c r="A2" s="252" t="s">
        <v>6</v>
      </c>
      <c r="B2" s="250" t="s">
        <v>0</v>
      </c>
      <c r="C2" s="251" t="s">
        <v>7</v>
      </c>
      <c r="D2" s="252" t="s">
        <v>8</v>
      </c>
      <c r="E2" s="252" t="s">
        <v>9</v>
      </c>
      <c r="F2" s="251" t="s">
        <v>1922</v>
      </c>
      <c r="G2" s="253" t="s">
        <v>10</v>
      </c>
      <c r="H2" s="252" t="s">
        <v>11</v>
      </c>
      <c r="I2" s="254" t="s">
        <v>138</v>
      </c>
      <c r="J2" s="255" t="s">
        <v>49</v>
      </c>
      <c r="K2" s="256" t="s">
        <v>750</v>
      </c>
      <c r="L2" s="256" t="s">
        <v>185</v>
      </c>
      <c r="M2" s="256" t="s">
        <v>48</v>
      </c>
      <c r="N2" s="256" t="s">
        <v>40</v>
      </c>
      <c r="O2" s="391" t="s">
        <v>2</v>
      </c>
      <c r="P2" s="393" t="s">
        <v>1917</v>
      </c>
      <c r="Q2" s="258" t="s">
        <v>374</v>
      </c>
    </row>
    <row r="3" spans="1:28" s="10" customFormat="1" x14ac:dyDescent="0.25">
      <c r="A3" s="55"/>
      <c r="B3" s="245" t="s">
        <v>1136</v>
      </c>
      <c r="C3" s="55" t="s">
        <v>1135</v>
      </c>
      <c r="D3" s="123" t="s">
        <v>1195</v>
      </c>
      <c r="E3" s="390" t="s">
        <v>1937</v>
      </c>
      <c r="F3" s="398" t="s">
        <v>1924</v>
      </c>
      <c r="G3" s="100">
        <v>1512000</v>
      </c>
      <c r="H3" s="55" t="s">
        <v>1623</v>
      </c>
      <c r="I3" s="397">
        <v>44417</v>
      </c>
      <c r="J3" s="122">
        <v>1512000</v>
      </c>
      <c r="K3" s="396">
        <v>106920</v>
      </c>
      <c r="L3" s="396">
        <v>15120</v>
      </c>
      <c r="M3" s="396">
        <v>30240</v>
      </c>
      <c r="N3" s="396">
        <v>1389960</v>
      </c>
      <c r="O3" s="392">
        <f>J3-K3-M3-N3+L3</f>
        <v>0</v>
      </c>
      <c r="P3" s="395">
        <v>44435</v>
      </c>
      <c r="Q3" s="394"/>
      <c r="R3"/>
      <c r="S3"/>
      <c r="T3"/>
      <c r="U3"/>
      <c r="V3"/>
      <c r="W3"/>
      <c r="X3"/>
      <c r="Y3"/>
      <c r="Z3"/>
      <c r="AA3"/>
      <c r="AB3"/>
    </row>
    <row r="4" spans="1:28" s="10" customFormat="1" x14ac:dyDescent="0.25">
      <c r="A4" s="55"/>
      <c r="B4" s="245">
        <v>44382</v>
      </c>
      <c r="C4" s="55" t="s">
        <v>1689</v>
      </c>
      <c r="D4" s="123" t="s">
        <v>1195</v>
      </c>
      <c r="E4" s="390" t="s">
        <v>1559</v>
      </c>
      <c r="F4" s="390" t="s">
        <v>1923</v>
      </c>
      <c r="G4" s="100">
        <v>6447000</v>
      </c>
      <c r="H4" s="55" t="s">
        <v>1196</v>
      </c>
      <c r="I4" s="397">
        <v>44392</v>
      </c>
      <c r="J4" s="122">
        <v>6447000</v>
      </c>
      <c r="K4" s="396"/>
      <c r="L4" s="396">
        <v>64470</v>
      </c>
      <c r="M4" s="396">
        <v>128940</v>
      </c>
      <c r="N4" s="396">
        <v>6382530</v>
      </c>
      <c r="O4" s="392">
        <f t="shared" ref="O4:O16" si="0">J4-K4-M4-N4+L4</f>
        <v>0</v>
      </c>
      <c r="P4" s="395">
        <v>44403</v>
      </c>
      <c r="Q4" s="394"/>
      <c r="R4"/>
      <c r="S4"/>
      <c r="T4"/>
      <c r="U4"/>
      <c r="V4"/>
      <c r="W4"/>
      <c r="X4"/>
      <c r="Y4"/>
      <c r="Z4"/>
      <c r="AA4"/>
      <c r="AB4"/>
    </row>
    <row r="5" spans="1:28" s="10" customFormat="1" x14ac:dyDescent="0.25">
      <c r="A5" s="55"/>
      <c r="B5" s="245">
        <v>44384</v>
      </c>
      <c r="C5" s="55" t="s">
        <v>1687</v>
      </c>
      <c r="D5" s="123" t="s">
        <v>1195</v>
      </c>
      <c r="E5" s="390" t="s">
        <v>1559</v>
      </c>
      <c r="F5" s="390" t="s">
        <v>1925</v>
      </c>
      <c r="G5" s="100">
        <v>21775600</v>
      </c>
      <c r="H5" s="55" t="s">
        <v>1395</v>
      </c>
      <c r="I5" s="397">
        <v>44403</v>
      </c>
      <c r="J5" s="122">
        <v>21775600</v>
      </c>
      <c r="K5" s="396">
        <v>213444</v>
      </c>
      <c r="L5" s="396">
        <v>217756</v>
      </c>
      <c r="M5" s="396">
        <v>435512</v>
      </c>
      <c r="N5" s="396">
        <v>21344400</v>
      </c>
      <c r="O5" s="392">
        <f t="shared" si="0"/>
        <v>0</v>
      </c>
      <c r="P5" s="395">
        <v>44414</v>
      </c>
      <c r="Q5" s="394"/>
      <c r="R5"/>
      <c r="S5"/>
      <c r="T5"/>
      <c r="U5"/>
      <c r="V5"/>
      <c r="W5"/>
      <c r="X5"/>
      <c r="Y5"/>
      <c r="Z5"/>
      <c r="AA5"/>
      <c r="AB5"/>
    </row>
    <row r="6" spans="1:28" s="10" customFormat="1" x14ac:dyDescent="0.25">
      <c r="A6" s="55"/>
      <c r="B6" s="245">
        <v>44394</v>
      </c>
      <c r="C6" s="55" t="s">
        <v>1558</v>
      </c>
      <c r="D6" s="123" t="s">
        <v>1195</v>
      </c>
      <c r="E6" s="390" t="s">
        <v>1559</v>
      </c>
      <c r="F6" s="390" t="s">
        <v>1926</v>
      </c>
      <c r="G6" s="100">
        <v>6328000</v>
      </c>
      <c r="H6" s="55" t="s">
        <v>1557</v>
      </c>
      <c r="I6" s="397">
        <v>44411</v>
      </c>
      <c r="J6" s="122">
        <v>6328000</v>
      </c>
      <c r="K6" s="396"/>
      <c r="L6" s="396">
        <v>63280</v>
      </c>
      <c r="M6" s="396">
        <v>126560</v>
      </c>
      <c r="N6" s="396">
        <v>6264720</v>
      </c>
      <c r="O6" s="392">
        <f t="shared" si="0"/>
        <v>0</v>
      </c>
      <c r="P6" s="395">
        <v>44421</v>
      </c>
      <c r="Q6" s="394"/>
      <c r="R6"/>
      <c r="S6"/>
      <c r="T6"/>
      <c r="U6"/>
      <c r="V6"/>
      <c r="W6"/>
      <c r="X6"/>
      <c r="Y6"/>
      <c r="Z6"/>
      <c r="AA6"/>
      <c r="AB6"/>
    </row>
    <row r="7" spans="1:28" s="10" customFormat="1" x14ac:dyDescent="0.25">
      <c r="A7" s="55"/>
      <c r="B7" s="245">
        <v>44390</v>
      </c>
      <c r="C7" s="55" t="s">
        <v>1561</v>
      </c>
      <c r="D7" s="123" t="s">
        <v>1195</v>
      </c>
      <c r="E7" s="390" t="s">
        <v>1562</v>
      </c>
      <c r="F7" s="390" t="s">
        <v>1927</v>
      </c>
      <c r="G7" s="100">
        <v>40950000</v>
      </c>
      <c r="H7" s="55" t="s">
        <v>1560</v>
      </c>
      <c r="I7" s="397">
        <v>44413</v>
      </c>
      <c r="J7" s="122">
        <v>40950000</v>
      </c>
      <c r="K7" s="396">
        <v>4054050</v>
      </c>
      <c r="L7" s="396">
        <v>409500</v>
      </c>
      <c r="M7" s="396">
        <v>819000</v>
      </c>
      <c r="N7" s="396">
        <v>36486450</v>
      </c>
      <c r="O7" s="392">
        <f t="shared" si="0"/>
        <v>0</v>
      </c>
      <c r="P7" s="395">
        <v>44426</v>
      </c>
      <c r="Q7" s="394"/>
      <c r="R7"/>
      <c r="S7"/>
      <c r="T7"/>
      <c r="U7"/>
      <c r="V7"/>
      <c r="W7"/>
      <c r="X7"/>
      <c r="Y7"/>
      <c r="Z7"/>
      <c r="AA7"/>
      <c r="AB7"/>
    </row>
    <row r="8" spans="1:28" s="10" customFormat="1" x14ac:dyDescent="0.25">
      <c r="A8" s="55"/>
      <c r="B8" s="245">
        <v>44397</v>
      </c>
      <c r="C8" s="55" t="s">
        <v>1621</v>
      </c>
      <c r="D8" s="123" t="s">
        <v>1195</v>
      </c>
      <c r="E8" s="390" t="s">
        <v>1559</v>
      </c>
      <c r="F8" s="390" t="s">
        <v>1928</v>
      </c>
      <c r="G8" s="100">
        <v>30492000</v>
      </c>
      <c r="H8" s="55" t="s">
        <v>1622</v>
      </c>
      <c r="I8" s="397">
        <v>44417</v>
      </c>
      <c r="J8" s="122">
        <v>30492000</v>
      </c>
      <c r="K8" s="396"/>
      <c r="L8" s="396">
        <v>304920</v>
      </c>
      <c r="M8" s="396">
        <v>609840</v>
      </c>
      <c r="N8" s="396">
        <v>30187080</v>
      </c>
      <c r="O8" s="392">
        <f t="shared" si="0"/>
        <v>0</v>
      </c>
      <c r="P8" s="395">
        <v>44431</v>
      </c>
      <c r="Q8" s="394"/>
      <c r="R8"/>
      <c r="S8"/>
      <c r="T8"/>
      <c r="U8"/>
      <c r="V8"/>
      <c r="W8"/>
      <c r="X8"/>
      <c r="Y8"/>
      <c r="Z8"/>
      <c r="AA8"/>
      <c r="AB8"/>
    </row>
    <row r="9" spans="1:28" s="10" customFormat="1" x14ac:dyDescent="0.25">
      <c r="A9" s="55"/>
      <c r="B9" s="245">
        <v>44410</v>
      </c>
      <c r="C9" s="55" t="s">
        <v>1809</v>
      </c>
      <c r="D9" s="123" t="s">
        <v>1195</v>
      </c>
      <c r="E9" s="390" t="s">
        <v>1938</v>
      </c>
      <c r="F9" s="390" t="s">
        <v>1929</v>
      </c>
      <c r="G9" s="100">
        <v>9538100</v>
      </c>
      <c r="H9" s="55" t="s">
        <v>1811</v>
      </c>
      <c r="I9" s="397">
        <v>44434</v>
      </c>
      <c r="J9" s="122">
        <v>9538100</v>
      </c>
      <c r="K9" s="396">
        <v>953810</v>
      </c>
      <c r="L9" s="396">
        <v>95381</v>
      </c>
      <c r="M9" s="396">
        <v>190762</v>
      </c>
      <c r="N9" s="396">
        <v>8488909</v>
      </c>
      <c r="O9" s="392">
        <f t="shared" si="0"/>
        <v>0</v>
      </c>
      <c r="P9" s="395">
        <v>44445</v>
      </c>
      <c r="Q9" s="394"/>
      <c r="R9"/>
      <c r="S9"/>
      <c r="T9"/>
      <c r="U9"/>
      <c r="V9"/>
      <c r="W9"/>
      <c r="X9"/>
      <c r="Y9"/>
      <c r="Z9"/>
      <c r="AA9"/>
      <c r="AB9"/>
    </row>
    <row r="10" spans="1:28" s="10" customFormat="1" x14ac:dyDescent="0.25">
      <c r="A10" s="55"/>
      <c r="B10" s="245">
        <v>44408</v>
      </c>
      <c r="C10" s="55" t="s">
        <v>1813</v>
      </c>
      <c r="D10" s="123" t="s">
        <v>1195</v>
      </c>
      <c r="E10" s="390" t="s">
        <v>1559</v>
      </c>
      <c r="F10" s="390" t="s">
        <v>1930</v>
      </c>
      <c r="G10" s="100">
        <v>26369000</v>
      </c>
      <c r="H10" s="55" t="s">
        <v>1812</v>
      </c>
      <c r="I10" s="397">
        <v>44434</v>
      </c>
      <c r="J10" s="122">
        <v>26369000</v>
      </c>
      <c r="K10" s="396"/>
      <c r="L10" s="396">
        <v>263690</v>
      </c>
      <c r="M10" s="396">
        <v>527380</v>
      </c>
      <c r="N10" s="396">
        <v>26105310</v>
      </c>
      <c r="O10" s="392">
        <f t="shared" si="0"/>
        <v>0</v>
      </c>
      <c r="P10" s="395">
        <v>44447</v>
      </c>
      <c r="Q10" s="394"/>
      <c r="R10"/>
      <c r="S10"/>
      <c r="T10"/>
      <c r="U10"/>
      <c r="V10"/>
      <c r="W10"/>
      <c r="X10"/>
      <c r="Y10"/>
      <c r="Z10"/>
      <c r="AA10"/>
      <c r="AB10"/>
    </row>
    <row r="11" spans="1:28" s="10" customFormat="1" x14ac:dyDescent="0.25">
      <c r="A11" s="55"/>
      <c r="B11" s="245">
        <v>44416</v>
      </c>
      <c r="C11" s="55" t="s">
        <v>1815</v>
      </c>
      <c r="D11" s="123" t="s">
        <v>1195</v>
      </c>
      <c r="E11" s="390" t="s">
        <v>1559</v>
      </c>
      <c r="F11" s="390" t="s">
        <v>1931</v>
      </c>
      <c r="G11" s="100">
        <v>23828000</v>
      </c>
      <c r="H11" s="55" t="s">
        <v>1814</v>
      </c>
      <c r="I11" s="397">
        <v>44439</v>
      </c>
      <c r="J11" s="122">
        <v>23828000</v>
      </c>
      <c r="K11" s="396"/>
      <c r="L11" s="396">
        <v>238280</v>
      </c>
      <c r="M11" s="396">
        <v>476560</v>
      </c>
      <c r="N11" s="396">
        <v>23589720</v>
      </c>
      <c r="O11" s="392">
        <f t="shared" si="0"/>
        <v>0</v>
      </c>
      <c r="P11" s="395">
        <v>44449</v>
      </c>
      <c r="Q11" s="394"/>
      <c r="R11"/>
      <c r="S11"/>
      <c r="T11"/>
      <c r="U11"/>
      <c r="V11"/>
      <c r="W11"/>
      <c r="X11"/>
      <c r="Y11"/>
      <c r="Z11"/>
      <c r="AA11"/>
      <c r="AB11"/>
    </row>
    <row r="12" spans="1:28" s="10" customFormat="1" x14ac:dyDescent="0.25">
      <c r="A12" s="55"/>
      <c r="B12" s="245">
        <v>44412</v>
      </c>
      <c r="C12" s="55" t="s">
        <v>1854</v>
      </c>
      <c r="D12" s="123" t="s">
        <v>1195</v>
      </c>
      <c r="E12" s="390" t="s">
        <v>1938</v>
      </c>
      <c r="F12" s="390" t="s">
        <v>1932</v>
      </c>
      <c r="G12" s="100">
        <v>127352610</v>
      </c>
      <c r="H12" s="55" t="s">
        <v>1853</v>
      </c>
      <c r="I12" s="397">
        <v>44440</v>
      </c>
      <c r="J12" s="122">
        <v>127352610</v>
      </c>
      <c r="K12" s="396">
        <v>18521811</v>
      </c>
      <c r="L12" s="396">
        <v>1088307.99</v>
      </c>
      <c r="M12" s="396">
        <v>2176615.98</v>
      </c>
      <c r="N12" s="396">
        <v>107742491.00999999</v>
      </c>
      <c r="O12" s="392">
        <f t="shared" si="0"/>
        <v>5.3551048040390015E-9</v>
      </c>
      <c r="P12" s="395">
        <v>44456</v>
      </c>
      <c r="Q12" s="394"/>
      <c r="R12"/>
      <c r="S12"/>
      <c r="T12"/>
      <c r="U12"/>
      <c r="V12"/>
      <c r="W12"/>
      <c r="X12"/>
      <c r="Y12"/>
      <c r="Z12"/>
      <c r="AA12"/>
      <c r="AB12"/>
    </row>
    <row r="13" spans="1:28" s="10" customFormat="1" x14ac:dyDescent="0.25">
      <c r="A13" s="55"/>
      <c r="B13" s="245">
        <v>44402</v>
      </c>
      <c r="C13" s="55" t="s">
        <v>1857</v>
      </c>
      <c r="D13" s="123" t="s">
        <v>1195</v>
      </c>
      <c r="E13" s="390" t="s">
        <v>1562</v>
      </c>
      <c r="F13" s="390" t="s">
        <v>1933</v>
      </c>
      <c r="G13" s="100">
        <v>92664000</v>
      </c>
      <c r="H13" s="55" t="s">
        <v>1855</v>
      </c>
      <c r="I13" s="397">
        <v>44445</v>
      </c>
      <c r="J13" s="122">
        <v>92664000</v>
      </c>
      <c r="K13" s="396">
        <v>9266400</v>
      </c>
      <c r="L13" s="396">
        <v>926640</v>
      </c>
      <c r="M13" s="396">
        <v>1853280</v>
      </c>
      <c r="N13" s="396">
        <v>82470960</v>
      </c>
      <c r="O13" s="392">
        <f t="shared" si="0"/>
        <v>0</v>
      </c>
      <c r="P13" s="395">
        <v>44454</v>
      </c>
      <c r="Q13" s="394"/>
      <c r="R13"/>
      <c r="S13"/>
      <c r="T13"/>
      <c r="U13"/>
      <c r="V13"/>
      <c r="W13"/>
      <c r="X13"/>
      <c r="Y13"/>
      <c r="Z13"/>
      <c r="AA13"/>
      <c r="AB13"/>
    </row>
    <row r="14" spans="1:28" s="10" customFormat="1" ht="30" x14ac:dyDescent="0.25">
      <c r="A14" s="55"/>
      <c r="B14" s="245">
        <v>44414</v>
      </c>
      <c r="C14" s="55" t="s">
        <v>1874</v>
      </c>
      <c r="D14" s="123" t="s">
        <v>1195</v>
      </c>
      <c r="E14" s="390" t="s">
        <v>1873</v>
      </c>
      <c r="F14" s="390" t="s">
        <v>1934</v>
      </c>
      <c r="G14" s="100">
        <v>388116000</v>
      </c>
      <c r="H14" s="55" t="s">
        <v>1872</v>
      </c>
      <c r="I14" s="397">
        <v>44450</v>
      </c>
      <c r="J14" s="122">
        <v>388116000</v>
      </c>
      <c r="K14" s="396">
        <v>38811600</v>
      </c>
      <c r="L14" s="396">
        <v>3493044</v>
      </c>
      <c r="M14" s="396">
        <v>6986088</v>
      </c>
      <c r="N14" s="396">
        <v>345811356</v>
      </c>
      <c r="O14" s="392">
        <f t="shared" si="0"/>
        <v>0</v>
      </c>
      <c r="P14" s="395">
        <v>44466</v>
      </c>
      <c r="Q14" s="394"/>
      <c r="R14"/>
      <c r="S14"/>
      <c r="T14"/>
      <c r="U14"/>
      <c r="V14"/>
      <c r="W14"/>
      <c r="X14"/>
      <c r="Y14"/>
      <c r="Z14"/>
      <c r="AA14"/>
      <c r="AB14"/>
    </row>
    <row r="15" spans="1:28" s="10" customFormat="1" ht="30" x14ac:dyDescent="0.25">
      <c r="A15" s="55"/>
      <c r="B15" s="245">
        <v>44413</v>
      </c>
      <c r="C15" s="55" t="s">
        <v>1883</v>
      </c>
      <c r="D15" s="123" t="s">
        <v>1195</v>
      </c>
      <c r="E15" s="390" t="s">
        <v>41</v>
      </c>
      <c r="F15" s="390" t="s">
        <v>1935</v>
      </c>
      <c r="G15" s="100">
        <v>298335000</v>
      </c>
      <c r="H15" s="55" t="s">
        <v>1882</v>
      </c>
      <c r="I15" s="397">
        <v>44454</v>
      </c>
      <c r="J15" s="122">
        <v>298335000</v>
      </c>
      <c r="K15" s="396">
        <v>29833500</v>
      </c>
      <c r="L15" s="396">
        <v>2685015</v>
      </c>
      <c r="M15" s="396">
        <v>5370030</v>
      </c>
      <c r="N15" s="396"/>
      <c r="O15" s="392">
        <f t="shared" si="0"/>
        <v>265816485</v>
      </c>
      <c r="P15" s="395"/>
      <c r="Q15" s="394"/>
      <c r="R15"/>
      <c r="S15"/>
      <c r="T15"/>
      <c r="U15"/>
      <c r="V15"/>
      <c r="W15"/>
      <c r="X15"/>
      <c r="Y15"/>
      <c r="Z15"/>
      <c r="AA15"/>
      <c r="AB15"/>
    </row>
    <row r="16" spans="1:28" s="10" customFormat="1" ht="30" x14ac:dyDescent="0.25">
      <c r="A16" s="55"/>
      <c r="B16" s="245"/>
      <c r="C16" s="55" t="s">
        <v>1912</v>
      </c>
      <c r="D16" s="123" t="s">
        <v>1195</v>
      </c>
      <c r="E16" s="390" t="s">
        <v>349</v>
      </c>
      <c r="F16" s="390" t="s">
        <v>1936</v>
      </c>
      <c r="G16" s="100">
        <v>239433000</v>
      </c>
      <c r="H16" s="55" t="s">
        <v>1911</v>
      </c>
      <c r="I16" s="397">
        <v>44457</v>
      </c>
      <c r="J16" s="122">
        <v>239433000</v>
      </c>
      <c r="K16" s="396">
        <v>23943300</v>
      </c>
      <c r="L16" s="396">
        <v>2154897</v>
      </c>
      <c r="M16" s="396">
        <v>4309794</v>
      </c>
      <c r="N16" s="396"/>
      <c r="O16" s="392">
        <f t="shared" si="0"/>
        <v>213334803</v>
      </c>
      <c r="P16" s="395"/>
      <c r="Q16" s="394"/>
      <c r="R16"/>
      <c r="S16"/>
      <c r="T16"/>
      <c r="U16"/>
      <c r="V16"/>
      <c r="W16"/>
      <c r="X16"/>
      <c r="Y16"/>
      <c r="Z16"/>
      <c r="AA16"/>
      <c r="AB16"/>
    </row>
    <row r="17" spans="1:28" s="10" customFormat="1" x14ac:dyDescent="0.25">
      <c r="A17" s="55"/>
      <c r="B17" s="245"/>
      <c r="C17" s="55"/>
      <c r="D17" s="39"/>
      <c r="E17" s="390"/>
      <c r="F17" s="390"/>
      <c r="G17" s="100"/>
      <c r="H17" s="55"/>
      <c r="I17" s="397"/>
      <c r="J17" s="122"/>
      <c r="K17" s="396"/>
      <c r="L17" s="396">
        <f t="shared" ref="L17:L18" si="1">J17*1%</f>
        <v>0</v>
      </c>
      <c r="M17" s="396">
        <f t="shared" ref="M17:M18" si="2">J17*2%</f>
        <v>0</v>
      </c>
      <c r="N17" s="396"/>
      <c r="O17" s="392"/>
      <c r="P17" s="395"/>
      <c r="Q17" s="394"/>
      <c r="R17"/>
      <c r="S17"/>
      <c r="T17"/>
      <c r="U17"/>
      <c r="V17"/>
      <c r="W17"/>
      <c r="X17"/>
      <c r="Y17"/>
      <c r="Z17"/>
      <c r="AA17"/>
      <c r="AB17"/>
    </row>
    <row r="18" spans="1:28" s="10" customFormat="1" x14ac:dyDescent="0.25">
      <c r="A18" s="55"/>
      <c r="B18" s="245"/>
      <c r="C18" s="55"/>
      <c r="D18" s="39"/>
      <c r="E18" s="390"/>
      <c r="F18" s="390"/>
      <c r="G18" s="100"/>
      <c r="H18" s="55"/>
      <c r="I18" s="397"/>
      <c r="J18" s="122"/>
      <c r="K18" s="396"/>
      <c r="L18" s="396">
        <f t="shared" si="1"/>
        <v>0</v>
      </c>
      <c r="M18" s="396">
        <f t="shared" si="2"/>
        <v>0</v>
      </c>
      <c r="N18" s="396"/>
      <c r="O18" s="392"/>
      <c r="P18" s="395"/>
      <c r="Q18" s="394"/>
      <c r="R18"/>
      <c r="S18"/>
      <c r="T18"/>
      <c r="U18"/>
      <c r="V18"/>
      <c r="W18"/>
      <c r="X18"/>
      <c r="Y18"/>
      <c r="Z18"/>
      <c r="AA18"/>
      <c r="AB18"/>
    </row>
    <row r="19" spans="1:28" s="10" customFormat="1" x14ac:dyDescent="0.25">
      <c r="A19" s="55"/>
      <c r="B19" s="245"/>
      <c r="C19" s="55"/>
      <c r="D19" s="39"/>
      <c r="E19" s="390"/>
      <c r="F19" s="390"/>
      <c r="G19" s="100"/>
      <c r="H19" s="55"/>
      <c r="I19" s="397"/>
      <c r="J19" s="122"/>
      <c r="K19" s="396"/>
      <c r="L19" s="396"/>
      <c r="M19" s="396"/>
      <c r="N19" s="396"/>
      <c r="O19" s="392"/>
      <c r="P19" s="395"/>
      <c r="Q19" s="394"/>
      <c r="R19"/>
      <c r="S19"/>
      <c r="T19"/>
      <c r="U19"/>
      <c r="V19"/>
      <c r="W19"/>
      <c r="X19"/>
      <c r="Y19"/>
      <c r="Z19"/>
      <c r="AA19"/>
      <c r="AB19"/>
    </row>
    <row r="20" spans="1:28" s="10" customFormat="1" x14ac:dyDescent="0.25">
      <c r="A20" s="55"/>
      <c r="B20" s="245"/>
      <c r="C20" s="55"/>
      <c r="D20" s="39"/>
      <c r="E20" s="390"/>
      <c r="F20" s="390"/>
      <c r="G20" s="100"/>
      <c r="H20" s="55"/>
      <c r="I20" s="397"/>
      <c r="J20" s="122"/>
      <c r="K20" s="396"/>
      <c r="L20" s="396"/>
      <c r="M20" s="396"/>
      <c r="N20" s="396"/>
      <c r="O20" s="392"/>
      <c r="P20" s="395"/>
      <c r="Q20" s="394"/>
      <c r="R20"/>
      <c r="S20"/>
      <c r="T20"/>
      <c r="U20"/>
      <c r="V20"/>
      <c r="W20"/>
      <c r="X20"/>
      <c r="Y20"/>
      <c r="Z20"/>
      <c r="AA20"/>
      <c r="AB20"/>
    </row>
    <row r="21" spans="1:28" s="10" customFormat="1" x14ac:dyDescent="0.25">
      <c r="A21" s="55"/>
      <c r="B21" s="245"/>
      <c r="C21" s="55"/>
      <c r="D21" s="39"/>
      <c r="E21" s="390"/>
      <c r="F21" s="390"/>
      <c r="G21" s="100"/>
      <c r="H21" s="55"/>
      <c r="I21" s="397"/>
      <c r="J21" s="122"/>
      <c r="K21" s="396"/>
      <c r="L21" s="396"/>
      <c r="M21" s="396"/>
      <c r="N21" s="396"/>
      <c r="O21" s="392"/>
      <c r="P21" s="395"/>
      <c r="Q21" s="394"/>
      <c r="R21"/>
      <c r="S21"/>
      <c r="T21"/>
      <c r="U21"/>
      <c r="V21"/>
      <c r="W21"/>
      <c r="X21"/>
      <c r="Y21"/>
      <c r="Z21"/>
      <c r="AA21"/>
      <c r="AB21"/>
    </row>
    <row r="22" spans="1:28" s="10" customFormat="1" x14ac:dyDescent="0.25">
      <c r="A22" s="55"/>
      <c r="B22" s="245"/>
      <c r="C22" s="55"/>
      <c r="D22" s="39"/>
      <c r="E22" s="390"/>
      <c r="F22" s="390"/>
      <c r="G22" s="100"/>
      <c r="H22" s="55"/>
      <c r="I22" s="397"/>
      <c r="J22" s="122"/>
      <c r="K22" s="396"/>
      <c r="L22" s="396"/>
      <c r="M22" s="396"/>
      <c r="N22" s="396"/>
      <c r="O22" s="392"/>
      <c r="P22" s="395"/>
      <c r="Q22" s="394"/>
      <c r="R22"/>
      <c r="S22"/>
      <c r="T22"/>
      <c r="U22"/>
      <c r="V22"/>
      <c r="W22"/>
      <c r="X22"/>
      <c r="Y22"/>
      <c r="Z22"/>
      <c r="AA22"/>
      <c r="AB22"/>
    </row>
    <row r="23" spans="1:28" s="10" customFormat="1" x14ac:dyDescent="0.25">
      <c r="A23" s="55"/>
      <c r="B23" s="245"/>
      <c r="C23" s="55"/>
      <c r="D23" s="39"/>
      <c r="E23" s="390"/>
      <c r="F23" s="390"/>
      <c r="G23" s="100"/>
      <c r="H23" s="55"/>
      <c r="I23" s="397"/>
      <c r="J23" s="122"/>
      <c r="K23" s="396"/>
      <c r="L23" s="396"/>
      <c r="M23" s="396"/>
      <c r="N23" s="396"/>
      <c r="O23" s="392"/>
      <c r="P23" s="395"/>
      <c r="Q23" s="394"/>
      <c r="R23"/>
      <c r="S23"/>
      <c r="T23"/>
      <c r="U23"/>
      <c r="V23"/>
      <c r="W23"/>
      <c r="X23"/>
      <c r="Y23"/>
      <c r="Z23"/>
      <c r="AA23"/>
      <c r="AB23"/>
    </row>
    <row r="24" spans="1:28" s="10" customFormat="1" x14ac:dyDescent="0.25">
      <c r="A24" s="55"/>
      <c r="B24" s="245"/>
      <c r="C24" s="55"/>
      <c r="D24" s="39"/>
      <c r="E24" s="390"/>
      <c r="F24" s="390"/>
      <c r="G24" s="100"/>
      <c r="H24" s="55"/>
      <c r="I24" s="397"/>
      <c r="J24" s="122"/>
      <c r="K24" s="396"/>
      <c r="L24" s="396"/>
      <c r="M24" s="396"/>
      <c r="N24" s="396"/>
      <c r="O24" s="392"/>
      <c r="P24" s="395"/>
      <c r="Q24" s="394"/>
      <c r="R24"/>
      <c r="S24"/>
      <c r="T24"/>
      <c r="U24"/>
      <c r="V24"/>
      <c r="W24"/>
      <c r="X24"/>
      <c r="Y24"/>
      <c r="Z24"/>
      <c r="AA24"/>
      <c r="AB24"/>
    </row>
    <row r="25" spans="1:28" s="10" customFormat="1" x14ac:dyDescent="0.25">
      <c r="A25" s="55"/>
      <c r="B25" s="245"/>
      <c r="C25" s="55"/>
      <c r="D25" s="39"/>
      <c r="E25" s="390"/>
      <c r="F25" s="390"/>
      <c r="G25" s="100"/>
      <c r="H25" s="55"/>
      <c r="I25" s="397"/>
      <c r="J25" s="122"/>
      <c r="K25" s="396"/>
      <c r="L25" s="396"/>
      <c r="M25" s="396"/>
      <c r="N25" s="396"/>
      <c r="O25" s="392"/>
      <c r="P25" s="395"/>
      <c r="Q25" s="394"/>
      <c r="R25"/>
      <c r="S25"/>
      <c r="T25"/>
      <c r="U25"/>
      <c r="V25"/>
      <c r="W25"/>
      <c r="X25"/>
      <c r="Y25"/>
      <c r="Z25"/>
      <c r="AA25"/>
      <c r="AB25"/>
    </row>
    <row r="26" spans="1:28" s="10" customFormat="1" x14ac:dyDescent="0.25">
      <c r="A26" s="55"/>
      <c r="B26" s="245"/>
      <c r="C26" s="55"/>
      <c r="D26" s="39"/>
      <c r="E26" s="390"/>
      <c r="F26" s="390"/>
      <c r="G26" s="100"/>
      <c r="H26" s="55"/>
      <c r="I26" s="338"/>
      <c r="J26" s="122"/>
      <c r="K26" s="396"/>
      <c r="L26" s="396"/>
      <c r="M26" s="396"/>
      <c r="N26" s="396"/>
      <c r="O26" s="392"/>
      <c r="P26" s="395"/>
      <c r="Q26" s="394"/>
      <c r="R26"/>
      <c r="S26"/>
      <c r="T26"/>
      <c r="U26"/>
      <c r="V26"/>
      <c r="W26"/>
      <c r="X26"/>
      <c r="Y26"/>
      <c r="Z26"/>
      <c r="AA26"/>
      <c r="AB26"/>
    </row>
    <row r="27" spans="1:28" s="10" customFormat="1" x14ac:dyDescent="0.25">
      <c r="A27" s="55"/>
      <c r="B27" s="245"/>
      <c r="C27" s="55"/>
      <c r="D27" s="39"/>
      <c r="E27" s="390"/>
      <c r="F27" s="390"/>
      <c r="G27" s="100"/>
      <c r="H27" s="55"/>
      <c r="I27" s="338"/>
      <c r="J27" s="122"/>
      <c r="K27" s="396"/>
      <c r="L27" s="396"/>
      <c r="M27" s="396"/>
      <c r="N27" s="396"/>
      <c r="O27" s="392"/>
      <c r="P27" s="395"/>
      <c r="Q27" s="394"/>
      <c r="R27"/>
      <c r="S27"/>
      <c r="T27"/>
      <c r="U27"/>
      <c r="V27"/>
      <c r="W27"/>
      <c r="X27"/>
      <c r="Y27"/>
      <c r="Z27"/>
      <c r="AA27"/>
      <c r="AB27"/>
    </row>
    <row r="28" spans="1:28" s="10" customFormat="1" x14ac:dyDescent="0.25">
      <c r="A28" s="55"/>
      <c r="B28" s="245"/>
      <c r="C28" s="55"/>
      <c r="D28" s="39"/>
      <c r="E28" s="390"/>
      <c r="F28" s="390"/>
      <c r="G28" s="100"/>
      <c r="H28" s="55"/>
      <c r="I28" s="338"/>
      <c r="J28" s="122"/>
      <c r="K28" s="396"/>
      <c r="L28" s="396"/>
      <c r="M28" s="396"/>
      <c r="N28" s="396"/>
      <c r="O28" s="392"/>
      <c r="P28" s="395"/>
      <c r="Q28" s="394"/>
      <c r="R28"/>
      <c r="S28"/>
      <c r="T28"/>
      <c r="U28"/>
      <c r="V28"/>
      <c r="W28"/>
      <c r="X28"/>
      <c r="Y28"/>
      <c r="Z28"/>
      <c r="AA28"/>
      <c r="AB28"/>
    </row>
    <row r="29" spans="1:28" s="10" customFormat="1" x14ac:dyDescent="0.25">
      <c r="A29" s="55"/>
      <c r="B29" s="245"/>
      <c r="C29" s="55"/>
      <c r="D29" s="39"/>
      <c r="E29" s="390"/>
      <c r="F29" s="390"/>
      <c r="G29" s="100"/>
      <c r="H29" s="55"/>
      <c r="I29" s="338"/>
      <c r="J29" s="122"/>
      <c r="K29" s="396"/>
      <c r="L29" s="396"/>
      <c r="M29" s="396"/>
      <c r="N29" s="396"/>
      <c r="O29" s="392"/>
      <c r="P29" s="395"/>
      <c r="Q29" s="394"/>
      <c r="R29"/>
      <c r="S29"/>
      <c r="T29"/>
      <c r="U29"/>
      <c r="V29"/>
      <c r="W29"/>
      <c r="X29"/>
      <c r="Y29"/>
      <c r="Z29"/>
      <c r="AA29"/>
      <c r="AB29"/>
    </row>
    <row r="30" spans="1:28" s="10" customFormat="1" x14ac:dyDescent="0.25">
      <c r="A30" s="55"/>
      <c r="B30" s="245"/>
      <c r="C30" s="55"/>
      <c r="D30" s="39"/>
      <c r="E30" s="390"/>
      <c r="F30" s="390"/>
      <c r="G30" s="100"/>
      <c r="H30" s="55"/>
      <c r="I30" s="338"/>
      <c r="J30" s="122"/>
      <c r="K30" s="396"/>
      <c r="L30" s="396"/>
      <c r="M30" s="396"/>
      <c r="N30" s="396"/>
      <c r="O30" s="392"/>
      <c r="P30" s="395"/>
      <c r="Q30" s="394"/>
      <c r="R30"/>
      <c r="S30"/>
      <c r="T30"/>
      <c r="U30"/>
      <c r="V30"/>
      <c r="W30"/>
      <c r="X30"/>
      <c r="Y30"/>
      <c r="Z30"/>
      <c r="AA30"/>
      <c r="AB30"/>
    </row>
    <row r="31" spans="1:28" s="10" customFormat="1" x14ac:dyDescent="0.25">
      <c r="A31" s="55"/>
      <c r="B31" s="245"/>
      <c r="C31" s="55"/>
      <c r="D31" s="39"/>
      <c r="E31" s="390"/>
      <c r="F31" s="390"/>
      <c r="G31" s="100"/>
      <c r="H31" s="55"/>
      <c r="I31" s="338"/>
      <c r="J31" s="122"/>
      <c r="K31" s="396"/>
      <c r="L31" s="396"/>
      <c r="M31" s="396"/>
      <c r="N31" s="396"/>
      <c r="O31" s="392"/>
      <c r="P31" s="395"/>
      <c r="Q31" s="394"/>
      <c r="R31"/>
      <c r="S31"/>
      <c r="T31"/>
      <c r="U31"/>
      <c r="V31"/>
      <c r="W31"/>
      <c r="X31"/>
      <c r="Y31"/>
      <c r="Z31"/>
      <c r="AA31"/>
      <c r="AB31"/>
    </row>
    <row r="32" spans="1:28" s="10" customFormat="1" x14ac:dyDescent="0.25">
      <c r="A32" s="55"/>
      <c r="B32" s="245"/>
      <c r="C32" s="55"/>
      <c r="D32" s="39"/>
      <c r="E32" s="390"/>
      <c r="F32" s="390"/>
      <c r="G32" s="100"/>
      <c r="H32" s="55"/>
      <c r="I32" s="338"/>
      <c r="J32" s="122"/>
      <c r="K32" s="396"/>
      <c r="L32" s="396"/>
      <c r="M32" s="396"/>
      <c r="N32" s="396"/>
      <c r="O32" s="392"/>
      <c r="P32" s="395"/>
      <c r="Q32" s="394"/>
      <c r="R32"/>
      <c r="S32"/>
      <c r="T32"/>
      <c r="U32"/>
      <c r="V32"/>
      <c r="W32"/>
      <c r="X32"/>
      <c r="Y32"/>
      <c r="Z32"/>
      <c r="AA32"/>
      <c r="AB32"/>
    </row>
    <row r="33" spans="1:28" s="10" customFormat="1" x14ac:dyDescent="0.25">
      <c r="A33" s="55"/>
      <c r="B33" s="245"/>
      <c r="C33" s="55"/>
      <c r="D33" s="39"/>
      <c r="E33" s="390"/>
      <c r="F33" s="390"/>
      <c r="G33" s="100"/>
      <c r="H33" s="55"/>
      <c r="I33" s="338"/>
      <c r="J33" s="122"/>
      <c r="K33" s="396"/>
      <c r="L33" s="396"/>
      <c r="M33" s="396"/>
      <c r="N33" s="396"/>
      <c r="O33" s="392"/>
      <c r="P33" s="395"/>
      <c r="Q33" s="394"/>
      <c r="R33"/>
      <c r="S33"/>
      <c r="T33"/>
      <c r="U33"/>
      <c r="V33"/>
      <c r="W33"/>
      <c r="X33"/>
      <c r="Y33"/>
      <c r="Z33"/>
      <c r="AA33"/>
      <c r="AB33"/>
    </row>
    <row r="34" spans="1:28" s="10" customFormat="1" x14ac:dyDescent="0.25">
      <c r="A34" s="55"/>
      <c r="B34" s="245"/>
      <c r="C34" s="55"/>
      <c r="D34" s="39"/>
      <c r="E34" s="390"/>
      <c r="F34" s="390"/>
      <c r="G34" s="100"/>
      <c r="H34" s="55"/>
      <c r="I34" s="338"/>
      <c r="J34" s="122"/>
      <c r="K34" s="396"/>
      <c r="L34" s="396"/>
      <c r="M34" s="396"/>
      <c r="N34" s="396"/>
      <c r="O34" s="392"/>
      <c r="P34" s="395"/>
      <c r="Q34" s="394"/>
      <c r="R34"/>
      <c r="S34"/>
      <c r="T34"/>
      <c r="U34"/>
      <c r="V34"/>
      <c r="W34"/>
      <c r="X34"/>
      <c r="Y34"/>
      <c r="Z34"/>
      <c r="AA34"/>
      <c r="AB34"/>
    </row>
    <row r="35" spans="1:28" s="10" customFormat="1" x14ac:dyDescent="0.25">
      <c r="A35" s="55"/>
      <c r="B35" s="245"/>
      <c r="C35" s="55"/>
      <c r="D35" s="39"/>
      <c r="E35" s="390"/>
      <c r="F35" s="390"/>
      <c r="G35" s="100"/>
      <c r="H35" s="55"/>
      <c r="I35" s="338"/>
      <c r="J35" s="122"/>
      <c r="K35" s="396"/>
      <c r="L35" s="396"/>
      <c r="M35" s="396"/>
      <c r="N35" s="396"/>
      <c r="O35" s="392"/>
      <c r="P35" s="395"/>
      <c r="Q35" s="394"/>
      <c r="R35"/>
      <c r="S35"/>
      <c r="T35"/>
      <c r="U35"/>
      <c r="V35"/>
      <c r="W35"/>
      <c r="X35"/>
      <c r="Y35"/>
      <c r="Z35"/>
      <c r="AA35"/>
      <c r="AB35"/>
    </row>
    <row r="36" spans="1:28" s="10" customFormat="1" x14ac:dyDescent="0.25">
      <c r="A36" s="55"/>
      <c r="B36" s="245"/>
      <c r="C36" s="55"/>
      <c r="D36" s="39"/>
      <c r="E36" s="390"/>
      <c r="F36" s="390"/>
      <c r="G36" s="100"/>
      <c r="H36" s="55"/>
      <c r="I36" s="338"/>
      <c r="J36" s="122"/>
      <c r="K36" s="396"/>
      <c r="L36" s="396"/>
      <c r="M36" s="396"/>
      <c r="N36" s="396"/>
      <c r="O36" s="392"/>
      <c r="P36" s="395"/>
      <c r="Q36" s="394"/>
      <c r="R36"/>
      <c r="S36"/>
      <c r="T36"/>
      <c r="U36"/>
      <c r="V36"/>
      <c r="W36"/>
      <c r="X36"/>
      <c r="Y36"/>
      <c r="Z36"/>
      <c r="AA36"/>
      <c r="AB36"/>
    </row>
    <row r="37" spans="1:28" s="10" customFormat="1" x14ac:dyDescent="0.25">
      <c r="A37" s="55"/>
      <c r="B37" s="245"/>
      <c r="C37" s="55"/>
      <c r="D37" s="39"/>
      <c r="E37" s="390"/>
      <c r="F37" s="390"/>
      <c r="G37" s="100"/>
      <c r="H37" s="55"/>
      <c r="I37" s="338"/>
      <c r="J37" s="122"/>
      <c r="K37" s="396"/>
      <c r="L37" s="396"/>
      <c r="M37" s="396"/>
      <c r="N37" s="396"/>
      <c r="O37" s="392"/>
      <c r="P37" s="395"/>
      <c r="Q37" s="394"/>
      <c r="R37"/>
      <c r="S37"/>
      <c r="T37"/>
      <c r="U37"/>
      <c r="V37"/>
      <c r="W37"/>
      <c r="X37"/>
      <c r="Y37"/>
      <c r="Z37"/>
      <c r="AA37"/>
      <c r="AB37"/>
    </row>
    <row r="38" spans="1:28" s="10" customFormat="1" x14ac:dyDescent="0.25">
      <c r="A38" s="55"/>
      <c r="B38" s="245"/>
      <c r="C38" s="55"/>
      <c r="D38" s="39"/>
      <c r="E38" s="390"/>
      <c r="F38" s="390"/>
      <c r="G38" s="100"/>
      <c r="H38" s="55"/>
      <c r="I38" s="338"/>
      <c r="J38" s="122"/>
      <c r="K38" s="396"/>
      <c r="L38" s="396"/>
      <c r="M38" s="396"/>
      <c r="N38" s="396"/>
      <c r="O38" s="392"/>
      <c r="P38" s="395"/>
      <c r="Q38" s="394"/>
      <c r="R38"/>
      <c r="S38"/>
      <c r="T38"/>
      <c r="U38"/>
      <c r="V38"/>
      <c r="W38"/>
      <c r="X38"/>
      <c r="Y38"/>
      <c r="Z38"/>
      <c r="AA38"/>
      <c r="AB38"/>
    </row>
    <row r="39" spans="1:28" s="10" customFormat="1" x14ac:dyDescent="0.25">
      <c r="A39" s="55"/>
      <c r="B39" s="245"/>
      <c r="C39" s="55"/>
      <c r="D39" s="39"/>
      <c r="E39" s="390"/>
      <c r="F39" s="390"/>
      <c r="G39" s="100"/>
      <c r="H39" s="55"/>
      <c r="I39" s="338"/>
      <c r="J39" s="122"/>
      <c r="K39" s="396"/>
      <c r="L39" s="396"/>
      <c r="M39" s="396"/>
      <c r="N39" s="396"/>
      <c r="O39" s="392"/>
      <c r="P39" s="395"/>
      <c r="Q39" s="394"/>
      <c r="R39"/>
      <c r="S39"/>
      <c r="T39"/>
      <c r="U39"/>
      <c r="V39"/>
      <c r="W39"/>
      <c r="X39"/>
      <c r="Y39"/>
      <c r="Z39"/>
      <c r="AA39"/>
      <c r="AB39"/>
    </row>
    <row r="40" spans="1:28" s="10" customFormat="1" x14ac:dyDescent="0.25">
      <c r="A40" s="55"/>
      <c r="B40" s="245"/>
      <c r="C40" s="55"/>
      <c r="D40" s="39"/>
      <c r="E40" s="390"/>
      <c r="F40" s="390"/>
      <c r="G40" s="100"/>
      <c r="H40" s="55"/>
      <c r="I40" s="338"/>
      <c r="J40" s="122"/>
      <c r="K40" s="396"/>
      <c r="L40" s="396"/>
      <c r="M40" s="396"/>
      <c r="N40" s="396"/>
      <c r="O40" s="392"/>
      <c r="P40" s="395"/>
      <c r="Q40" s="394"/>
      <c r="R40"/>
      <c r="S40"/>
      <c r="T40"/>
      <c r="U40"/>
      <c r="V40"/>
      <c r="W40"/>
      <c r="X40"/>
      <c r="Y40"/>
      <c r="Z40"/>
      <c r="AA40"/>
      <c r="AB40"/>
    </row>
    <row r="41" spans="1:28" s="10" customFormat="1" x14ac:dyDescent="0.25">
      <c r="A41" s="55"/>
      <c r="B41" s="245"/>
      <c r="C41" s="55"/>
      <c r="D41" s="39"/>
      <c r="E41" s="390"/>
      <c r="F41" s="390"/>
      <c r="G41" s="100"/>
      <c r="H41" s="55"/>
      <c r="I41" s="338"/>
      <c r="J41" s="122"/>
      <c r="K41" s="396"/>
      <c r="L41" s="396"/>
      <c r="M41" s="396"/>
      <c r="N41" s="396"/>
      <c r="O41" s="392"/>
      <c r="P41" s="395"/>
      <c r="Q41" s="394"/>
      <c r="R41"/>
      <c r="S41"/>
      <c r="T41"/>
      <c r="U41"/>
      <c r="V41"/>
      <c r="W41"/>
      <c r="X41"/>
      <c r="Y41"/>
      <c r="Z41"/>
      <c r="AA41"/>
      <c r="AB41"/>
    </row>
    <row r="42" spans="1:28" s="10" customFormat="1" x14ac:dyDescent="0.25">
      <c r="A42" s="55"/>
      <c r="B42" s="245"/>
      <c r="C42" s="55"/>
      <c r="D42" s="39"/>
      <c r="E42" s="390"/>
      <c r="F42" s="390"/>
      <c r="G42" s="100"/>
      <c r="H42" s="55"/>
      <c r="I42" s="338"/>
      <c r="J42" s="122"/>
      <c r="K42" s="396"/>
      <c r="L42" s="396"/>
      <c r="M42" s="396"/>
      <c r="N42" s="396"/>
      <c r="O42" s="392"/>
      <c r="P42" s="395"/>
      <c r="Q42" s="394"/>
      <c r="R42"/>
      <c r="S42"/>
      <c r="T42"/>
      <c r="U42"/>
      <c r="V42"/>
      <c r="W42"/>
      <c r="X42"/>
      <c r="Y42"/>
      <c r="Z42"/>
      <c r="AA42"/>
      <c r="AB42"/>
    </row>
    <row r="43" spans="1:28" s="10" customFormat="1" x14ac:dyDescent="0.25">
      <c r="A43" s="55"/>
      <c r="B43" s="245"/>
      <c r="C43" s="55"/>
      <c r="D43" s="39"/>
      <c r="E43" s="390"/>
      <c r="F43" s="390"/>
      <c r="G43" s="100"/>
      <c r="H43" s="55"/>
      <c r="I43" s="338"/>
      <c r="J43" s="122"/>
      <c r="K43" s="396"/>
      <c r="L43" s="396"/>
      <c r="M43" s="396"/>
      <c r="N43" s="396"/>
      <c r="O43" s="392"/>
      <c r="P43" s="395"/>
      <c r="Q43" s="394"/>
      <c r="R43"/>
      <c r="S43"/>
      <c r="T43"/>
      <c r="U43"/>
      <c r="V43"/>
      <c r="W43"/>
      <c r="X43"/>
      <c r="Y43"/>
      <c r="Z43"/>
      <c r="AA43"/>
      <c r="AB43"/>
    </row>
    <row r="44" spans="1:28" s="10" customFormat="1" x14ac:dyDescent="0.25">
      <c r="A44" s="55"/>
      <c r="B44" s="245"/>
      <c r="C44" s="55"/>
      <c r="D44" s="39"/>
      <c r="E44" s="390"/>
      <c r="F44" s="390"/>
      <c r="G44" s="100"/>
      <c r="H44" s="55"/>
      <c r="I44" s="338"/>
      <c r="J44" s="122"/>
      <c r="K44" s="396"/>
      <c r="L44" s="396"/>
      <c r="M44" s="396"/>
      <c r="N44" s="396"/>
      <c r="O44" s="392"/>
      <c r="P44" s="395"/>
      <c r="Q44" s="394"/>
      <c r="R44"/>
      <c r="S44"/>
      <c r="T44"/>
      <c r="U44"/>
      <c r="V44"/>
      <c r="W44"/>
      <c r="X44"/>
      <c r="Y44"/>
      <c r="Z44"/>
      <c r="AA44"/>
      <c r="AB44"/>
    </row>
    <row r="45" spans="1:28" s="10" customFormat="1" x14ac:dyDescent="0.25">
      <c r="A45" s="55"/>
      <c r="B45" s="245"/>
      <c r="C45" s="55"/>
      <c r="D45" s="39"/>
      <c r="E45" s="390"/>
      <c r="F45" s="390"/>
      <c r="G45" s="100"/>
      <c r="H45" s="55"/>
      <c r="I45" s="338"/>
      <c r="J45" s="122"/>
      <c r="K45" s="396"/>
      <c r="L45" s="396"/>
      <c r="M45" s="396"/>
      <c r="N45" s="396"/>
      <c r="O45" s="392"/>
      <c r="P45" s="395"/>
      <c r="Q45" s="394"/>
      <c r="R45"/>
      <c r="S45"/>
      <c r="T45"/>
      <c r="U45"/>
      <c r="V45"/>
      <c r="W45"/>
      <c r="X45"/>
      <c r="Y45"/>
      <c r="Z45"/>
      <c r="AA45"/>
      <c r="AB45"/>
    </row>
    <row r="46" spans="1:28" s="10" customFormat="1" ht="32.25" customHeight="1" x14ac:dyDescent="0.25">
      <c r="A46" s="1031" t="s">
        <v>399</v>
      </c>
      <c r="B46" s="1032"/>
      <c r="C46" s="1032"/>
      <c r="D46" s="1032"/>
      <c r="E46" s="1032"/>
      <c r="F46" s="1032"/>
      <c r="G46" s="1032"/>
      <c r="H46" s="1032"/>
      <c r="I46" s="1032"/>
      <c r="J46" s="65">
        <f>SUM(J3:J45)</f>
        <v>1313140310</v>
      </c>
      <c r="K46" s="65">
        <f>SUM(K3:K45)</f>
        <v>125704835</v>
      </c>
      <c r="L46" s="65"/>
      <c r="M46" s="65"/>
      <c r="N46" s="65"/>
      <c r="O46" s="65">
        <f>SUM(O3:O45)</f>
        <v>479151288</v>
      </c>
      <c r="P46" s="65"/>
      <c r="Q46" s="65"/>
      <c r="R46"/>
      <c r="S46"/>
      <c r="T46"/>
      <c r="U46"/>
      <c r="V46"/>
      <c r="W46"/>
      <c r="X46"/>
      <c r="Y46"/>
      <c r="Z46"/>
      <c r="AA46"/>
      <c r="AB46"/>
    </row>
    <row r="47" spans="1:28" x14ac:dyDescent="0.25">
      <c r="A47" s="40"/>
      <c r="B47" s="41"/>
      <c r="C47" s="7"/>
      <c r="D47" s="7"/>
      <c r="E47" s="7"/>
      <c r="F47" s="7"/>
      <c r="G47" s="42"/>
      <c r="H47" s="7"/>
      <c r="I47" s="7"/>
      <c r="J47"/>
      <c r="K47"/>
      <c r="L47"/>
      <c r="M47"/>
      <c r="N47"/>
      <c r="O47"/>
      <c r="P47"/>
      <c r="Q47"/>
    </row>
    <row r="48" spans="1:28" x14ac:dyDescent="0.25">
      <c r="A48" s="40"/>
      <c r="B48" s="41"/>
      <c r="C48" s="7"/>
      <c r="D48" s="7"/>
      <c r="E48" s="7"/>
      <c r="F48" s="7"/>
      <c r="G48" s="42"/>
      <c r="H48" s="7"/>
      <c r="I48" s="7"/>
      <c r="J48"/>
      <c r="K48"/>
      <c r="L48"/>
      <c r="M48"/>
      <c r="N48"/>
      <c r="O48"/>
      <c r="P48"/>
      <c r="Q48"/>
    </row>
    <row r="49" spans="1:17" x14ac:dyDescent="0.25">
      <c r="A49" s="40"/>
      <c r="B49" s="41"/>
      <c r="C49" s="7"/>
      <c r="D49" s="7"/>
      <c r="E49" s="7"/>
      <c r="F49" s="7"/>
      <c r="G49" s="42"/>
      <c r="H49" s="7"/>
      <c r="I49" s="7"/>
      <c r="J49"/>
      <c r="K49"/>
      <c r="L49"/>
      <c r="M49"/>
      <c r="N49"/>
      <c r="O49" s="16"/>
      <c r="P49" s="16"/>
      <c r="Q49" s="16"/>
    </row>
    <row r="50" spans="1:17" x14ac:dyDescent="0.25">
      <c r="A50" s="40"/>
      <c r="B50" s="41"/>
      <c r="C50" s="7"/>
      <c r="D50" s="7"/>
      <c r="E50" s="7"/>
      <c r="F50" s="7"/>
      <c r="G50" s="42"/>
      <c r="H50" s="7"/>
      <c r="I50" s="7"/>
      <c r="J50"/>
      <c r="K50"/>
      <c r="L50"/>
      <c r="M50"/>
      <c r="N50"/>
      <c r="O50"/>
      <c r="P50"/>
      <c r="Q50"/>
    </row>
    <row r="51" spans="1:17" x14ac:dyDescent="0.25">
      <c r="A51" s="40"/>
      <c r="B51" s="41"/>
      <c r="C51" s="7"/>
      <c r="D51" s="7"/>
      <c r="E51" s="7"/>
      <c r="F51" s="7"/>
      <c r="G51" s="42"/>
      <c r="H51" s="7"/>
      <c r="I51" s="7"/>
      <c r="J51"/>
      <c r="K51"/>
      <c r="L51"/>
      <c r="M51"/>
      <c r="N51"/>
      <c r="O51"/>
      <c r="P51"/>
      <c r="Q51"/>
    </row>
    <row r="52" spans="1:17" x14ac:dyDescent="0.25">
      <c r="A52" s="40"/>
      <c r="B52" s="41"/>
      <c r="C52" s="7"/>
      <c r="D52" s="7"/>
      <c r="E52" s="7"/>
      <c r="F52" s="7"/>
      <c r="G52" s="42"/>
      <c r="H52" s="7"/>
      <c r="I52" s="7"/>
      <c r="J52"/>
      <c r="K52"/>
      <c r="L52"/>
      <c r="M52"/>
      <c r="N52"/>
      <c r="O52"/>
      <c r="P52"/>
      <c r="Q52"/>
    </row>
    <row r="53" spans="1:17" x14ac:dyDescent="0.25">
      <c r="A53" s="40"/>
      <c r="B53" s="41"/>
      <c r="C53" s="7"/>
      <c r="D53" s="7"/>
      <c r="E53" s="7"/>
      <c r="F53" s="7"/>
      <c r="G53" s="42"/>
      <c r="H53" s="7"/>
      <c r="I53" s="7"/>
      <c r="J53"/>
      <c r="K53"/>
      <c r="L53"/>
      <c r="M53"/>
      <c r="N53"/>
      <c r="O53"/>
      <c r="P53"/>
      <c r="Q53"/>
    </row>
    <row r="54" spans="1:17" x14ac:dyDescent="0.25">
      <c r="A54" s="40"/>
      <c r="B54" s="41"/>
      <c r="C54" s="7"/>
      <c r="D54" s="7"/>
      <c r="E54" s="7"/>
      <c r="F54" s="7"/>
      <c r="G54" s="42"/>
      <c r="H54" s="7"/>
      <c r="I54" s="7"/>
      <c r="J54"/>
      <c r="K54"/>
      <c r="L54"/>
      <c r="M54"/>
      <c r="N54"/>
      <c r="O54"/>
      <c r="P54"/>
      <c r="Q54"/>
    </row>
    <row r="55" spans="1:17" x14ac:dyDescent="0.25">
      <c r="A55" s="40"/>
      <c r="B55" s="41"/>
      <c r="C55" s="7"/>
      <c r="D55" s="7"/>
      <c r="E55" s="7"/>
      <c r="F55" s="7"/>
      <c r="G55" s="42"/>
      <c r="H55" s="7"/>
      <c r="I55" s="7"/>
      <c r="J55"/>
      <c r="K55"/>
      <c r="L55"/>
      <c r="M55"/>
      <c r="N55"/>
      <c r="O55"/>
      <c r="P55"/>
      <c r="Q55"/>
    </row>
    <row r="56" spans="1:17" x14ac:dyDescent="0.25">
      <c r="A56" s="40"/>
      <c r="B56" s="41"/>
      <c r="C56" s="7"/>
      <c r="D56" s="7"/>
      <c r="E56" s="7"/>
      <c r="F56" s="7"/>
      <c r="G56" s="42"/>
      <c r="H56" s="7"/>
      <c r="I56" s="7"/>
      <c r="J56"/>
      <c r="K56"/>
      <c r="L56"/>
      <c r="M56"/>
      <c r="N56"/>
      <c r="O56"/>
      <c r="P56"/>
      <c r="Q56"/>
    </row>
    <row r="57" spans="1:17" x14ac:dyDescent="0.25">
      <c r="A57" s="40"/>
      <c r="B57" s="41"/>
      <c r="C57" s="7"/>
      <c r="D57" s="7"/>
      <c r="E57" s="7"/>
      <c r="F57" s="7"/>
      <c r="G57" s="42"/>
      <c r="H57" s="7"/>
      <c r="I57" s="7"/>
      <c r="J57"/>
      <c r="K57"/>
      <c r="L57"/>
      <c r="M57"/>
      <c r="N57"/>
      <c r="O57"/>
      <c r="P57"/>
      <c r="Q57"/>
    </row>
    <row r="58" spans="1:17" x14ac:dyDescent="0.25">
      <c r="A58" s="40"/>
      <c r="B58" s="41"/>
      <c r="C58" s="7"/>
      <c r="D58" s="7"/>
      <c r="E58" s="7"/>
      <c r="F58" s="7"/>
      <c r="G58" s="42"/>
      <c r="H58" s="7"/>
      <c r="I58" s="7"/>
      <c r="J58"/>
      <c r="K58"/>
      <c r="L58"/>
      <c r="M58"/>
      <c r="N58"/>
      <c r="O58"/>
      <c r="P58"/>
      <c r="Q58"/>
    </row>
    <row r="59" spans="1:17" x14ac:dyDescent="0.25">
      <c r="A59" s="40"/>
      <c r="B59" s="41"/>
      <c r="C59" s="7"/>
      <c r="D59" s="7"/>
      <c r="E59" s="7"/>
      <c r="F59" s="7"/>
      <c r="G59" s="42"/>
      <c r="H59" s="7"/>
      <c r="I59" s="7"/>
      <c r="J59"/>
      <c r="K59"/>
      <c r="L59"/>
      <c r="M59"/>
      <c r="N59"/>
      <c r="O59"/>
      <c r="P59"/>
      <c r="Q59"/>
    </row>
    <row r="60" spans="1:17" x14ac:dyDescent="0.25">
      <c r="A60" s="40"/>
      <c r="B60" s="41"/>
      <c r="C60" s="7"/>
      <c r="D60" s="7"/>
      <c r="E60" s="7"/>
      <c r="F60" s="7"/>
      <c r="G60" s="42"/>
      <c r="H60" s="7"/>
      <c r="I60" s="7"/>
      <c r="J60"/>
      <c r="K60"/>
      <c r="L60"/>
      <c r="M60"/>
      <c r="N60"/>
      <c r="O60"/>
      <c r="P60"/>
      <c r="Q60"/>
    </row>
    <row r="61" spans="1:17" x14ac:dyDescent="0.25">
      <c r="A61" s="40"/>
      <c r="B61" s="41"/>
      <c r="C61" s="7"/>
      <c r="D61" s="7"/>
      <c r="E61" s="7"/>
      <c r="F61" s="7"/>
      <c r="G61" s="42"/>
      <c r="H61" s="7"/>
      <c r="I61" s="7"/>
      <c r="J61"/>
      <c r="K61"/>
      <c r="L61"/>
      <c r="M61"/>
      <c r="N61"/>
      <c r="O61"/>
      <c r="P61"/>
      <c r="Q61"/>
    </row>
    <row r="62" spans="1:17" x14ac:dyDescent="0.25">
      <c r="A62" s="40"/>
      <c r="B62" s="41"/>
      <c r="C62" s="7"/>
      <c r="D62" s="7"/>
      <c r="E62" s="7"/>
      <c r="F62" s="7"/>
      <c r="G62" s="42"/>
      <c r="H62" s="7"/>
      <c r="I62" s="7"/>
      <c r="J62"/>
      <c r="K62"/>
      <c r="L62"/>
      <c r="M62"/>
      <c r="N62"/>
      <c r="O62"/>
      <c r="P62"/>
      <c r="Q62"/>
    </row>
    <row r="63" spans="1:17" x14ac:dyDescent="0.25">
      <c r="A63" s="40"/>
      <c r="B63" s="41"/>
      <c r="C63" s="7"/>
      <c r="D63" s="7"/>
      <c r="E63" s="7"/>
      <c r="F63" s="7"/>
      <c r="G63" s="42"/>
      <c r="H63" s="7"/>
      <c r="I63" s="7"/>
      <c r="J63"/>
      <c r="K63"/>
      <c r="L63"/>
      <c r="M63"/>
      <c r="N63"/>
      <c r="O63"/>
      <c r="P63"/>
      <c r="Q63"/>
    </row>
    <row r="64" spans="1:17" x14ac:dyDescent="0.25">
      <c r="A64" s="40"/>
      <c r="B64" s="41"/>
      <c r="C64" s="7"/>
      <c r="D64" s="7"/>
      <c r="E64" s="7"/>
      <c r="F64" s="7"/>
      <c r="G64" s="42"/>
      <c r="H64" s="7"/>
      <c r="I64" s="7"/>
      <c r="J64"/>
      <c r="K64"/>
      <c r="L64"/>
      <c r="M64"/>
      <c r="N64"/>
      <c r="O64"/>
      <c r="P64"/>
      <c r="Q64"/>
    </row>
    <row r="65" spans="1:17" x14ac:dyDescent="0.25">
      <c r="A65" s="40"/>
      <c r="B65" s="41"/>
      <c r="C65" s="7"/>
      <c r="D65" s="7"/>
      <c r="E65" s="7"/>
      <c r="F65" s="7"/>
      <c r="G65" s="42"/>
      <c r="H65" s="7"/>
      <c r="I65" s="7"/>
      <c r="J65"/>
      <c r="K65"/>
      <c r="L65"/>
      <c r="M65"/>
      <c r="N65"/>
      <c r="O65"/>
      <c r="P65"/>
      <c r="Q65"/>
    </row>
    <row r="66" spans="1:17" x14ac:dyDescent="0.25">
      <c r="A66" s="40"/>
      <c r="B66" s="41"/>
      <c r="C66" s="7"/>
      <c r="D66" s="7"/>
      <c r="E66" s="7"/>
      <c r="F66" s="7"/>
      <c r="G66" s="42"/>
      <c r="H66" s="7"/>
      <c r="I66" s="7"/>
      <c r="J66"/>
      <c r="K66"/>
      <c r="L66"/>
      <c r="M66"/>
      <c r="N66"/>
      <c r="O66"/>
      <c r="P66"/>
      <c r="Q66"/>
    </row>
    <row r="67" spans="1:17" x14ac:dyDescent="0.25">
      <c r="A67" s="40"/>
      <c r="B67" s="41"/>
      <c r="C67" s="7"/>
      <c r="D67" s="7"/>
      <c r="E67" s="7"/>
      <c r="F67" s="7"/>
      <c r="G67" s="42"/>
      <c r="H67" s="7"/>
      <c r="I67" s="7"/>
      <c r="J67"/>
      <c r="K67"/>
      <c r="L67"/>
      <c r="M67"/>
      <c r="N67"/>
      <c r="O67"/>
      <c r="P67"/>
      <c r="Q67"/>
    </row>
    <row r="68" spans="1:17" x14ac:dyDescent="0.25">
      <c r="A68" s="40"/>
      <c r="B68" s="41"/>
      <c r="C68" s="7"/>
      <c r="D68" s="7"/>
      <c r="E68" s="7"/>
      <c r="F68" s="7"/>
      <c r="G68" s="42"/>
      <c r="H68" s="7"/>
      <c r="I68" s="7"/>
      <c r="J68"/>
      <c r="K68"/>
      <c r="L68"/>
      <c r="M68"/>
      <c r="N68"/>
      <c r="O68"/>
      <c r="P68"/>
      <c r="Q68"/>
    </row>
    <row r="69" spans="1:17" x14ac:dyDescent="0.25">
      <c r="A69" s="40"/>
      <c r="B69" s="41"/>
      <c r="C69" s="7"/>
      <c r="D69" s="7"/>
      <c r="E69" s="7"/>
      <c r="F69" s="7"/>
      <c r="G69" s="42"/>
      <c r="H69" s="7"/>
      <c r="I69" s="7"/>
      <c r="J69"/>
      <c r="K69"/>
      <c r="L69"/>
      <c r="M69"/>
      <c r="N69"/>
      <c r="O69"/>
      <c r="P69"/>
      <c r="Q69"/>
    </row>
    <row r="70" spans="1:17" x14ac:dyDescent="0.25">
      <c r="A70" s="40"/>
      <c r="B70" s="41"/>
      <c r="C70" s="7"/>
      <c r="D70" s="7"/>
      <c r="E70" s="7"/>
      <c r="F70" s="7"/>
      <c r="G70" s="42"/>
      <c r="H70" s="7"/>
      <c r="I70" s="7"/>
      <c r="J70"/>
      <c r="K70"/>
      <c r="L70"/>
      <c r="M70"/>
      <c r="N70"/>
      <c r="O70"/>
      <c r="P70"/>
      <c r="Q70"/>
    </row>
    <row r="71" spans="1:17" x14ac:dyDescent="0.25">
      <c r="A71" s="40"/>
      <c r="B71" s="41"/>
      <c r="C71" s="7"/>
      <c r="D71" s="7"/>
      <c r="E71" s="7"/>
      <c r="F71" s="7"/>
      <c r="G71" s="42"/>
      <c r="H71" s="7"/>
      <c r="I71" s="7"/>
      <c r="J71"/>
      <c r="K71"/>
      <c r="L71"/>
      <c r="M71"/>
      <c r="N71"/>
      <c r="O71"/>
      <c r="P71"/>
      <c r="Q71"/>
    </row>
    <row r="72" spans="1:17" x14ac:dyDescent="0.25">
      <c r="A72" s="40"/>
      <c r="B72" s="41"/>
      <c r="C72" s="7"/>
      <c r="D72" s="7"/>
      <c r="E72" s="7"/>
      <c r="F72" s="7"/>
      <c r="G72" s="42"/>
      <c r="H72" s="7"/>
      <c r="I72" s="7"/>
      <c r="J72"/>
      <c r="K72"/>
      <c r="L72"/>
      <c r="M72"/>
      <c r="N72"/>
      <c r="O72"/>
      <c r="P72"/>
      <c r="Q72"/>
    </row>
    <row r="73" spans="1:17" x14ac:dyDescent="0.25">
      <c r="A73" s="40"/>
      <c r="B73" s="41"/>
      <c r="C73" s="7"/>
      <c r="D73" s="7"/>
      <c r="E73" s="7"/>
      <c r="F73" s="7"/>
      <c r="G73" s="42"/>
      <c r="H73" s="7"/>
      <c r="I73" s="7"/>
      <c r="J73"/>
      <c r="K73"/>
      <c r="L73"/>
      <c r="M73"/>
      <c r="N73"/>
      <c r="O73"/>
      <c r="P73"/>
      <c r="Q73"/>
    </row>
    <row r="74" spans="1:17" x14ac:dyDescent="0.25">
      <c r="A74" s="40"/>
      <c r="B74" s="41"/>
      <c r="C74" s="7"/>
      <c r="D74" s="7"/>
      <c r="E74" s="7"/>
      <c r="F74" s="7"/>
      <c r="G74" s="42"/>
      <c r="H74" s="7"/>
      <c r="I74" s="7"/>
      <c r="J74"/>
      <c r="K74"/>
      <c r="L74"/>
      <c r="M74"/>
      <c r="N74"/>
      <c r="O74"/>
      <c r="P74"/>
      <c r="Q74"/>
    </row>
    <row r="75" spans="1:17" x14ac:dyDescent="0.25">
      <c r="A75" s="40"/>
      <c r="B75" s="41"/>
      <c r="C75" s="7"/>
      <c r="D75" s="7"/>
      <c r="E75" s="7"/>
      <c r="F75" s="7"/>
      <c r="G75" s="42"/>
      <c r="H75" s="7"/>
      <c r="I75" s="7"/>
      <c r="J75"/>
      <c r="K75"/>
      <c r="L75"/>
      <c r="M75"/>
      <c r="N75"/>
      <c r="O75"/>
      <c r="P75"/>
      <c r="Q75"/>
    </row>
    <row r="76" spans="1:17" x14ac:dyDescent="0.25">
      <c r="A76" s="40"/>
      <c r="B76" s="41"/>
      <c r="C76" s="7"/>
      <c r="D76" s="7"/>
      <c r="E76" s="7"/>
      <c r="F76" s="7"/>
      <c r="G76" s="42"/>
      <c r="H76" s="7"/>
      <c r="I76" s="7"/>
      <c r="J76"/>
      <c r="K76"/>
      <c r="L76"/>
      <c r="M76"/>
      <c r="N76"/>
      <c r="O76"/>
      <c r="P76"/>
      <c r="Q76"/>
    </row>
    <row r="77" spans="1:17" x14ac:dyDescent="0.25">
      <c r="A77" s="40"/>
      <c r="B77" s="41"/>
      <c r="C77" s="7"/>
      <c r="D77" s="7"/>
      <c r="E77" s="7"/>
      <c r="F77" s="7"/>
      <c r="G77" s="42"/>
      <c r="H77" s="7"/>
      <c r="I77" s="7"/>
      <c r="J77"/>
      <c r="K77"/>
      <c r="L77"/>
      <c r="M77"/>
      <c r="N77"/>
      <c r="O77"/>
      <c r="P77"/>
      <c r="Q77"/>
    </row>
    <row r="78" spans="1:17" x14ac:dyDescent="0.25">
      <c r="A78" s="40"/>
      <c r="B78" s="41"/>
      <c r="C78" s="7"/>
      <c r="D78" s="7"/>
      <c r="E78" s="7"/>
      <c r="F78" s="7"/>
      <c r="G78" s="42"/>
      <c r="H78" s="7"/>
      <c r="I78" s="7"/>
      <c r="J78"/>
      <c r="K78"/>
      <c r="L78"/>
      <c r="M78"/>
      <c r="N78"/>
      <c r="O78"/>
      <c r="P78"/>
      <c r="Q78"/>
    </row>
    <row r="79" spans="1:17" x14ac:dyDescent="0.25">
      <c r="A79" s="40"/>
      <c r="B79" s="41"/>
      <c r="C79" s="7"/>
      <c r="D79" s="7"/>
      <c r="E79" s="7"/>
      <c r="F79" s="7"/>
      <c r="G79" s="42"/>
      <c r="H79" s="7"/>
      <c r="I79" s="7"/>
      <c r="J79"/>
      <c r="K79"/>
      <c r="L79"/>
      <c r="M79"/>
      <c r="N79"/>
      <c r="O79"/>
      <c r="P79"/>
      <c r="Q79"/>
    </row>
    <row r="80" spans="1:17" x14ac:dyDescent="0.25">
      <c r="A80" s="40"/>
      <c r="B80" s="41"/>
      <c r="C80" s="7"/>
      <c r="D80" s="7"/>
      <c r="E80" s="7"/>
      <c r="F80" s="7"/>
      <c r="G80" s="42"/>
      <c r="H80" s="7"/>
      <c r="I80" s="7"/>
      <c r="J80"/>
      <c r="K80"/>
      <c r="L80"/>
      <c r="M80"/>
      <c r="N80"/>
      <c r="O80"/>
      <c r="P80"/>
      <c r="Q80"/>
    </row>
    <row r="81" spans="1:17" x14ac:dyDescent="0.25">
      <c r="A81" s="40"/>
      <c r="B81" s="41"/>
      <c r="C81" s="7"/>
      <c r="D81" s="7"/>
      <c r="E81" s="7"/>
      <c r="F81" s="7"/>
      <c r="G81" s="42"/>
      <c r="H81" s="7"/>
      <c r="I81" s="7"/>
      <c r="J81"/>
      <c r="K81"/>
      <c r="L81"/>
      <c r="M81"/>
      <c r="N81"/>
      <c r="O81"/>
      <c r="P81"/>
      <c r="Q81"/>
    </row>
    <row r="82" spans="1:17" x14ac:dyDescent="0.25">
      <c r="A82" s="40"/>
      <c r="B82" s="41"/>
      <c r="C82" s="7"/>
      <c r="D82" s="7"/>
      <c r="E82" s="7"/>
      <c r="F82" s="7"/>
      <c r="G82" s="42"/>
      <c r="H82" s="7"/>
      <c r="I82" s="7"/>
      <c r="J82"/>
      <c r="K82"/>
      <c r="L82"/>
      <c r="M82"/>
      <c r="N82"/>
      <c r="O82"/>
      <c r="P82"/>
      <c r="Q82"/>
    </row>
    <row r="83" spans="1:17" x14ac:dyDescent="0.25">
      <c r="A83" s="40"/>
      <c r="B83" s="41"/>
      <c r="C83" s="7"/>
      <c r="D83" s="7"/>
      <c r="E83" s="7"/>
      <c r="F83" s="7"/>
      <c r="G83" s="42"/>
      <c r="H83" s="7"/>
      <c r="I83" s="7"/>
      <c r="J83"/>
      <c r="K83"/>
      <c r="L83"/>
      <c r="M83"/>
      <c r="N83"/>
      <c r="O83"/>
      <c r="P83"/>
      <c r="Q83"/>
    </row>
    <row r="84" spans="1:17" x14ac:dyDescent="0.25">
      <c r="A84" s="40"/>
      <c r="B84" s="41"/>
      <c r="C84" s="7"/>
      <c r="D84" s="7"/>
      <c r="E84" s="7"/>
      <c r="F84" s="7"/>
      <c r="G84" s="42"/>
      <c r="H84" s="7"/>
      <c r="I84" s="7"/>
      <c r="J84"/>
      <c r="K84"/>
      <c r="L84"/>
      <c r="M84"/>
      <c r="N84"/>
      <c r="O84"/>
      <c r="P84"/>
      <c r="Q84"/>
    </row>
    <row r="85" spans="1:17" x14ac:dyDescent="0.25">
      <c r="A85" s="40"/>
      <c r="B85" s="41"/>
      <c r="C85" s="7"/>
      <c r="D85" s="7"/>
      <c r="E85" s="7"/>
      <c r="F85" s="7"/>
      <c r="G85" s="42"/>
      <c r="H85" s="7"/>
      <c r="I85" s="7"/>
      <c r="J85"/>
      <c r="K85"/>
      <c r="L85"/>
      <c r="M85"/>
      <c r="N85"/>
      <c r="O85"/>
      <c r="P85"/>
      <c r="Q85"/>
    </row>
    <row r="86" spans="1:17" x14ac:dyDescent="0.25">
      <c r="A86" s="40"/>
      <c r="B86" s="41"/>
      <c r="C86" s="7"/>
      <c r="D86" s="7"/>
      <c r="E86" s="7"/>
      <c r="F86" s="7"/>
      <c r="G86" s="42"/>
      <c r="H86" s="7"/>
      <c r="I86" s="7"/>
      <c r="J86"/>
      <c r="K86"/>
      <c r="L86"/>
      <c r="M86"/>
      <c r="N86"/>
      <c r="O86"/>
      <c r="P86"/>
      <c r="Q86"/>
    </row>
    <row r="87" spans="1:17" x14ac:dyDescent="0.25">
      <c r="A87" s="40"/>
      <c r="B87" s="41"/>
      <c r="C87" s="7"/>
      <c r="D87" s="7"/>
      <c r="E87" s="7"/>
      <c r="F87" s="7"/>
      <c r="G87" s="42"/>
      <c r="H87" s="7"/>
      <c r="I87" s="7"/>
      <c r="J87"/>
      <c r="K87"/>
      <c r="L87"/>
      <c r="M87"/>
      <c r="N87"/>
      <c r="O87"/>
      <c r="P87"/>
      <c r="Q87"/>
    </row>
    <row r="88" spans="1:17" x14ac:dyDescent="0.25">
      <c r="A88" s="40"/>
      <c r="B88" s="41"/>
      <c r="C88" s="7"/>
      <c r="D88" s="7"/>
      <c r="E88" s="7"/>
      <c r="F88" s="7"/>
      <c r="G88" s="42"/>
      <c r="H88" s="7"/>
      <c r="I88" s="7"/>
      <c r="J88"/>
      <c r="K88"/>
      <c r="L88"/>
      <c r="M88"/>
      <c r="N88"/>
      <c r="O88"/>
      <c r="P88"/>
      <c r="Q88"/>
    </row>
    <row r="89" spans="1:17" x14ac:dyDescent="0.25">
      <c r="A89" s="40"/>
      <c r="B89" s="41"/>
      <c r="C89" s="7"/>
      <c r="D89" s="7"/>
      <c r="E89" s="7"/>
      <c r="F89" s="7"/>
      <c r="G89" s="42"/>
      <c r="H89" s="7"/>
      <c r="I89" s="7"/>
      <c r="J89"/>
      <c r="K89"/>
      <c r="L89"/>
      <c r="M89"/>
      <c r="N89"/>
      <c r="O89"/>
      <c r="P89"/>
      <c r="Q89"/>
    </row>
    <row r="90" spans="1:17" x14ac:dyDescent="0.25">
      <c r="A90" s="40"/>
      <c r="B90" s="41"/>
      <c r="C90" s="7"/>
      <c r="D90" s="7"/>
      <c r="E90" s="7"/>
      <c r="F90" s="7"/>
      <c r="G90" s="42"/>
      <c r="H90" s="7"/>
      <c r="I90" s="7"/>
      <c r="J90"/>
      <c r="K90"/>
      <c r="L90"/>
      <c r="M90"/>
      <c r="N90"/>
      <c r="O90"/>
      <c r="P90"/>
      <c r="Q90"/>
    </row>
    <row r="91" spans="1:17" x14ac:dyDescent="0.25">
      <c r="A91" s="40"/>
      <c r="B91" s="41"/>
      <c r="C91" s="7"/>
      <c r="D91" s="7"/>
      <c r="E91" s="7"/>
      <c r="F91" s="7"/>
      <c r="G91" s="42"/>
      <c r="H91" s="7"/>
      <c r="I91" s="7"/>
      <c r="J91"/>
      <c r="K91"/>
      <c r="L91"/>
      <c r="M91"/>
      <c r="N91"/>
      <c r="O91"/>
      <c r="P91"/>
      <c r="Q91"/>
    </row>
    <row r="92" spans="1:17" x14ac:dyDescent="0.25">
      <c r="A92" s="40"/>
      <c r="B92" s="41"/>
      <c r="C92" s="7"/>
      <c r="D92" s="7"/>
      <c r="E92" s="7"/>
      <c r="F92" s="7"/>
      <c r="G92" s="42"/>
      <c r="H92" s="7"/>
      <c r="I92" s="7"/>
      <c r="J92"/>
      <c r="K92"/>
      <c r="L92"/>
      <c r="M92"/>
      <c r="N92"/>
      <c r="O92"/>
      <c r="P92"/>
      <c r="Q92"/>
    </row>
    <row r="93" spans="1:17" x14ac:dyDescent="0.25">
      <c r="A93" s="40"/>
      <c r="B93" s="41"/>
      <c r="C93" s="7"/>
      <c r="D93" s="7"/>
      <c r="E93" s="7"/>
      <c r="F93" s="7"/>
      <c r="G93" s="42"/>
      <c r="H93" s="7"/>
      <c r="I93" s="7"/>
      <c r="J93"/>
      <c r="K93"/>
      <c r="L93"/>
      <c r="M93"/>
      <c r="N93"/>
      <c r="O93"/>
      <c r="P93"/>
      <c r="Q93"/>
    </row>
    <row r="94" spans="1:17" x14ac:dyDescent="0.25">
      <c r="A94" s="40"/>
      <c r="B94" s="41"/>
      <c r="C94" s="7"/>
      <c r="D94" s="7"/>
      <c r="E94" s="7"/>
      <c r="F94" s="7"/>
      <c r="G94" s="42"/>
      <c r="H94" s="7"/>
      <c r="I94" s="7"/>
      <c r="J94"/>
      <c r="K94"/>
      <c r="L94"/>
      <c r="M94"/>
      <c r="N94"/>
      <c r="O94"/>
      <c r="P94"/>
      <c r="Q94"/>
    </row>
    <row r="95" spans="1:17" x14ac:dyDescent="0.25">
      <c r="A95" s="40"/>
      <c r="B95" s="41"/>
      <c r="C95" s="7"/>
      <c r="D95" s="7"/>
      <c r="E95" s="7"/>
      <c r="F95" s="7"/>
      <c r="G95" s="42"/>
      <c r="H95" s="7"/>
      <c r="I95" s="7"/>
      <c r="J95"/>
      <c r="K95"/>
      <c r="L95"/>
      <c r="M95"/>
      <c r="N95"/>
      <c r="O95"/>
      <c r="P95"/>
      <c r="Q95"/>
    </row>
    <row r="96" spans="1:17" x14ac:dyDescent="0.25">
      <c r="A96" s="40"/>
      <c r="B96" s="41"/>
      <c r="C96" s="7"/>
      <c r="D96" s="7"/>
      <c r="E96" s="7"/>
      <c r="F96" s="7"/>
      <c r="G96" s="42"/>
      <c r="H96" s="7"/>
      <c r="I96" s="7"/>
      <c r="J96"/>
      <c r="K96"/>
      <c r="L96"/>
      <c r="M96"/>
      <c r="N96"/>
      <c r="O96"/>
      <c r="P96"/>
      <c r="Q96"/>
    </row>
    <row r="97" spans="1:17" x14ac:dyDescent="0.25">
      <c r="A97" s="40"/>
      <c r="B97" s="41"/>
      <c r="C97" s="7"/>
      <c r="D97" s="7"/>
      <c r="E97" s="7"/>
      <c r="F97" s="7"/>
      <c r="G97" s="42"/>
      <c r="H97" s="7"/>
      <c r="I97" s="7"/>
      <c r="J97"/>
      <c r="K97"/>
      <c r="L97"/>
      <c r="M97"/>
      <c r="N97"/>
      <c r="O97"/>
      <c r="P97"/>
      <c r="Q97"/>
    </row>
    <row r="98" spans="1:17" x14ac:dyDescent="0.25">
      <c r="A98" s="40"/>
      <c r="B98" s="41"/>
      <c r="C98" s="7"/>
      <c r="D98" s="7"/>
      <c r="E98" s="7"/>
      <c r="F98" s="7"/>
      <c r="G98" s="42"/>
      <c r="H98" s="7"/>
      <c r="I98" s="7"/>
      <c r="J98"/>
      <c r="K98"/>
      <c r="L98"/>
      <c r="M98"/>
      <c r="N98"/>
      <c r="O98"/>
      <c r="P98"/>
      <c r="Q98"/>
    </row>
    <row r="99" spans="1:17" x14ac:dyDescent="0.25">
      <c r="A99" s="40"/>
      <c r="B99" s="41"/>
      <c r="C99" s="7"/>
      <c r="D99" s="7"/>
      <c r="E99" s="7"/>
      <c r="F99" s="7"/>
      <c r="G99" s="42"/>
      <c r="H99" s="7"/>
      <c r="I99" s="7"/>
      <c r="J99"/>
      <c r="K99"/>
      <c r="L99"/>
      <c r="M99"/>
      <c r="N99"/>
      <c r="O99"/>
      <c r="P99"/>
      <c r="Q99"/>
    </row>
    <row r="100" spans="1:17" x14ac:dyDescent="0.25">
      <c r="A100" s="40"/>
      <c r="B100" s="41"/>
      <c r="C100" s="7"/>
      <c r="D100" s="7"/>
      <c r="E100" s="7"/>
      <c r="F100" s="7"/>
      <c r="G100" s="42"/>
      <c r="H100" s="7"/>
      <c r="I100" s="7"/>
      <c r="J100"/>
      <c r="K100"/>
      <c r="L100"/>
      <c r="M100"/>
      <c r="N100"/>
      <c r="O100"/>
      <c r="P100"/>
      <c r="Q100"/>
    </row>
    <row r="101" spans="1:17" x14ac:dyDescent="0.25">
      <c r="A101" s="40"/>
      <c r="B101" s="41"/>
      <c r="C101" s="7"/>
      <c r="D101" s="7"/>
      <c r="E101" s="7"/>
      <c r="F101" s="7"/>
      <c r="G101" s="42"/>
      <c r="H101" s="7"/>
      <c r="I101" s="7"/>
      <c r="J101"/>
      <c r="K101"/>
      <c r="L101"/>
      <c r="M101"/>
      <c r="N101"/>
      <c r="O101"/>
      <c r="P101"/>
      <c r="Q101"/>
    </row>
    <row r="102" spans="1:17" x14ac:dyDescent="0.25">
      <c r="A102" s="40"/>
      <c r="B102" s="41"/>
      <c r="C102" s="7"/>
      <c r="D102" s="7"/>
      <c r="E102" s="7"/>
      <c r="F102" s="7"/>
      <c r="G102" s="42"/>
      <c r="H102" s="7"/>
      <c r="I102" s="7"/>
      <c r="J102"/>
      <c r="K102"/>
      <c r="L102"/>
      <c r="M102"/>
      <c r="N102"/>
      <c r="O102"/>
      <c r="P102"/>
      <c r="Q102"/>
    </row>
    <row r="103" spans="1:17" x14ac:dyDescent="0.25">
      <c r="A103" s="40"/>
      <c r="B103" s="41"/>
      <c r="C103" s="7"/>
      <c r="D103" s="7"/>
      <c r="E103" s="7"/>
      <c r="F103" s="7"/>
      <c r="G103" s="42"/>
      <c r="H103" s="7"/>
      <c r="I103" s="7"/>
      <c r="J103"/>
      <c r="K103"/>
      <c r="L103"/>
      <c r="M103"/>
      <c r="N103"/>
      <c r="O103"/>
      <c r="P103"/>
      <c r="Q103"/>
    </row>
    <row r="104" spans="1:17" x14ac:dyDescent="0.25">
      <c r="A104" s="40"/>
      <c r="B104" s="41"/>
      <c r="C104" s="7"/>
      <c r="D104" s="7"/>
      <c r="E104" s="7"/>
      <c r="F104" s="7"/>
      <c r="G104" s="42"/>
      <c r="H104" s="7"/>
      <c r="I104" s="7"/>
      <c r="J104"/>
      <c r="K104"/>
      <c r="L104"/>
      <c r="M104"/>
      <c r="N104"/>
      <c r="O104"/>
      <c r="P104"/>
      <c r="Q104"/>
    </row>
    <row r="105" spans="1:17" x14ac:dyDescent="0.25">
      <c r="A105" s="40"/>
      <c r="B105" s="41"/>
      <c r="C105" s="7"/>
      <c r="D105" s="7"/>
      <c r="E105" s="7"/>
      <c r="F105" s="7"/>
      <c r="G105" s="42"/>
      <c r="H105" s="7"/>
      <c r="I105" s="7"/>
      <c r="J105"/>
      <c r="K105"/>
      <c r="L105"/>
      <c r="M105"/>
      <c r="N105"/>
      <c r="O105"/>
      <c r="P105"/>
      <c r="Q105"/>
    </row>
    <row r="106" spans="1:17" x14ac:dyDescent="0.25">
      <c r="A106" s="40"/>
      <c r="B106" s="41"/>
      <c r="C106" s="7"/>
      <c r="D106" s="7"/>
      <c r="E106" s="7"/>
      <c r="F106" s="7"/>
      <c r="G106" s="42"/>
      <c r="H106" s="7"/>
      <c r="I106" s="7"/>
      <c r="J106"/>
      <c r="K106"/>
      <c r="L106"/>
      <c r="M106"/>
      <c r="N106"/>
      <c r="O106"/>
      <c r="P106"/>
      <c r="Q106"/>
    </row>
    <row r="107" spans="1:17" x14ac:dyDescent="0.25">
      <c r="A107" s="40"/>
      <c r="B107" s="41"/>
      <c r="C107" s="7"/>
      <c r="D107" s="7"/>
      <c r="E107" s="7"/>
      <c r="F107" s="7"/>
      <c r="G107" s="42"/>
      <c r="H107" s="7"/>
      <c r="I107" s="7"/>
      <c r="J107"/>
      <c r="K107"/>
      <c r="L107"/>
      <c r="M107"/>
      <c r="N107"/>
      <c r="O107"/>
      <c r="P107"/>
      <c r="Q107"/>
    </row>
    <row r="108" spans="1:17" x14ac:dyDescent="0.25">
      <c r="A108" s="40"/>
      <c r="B108" s="41"/>
      <c r="C108" s="7"/>
      <c r="D108" s="7"/>
      <c r="E108" s="7"/>
      <c r="F108" s="7"/>
      <c r="G108" s="42"/>
      <c r="H108" s="7"/>
      <c r="I108" s="7"/>
      <c r="J108"/>
      <c r="K108"/>
      <c r="L108"/>
      <c r="M108"/>
      <c r="N108"/>
      <c r="O108"/>
      <c r="P108"/>
      <c r="Q108"/>
    </row>
    <row r="109" spans="1:17" x14ac:dyDescent="0.25">
      <c r="A109" s="40"/>
      <c r="B109" s="41"/>
      <c r="C109" s="7"/>
      <c r="D109" s="7"/>
      <c r="E109" s="7"/>
      <c r="F109" s="7"/>
      <c r="G109" s="42"/>
      <c r="H109" s="7"/>
      <c r="I109" s="7"/>
      <c r="J109"/>
      <c r="K109"/>
      <c r="L109"/>
      <c r="M109"/>
      <c r="N109"/>
      <c r="O109"/>
      <c r="P109"/>
      <c r="Q109"/>
    </row>
    <row r="110" spans="1:17" x14ac:dyDescent="0.25">
      <c r="A110" s="40"/>
      <c r="B110" s="41"/>
      <c r="C110" s="7"/>
      <c r="D110" s="7"/>
      <c r="E110" s="7"/>
      <c r="F110" s="7"/>
      <c r="G110" s="42"/>
      <c r="H110" s="7"/>
      <c r="I110" s="7"/>
      <c r="J110"/>
      <c r="K110"/>
      <c r="L110"/>
      <c r="M110"/>
      <c r="N110"/>
      <c r="O110"/>
      <c r="P110"/>
      <c r="Q110"/>
    </row>
    <row r="111" spans="1:17" x14ac:dyDescent="0.25">
      <c r="A111" s="40"/>
      <c r="B111" s="41"/>
      <c r="C111" s="7"/>
      <c r="D111" s="7"/>
      <c r="E111" s="7"/>
      <c r="F111" s="7"/>
      <c r="G111" s="42"/>
      <c r="H111" s="7"/>
      <c r="I111" s="7"/>
      <c r="J111"/>
      <c r="K111"/>
      <c r="L111"/>
      <c r="M111"/>
      <c r="N111"/>
      <c r="O111"/>
      <c r="P111"/>
      <c r="Q111"/>
    </row>
    <row r="112" spans="1:17" x14ac:dyDescent="0.25">
      <c r="A112" s="40"/>
      <c r="B112" s="41"/>
      <c r="C112" s="7"/>
      <c r="D112" s="7"/>
      <c r="E112" s="7"/>
      <c r="F112" s="7"/>
      <c r="G112" s="42"/>
      <c r="H112" s="7"/>
      <c r="I112" s="7"/>
      <c r="J112"/>
      <c r="K112"/>
      <c r="L112"/>
      <c r="M112"/>
      <c r="N112"/>
      <c r="O112"/>
      <c r="P112"/>
      <c r="Q112"/>
    </row>
    <row r="113" spans="1:17" x14ac:dyDescent="0.25">
      <c r="A113" s="40"/>
      <c r="B113" s="41"/>
      <c r="C113" s="7"/>
      <c r="D113" s="7"/>
      <c r="E113" s="7"/>
      <c r="F113" s="7"/>
      <c r="G113" s="42"/>
      <c r="H113" s="7"/>
      <c r="I113" s="7"/>
      <c r="J113"/>
      <c r="K113"/>
      <c r="L113"/>
      <c r="M113"/>
      <c r="N113"/>
      <c r="O113"/>
      <c r="P113"/>
      <c r="Q113"/>
    </row>
    <row r="114" spans="1:17" x14ac:dyDescent="0.25">
      <c r="A114" s="40"/>
      <c r="B114" s="41"/>
      <c r="C114" s="7"/>
      <c r="D114" s="7"/>
      <c r="E114" s="7"/>
      <c r="F114" s="7"/>
      <c r="G114" s="42"/>
      <c r="H114" s="7"/>
      <c r="I114" s="7"/>
      <c r="J114"/>
      <c r="K114"/>
      <c r="L114"/>
      <c r="M114"/>
      <c r="N114"/>
      <c r="O114"/>
      <c r="P114"/>
      <c r="Q114"/>
    </row>
    <row r="115" spans="1:17" x14ac:dyDescent="0.25">
      <c r="A115" s="40"/>
      <c r="B115" s="41"/>
      <c r="C115" s="7"/>
      <c r="D115" s="7"/>
      <c r="E115" s="7"/>
      <c r="F115" s="7"/>
      <c r="G115" s="42"/>
      <c r="H115" s="7"/>
      <c r="I115" s="7"/>
      <c r="J115"/>
      <c r="K115"/>
      <c r="L115"/>
      <c r="M115"/>
      <c r="N115"/>
      <c r="O115"/>
      <c r="P115"/>
      <c r="Q115"/>
    </row>
    <row r="116" spans="1:17" x14ac:dyDescent="0.25">
      <c r="A116" s="40"/>
      <c r="B116" s="41"/>
      <c r="C116" s="7"/>
      <c r="D116" s="7"/>
      <c r="E116" s="7"/>
      <c r="F116" s="7"/>
      <c r="G116" s="42"/>
      <c r="H116" s="7"/>
      <c r="I116" s="7"/>
      <c r="J116"/>
      <c r="K116"/>
      <c r="L116"/>
      <c r="M116"/>
      <c r="N116"/>
      <c r="O116"/>
      <c r="P116"/>
      <c r="Q116"/>
    </row>
    <row r="117" spans="1:17" x14ac:dyDescent="0.25">
      <c r="A117" s="40"/>
      <c r="B117" s="41"/>
      <c r="C117" s="7"/>
      <c r="D117" s="7"/>
      <c r="E117" s="7"/>
      <c r="F117" s="7"/>
      <c r="G117" s="42"/>
      <c r="H117" s="7"/>
      <c r="I117" s="7"/>
      <c r="J117"/>
      <c r="K117"/>
      <c r="L117"/>
      <c r="M117"/>
      <c r="N117"/>
      <c r="O117"/>
      <c r="P117"/>
      <c r="Q117"/>
    </row>
    <row r="118" spans="1:17" x14ac:dyDescent="0.25">
      <c r="A118" s="40"/>
      <c r="B118" s="41"/>
      <c r="C118" s="7"/>
      <c r="D118" s="7"/>
      <c r="E118" s="7"/>
      <c r="F118" s="7"/>
      <c r="G118" s="42"/>
      <c r="H118" s="7"/>
      <c r="I118" s="7"/>
      <c r="J118"/>
      <c r="K118"/>
      <c r="L118"/>
      <c r="M118"/>
      <c r="N118"/>
      <c r="O118"/>
      <c r="P118"/>
      <c r="Q118"/>
    </row>
    <row r="119" spans="1:17" x14ac:dyDescent="0.25">
      <c r="A119" s="40"/>
      <c r="B119" s="41"/>
      <c r="C119" s="7"/>
      <c r="D119" s="7"/>
      <c r="E119" s="7"/>
      <c r="F119" s="7"/>
      <c r="G119" s="42"/>
      <c r="H119" s="7"/>
      <c r="I119" s="7"/>
      <c r="J119"/>
      <c r="K119"/>
      <c r="L119"/>
      <c r="M119"/>
      <c r="N119"/>
      <c r="O119"/>
      <c r="P119"/>
      <c r="Q119"/>
    </row>
    <row r="120" spans="1:17" x14ac:dyDescent="0.25">
      <c r="A120" s="40"/>
      <c r="B120" s="41"/>
      <c r="C120" s="7"/>
      <c r="D120" s="7"/>
      <c r="E120" s="7"/>
      <c r="F120" s="7"/>
      <c r="G120" s="42"/>
      <c r="H120" s="7"/>
      <c r="I120" s="7"/>
      <c r="J120"/>
      <c r="K120"/>
      <c r="L120"/>
      <c r="M120"/>
      <c r="N120"/>
      <c r="O120"/>
      <c r="P120"/>
      <c r="Q120"/>
    </row>
    <row r="121" spans="1:17" x14ac:dyDescent="0.25">
      <c r="A121" s="40"/>
      <c r="B121" s="41"/>
      <c r="C121" s="7"/>
      <c r="D121" s="7"/>
      <c r="E121" s="7"/>
      <c r="F121" s="7"/>
      <c r="G121" s="42"/>
      <c r="H121" s="7"/>
      <c r="I121" s="7"/>
      <c r="J121"/>
      <c r="K121"/>
      <c r="L121"/>
      <c r="M121"/>
      <c r="N121"/>
      <c r="O121"/>
      <c r="P121"/>
      <c r="Q121"/>
    </row>
    <row r="122" spans="1:17" x14ac:dyDescent="0.25">
      <c r="A122" s="40"/>
      <c r="B122" s="41"/>
      <c r="C122" s="7"/>
      <c r="D122" s="7"/>
      <c r="E122" s="7"/>
      <c r="F122" s="7"/>
      <c r="G122" s="42"/>
      <c r="H122" s="7"/>
      <c r="I122" s="7"/>
      <c r="J122"/>
      <c r="K122"/>
      <c r="L122"/>
      <c r="M122"/>
      <c r="N122"/>
      <c r="O122"/>
      <c r="P122"/>
      <c r="Q122"/>
    </row>
    <row r="123" spans="1:17" x14ac:dyDescent="0.25">
      <c r="A123" s="40"/>
      <c r="B123" s="41"/>
      <c r="C123" s="7"/>
      <c r="D123" s="7"/>
      <c r="E123" s="7"/>
      <c r="F123" s="7"/>
      <c r="G123" s="42"/>
      <c r="H123" s="7"/>
      <c r="I123" s="7"/>
      <c r="J123"/>
      <c r="K123"/>
      <c r="L123"/>
      <c r="M123"/>
      <c r="N123"/>
      <c r="O123"/>
      <c r="P123"/>
      <c r="Q123"/>
    </row>
    <row r="124" spans="1:17" x14ac:dyDescent="0.25">
      <c r="A124" s="40"/>
      <c r="B124" s="41"/>
      <c r="C124" s="7"/>
      <c r="D124" s="7"/>
      <c r="E124" s="7"/>
      <c r="F124" s="7"/>
      <c r="G124" s="42"/>
      <c r="H124" s="7"/>
      <c r="I124" s="7"/>
      <c r="J124"/>
      <c r="K124"/>
      <c r="L124"/>
      <c r="M124"/>
      <c r="N124"/>
      <c r="O124"/>
      <c r="P124"/>
      <c r="Q124"/>
    </row>
    <row r="125" spans="1:17" x14ac:dyDescent="0.25">
      <c r="A125" s="40"/>
      <c r="B125" s="41"/>
      <c r="C125" s="7"/>
      <c r="D125" s="7"/>
      <c r="E125" s="7"/>
      <c r="F125" s="7"/>
      <c r="G125" s="42"/>
      <c r="H125" s="7"/>
      <c r="I125" s="7"/>
      <c r="J125"/>
      <c r="K125"/>
      <c r="L125"/>
      <c r="M125"/>
      <c r="N125"/>
      <c r="O125"/>
      <c r="P125"/>
      <c r="Q125"/>
    </row>
    <row r="126" spans="1:17" x14ac:dyDescent="0.25">
      <c r="A126" s="40"/>
      <c r="B126" s="41"/>
      <c r="C126" s="7"/>
      <c r="D126" s="7"/>
      <c r="E126" s="7"/>
      <c r="F126" s="7"/>
      <c r="G126" s="42"/>
      <c r="H126" s="7"/>
      <c r="I126" s="7"/>
      <c r="J126"/>
      <c r="K126"/>
      <c r="L126"/>
      <c r="M126"/>
      <c r="N126"/>
      <c r="O126"/>
      <c r="P126"/>
      <c r="Q126"/>
    </row>
    <row r="127" spans="1:17" x14ac:dyDescent="0.25">
      <c r="A127" s="40"/>
      <c r="B127" s="41"/>
      <c r="C127" s="7"/>
      <c r="D127" s="7"/>
      <c r="E127" s="7"/>
      <c r="F127" s="7"/>
      <c r="G127" s="42"/>
      <c r="H127" s="7"/>
      <c r="I127" s="7"/>
      <c r="J127"/>
      <c r="K127"/>
      <c r="L127"/>
      <c r="M127"/>
      <c r="N127"/>
      <c r="O127"/>
      <c r="P127"/>
      <c r="Q127"/>
    </row>
    <row r="128" spans="1:17" x14ac:dyDescent="0.25">
      <c r="A128" s="40"/>
      <c r="B128" s="41"/>
      <c r="C128" s="7"/>
      <c r="D128" s="7"/>
      <c r="E128" s="7"/>
      <c r="F128" s="7"/>
      <c r="G128" s="42"/>
      <c r="H128" s="7"/>
      <c r="I128" s="7"/>
      <c r="J128"/>
      <c r="K128"/>
      <c r="L128"/>
      <c r="M128"/>
      <c r="N128"/>
      <c r="O128"/>
      <c r="P128"/>
      <c r="Q128"/>
    </row>
    <row r="129" spans="3:17" x14ac:dyDescent="0.25">
      <c r="C129" t="s">
        <v>42</v>
      </c>
      <c r="E129" s="17" t="e">
        <f>SUM(#REF!)</f>
        <v>#REF!</v>
      </c>
      <c r="F129" s="17"/>
      <c r="J129"/>
      <c r="K129"/>
      <c r="L129"/>
      <c r="M129"/>
      <c r="N129"/>
      <c r="O129"/>
      <c r="P129"/>
      <c r="Q129"/>
    </row>
    <row r="130" spans="3:17" x14ac:dyDescent="0.25">
      <c r="J130"/>
      <c r="K130"/>
      <c r="L130"/>
      <c r="M130"/>
      <c r="N130"/>
      <c r="O130"/>
      <c r="P130"/>
      <c r="Q130"/>
    </row>
    <row r="131" spans="3:17" x14ac:dyDescent="0.25">
      <c r="J131"/>
      <c r="K131"/>
      <c r="L131"/>
      <c r="M131"/>
      <c r="N131"/>
      <c r="O131"/>
      <c r="P131"/>
      <c r="Q131"/>
    </row>
    <row r="132" spans="3:17" x14ac:dyDescent="0.25">
      <c r="C132" t="s">
        <v>36</v>
      </c>
      <c r="G132" s="9">
        <f>SUM(G3:G46)</f>
        <v>1313140310</v>
      </c>
      <c r="J132"/>
      <c r="K132" s="16"/>
      <c r="L132" s="16"/>
      <c r="M132" s="16"/>
      <c r="N132" s="16"/>
      <c r="O132"/>
      <c r="P132"/>
      <c r="Q132"/>
    </row>
    <row r="133" spans="3:17" x14ac:dyDescent="0.25">
      <c r="C133" t="s">
        <v>37</v>
      </c>
      <c r="G133" s="15">
        <f>[2]Phapros!H379</f>
        <v>299675900</v>
      </c>
      <c r="J133"/>
      <c r="K133"/>
      <c r="L133"/>
      <c r="M133"/>
      <c r="N133"/>
      <c r="O133"/>
      <c r="P133"/>
      <c r="Q133"/>
    </row>
    <row r="134" spans="3:17" x14ac:dyDescent="0.25">
      <c r="D134" t="s">
        <v>43</v>
      </c>
      <c r="G134" s="14">
        <f>G132+G133</f>
        <v>1612816210</v>
      </c>
      <c r="J134"/>
      <c r="K134"/>
      <c r="L134"/>
      <c r="M134"/>
      <c r="N134"/>
      <c r="O134"/>
      <c r="P134"/>
      <c r="Q134"/>
    </row>
    <row r="135" spans="3:17" ht="11.25" customHeight="1" x14ac:dyDescent="0.25">
      <c r="G135" s="14"/>
      <c r="J135"/>
      <c r="K135"/>
      <c r="L135"/>
      <c r="M135"/>
      <c r="N135"/>
      <c r="O135"/>
      <c r="P135"/>
      <c r="Q135"/>
    </row>
    <row r="136" spans="3:17" x14ac:dyDescent="0.25">
      <c r="C136" t="s">
        <v>38</v>
      </c>
      <c r="J136"/>
      <c r="K136"/>
      <c r="L136"/>
      <c r="M136"/>
      <c r="N136"/>
      <c r="O136"/>
      <c r="P136"/>
      <c r="Q136"/>
    </row>
    <row r="137" spans="3:17" x14ac:dyDescent="0.25">
      <c r="C137" t="s">
        <v>44</v>
      </c>
      <c r="E137" s="9">
        <v>220186527</v>
      </c>
      <c r="F137" s="9"/>
      <c r="J137"/>
      <c r="K137"/>
      <c r="L137"/>
      <c r="M137"/>
      <c r="N137"/>
      <c r="O137"/>
      <c r="P137"/>
      <c r="Q137"/>
    </row>
    <row r="138" spans="3:17" x14ac:dyDescent="0.25">
      <c r="C138" t="s">
        <v>45</v>
      </c>
      <c r="E138" s="15">
        <v>452400140</v>
      </c>
      <c r="F138" s="42"/>
      <c r="J138"/>
      <c r="K138"/>
      <c r="L138"/>
      <c r="M138"/>
      <c r="N138"/>
      <c r="O138"/>
      <c r="P138"/>
      <c r="Q138"/>
    </row>
    <row r="139" spans="3:17" ht="15.75" x14ac:dyDescent="0.25">
      <c r="C139" t="s">
        <v>46</v>
      </c>
      <c r="G139" s="18">
        <f>E137+E138</f>
        <v>672586667</v>
      </c>
      <c r="J139"/>
      <c r="K139"/>
      <c r="L139"/>
      <c r="M139"/>
      <c r="N139"/>
      <c r="O139"/>
      <c r="P139"/>
      <c r="Q139"/>
    </row>
    <row r="140" spans="3:17" ht="15.75" x14ac:dyDescent="0.25">
      <c r="D140" s="1" t="s">
        <v>39</v>
      </c>
      <c r="G140" s="9">
        <f>G134-G139</f>
        <v>940229543</v>
      </c>
      <c r="J140"/>
      <c r="K140"/>
      <c r="L140"/>
      <c r="M140"/>
      <c r="N140"/>
      <c r="O140"/>
      <c r="P140"/>
      <c r="Q140"/>
    </row>
    <row r="141" spans="3:17" x14ac:dyDescent="0.25">
      <c r="J141"/>
      <c r="K141"/>
      <c r="L141"/>
      <c r="M141"/>
      <c r="N141"/>
      <c r="O141"/>
      <c r="P141"/>
      <c r="Q141"/>
    </row>
    <row r="142" spans="3:17" x14ac:dyDescent="0.25">
      <c r="J142"/>
      <c r="K142"/>
      <c r="L142"/>
      <c r="M142"/>
      <c r="N142"/>
      <c r="O142"/>
      <c r="P142"/>
      <c r="Q142"/>
    </row>
    <row r="143" spans="3:17" x14ac:dyDescent="0.25">
      <c r="J143"/>
      <c r="K143"/>
      <c r="L143"/>
      <c r="M143"/>
      <c r="N143"/>
      <c r="O143"/>
      <c r="P143"/>
      <c r="Q143"/>
    </row>
    <row r="144" spans="3:17" x14ac:dyDescent="0.25">
      <c r="J144"/>
      <c r="K144" s="19"/>
      <c r="L144" s="19"/>
      <c r="M144" s="19"/>
      <c r="N144" s="19"/>
      <c r="O144"/>
      <c r="P144"/>
      <c r="Q144"/>
    </row>
    <row r="145" spans="10:17" x14ac:dyDescent="0.25">
      <c r="J145"/>
      <c r="K145" s="19"/>
      <c r="L145" s="19"/>
      <c r="M145" s="19"/>
      <c r="N145" s="19"/>
      <c r="O145"/>
      <c r="P145"/>
      <c r="Q145"/>
    </row>
    <row r="146" spans="10:17" x14ac:dyDescent="0.25">
      <c r="J146"/>
      <c r="K146" s="7"/>
      <c r="L146" s="7"/>
      <c r="M146" s="7"/>
      <c r="N146" s="7"/>
      <c r="O146"/>
      <c r="P146"/>
      <c r="Q146"/>
    </row>
    <row r="147" spans="10:17" x14ac:dyDescent="0.25">
      <c r="J147"/>
      <c r="K147" s="19"/>
      <c r="L147" s="19"/>
      <c r="M147" s="19"/>
      <c r="N147" s="19"/>
      <c r="O147"/>
      <c r="P147"/>
      <c r="Q147"/>
    </row>
    <row r="148" spans="10:17" x14ac:dyDescent="0.25">
      <c r="J148"/>
      <c r="K148" s="19"/>
      <c r="L148" s="19"/>
      <c r="M148" s="19"/>
      <c r="N148" s="19"/>
      <c r="O148"/>
      <c r="P148"/>
      <c r="Q148"/>
    </row>
    <row r="149" spans="10:17" x14ac:dyDescent="0.25">
      <c r="J149"/>
      <c r="K149" s="7"/>
      <c r="L149" s="7"/>
      <c r="M149" s="7"/>
      <c r="N149" s="7"/>
      <c r="O149"/>
      <c r="P149"/>
      <c r="Q149"/>
    </row>
    <row r="150" spans="10:17" x14ac:dyDescent="0.25">
      <c r="J150"/>
      <c r="K150" s="19"/>
      <c r="L150" s="19"/>
      <c r="M150" s="19"/>
      <c r="N150" s="19"/>
      <c r="O150"/>
      <c r="P150"/>
      <c r="Q150"/>
    </row>
    <row r="151" spans="10:17" x14ac:dyDescent="0.25">
      <c r="J151"/>
      <c r="K151" s="19"/>
      <c r="L151" s="19"/>
      <c r="M151" s="19"/>
      <c r="N151" s="19"/>
      <c r="O151"/>
      <c r="P151"/>
      <c r="Q151"/>
    </row>
    <row r="152" spans="10:17" x14ac:dyDescent="0.25">
      <c r="J152"/>
      <c r="K152" s="7"/>
      <c r="L152" s="7"/>
      <c r="M152" s="7"/>
      <c r="N152" s="7"/>
      <c r="O152"/>
      <c r="P152"/>
      <c r="Q152"/>
    </row>
    <row r="153" spans="10:17" x14ac:dyDescent="0.25">
      <c r="J153"/>
      <c r="K153"/>
      <c r="L153"/>
      <c r="M153"/>
      <c r="N153"/>
      <c r="O153"/>
      <c r="P153"/>
      <c r="Q153"/>
    </row>
    <row r="154" spans="10:17" x14ac:dyDescent="0.25">
      <c r="J154"/>
      <c r="K154"/>
      <c r="L154"/>
      <c r="M154"/>
      <c r="N154"/>
      <c r="O154"/>
      <c r="P154"/>
      <c r="Q154"/>
    </row>
    <row r="155" spans="10:17" x14ac:dyDescent="0.25">
      <c r="J155"/>
      <c r="K155"/>
      <c r="L155"/>
      <c r="M155"/>
      <c r="N155"/>
      <c r="O155"/>
      <c r="P155"/>
      <c r="Q155"/>
    </row>
    <row r="156" spans="10:17" x14ac:dyDescent="0.25">
      <c r="J156"/>
      <c r="K156"/>
      <c r="L156"/>
      <c r="M156"/>
      <c r="N156"/>
      <c r="O156"/>
      <c r="P156"/>
      <c r="Q156"/>
    </row>
    <row r="157" spans="10:17" x14ac:dyDescent="0.25">
      <c r="J157"/>
      <c r="K157"/>
      <c r="L157"/>
      <c r="M157"/>
      <c r="N157"/>
      <c r="O157"/>
      <c r="P157"/>
      <c r="Q157"/>
    </row>
    <row r="158" spans="10:17" x14ac:dyDescent="0.25">
      <c r="J158"/>
      <c r="K158"/>
      <c r="L158"/>
      <c r="M158"/>
      <c r="N158"/>
      <c r="O158"/>
      <c r="P158"/>
      <c r="Q158"/>
    </row>
    <row r="159" spans="10:17" x14ac:dyDescent="0.25">
      <c r="J159"/>
      <c r="K159"/>
      <c r="L159"/>
      <c r="M159"/>
      <c r="N159"/>
      <c r="O159"/>
      <c r="P159"/>
      <c r="Q159"/>
    </row>
    <row r="160" spans="10:17" x14ac:dyDescent="0.25">
      <c r="J160"/>
      <c r="K160"/>
      <c r="L160"/>
      <c r="M160"/>
      <c r="N160"/>
      <c r="O160"/>
      <c r="P160"/>
      <c r="Q160"/>
    </row>
    <row r="161" spans="10:17" x14ac:dyDescent="0.25">
      <c r="J161"/>
      <c r="K161"/>
      <c r="L161"/>
      <c r="M161"/>
      <c r="N161"/>
      <c r="O161"/>
      <c r="P161"/>
      <c r="Q161"/>
    </row>
    <row r="162" spans="10:17" x14ac:dyDescent="0.25">
      <c r="J162"/>
      <c r="K162"/>
      <c r="L162"/>
      <c r="M162"/>
      <c r="N162"/>
      <c r="O162"/>
      <c r="P162"/>
      <c r="Q162"/>
    </row>
    <row r="163" spans="10:17" x14ac:dyDescent="0.25">
      <c r="J163"/>
      <c r="K163"/>
      <c r="L163"/>
      <c r="M163"/>
      <c r="N163"/>
      <c r="O163"/>
      <c r="P163"/>
      <c r="Q163"/>
    </row>
    <row r="164" spans="10:17" x14ac:dyDescent="0.25">
      <c r="J164"/>
      <c r="K164"/>
      <c r="L164"/>
      <c r="M164"/>
      <c r="N164"/>
      <c r="O164"/>
      <c r="P164"/>
      <c r="Q164"/>
    </row>
    <row r="165" spans="10:17" x14ac:dyDescent="0.25">
      <c r="J165"/>
      <c r="K165"/>
      <c r="L165"/>
      <c r="M165"/>
      <c r="N165"/>
      <c r="O165"/>
      <c r="P165"/>
      <c r="Q165"/>
    </row>
    <row r="166" spans="10:17" x14ac:dyDescent="0.25">
      <c r="J166"/>
      <c r="K166"/>
      <c r="L166"/>
      <c r="M166"/>
      <c r="N166"/>
      <c r="O166"/>
      <c r="P166"/>
      <c r="Q166"/>
    </row>
    <row r="167" spans="10:17" x14ac:dyDescent="0.25">
      <c r="J167"/>
      <c r="K167"/>
      <c r="L167"/>
      <c r="M167"/>
      <c r="N167"/>
      <c r="O167"/>
      <c r="P167"/>
      <c r="Q167"/>
    </row>
    <row r="168" spans="10:17" x14ac:dyDescent="0.25">
      <c r="J168"/>
      <c r="K168"/>
      <c r="L168"/>
      <c r="M168"/>
      <c r="N168"/>
      <c r="O168"/>
      <c r="P168"/>
      <c r="Q168"/>
    </row>
    <row r="169" spans="10:17" x14ac:dyDescent="0.25">
      <c r="J169"/>
      <c r="K169"/>
      <c r="L169"/>
      <c r="M169"/>
      <c r="N169"/>
      <c r="O169"/>
      <c r="P169"/>
      <c r="Q169"/>
    </row>
    <row r="170" spans="10:17" x14ac:dyDescent="0.25">
      <c r="J170"/>
      <c r="K170"/>
      <c r="L170"/>
      <c r="M170"/>
      <c r="N170"/>
      <c r="O170"/>
      <c r="P170"/>
      <c r="Q170"/>
    </row>
    <row r="171" spans="10:17" x14ac:dyDescent="0.25">
      <c r="J171"/>
      <c r="K171"/>
      <c r="L171"/>
      <c r="M171"/>
      <c r="N171"/>
      <c r="O171"/>
      <c r="P171"/>
      <c r="Q171"/>
    </row>
    <row r="172" spans="10:17" x14ac:dyDescent="0.25">
      <c r="J172"/>
      <c r="K172"/>
      <c r="L172"/>
      <c r="M172"/>
      <c r="N172"/>
      <c r="O172"/>
      <c r="P172"/>
      <c r="Q172"/>
    </row>
    <row r="173" spans="10:17" x14ac:dyDescent="0.25">
      <c r="J173"/>
      <c r="K173"/>
      <c r="L173"/>
      <c r="M173"/>
      <c r="N173"/>
      <c r="O173"/>
      <c r="P173"/>
      <c r="Q173"/>
    </row>
    <row r="174" spans="10:17" x14ac:dyDescent="0.25">
      <c r="J174"/>
      <c r="K174"/>
      <c r="L174"/>
      <c r="M174"/>
      <c r="N174"/>
      <c r="O174"/>
      <c r="P174"/>
      <c r="Q174"/>
    </row>
    <row r="175" spans="10:17" x14ac:dyDescent="0.25">
      <c r="J175"/>
      <c r="K175"/>
      <c r="L175"/>
      <c r="M175"/>
      <c r="N175"/>
      <c r="O175"/>
      <c r="P175"/>
      <c r="Q175"/>
    </row>
    <row r="176" spans="10:17" x14ac:dyDescent="0.25">
      <c r="J176"/>
      <c r="K176"/>
      <c r="L176"/>
      <c r="M176"/>
      <c r="N176"/>
      <c r="O176"/>
      <c r="P176"/>
      <c r="Q176"/>
    </row>
    <row r="177" spans="10:17" x14ac:dyDescent="0.25">
      <c r="J177"/>
      <c r="K177"/>
      <c r="L177"/>
      <c r="M177"/>
      <c r="N177"/>
      <c r="O177"/>
      <c r="P177"/>
      <c r="Q177"/>
    </row>
    <row r="178" spans="10:17" x14ac:dyDescent="0.25">
      <c r="J178"/>
      <c r="K178"/>
      <c r="L178"/>
      <c r="M178"/>
      <c r="N178"/>
      <c r="O178"/>
      <c r="P178"/>
      <c r="Q178"/>
    </row>
    <row r="179" spans="10:17" x14ac:dyDescent="0.25">
      <c r="J179"/>
      <c r="K179"/>
      <c r="L179"/>
      <c r="M179"/>
      <c r="N179"/>
      <c r="O179"/>
      <c r="P179"/>
      <c r="Q179"/>
    </row>
    <row r="180" spans="10:17" x14ac:dyDescent="0.25">
      <c r="J180"/>
      <c r="K180"/>
      <c r="L180"/>
      <c r="M180"/>
      <c r="N180"/>
      <c r="O180"/>
      <c r="P180"/>
      <c r="Q180"/>
    </row>
    <row r="181" spans="10:17" x14ac:dyDescent="0.25">
      <c r="J181"/>
      <c r="K181"/>
      <c r="L181"/>
      <c r="M181"/>
      <c r="N181"/>
      <c r="O181"/>
      <c r="P181"/>
      <c r="Q181"/>
    </row>
    <row r="182" spans="10:17" x14ac:dyDescent="0.25">
      <c r="J182"/>
      <c r="K182"/>
      <c r="L182"/>
      <c r="M182"/>
      <c r="N182"/>
      <c r="O182"/>
      <c r="P182"/>
      <c r="Q182"/>
    </row>
    <row r="183" spans="10:17" x14ac:dyDescent="0.25">
      <c r="J183"/>
      <c r="K183"/>
      <c r="L183"/>
      <c r="M183"/>
      <c r="N183"/>
      <c r="O183"/>
      <c r="P183"/>
      <c r="Q183"/>
    </row>
    <row r="184" spans="10:17" x14ac:dyDescent="0.25">
      <c r="J184"/>
      <c r="K184"/>
      <c r="L184"/>
      <c r="M184"/>
      <c r="N184"/>
      <c r="O184"/>
      <c r="P184"/>
      <c r="Q184"/>
    </row>
    <row r="185" spans="10:17" x14ac:dyDescent="0.25">
      <c r="J185"/>
      <c r="K185"/>
      <c r="L185"/>
      <c r="M185"/>
      <c r="N185"/>
      <c r="O185"/>
      <c r="P185"/>
      <c r="Q185"/>
    </row>
    <row r="186" spans="10:17" x14ac:dyDescent="0.25">
      <c r="J186"/>
      <c r="K186"/>
      <c r="L186"/>
      <c r="M186"/>
      <c r="N186"/>
      <c r="O186"/>
      <c r="P186"/>
      <c r="Q186"/>
    </row>
    <row r="187" spans="10:17" x14ac:dyDescent="0.25">
      <c r="J187"/>
      <c r="K187"/>
      <c r="L187"/>
      <c r="M187"/>
      <c r="N187"/>
      <c r="O187"/>
      <c r="P187"/>
      <c r="Q187"/>
    </row>
    <row r="188" spans="10:17" x14ac:dyDescent="0.25">
      <c r="J188"/>
      <c r="K188"/>
      <c r="L188"/>
      <c r="M188"/>
      <c r="N188"/>
      <c r="O188"/>
      <c r="P188"/>
      <c r="Q188"/>
    </row>
    <row r="189" spans="10:17" x14ac:dyDescent="0.25">
      <c r="J189"/>
      <c r="K189"/>
      <c r="L189"/>
      <c r="M189"/>
      <c r="N189"/>
      <c r="O189"/>
      <c r="P189"/>
      <c r="Q189"/>
    </row>
    <row r="190" spans="10:17" x14ac:dyDescent="0.25">
      <c r="J190"/>
      <c r="K190"/>
      <c r="L190"/>
      <c r="M190"/>
      <c r="N190"/>
      <c r="O190"/>
      <c r="P190"/>
      <c r="Q190"/>
    </row>
    <row r="191" spans="10:17" x14ac:dyDescent="0.25">
      <c r="J191"/>
      <c r="K191"/>
      <c r="L191"/>
      <c r="M191"/>
      <c r="N191"/>
      <c r="O191"/>
      <c r="P191"/>
      <c r="Q191"/>
    </row>
    <row r="192" spans="10:17" x14ac:dyDescent="0.25">
      <c r="J192"/>
      <c r="K192"/>
      <c r="L192"/>
      <c r="M192"/>
      <c r="N192"/>
      <c r="O192"/>
      <c r="P192"/>
      <c r="Q192"/>
    </row>
    <row r="193" spans="10:17" x14ac:dyDescent="0.25">
      <c r="J193"/>
      <c r="K193"/>
      <c r="L193"/>
      <c r="M193"/>
      <c r="N193"/>
      <c r="O193"/>
      <c r="P193"/>
      <c r="Q193"/>
    </row>
    <row r="194" spans="10:17" x14ac:dyDescent="0.25">
      <c r="J194"/>
      <c r="K194"/>
      <c r="L194"/>
      <c r="M194"/>
      <c r="N194"/>
      <c r="O194"/>
      <c r="P194"/>
      <c r="Q194"/>
    </row>
    <row r="195" spans="10:17" x14ac:dyDescent="0.25">
      <c r="J195"/>
      <c r="K195"/>
      <c r="L195"/>
      <c r="M195"/>
      <c r="N195"/>
      <c r="O195"/>
      <c r="P195"/>
      <c r="Q195"/>
    </row>
    <row r="196" spans="10:17" x14ac:dyDescent="0.25">
      <c r="J196"/>
      <c r="K196"/>
      <c r="L196"/>
      <c r="M196"/>
      <c r="N196"/>
      <c r="O196"/>
      <c r="P196"/>
      <c r="Q196"/>
    </row>
    <row r="197" spans="10:17" x14ac:dyDescent="0.25">
      <c r="J197"/>
      <c r="K197"/>
      <c r="L197"/>
      <c r="M197"/>
      <c r="N197"/>
      <c r="O197"/>
      <c r="P197"/>
      <c r="Q197"/>
    </row>
    <row r="198" spans="10:17" x14ac:dyDescent="0.25">
      <c r="J198"/>
      <c r="K198"/>
      <c r="L198"/>
      <c r="M198"/>
      <c r="N198"/>
      <c r="O198"/>
      <c r="P198"/>
      <c r="Q198"/>
    </row>
    <row r="199" spans="10:17" x14ac:dyDescent="0.25">
      <c r="J199"/>
      <c r="K199"/>
      <c r="L199"/>
      <c r="M199"/>
      <c r="N199"/>
      <c r="O199"/>
      <c r="P199"/>
      <c r="Q199"/>
    </row>
    <row r="200" spans="10:17" x14ac:dyDescent="0.25">
      <c r="J200"/>
      <c r="K200"/>
      <c r="L200"/>
      <c r="M200"/>
      <c r="N200"/>
      <c r="O200"/>
      <c r="P200"/>
      <c r="Q200"/>
    </row>
    <row r="201" spans="10:17" x14ac:dyDescent="0.25">
      <c r="J201"/>
      <c r="K201"/>
      <c r="L201"/>
      <c r="M201"/>
      <c r="N201"/>
      <c r="O201"/>
      <c r="P201"/>
      <c r="Q201"/>
    </row>
    <row r="202" spans="10:17" x14ac:dyDescent="0.25">
      <c r="J202"/>
      <c r="K202"/>
      <c r="L202"/>
      <c r="M202"/>
      <c r="N202"/>
      <c r="O202"/>
      <c r="P202"/>
      <c r="Q202"/>
    </row>
    <row r="203" spans="10:17" x14ac:dyDescent="0.25">
      <c r="J203"/>
      <c r="K203"/>
      <c r="L203"/>
      <c r="M203"/>
      <c r="N203"/>
      <c r="O203"/>
      <c r="P203"/>
      <c r="Q203"/>
    </row>
    <row r="204" spans="10:17" x14ac:dyDescent="0.25">
      <c r="J204"/>
      <c r="K204"/>
      <c r="L204"/>
      <c r="M204"/>
      <c r="N204"/>
      <c r="O204"/>
      <c r="P204"/>
      <c r="Q204"/>
    </row>
    <row r="205" spans="10:17" x14ac:dyDescent="0.25">
      <c r="J205"/>
      <c r="K205"/>
      <c r="L205"/>
      <c r="M205"/>
      <c r="N205"/>
      <c r="O205"/>
      <c r="P205"/>
      <c r="Q205"/>
    </row>
    <row r="206" spans="10:17" x14ac:dyDescent="0.25">
      <c r="J206"/>
      <c r="K206"/>
      <c r="L206"/>
      <c r="M206"/>
      <c r="N206"/>
      <c r="O206"/>
      <c r="P206"/>
      <c r="Q206"/>
    </row>
    <row r="207" spans="10:17" x14ac:dyDescent="0.25">
      <c r="J207"/>
      <c r="K207"/>
      <c r="L207"/>
      <c r="M207"/>
      <c r="N207"/>
      <c r="O207"/>
      <c r="P207"/>
      <c r="Q207"/>
    </row>
    <row r="208" spans="10:17" x14ac:dyDescent="0.25">
      <c r="J208"/>
      <c r="K208"/>
      <c r="L208"/>
      <c r="M208"/>
      <c r="N208"/>
      <c r="O208"/>
      <c r="P208"/>
      <c r="Q208"/>
    </row>
    <row r="209" spans="10:17" x14ac:dyDescent="0.25">
      <c r="J209"/>
      <c r="K209"/>
      <c r="L209"/>
      <c r="M209"/>
      <c r="N209"/>
      <c r="O209"/>
      <c r="P209"/>
      <c r="Q209"/>
    </row>
    <row r="210" spans="10:17" x14ac:dyDescent="0.25">
      <c r="J210"/>
      <c r="K210"/>
      <c r="L210"/>
      <c r="M210"/>
      <c r="N210"/>
      <c r="O210"/>
      <c r="P210"/>
      <c r="Q210"/>
    </row>
    <row r="211" spans="10:17" x14ac:dyDescent="0.25">
      <c r="J211"/>
      <c r="K211"/>
      <c r="L211"/>
      <c r="M211"/>
      <c r="N211"/>
      <c r="O211"/>
      <c r="P211"/>
      <c r="Q211"/>
    </row>
    <row r="212" spans="10:17" x14ac:dyDescent="0.25">
      <c r="J212"/>
      <c r="K212"/>
      <c r="L212"/>
      <c r="M212"/>
      <c r="N212"/>
      <c r="O212"/>
      <c r="P212"/>
      <c r="Q212"/>
    </row>
    <row r="213" spans="10:17" x14ac:dyDescent="0.25">
      <c r="J213"/>
      <c r="K213"/>
      <c r="L213"/>
      <c r="M213"/>
      <c r="N213"/>
      <c r="O213"/>
      <c r="P213"/>
      <c r="Q213"/>
    </row>
    <row r="214" spans="10:17" x14ac:dyDescent="0.25">
      <c r="J214"/>
      <c r="K214"/>
      <c r="L214"/>
      <c r="M214"/>
      <c r="N214"/>
      <c r="O214"/>
      <c r="P214"/>
      <c r="Q214"/>
    </row>
    <row r="215" spans="10:17" x14ac:dyDescent="0.25">
      <c r="J215"/>
      <c r="K215"/>
      <c r="L215"/>
      <c r="M215"/>
      <c r="N215"/>
      <c r="O215"/>
      <c r="P215"/>
      <c r="Q215"/>
    </row>
    <row r="216" spans="10:17" x14ac:dyDescent="0.25">
      <c r="J216"/>
      <c r="K216"/>
      <c r="L216"/>
      <c r="M216"/>
      <c r="N216"/>
      <c r="O216"/>
      <c r="P216"/>
      <c r="Q216"/>
    </row>
    <row r="217" spans="10:17" x14ac:dyDescent="0.25">
      <c r="J217"/>
      <c r="K217"/>
      <c r="L217"/>
      <c r="M217"/>
      <c r="N217"/>
      <c r="O217"/>
      <c r="P217"/>
      <c r="Q217"/>
    </row>
    <row r="218" spans="10:17" x14ac:dyDescent="0.25">
      <c r="J218"/>
      <c r="K218"/>
      <c r="L218"/>
      <c r="M218"/>
      <c r="N218"/>
      <c r="O218"/>
      <c r="P218"/>
      <c r="Q218"/>
    </row>
    <row r="219" spans="10:17" x14ac:dyDescent="0.25">
      <c r="J219"/>
      <c r="K219"/>
      <c r="L219"/>
      <c r="M219"/>
      <c r="N219"/>
      <c r="O219"/>
      <c r="P219"/>
      <c r="Q219"/>
    </row>
    <row r="220" spans="10:17" x14ac:dyDescent="0.25">
      <c r="J220"/>
      <c r="K220"/>
      <c r="L220"/>
      <c r="M220"/>
      <c r="N220"/>
      <c r="O220"/>
      <c r="P220"/>
      <c r="Q220"/>
    </row>
    <row r="221" spans="10:17" x14ac:dyDescent="0.25">
      <c r="J221"/>
      <c r="K221"/>
      <c r="L221"/>
      <c r="M221"/>
      <c r="N221"/>
      <c r="O221"/>
      <c r="P221"/>
      <c r="Q221"/>
    </row>
    <row r="222" spans="10:17" x14ac:dyDescent="0.25">
      <c r="J222"/>
      <c r="K222"/>
      <c r="L222"/>
      <c r="M222"/>
      <c r="N222"/>
      <c r="O222"/>
      <c r="P222"/>
      <c r="Q222"/>
    </row>
    <row r="223" spans="10:17" x14ac:dyDescent="0.25">
      <c r="J223"/>
      <c r="K223"/>
      <c r="L223"/>
      <c r="M223"/>
      <c r="N223"/>
      <c r="O223"/>
      <c r="P223"/>
      <c r="Q223"/>
    </row>
    <row r="224" spans="10:17" x14ac:dyDescent="0.25">
      <c r="J224"/>
      <c r="K224"/>
      <c r="L224"/>
      <c r="M224"/>
      <c r="N224"/>
      <c r="O224"/>
      <c r="P224"/>
      <c r="Q224"/>
    </row>
    <row r="225" spans="10:17" x14ac:dyDescent="0.25">
      <c r="J225"/>
      <c r="K225"/>
      <c r="L225"/>
      <c r="M225"/>
      <c r="N225"/>
      <c r="O225"/>
      <c r="P225"/>
      <c r="Q225"/>
    </row>
    <row r="226" spans="10:17" x14ac:dyDescent="0.25">
      <c r="J226"/>
      <c r="K226"/>
      <c r="L226"/>
      <c r="M226"/>
      <c r="N226"/>
      <c r="O226"/>
      <c r="P226"/>
      <c r="Q226"/>
    </row>
    <row r="227" spans="10:17" x14ac:dyDescent="0.25">
      <c r="J227"/>
      <c r="K227"/>
      <c r="L227"/>
      <c r="M227"/>
      <c r="N227"/>
      <c r="O227"/>
      <c r="P227"/>
      <c r="Q227"/>
    </row>
    <row r="228" spans="10:17" x14ac:dyDescent="0.25">
      <c r="J228"/>
      <c r="K228"/>
      <c r="L228"/>
      <c r="M228"/>
      <c r="N228"/>
      <c r="O228"/>
      <c r="P228"/>
      <c r="Q228"/>
    </row>
    <row r="229" spans="10:17" x14ac:dyDescent="0.25">
      <c r="J229"/>
      <c r="K229"/>
      <c r="L229"/>
      <c r="M229"/>
      <c r="N229"/>
      <c r="O229"/>
      <c r="P229"/>
      <c r="Q229"/>
    </row>
    <row r="230" spans="10:17" x14ac:dyDescent="0.25">
      <c r="J230"/>
      <c r="K230"/>
      <c r="L230"/>
      <c r="M230"/>
      <c r="N230"/>
      <c r="O230"/>
      <c r="P230"/>
      <c r="Q230"/>
    </row>
    <row r="231" spans="10:17" x14ac:dyDescent="0.25">
      <c r="J231"/>
      <c r="K231"/>
      <c r="L231"/>
      <c r="M231"/>
      <c r="N231"/>
      <c r="O231"/>
      <c r="P231"/>
      <c r="Q231"/>
    </row>
    <row r="232" spans="10:17" x14ac:dyDescent="0.25">
      <c r="J232"/>
      <c r="K232"/>
      <c r="L232"/>
      <c r="M232"/>
      <c r="N232"/>
      <c r="O232"/>
      <c r="P232"/>
      <c r="Q232"/>
    </row>
    <row r="233" spans="10:17" x14ac:dyDescent="0.25">
      <c r="J233"/>
      <c r="K233"/>
      <c r="L233"/>
      <c r="M233"/>
      <c r="N233"/>
      <c r="O233"/>
      <c r="P233"/>
      <c r="Q233"/>
    </row>
    <row r="234" spans="10:17" x14ac:dyDescent="0.25">
      <c r="J234"/>
      <c r="K234"/>
      <c r="L234"/>
      <c r="M234"/>
      <c r="N234"/>
      <c r="O234"/>
      <c r="P234"/>
      <c r="Q234"/>
    </row>
    <row r="235" spans="10:17" x14ac:dyDescent="0.25">
      <c r="J235"/>
      <c r="K235"/>
      <c r="L235"/>
      <c r="M235"/>
      <c r="N235"/>
      <c r="O235"/>
      <c r="P235"/>
      <c r="Q235"/>
    </row>
    <row r="236" spans="10:17" x14ac:dyDescent="0.25">
      <c r="J236"/>
      <c r="K236"/>
      <c r="L236"/>
      <c r="M236"/>
      <c r="N236"/>
      <c r="O236"/>
      <c r="P236"/>
      <c r="Q236"/>
    </row>
    <row r="237" spans="10:17" x14ac:dyDescent="0.25">
      <c r="J237"/>
      <c r="K237"/>
      <c r="L237"/>
      <c r="M237"/>
      <c r="N237"/>
      <c r="O237"/>
      <c r="P237"/>
      <c r="Q237"/>
    </row>
    <row r="238" spans="10:17" x14ac:dyDescent="0.25">
      <c r="J238"/>
      <c r="K238"/>
      <c r="L238"/>
      <c r="M238"/>
      <c r="N238"/>
      <c r="O238"/>
      <c r="P238"/>
      <c r="Q238"/>
    </row>
    <row r="239" spans="10:17" x14ac:dyDescent="0.25">
      <c r="J239"/>
      <c r="K239"/>
      <c r="L239"/>
      <c r="M239"/>
      <c r="N239"/>
      <c r="O239"/>
      <c r="P239"/>
      <c r="Q239"/>
    </row>
    <row r="240" spans="10:17" x14ac:dyDescent="0.25">
      <c r="J240"/>
      <c r="K240"/>
      <c r="L240"/>
      <c r="M240"/>
      <c r="N240"/>
      <c r="O240"/>
      <c r="P240"/>
      <c r="Q240"/>
    </row>
    <row r="241" spans="10:17" x14ac:dyDescent="0.25">
      <c r="J241"/>
      <c r="K241"/>
      <c r="L241"/>
      <c r="M241"/>
      <c r="N241"/>
      <c r="O241"/>
      <c r="P241"/>
      <c r="Q241"/>
    </row>
    <row r="242" spans="10:17" x14ac:dyDescent="0.25">
      <c r="J242"/>
      <c r="K242"/>
      <c r="L242"/>
      <c r="M242"/>
      <c r="N242"/>
      <c r="O242"/>
      <c r="P242"/>
      <c r="Q242"/>
    </row>
    <row r="243" spans="10:17" x14ac:dyDescent="0.25">
      <c r="J243"/>
      <c r="K243"/>
      <c r="L243"/>
      <c r="M243"/>
      <c r="N243"/>
      <c r="O243"/>
      <c r="P243"/>
      <c r="Q243"/>
    </row>
    <row r="244" spans="10:17" x14ac:dyDescent="0.25">
      <c r="J244"/>
      <c r="K244"/>
      <c r="L244"/>
      <c r="M244"/>
      <c r="N244"/>
      <c r="O244"/>
      <c r="P244"/>
      <c r="Q244"/>
    </row>
    <row r="245" spans="10:17" x14ac:dyDescent="0.25">
      <c r="J245"/>
      <c r="K245"/>
      <c r="L245"/>
      <c r="M245"/>
      <c r="N245"/>
      <c r="O245"/>
      <c r="P245"/>
      <c r="Q245"/>
    </row>
    <row r="246" spans="10:17" x14ac:dyDescent="0.25">
      <c r="J246"/>
      <c r="K246"/>
      <c r="L246"/>
      <c r="M246"/>
      <c r="N246"/>
      <c r="O246"/>
      <c r="P246"/>
      <c r="Q246"/>
    </row>
    <row r="247" spans="10:17" x14ac:dyDescent="0.25">
      <c r="J247"/>
      <c r="K247"/>
      <c r="L247"/>
      <c r="M247"/>
      <c r="N247"/>
      <c r="O247"/>
      <c r="P247"/>
      <c r="Q247"/>
    </row>
    <row r="248" spans="10:17" x14ac:dyDescent="0.25">
      <c r="J248"/>
      <c r="K248"/>
      <c r="L248"/>
      <c r="M248"/>
      <c r="N248"/>
      <c r="O248"/>
      <c r="P248"/>
      <c r="Q248"/>
    </row>
    <row r="249" spans="10:17" x14ac:dyDescent="0.25">
      <c r="J249"/>
      <c r="K249"/>
      <c r="L249"/>
      <c r="M249"/>
      <c r="N249"/>
      <c r="O249"/>
      <c r="P249"/>
      <c r="Q249"/>
    </row>
    <row r="250" spans="10:17" x14ac:dyDescent="0.25">
      <c r="J250"/>
      <c r="K250"/>
      <c r="L250"/>
      <c r="M250"/>
      <c r="N250"/>
      <c r="O250"/>
      <c r="P250"/>
      <c r="Q250"/>
    </row>
    <row r="251" spans="10:17" x14ac:dyDescent="0.25">
      <c r="J251"/>
      <c r="K251"/>
      <c r="L251"/>
      <c r="M251"/>
      <c r="N251"/>
      <c r="O251"/>
      <c r="P251"/>
      <c r="Q251"/>
    </row>
    <row r="252" spans="10:17" x14ac:dyDescent="0.25">
      <c r="J252"/>
      <c r="K252"/>
      <c r="L252"/>
      <c r="M252"/>
      <c r="N252"/>
      <c r="O252"/>
      <c r="P252"/>
      <c r="Q252"/>
    </row>
    <row r="253" spans="10:17" x14ac:dyDescent="0.25">
      <c r="J253"/>
      <c r="K253"/>
      <c r="L253"/>
      <c r="M253"/>
      <c r="N253"/>
      <c r="O253"/>
      <c r="P253"/>
      <c r="Q253"/>
    </row>
    <row r="254" spans="10:17" x14ac:dyDescent="0.25">
      <c r="J254"/>
      <c r="K254"/>
      <c r="L254"/>
      <c r="M254"/>
      <c r="N254"/>
      <c r="O254"/>
      <c r="P254"/>
      <c r="Q254"/>
    </row>
    <row r="255" spans="10:17" x14ac:dyDescent="0.25">
      <c r="J255"/>
      <c r="K255"/>
      <c r="L255"/>
      <c r="M255"/>
      <c r="N255"/>
      <c r="O255"/>
      <c r="P255"/>
      <c r="Q255"/>
    </row>
    <row r="256" spans="10:17" x14ac:dyDescent="0.25">
      <c r="J256"/>
      <c r="K256"/>
      <c r="L256"/>
      <c r="M256"/>
      <c r="N256"/>
      <c r="O256"/>
      <c r="P256"/>
      <c r="Q256"/>
    </row>
    <row r="257" spans="10:17" x14ac:dyDescent="0.25">
      <c r="J257"/>
      <c r="K257"/>
      <c r="L257"/>
      <c r="M257"/>
      <c r="N257"/>
      <c r="O257"/>
      <c r="P257"/>
      <c r="Q257"/>
    </row>
    <row r="258" spans="10:17" x14ac:dyDescent="0.25">
      <c r="J258"/>
      <c r="K258"/>
      <c r="L258"/>
      <c r="M258"/>
      <c r="N258"/>
      <c r="O258"/>
      <c r="P258"/>
      <c r="Q258"/>
    </row>
    <row r="259" spans="10:17" x14ac:dyDescent="0.25">
      <c r="J259"/>
      <c r="K259"/>
      <c r="L259"/>
      <c r="M259"/>
      <c r="N259"/>
      <c r="O259"/>
      <c r="P259"/>
      <c r="Q259"/>
    </row>
    <row r="260" spans="10:17" x14ac:dyDescent="0.25">
      <c r="J260"/>
      <c r="K260"/>
      <c r="L260"/>
      <c r="M260"/>
      <c r="N260"/>
      <c r="O260"/>
      <c r="P260"/>
      <c r="Q260"/>
    </row>
    <row r="261" spans="10:17" x14ac:dyDescent="0.25">
      <c r="J261"/>
      <c r="K261"/>
      <c r="L261"/>
      <c r="M261"/>
      <c r="N261"/>
      <c r="O261"/>
      <c r="P261"/>
      <c r="Q261"/>
    </row>
    <row r="262" spans="10:17" x14ac:dyDescent="0.25">
      <c r="J262"/>
      <c r="K262"/>
      <c r="L262"/>
      <c r="M262"/>
      <c r="N262"/>
      <c r="O262"/>
      <c r="P262"/>
      <c r="Q262"/>
    </row>
    <row r="263" spans="10:17" x14ac:dyDescent="0.25">
      <c r="J263"/>
      <c r="K263"/>
      <c r="L263"/>
      <c r="M263"/>
      <c r="N263"/>
      <c r="O263"/>
      <c r="P263"/>
      <c r="Q263"/>
    </row>
    <row r="264" spans="10:17" x14ac:dyDescent="0.25">
      <c r="J264"/>
      <c r="K264"/>
      <c r="L264"/>
      <c r="M264"/>
      <c r="N264"/>
      <c r="O264"/>
      <c r="P264"/>
      <c r="Q264"/>
    </row>
    <row r="265" spans="10:17" x14ac:dyDescent="0.25">
      <c r="J265"/>
      <c r="K265"/>
      <c r="L265"/>
      <c r="M265"/>
      <c r="N265"/>
      <c r="O265"/>
      <c r="P265"/>
      <c r="Q265"/>
    </row>
    <row r="266" spans="10:17" x14ac:dyDescent="0.25">
      <c r="J266"/>
      <c r="K266"/>
      <c r="L266"/>
      <c r="M266"/>
      <c r="N266"/>
      <c r="O266"/>
      <c r="P266"/>
      <c r="Q266"/>
    </row>
    <row r="267" spans="10:17" x14ac:dyDescent="0.25">
      <c r="J267"/>
      <c r="K267"/>
      <c r="L267"/>
      <c r="M267"/>
      <c r="N267"/>
      <c r="O267"/>
      <c r="P267"/>
      <c r="Q267"/>
    </row>
    <row r="268" spans="10:17" x14ac:dyDescent="0.25">
      <c r="J268"/>
      <c r="K268"/>
      <c r="L268"/>
      <c r="M268"/>
      <c r="N268"/>
      <c r="O268"/>
      <c r="P268"/>
      <c r="Q268"/>
    </row>
    <row r="269" spans="10:17" x14ac:dyDescent="0.25">
      <c r="J269"/>
      <c r="K269"/>
      <c r="L269"/>
      <c r="M269"/>
      <c r="N269"/>
      <c r="O269"/>
      <c r="P269"/>
      <c r="Q269"/>
    </row>
    <row r="270" spans="10:17" x14ac:dyDescent="0.25">
      <c r="J270"/>
      <c r="K270"/>
      <c r="L270"/>
      <c r="M270"/>
      <c r="N270"/>
      <c r="O270"/>
      <c r="P270"/>
      <c r="Q270"/>
    </row>
    <row r="271" spans="10:17" x14ac:dyDescent="0.25">
      <c r="J271"/>
      <c r="K271"/>
      <c r="L271"/>
      <c r="M271"/>
      <c r="N271"/>
      <c r="O271"/>
      <c r="P271"/>
      <c r="Q271"/>
    </row>
    <row r="272" spans="10:17" x14ac:dyDescent="0.25">
      <c r="J272"/>
      <c r="K272"/>
      <c r="L272"/>
      <c r="M272"/>
      <c r="N272"/>
      <c r="O272"/>
      <c r="P272"/>
      <c r="Q272"/>
    </row>
    <row r="273" spans="10:17" x14ac:dyDescent="0.25">
      <c r="J273"/>
      <c r="K273"/>
      <c r="L273"/>
      <c r="M273"/>
      <c r="N273"/>
      <c r="O273"/>
      <c r="P273"/>
      <c r="Q273"/>
    </row>
    <row r="274" spans="10:17" x14ac:dyDescent="0.25">
      <c r="J274"/>
      <c r="K274"/>
      <c r="L274"/>
      <c r="M274"/>
      <c r="N274"/>
      <c r="O274"/>
      <c r="P274"/>
      <c r="Q274"/>
    </row>
    <row r="275" spans="10:17" x14ac:dyDescent="0.25">
      <c r="J275"/>
      <c r="K275"/>
      <c r="L275"/>
      <c r="M275"/>
      <c r="N275"/>
      <c r="O275"/>
      <c r="P275"/>
      <c r="Q275"/>
    </row>
    <row r="276" spans="10:17" x14ac:dyDescent="0.25">
      <c r="J276"/>
      <c r="K276"/>
      <c r="L276"/>
      <c r="M276"/>
      <c r="N276"/>
      <c r="O276"/>
      <c r="P276"/>
      <c r="Q276"/>
    </row>
    <row r="277" spans="10:17" x14ac:dyDescent="0.25">
      <c r="J277"/>
      <c r="K277"/>
      <c r="L277"/>
      <c r="M277"/>
      <c r="N277"/>
      <c r="O277"/>
      <c r="P277"/>
      <c r="Q277"/>
    </row>
    <row r="278" spans="10:17" x14ac:dyDescent="0.25">
      <c r="J278"/>
      <c r="K278"/>
      <c r="L278"/>
      <c r="M278"/>
      <c r="N278"/>
      <c r="O278"/>
      <c r="P278"/>
      <c r="Q278"/>
    </row>
    <row r="279" spans="10:17" x14ac:dyDescent="0.25">
      <c r="J279"/>
      <c r="K279"/>
      <c r="L279"/>
      <c r="M279"/>
      <c r="N279"/>
      <c r="O279"/>
      <c r="P279"/>
      <c r="Q279"/>
    </row>
    <row r="280" spans="10:17" x14ac:dyDescent="0.25">
      <c r="J280"/>
      <c r="K280"/>
      <c r="L280"/>
      <c r="M280"/>
      <c r="N280"/>
      <c r="O280"/>
      <c r="P280"/>
      <c r="Q280"/>
    </row>
    <row r="281" spans="10:17" x14ac:dyDescent="0.25">
      <c r="J281"/>
      <c r="K281"/>
      <c r="L281"/>
      <c r="M281"/>
      <c r="N281"/>
      <c r="O281"/>
      <c r="P281"/>
      <c r="Q281"/>
    </row>
    <row r="282" spans="10:17" x14ac:dyDescent="0.25">
      <c r="J282"/>
      <c r="K282"/>
      <c r="L282"/>
      <c r="M282"/>
      <c r="N282"/>
      <c r="O282"/>
      <c r="P282"/>
      <c r="Q282"/>
    </row>
    <row r="283" spans="10:17" x14ac:dyDescent="0.25">
      <c r="J283"/>
      <c r="K283"/>
      <c r="L283"/>
      <c r="M283"/>
      <c r="N283"/>
      <c r="O283"/>
      <c r="P283"/>
      <c r="Q283"/>
    </row>
    <row r="284" spans="10:17" x14ac:dyDescent="0.25">
      <c r="J284"/>
      <c r="K284"/>
      <c r="L284"/>
      <c r="M284"/>
      <c r="N284"/>
      <c r="O284"/>
      <c r="P284"/>
      <c r="Q284"/>
    </row>
    <row r="285" spans="10:17" x14ac:dyDescent="0.25">
      <c r="J285"/>
      <c r="K285"/>
      <c r="L285"/>
      <c r="M285"/>
      <c r="N285"/>
      <c r="O285"/>
      <c r="P285"/>
      <c r="Q285"/>
    </row>
    <row r="286" spans="10:17" x14ac:dyDescent="0.25">
      <c r="J286"/>
      <c r="K286"/>
      <c r="L286"/>
      <c r="M286"/>
      <c r="N286"/>
      <c r="O286"/>
      <c r="P286"/>
      <c r="Q286"/>
    </row>
    <row r="287" spans="10:17" x14ac:dyDescent="0.25">
      <c r="J287"/>
      <c r="K287"/>
      <c r="L287"/>
      <c r="M287"/>
      <c r="N287"/>
      <c r="O287"/>
      <c r="P287"/>
      <c r="Q287"/>
    </row>
    <row r="288" spans="10:17" x14ac:dyDescent="0.25">
      <c r="J288"/>
      <c r="K288"/>
      <c r="L288"/>
      <c r="M288"/>
      <c r="N288"/>
      <c r="O288"/>
      <c r="P288"/>
      <c r="Q288"/>
    </row>
    <row r="289" spans="10:17" x14ac:dyDescent="0.25">
      <c r="J289"/>
      <c r="K289"/>
      <c r="L289"/>
      <c r="M289"/>
      <c r="N289"/>
      <c r="O289"/>
      <c r="P289"/>
      <c r="Q289"/>
    </row>
    <row r="290" spans="10:17" x14ac:dyDescent="0.25">
      <c r="J290"/>
      <c r="K290"/>
      <c r="L290"/>
      <c r="M290"/>
      <c r="N290"/>
      <c r="O290"/>
      <c r="P290"/>
      <c r="Q290"/>
    </row>
    <row r="291" spans="10:17" x14ac:dyDescent="0.25">
      <c r="J291"/>
      <c r="K291"/>
      <c r="L291"/>
      <c r="M291"/>
      <c r="N291"/>
      <c r="O291"/>
      <c r="P291"/>
      <c r="Q291"/>
    </row>
    <row r="292" spans="10:17" x14ac:dyDescent="0.25">
      <c r="J292"/>
      <c r="K292"/>
      <c r="L292"/>
      <c r="M292"/>
      <c r="N292"/>
      <c r="O292"/>
      <c r="P292"/>
      <c r="Q292"/>
    </row>
    <row r="293" spans="10:17" x14ac:dyDescent="0.25">
      <c r="J293"/>
      <c r="K293"/>
      <c r="L293"/>
      <c r="M293"/>
      <c r="N293"/>
      <c r="O293"/>
      <c r="P293"/>
      <c r="Q293"/>
    </row>
    <row r="294" spans="10:17" x14ac:dyDescent="0.25">
      <c r="J294"/>
      <c r="K294"/>
      <c r="L294"/>
      <c r="M294"/>
      <c r="N294"/>
      <c r="O294"/>
      <c r="P294"/>
      <c r="Q294"/>
    </row>
    <row r="295" spans="10:17" x14ac:dyDescent="0.25">
      <c r="J295"/>
      <c r="K295"/>
      <c r="L295"/>
      <c r="M295"/>
      <c r="N295"/>
      <c r="O295"/>
      <c r="P295"/>
      <c r="Q295"/>
    </row>
    <row r="296" spans="10:17" x14ac:dyDescent="0.25">
      <c r="J296"/>
      <c r="K296"/>
      <c r="L296"/>
      <c r="M296"/>
      <c r="N296"/>
      <c r="O296"/>
      <c r="P296"/>
      <c r="Q296"/>
    </row>
    <row r="297" spans="10:17" x14ac:dyDescent="0.25">
      <c r="J297"/>
      <c r="K297"/>
      <c r="L297"/>
      <c r="M297"/>
      <c r="N297"/>
      <c r="O297"/>
      <c r="P297"/>
      <c r="Q297"/>
    </row>
    <row r="298" spans="10:17" x14ac:dyDescent="0.25">
      <c r="J298"/>
      <c r="K298"/>
      <c r="L298"/>
      <c r="M298"/>
      <c r="N298"/>
      <c r="O298"/>
      <c r="P298"/>
      <c r="Q298"/>
    </row>
    <row r="299" spans="10:17" x14ac:dyDescent="0.25">
      <c r="J299"/>
      <c r="K299"/>
      <c r="L299"/>
      <c r="M299"/>
      <c r="N299"/>
      <c r="O299"/>
      <c r="P299"/>
      <c r="Q299"/>
    </row>
    <row r="300" spans="10:17" x14ac:dyDescent="0.25">
      <c r="J300"/>
      <c r="K300"/>
      <c r="L300"/>
      <c r="M300"/>
      <c r="N300"/>
      <c r="O300"/>
      <c r="P300"/>
      <c r="Q300"/>
    </row>
    <row r="301" spans="10:17" x14ac:dyDescent="0.25">
      <c r="J301"/>
      <c r="K301"/>
      <c r="L301"/>
      <c r="M301"/>
      <c r="N301"/>
      <c r="O301"/>
      <c r="P301"/>
      <c r="Q301"/>
    </row>
    <row r="302" spans="10:17" x14ac:dyDescent="0.25">
      <c r="J302"/>
      <c r="K302"/>
      <c r="L302"/>
      <c r="M302"/>
      <c r="N302"/>
      <c r="O302"/>
      <c r="P302"/>
      <c r="Q302"/>
    </row>
    <row r="303" spans="10:17" x14ac:dyDescent="0.25">
      <c r="J303"/>
      <c r="K303"/>
      <c r="L303"/>
      <c r="M303"/>
      <c r="N303"/>
      <c r="O303"/>
      <c r="P303"/>
      <c r="Q303"/>
    </row>
    <row r="304" spans="10:17" x14ac:dyDescent="0.25">
      <c r="J304"/>
      <c r="K304"/>
      <c r="L304"/>
      <c r="M304"/>
      <c r="N304"/>
      <c r="O304"/>
      <c r="P304"/>
      <c r="Q304"/>
    </row>
    <row r="305" spans="10:17" x14ac:dyDescent="0.25">
      <c r="J305"/>
      <c r="K305"/>
      <c r="L305"/>
      <c r="M305"/>
      <c r="N305"/>
      <c r="O305"/>
      <c r="P305"/>
      <c r="Q305"/>
    </row>
    <row r="306" spans="10:17" x14ac:dyDescent="0.25">
      <c r="J306"/>
      <c r="K306"/>
      <c r="L306"/>
      <c r="M306"/>
      <c r="N306"/>
      <c r="O306"/>
      <c r="P306"/>
      <c r="Q306"/>
    </row>
    <row r="307" spans="10:17" x14ac:dyDescent="0.25">
      <c r="J307"/>
      <c r="K307"/>
      <c r="L307"/>
      <c r="M307"/>
      <c r="N307"/>
      <c r="O307"/>
      <c r="P307"/>
      <c r="Q307"/>
    </row>
    <row r="308" spans="10:17" x14ac:dyDescent="0.25">
      <c r="J308"/>
      <c r="K308"/>
      <c r="L308"/>
      <c r="M308"/>
      <c r="N308"/>
      <c r="O308"/>
      <c r="P308"/>
      <c r="Q308"/>
    </row>
    <row r="309" spans="10:17" x14ac:dyDescent="0.25">
      <c r="J309"/>
      <c r="K309"/>
      <c r="L309"/>
      <c r="M309"/>
      <c r="N309"/>
      <c r="O309"/>
      <c r="P309"/>
      <c r="Q309"/>
    </row>
    <row r="310" spans="10:17" x14ac:dyDescent="0.25">
      <c r="J310"/>
      <c r="K310"/>
      <c r="L310"/>
      <c r="M310"/>
      <c r="N310"/>
      <c r="O310"/>
      <c r="P310"/>
      <c r="Q310"/>
    </row>
    <row r="311" spans="10:17" x14ac:dyDescent="0.25">
      <c r="J311"/>
      <c r="K311"/>
      <c r="L311"/>
      <c r="M311"/>
      <c r="N311"/>
      <c r="O311"/>
      <c r="P311"/>
      <c r="Q311"/>
    </row>
    <row r="312" spans="10:17" x14ac:dyDescent="0.25">
      <c r="J312"/>
      <c r="K312"/>
      <c r="L312"/>
      <c r="M312"/>
      <c r="N312"/>
      <c r="O312"/>
      <c r="P312"/>
      <c r="Q312"/>
    </row>
    <row r="313" spans="10:17" x14ac:dyDescent="0.25">
      <c r="J313"/>
      <c r="K313"/>
      <c r="L313"/>
      <c r="M313"/>
      <c r="N313"/>
      <c r="O313"/>
      <c r="P313"/>
      <c r="Q313"/>
    </row>
    <row r="314" spans="10:17" x14ac:dyDescent="0.25">
      <c r="J314"/>
      <c r="K314"/>
      <c r="L314"/>
      <c r="M314"/>
      <c r="N314"/>
      <c r="O314"/>
      <c r="P314"/>
      <c r="Q314"/>
    </row>
    <row r="315" spans="10:17" x14ac:dyDescent="0.25">
      <c r="J315"/>
      <c r="K315"/>
      <c r="L315"/>
      <c r="M315"/>
      <c r="N315"/>
      <c r="O315"/>
      <c r="P315"/>
      <c r="Q315"/>
    </row>
    <row r="316" spans="10:17" x14ac:dyDescent="0.25">
      <c r="J316"/>
      <c r="K316"/>
      <c r="L316"/>
      <c r="M316"/>
      <c r="N316"/>
      <c r="O316"/>
      <c r="P316"/>
      <c r="Q316"/>
    </row>
    <row r="317" spans="10:17" x14ac:dyDescent="0.25">
      <c r="J317"/>
      <c r="K317"/>
      <c r="L317"/>
      <c r="M317"/>
      <c r="N317"/>
      <c r="O317"/>
      <c r="P317"/>
      <c r="Q317"/>
    </row>
    <row r="318" spans="10:17" x14ac:dyDescent="0.25">
      <c r="J318"/>
      <c r="K318"/>
      <c r="L318"/>
      <c r="M318"/>
      <c r="N318"/>
      <c r="O318"/>
      <c r="P318"/>
      <c r="Q318"/>
    </row>
    <row r="319" spans="10:17" x14ac:dyDescent="0.25">
      <c r="J319"/>
      <c r="K319"/>
      <c r="L319"/>
      <c r="M319"/>
      <c r="N319"/>
      <c r="O319"/>
      <c r="P319"/>
      <c r="Q319"/>
    </row>
    <row r="320" spans="10:17" x14ac:dyDescent="0.25">
      <c r="J320"/>
      <c r="K320"/>
      <c r="L320"/>
      <c r="M320"/>
      <c r="N320"/>
      <c r="O320"/>
      <c r="P320"/>
      <c r="Q320"/>
    </row>
    <row r="321" spans="10:17" x14ac:dyDescent="0.25">
      <c r="J321"/>
      <c r="K321"/>
      <c r="L321"/>
      <c r="M321"/>
      <c r="N321"/>
      <c r="O321"/>
      <c r="P321"/>
      <c r="Q321"/>
    </row>
    <row r="322" spans="10:17" x14ac:dyDescent="0.25">
      <c r="J322"/>
      <c r="K322"/>
      <c r="L322"/>
      <c r="M322"/>
      <c r="N322"/>
      <c r="O322"/>
      <c r="P322"/>
      <c r="Q322"/>
    </row>
    <row r="323" spans="10:17" x14ac:dyDescent="0.25">
      <c r="J323"/>
      <c r="K323"/>
      <c r="L323"/>
      <c r="M323"/>
      <c r="N323"/>
      <c r="O323"/>
      <c r="P323"/>
      <c r="Q323"/>
    </row>
    <row r="324" spans="10:17" x14ac:dyDescent="0.25">
      <c r="J324"/>
      <c r="K324"/>
      <c r="L324"/>
      <c r="M324"/>
      <c r="N324"/>
      <c r="O324"/>
      <c r="P324"/>
      <c r="Q324"/>
    </row>
    <row r="325" spans="10:17" x14ac:dyDescent="0.25">
      <c r="J325"/>
      <c r="K325"/>
      <c r="L325"/>
      <c r="M325"/>
      <c r="N325"/>
      <c r="O325"/>
      <c r="P325"/>
      <c r="Q325"/>
    </row>
    <row r="326" spans="10:17" x14ac:dyDescent="0.25">
      <c r="J326"/>
      <c r="K326"/>
      <c r="L326"/>
      <c r="M326"/>
      <c r="N326"/>
      <c r="O326"/>
      <c r="P326"/>
      <c r="Q326"/>
    </row>
    <row r="327" spans="10:17" x14ac:dyDescent="0.25">
      <c r="J327"/>
      <c r="K327"/>
      <c r="L327"/>
      <c r="M327"/>
      <c r="N327"/>
      <c r="O327"/>
      <c r="P327"/>
      <c r="Q327"/>
    </row>
    <row r="328" spans="10:17" x14ac:dyDescent="0.25">
      <c r="J328"/>
      <c r="K328"/>
      <c r="L328"/>
      <c r="M328"/>
      <c r="N328"/>
      <c r="O328"/>
      <c r="P328"/>
      <c r="Q328"/>
    </row>
    <row r="329" spans="10:17" x14ac:dyDescent="0.25">
      <c r="J329"/>
      <c r="K329"/>
      <c r="L329"/>
      <c r="M329"/>
      <c r="N329"/>
      <c r="O329"/>
      <c r="P329"/>
      <c r="Q329"/>
    </row>
    <row r="330" spans="10:17" x14ac:dyDescent="0.25">
      <c r="J330"/>
      <c r="K330"/>
      <c r="L330"/>
      <c r="M330"/>
      <c r="N330"/>
      <c r="O330"/>
      <c r="P330"/>
      <c r="Q330"/>
    </row>
    <row r="331" spans="10:17" x14ac:dyDescent="0.25">
      <c r="J331"/>
      <c r="K331"/>
      <c r="L331"/>
      <c r="M331"/>
      <c r="N331"/>
      <c r="O331"/>
      <c r="P331"/>
      <c r="Q331"/>
    </row>
    <row r="332" spans="10:17" x14ac:dyDescent="0.25">
      <c r="J332"/>
      <c r="K332"/>
      <c r="L332"/>
      <c r="M332"/>
      <c r="N332"/>
      <c r="O332"/>
      <c r="P332"/>
      <c r="Q332"/>
    </row>
    <row r="333" spans="10:17" x14ac:dyDescent="0.25">
      <c r="J333"/>
      <c r="K333"/>
      <c r="L333"/>
      <c r="M333"/>
      <c r="N333"/>
      <c r="O333"/>
      <c r="P333"/>
      <c r="Q333"/>
    </row>
    <row r="334" spans="10:17" x14ac:dyDescent="0.25">
      <c r="J334"/>
      <c r="K334"/>
      <c r="L334"/>
      <c r="M334"/>
      <c r="N334"/>
      <c r="O334"/>
      <c r="P334"/>
      <c r="Q334"/>
    </row>
    <row r="335" spans="10:17" x14ac:dyDescent="0.25">
      <c r="J335"/>
      <c r="K335"/>
      <c r="L335"/>
      <c r="M335"/>
      <c r="N335"/>
      <c r="O335"/>
      <c r="P335"/>
      <c r="Q335"/>
    </row>
    <row r="336" spans="10:17" x14ac:dyDescent="0.25">
      <c r="J336"/>
      <c r="K336"/>
      <c r="L336"/>
      <c r="M336"/>
      <c r="N336"/>
      <c r="O336"/>
      <c r="P336"/>
      <c r="Q336"/>
    </row>
    <row r="337" spans="10:17" x14ac:dyDescent="0.25">
      <c r="J337"/>
      <c r="K337"/>
      <c r="L337"/>
      <c r="M337"/>
      <c r="N337"/>
      <c r="O337"/>
      <c r="P337"/>
      <c r="Q337"/>
    </row>
    <row r="338" spans="10:17" x14ac:dyDescent="0.25">
      <c r="J338"/>
      <c r="K338"/>
      <c r="L338"/>
      <c r="M338"/>
      <c r="N338"/>
      <c r="O338"/>
      <c r="P338"/>
      <c r="Q338"/>
    </row>
    <row r="339" spans="10:17" x14ac:dyDescent="0.25">
      <c r="J339"/>
      <c r="K339"/>
      <c r="L339"/>
      <c r="M339"/>
      <c r="N339"/>
      <c r="O339"/>
      <c r="P339"/>
      <c r="Q339"/>
    </row>
    <row r="340" spans="10:17" x14ac:dyDescent="0.25">
      <c r="J340"/>
      <c r="K340"/>
      <c r="L340"/>
      <c r="M340"/>
      <c r="N340"/>
      <c r="O340"/>
      <c r="P340"/>
      <c r="Q340"/>
    </row>
    <row r="341" spans="10:17" x14ac:dyDescent="0.25">
      <c r="J341"/>
      <c r="K341"/>
      <c r="L341"/>
      <c r="M341"/>
      <c r="N341"/>
      <c r="O341"/>
      <c r="P341"/>
      <c r="Q341"/>
    </row>
    <row r="342" spans="10:17" x14ac:dyDescent="0.25">
      <c r="J342"/>
      <c r="K342"/>
      <c r="L342"/>
      <c r="M342"/>
      <c r="N342"/>
      <c r="O342"/>
      <c r="P342"/>
      <c r="Q342"/>
    </row>
    <row r="343" spans="10:17" x14ac:dyDescent="0.25">
      <c r="J343"/>
      <c r="K343"/>
      <c r="L343"/>
      <c r="M343"/>
      <c r="N343"/>
      <c r="O343"/>
      <c r="P343"/>
      <c r="Q343"/>
    </row>
    <row r="344" spans="10:17" x14ac:dyDescent="0.25">
      <c r="J344"/>
      <c r="K344"/>
      <c r="L344"/>
      <c r="M344"/>
      <c r="N344"/>
      <c r="O344"/>
      <c r="P344"/>
      <c r="Q344"/>
    </row>
    <row r="345" spans="10:17" x14ac:dyDescent="0.25">
      <c r="J345"/>
      <c r="K345"/>
      <c r="L345"/>
      <c r="M345"/>
      <c r="N345"/>
      <c r="O345"/>
      <c r="P345"/>
      <c r="Q345"/>
    </row>
    <row r="346" spans="10:17" x14ac:dyDescent="0.25">
      <c r="J346"/>
      <c r="K346"/>
      <c r="L346"/>
      <c r="M346"/>
      <c r="N346"/>
      <c r="O346"/>
      <c r="P346"/>
      <c r="Q346"/>
    </row>
    <row r="347" spans="10:17" x14ac:dyDescent="0.25">
      <c r="J347"/>
      <c r="K347"/>
      <c r="L347"/>
      <c r="M347"/>
      <c r="N347"/>
      <c r="O347"/>
      <c r="P347"/>
      <c r="Q347"/>
    </row>
    <row r="348" spans="10:17" x14ac:dyDescent="0.25">
      <c r="J348"/>
      <c r="K348"/>
      <c r="L348"/>
      <c r="M348"/>
      <c r="N348"/>
      <c r="O348"/>
      <c r="P348"/>
      <c r="Q348"/>
    </row>
    <row r="349" spans="10:17" x14ac:dyDescent="0.25">
      <c r="J349"/>
      <c r="K349"/>
      <c r="L349"/>
      <c r="M349"/>
      <c r="N349"/>
      <c r="O349"/>
      <c r="P349"/>
      <c r="Q349"/>
    </row>
    <row r="350" spans="10:17" x14ac:dyDescent="0.25">
      <c r="J350"/>
      <c r="K350"/>
      <c r="L350"/>
      <c r="M350"/>
      <c r="N350"/>
      <c r="O350"/>
      <c r="P350"/>
      <c r="Q350"/>
    </row>
    <row r="351" spans="10:17" x14ac:dyDescent="0.25">
      <c r="J351"/>
      <c r="K351"/>
      <c r="L351"/>
      <c r="M351"/>
      <c r="N351"/>
      <c r="O351"/>
      <c r="P351"/>
      <c r="Q351"/>
    </row>
    <row r="352" spans="10:17" x14ac:dyDescent="0.25">
      <c r="J352"/>
      <c r="K352"/>
      <c r="L352"/>
      <c r="M352"/>
      <c r="N352"/>
      <c r="O352"/>
      <c r="P352"/>
      <c r="Q352"/>
    </row>
    <row r="353" spans="10:17" x14ac:dyDescent="0.25">
      <c r="J353"/>
      <c r="K353"/>
      <c r="L353"/>
      <c r="M353"/>
      <c r="N353"/>
      <c r="O353"/>
      <c r="P353"/>
      <c r="Q353"/>
    </row>
    <row r="354" spans="10:17" x14ac:dyDescent="0.25">
      <c r="J354"/>
      <c r="K354"/>
      <c r="L354"/>
      <c r="M354"/>
      <c r="N354"/>
      <c r="O354"/>
      <c r="P354"/>
      <c r="Q354"/>
    </row>
    <row r="355" spans="10:17" x14ac:dyDescent="0.25">
      <c r="J355"/>
      <c r="K355"/>
      <c r="L355"/>
      <c r="M355"/>
      <c r="N355"/>
      <c r="O355"/>
      <c r="P355"/>
      <c r="Q355"/>
    </row>
    <row r="356" spans="10:17" x14ac:dyDescent="0.25">
      <c r="J356"/>
      <c r="K356"/>
      <c r="L356"/>
      <c r="M356"/>
      <c r="N356"/>
      <c r="O356"/>
      <c r="P356"/>
      <c r="Q356"/>
    </row>
    <row r="357" spans="10:17" x14ac:dyDescent="0.25">
      <c r="J357"/>
      <c r="K357"/>
      <c r="L357"/>
      <c r="M357"/>
      <c r="N357"/>
      <c r="O357"/>
      <c r="P357"/>
      <c r="Q357"/>
    </row>
    <row r="358" spans="10:17" x14ac:dyDescent="0.25">
      <c r="J358"/>
      <c r="K358"/>
      <c r="L358"/>
      <c r="M358"/>
      <c r="N358"/>
      <c r="O358"/>
      <c r="P358"/>
      <c r="Q358"/>
    </row>
    <row r="359" spans="10:17" x14ac:dyDescent="0.25">
      <c r="J359"/>
      <c r="K359"/>
      <c r="L359"/>
      <c r="M359"/>
      <c r="N359"/>
      <c r="O359"/>
      <c r="P359"/>
      <c r="Q359"/>
    </row>
    <row r="360" spans="10:17" x14ac:dyDescent="0.25">
      <c r="J360"/>
      <c r="K360"/>
      <c r="L360"/>
      <c r="M360"/>
      <c r="N360"/>
      <c r="O360"/>
      <c r="P360"/>
      <c r="Q360"/>
    </row>
    <row r="361" spans="10:17" x14ac:dyDescent="0.25">
      <c r="J361"/>
      <c r="K361"/>
      <c r="L361"/>
      <c r="M361"/>
      <c r="N361"/>
      <c r="O361"/>
      <c r="P361"/>
      <c r="Q361"/>
    </row>
    <row r="362" spans="10:17" x14ac:dyDescent="0.25">
      <c r="J362"/>
      <c r="K362"/>
      <c r="L362"/>
      <c r="M362"/>
      <c r="N362"/>
      <c r="O362"/>
      <c r="P362"/>
      <c r="Q362"/>
    </row>
    <row r="363" spans="10:17" x14ac:dyDescent="0.25">
      <c r="J363"/>
      <c r="K363"/>
      <c r="L363"/>
      <c r="M363"/>
      <c r="N363"/>
      <c r="O363"/>
      <c r="P363"/>
      <c r="Q363"/>
    </row>
    <row r="364" spans="10:17" x14ac:dyDescent="0.25">
      <c r="J364"/>
      <c r="K364"/>
      <c r="L364"/>
      <c r="M364"/>
      <c r="N364"/>
      <c r="O364"/>
      <c r="P364"/>
      <c r="Q364"/>
    </row>
    <row r="365" spans="10:17" x14ac:dyDescent="0.25">
      <c r="J365"/>
      <c r="K365"/>
      <c r="L365"/>
      <c r="M365"/>
      <c r="N365"/>
      <c r="O365"/>
      <c r="P365"/>
      <c r="Q365"/>
    </row>
    <row r="366" spans="10:17" x14ac:dyDescent="0.25">
      <c r="J366"/>
      <c r="K366"/>
      <c r="L366"/>
      <c r="M366"/>
      <c r="N366"/>
      <c r="O366"/>
      <c r="P366"/>
      <c r="Q366"/>
    </row>
    <row r="367" spans="10:17" x14ac:dyDescent="0.25">
      <c r="J367"/>
      <c r="K367"/>
      <c r="L367"/>
      <c r="M367"/>
      <c r="N367"/>
      <c r="O367"/>
      <c r="P367"/>
      <c r="Q367"/>
    </row>
    <row r="368" spans="10:17" x14ac:dyDescent="0.25">
      <c r="J368"/>
      <c r="K368"/>
      <c r="L368"/>
      <c r="M368"/>
      <c r="N368"/>
      <c r="O368"/>
      <c r="P368"/>
      <c r="Q368"/>
    </row>
    <row r="369" spans="10:17" x14ac:dyDescent="0.25">
      <c r="J369"/>
      <c r="K369"/>
      <c r="L369"/>
      <c r="M369"/>
      <c r="N369"/>
      <c r="O369"/>
      <c r="P369"/>
      <c r="Q369"/>
    </row>
    <row r="370" spans="10:17" x14ac:dyDescent="0.25">
      <c r="J370"/>
      <c r="K370"/>
      <c r="L370"/>
      <c r="M370"/>
      <c r="N370"/>
      <c r="O370"/>
      <c r="P370"/>
      <c r="Q370"/>
    </row>
    <row r="371" spans="10:17" x14ac:dyDescent="0.25">
      <c r="J371"/>
      <c r="K371"/>
      <c r="L371"/>
      <c r="M371"/>
      <c r="N371"/>
      <c r="O371"/>
      <c r="P371"/>
      <c r="Q371"/>
    </row>
    <row r="372" spans="10:17" x14ac:dyDescent="0.25">
      <c r="J372"/>
      <c r="K372"/>
      <c r="L372"/>
      <c r="M372"/>
      <c r="N372"/>
      <c r="O372"/>
      <c r="P372"/>
      <c r="Q372"/>
    </row>
    <row r="373" spans="10:17" x14ac:dyDescent="0.25">
      <c r="J373"/>
      <c r="K373"/>
      <c r="L373"/>
      <c r="M373"/>
      <c r="N373"/>
      <c r="O373"/>
      <c r="P373"/>
      <c r="Q373"/>
    </row>
    <row r="374" spans="10:17" x14ac:dyDescent="0.25">
      <c r="J374"/>
      <c r="K374"/>
      <c r="L374"/>
      <c r="M374"/>
      <c r="N374"/>
      <c r="O374"/>
      <c r="P374"/>
      <c r="Q374"/>
    </row>
    <row r="375" spans="10:17" x14ac:dyDescent="0.25">
      <c r="J375"/>
      <c r="K375"/>
      <c r="L375"/>
      <c r="M375"/>
      <c r="N375"/>
      <c r="O375"/>
      <c r="P375"/>
      <c r="Q375"/>
    </row>
    <row r="376" spans="10:17" x14ac:dyDescent="0.25">
      <c r="J376"/>
      <c r="K376"/>
      <c r="L376"/>
      <c r="M376"/>
      <c r="N376"/>
      <c r="O376"/>
      <c r="P376"/>
      <c r="Q376"/>
    </row>
    <row r="377" spans="10:17" x14ac:dyDescent="0.25">
      <c r="J377"/>
      <c r="K377"/>
      <c r="L377"/>
      <c r="M377"/>
      <c r="N377"/>
      <c r="O377"/>
      <c r="P377"/>
      <c r="Q377"/>
    </row>
    <row r="378" spans="10:17" x14ac:dyDescent="0.25">
      <c r="J378"/>
      <c r="K378"/>
      <c r="L378"/>
      <c r="M378"/>
      <c r="N378"/>
      <c r="O378"/>
      <c r="P378"/>
      <c r="Q378"/>
    </row>
    <row r="379" spans="10:17" x14ac:dyDescent="0.25">
      <c r="J379"/>
      <c r="K379"/>
      <c r="L379"/>
      <c r="M379"/>
      <c r="N379"/>
      <c r="O379"/>
      <c r="P379"/>
      <c r="Q379"/>
    </row>
    <row r="380" spans="10:17" x14ac:dyDescent="0.25">
      <c r="J380"/>
      <c r="K380"/>
      <c r="L380"/>
      <c r="M380"/>
      <c r="N380"/>
      <c r="O380"/>
      <c r="P380"/>
      <c r="Q380"/>
    </row>
    <row r="381" spans="10:17" x14ac:dyDescent="0.25">
      <c r="J381"/>
      <c r="K381"/>
      <c r="L381"/>
      <c r="M381"/>
      <c r="N381"/>
      <c r="O381"/>
      <c r="P381"/>
      <c r="Q381"/>
    </row>
    <row r="382" spans="10:17" x14ac:dyDescent="0.25">
      <c r="J382"/>
      <c r="K382"/>
      <c r="L382"/>
      <c r="M382"/>
      <c r="N382"/>
      <c r="O382"/>
      <c r="P382"/>
      <c r="Q382"/>
    </row>
    <row r="383" spans="10:17" x14ac:dyDescent="0.25">
      <c r="J383"/>
      <c r="K383"/>
      <c r="L383"/>
      <c r="M383"/>
      <c r="N383"/>
      <c r="O383"/>
      <c r="P383"/>
      <c r="Q383"/>
    </row>
    <row r="384" spans="10:17" x14ac:dyDescent="0.25">
      <c r="J384"/>
      <c r="K384"/>
      <c r="L384"/>
      <c r="M384"/>
      <c r="N384"/>
      <c r="O384"/>
      <c r="P384"/>
      <c r="Q384"/>
    </row>
    <row r="385" spans="10:17" x14ac:dyDescent="0.25">
      <c r="J385"/>
      <c r="K385"/>
      <c r="L385"/>
      <c r="M385"/>
      <c r="N385"/>
      <c r="O385"/>
      <c r="P385"/>
      <c r="Q385"/>
    </row>
    <row r="386" spans="10:17" x14ac:dyDescent="0.25">
      <c r="J386"/>
      <c r="K386"/>
      <c r="L386"/>
      <c r="M386"/>
      <c r="N386"/>
      <c r="O386"/>
      <c r="P386"/>
      <c r="Q386"/>
    </row>
    <row r="387" spans="10:17" x14ac:dyDescent="0.25">
      <c r="J387"/>
      <c r="K387"/>
      <c r="L387"/>
      <c r="M387"/>
      <c r="N387"/>
      <c r="O387"/>
      <c r="P387"/>
      <c r="Q387"/>
    </row>
    <row r="388" spans="10:17" x14ac:dyDescent="0.25">
      <c r="J388"/>
      <c r="K388"/>
      <c r="L388"/>
      <c r="M388"/>
      <c r="N388"/>
      <c r="O388"/>
      <c r="P388"/>
      <c r="Q388"/>
    </row>
    <row r="389" spans="10:17" x14ac:dyDescent="0.25">
      <c r="J389"/>
      <c r="K389"/>
      <c r="L389"/>
      <c r="M389"/>
      <c r="N389"/>
      <c r="O389"/>
      <c r="P389"/>
      <c r="Q389"/>
    </row>
    <row r="390" spans="10:17" x14ac:dyDescent="0.25">
      <c r="J390"/>
      <c r="K390"/>
      <c r="L390"/>
      <c r="M390"/>
      <c r="N390"/>
      <c r="O390"/>
      <c r="P390"/>
      <c r="Q390"/>
    </row>
    <row r="391" spans="10:17" x14ac:dyDescent="0.25">
      <c r="J391"/>
      <c r="K391"/>
      <c r="L391"/>
      <c r="M391"/>
      <c r="N391"/>
      <c r="O391"/>
      <c r="P391"/>
      <c r="Q391"/>
    </row>
    <row r="392" spans="10:17" x14ac:dyDescent="0.25">
      <c r="J392"/>
      <c r="K392"/>
      <c r="L392"/>
      <c r="M392"/>
      <c r="N392"/>
      <c r="O392"/>
      <c r="P392"/>
      <c r="Q392"/>
    </row>
    <row r="393" spans="10:17" x14ac:dyDescent="0.25">
      <c r="J393"/>
      <c r="K393"/>
      <c r="L393"/>
      <c r="M393"/>
      <c r="N393"/>
      <c r="O393"/>
      <c r="P393"/>
      <c r="Q393"/>
    </row>
    <row r="394" spans="10:17" x14ac:dyDescent="0.25">
      <c r="J394"/>
      <c r="K394"/>
      <c r="L394"/>
      <c r="M394"/>
      <c r="N394"/>
      <c r="O394"/>
      <c r="P394"/>
      <c r="Q394"/>
    </row>
    <row r="395" spans="10:17" x14ac:dyDescent="0.25">
      <c r="J395"/>
      <c r="K395"/>
      <c r="L395"/>
      <c r="M395"/>
      <c r="N395"/>
      <c r="O395"/>
      <c r="P395"/>
      <c r="Q395"/>
    </row>
    <row r="396" spans="10:17" x14ac:dyDescent="0.25">
      <c r="J396"/>
      <c r="K396"/>
      <c r="L396"/>
      <c r="M396"/>
      <c r="N396"/>
      <c r="O396"/>
      <c r="P396"/>
      <c r="Q396"/>
    </row>
    <row r="397" spans="10:17" x14ac:dyDescent="0.25">
      <c r="J397"/>
      <c r="K397"/>
      <c r="L397"/>
      <c r="M397"/>
      <c r="N397"/>
      <c r="O397"/>
      <c r="P397"/>
      <c r="Q397"/>
    </row>
    <row r="398" spans="10:17" x14ac:dyDescent="0.25">
      <c r="J398"/>
      <c r="K398"/>
      <c r="L398"/>
      <c r="M398"/>
      <c r="N398"/>
      <c r="O398"/>
      <c r="P398"/>
      <c r="Q398"/>
    </row>
    <row r="399" spans="10:17" x14ac:dyDescent="0.25">
      <c r="J399"/>
      <c r="K399"/>
      <c r="L399"/>
      <c r="M399"/>
      <c r="N399"/>
      <c r="O399"/>
      <c r="P399"/>
      <c r="Q399"/>
    </row>
    <row r="400" spans="10:17" x14ac:dyDescent="0.25">
      <c r="J400"/>
      <c r="K400"/>
      <c r="L400"/>
      <c r="M400"/>
      <c r="N400"/>
      <c r="O400"/>
      <c r="P400"/>
      <c r="Q400"/>
    </row>
    <row r="401" spans="10:17" x14ac:dyDescent="0.25">
      <c r="J401"/>
      <c r="K401"/>
      <c r="L401"/>
      <c r="M401"/>
      <c r="N401"/>
      <c r="O401"/>
      <c r="P401"/>
      <c r="Q401"/>
    </row>
    <row r="402" spans="10:17" x14ac:dyDescent="0.25">
      <c r="J402"/>
      <c r="K402"/>
      <c r="L402"/>
      <c r="M402"/>
      <c r="N402"/>
      <c r="O402"/>
      <c r="P402"/>
      <c r="Q402"/>
    </row>
    <row r="403" spans="10:17" x14ac:dyDescent="0.25">
      <c r="J403"/>
      <c r="K403"/>
      <c r="L403"/>
      <c r="M403"/>
      <c r="N403"/>
      <c r="O403"/>
      <c r="P403"/>
      <c r="Q403"/>
    </row>
    <row r="404" spans="10:17" x14ac:dyDescent="0.25">
      <c r="J404"/>
      <c r="K404"/>
      <c r="L404"/>
      <c r="M404"/>
      <c r="N404"/>
      <c r="O404"/>
      <c r="P404"/>
      <c r="Q404"/>
    </row>
    <row r="405" spans="10:17" x14ac:dyDescent="0.25">
      <c r="J405"/>
      <c r="K405"/>
      <c r="L405"/>
      <c r="M405"/>
      <c r="N405"/>
      <c r="O405"/>
      <c r="P405"/>
      <c r="Q405"/>
    </row>
    <row r="406" spans="10:17" x14ac:dyDescent="0.25">
      <c r="J406"/>
      <c r="K406"/>
      <c r="L406"/>
      <c r="M406"/>
      <c r="N406"/>
      <c r="O406"/>
      <c r="P406"/>
      <c r="Q406"/>
    </row>
    <row r="407" spans="10:17" x14ac:dyDescent="0.25">
      <c r="J407"/>
      <c r="K407"/>
      <c r="L407"/>
      <c r="M407"/>
      <c r="N407"/>
      <c r="O407"/>
      <c r="P407"/>
      <c r="Q407"/>
    </row>
    <row r="408" spans="10:17" x14ac:dyDescent="0.25">
      <c r="J408"/>
      <c r="K408"/>
      <c r="L408"/>
      <c r="M408"/>
      <c r="N408"/>
      <c r="O408"/>
      <c r="P408"/>
      <c r="Q408"/>
    </row>
    <row r="409" spans="10:17" x14ac:dyDescent="0.25">
      <c r="J409"/>
      <c r="K409"/>
      <c r="L409"/>
      <c r="M409"/>
      <c r="N409"/>
      <c r="O409"/>
      <c r="P409"/>
      <c r="Q409"/>
    </row>
    <row r="410" spans="10:17" x14ac:dyDescent="0.25">
      <c r="J410"/>
      <c r="K410"/>
      <c r="L410"/>
      <c r="M410"/>
      <c r="N410"/>
      <c r="O410"/>
      <c r="P410"/>
      <c r="Q410"/>
    </row>
    <row r="411" spans="10:17" x14ac:dyDescent="0.25">
      <c r="J411"/>
      <c r="K411"/>
      <c r="L411"/>
      <c r="M411"/>
      <c r="N411"/>
      <c r="O411"/>
      <c r="P411"/>
      <c r="Q411"/>
    </row>
    <row r="412" spans="10:17" x14ac:dyDescent="0.25">
      <c r="J412"/>
      <c r="K412"/>
      <c r="L412"/>
      <c r="M412"/>
      <c r="N412"/>
      <c r="O412"/>
      <c r="P412"/>
      <c r="Q412"/>
    </row>
    <row r="413" spans="10:17" x14ac:dyDescent="0.25">
      <c r="J413"/>
      <c r="K413"/>
      <c r="L413"/>
      <c r="M413"/>
      <c r="N413"/>
      <c r="O413"/>
      <c r="P413"/>
      <c r="Q413"/>
    </row>
    <row r="414" spans="10:17" x14ac:dyDescent="0.25">
      <c r="J414"/>
      <c r="K414"/>
      <c r="L414"/>
      <c r="M414"/>
      <c r="N414"/>
      <c r="O414"/>
      <c r="P414"/>
      <c r="Q414"/>
    </row>
    <row r="415" spans="10:17" x14ac:dyDescent="0.25">
      <c r="J415"/>
      <c r="K415"/>
      <c r="L415"/>
      <c r="M415"/>
      <c r="N415"/>
      <c r="O415"/>
      <c r="P415"/>
      <c r="Q415"/>
    </row>
    <row r="416" spans="10:17" x14ac:dyDescent="0.25">
      <c r="J416"/>
      <c r="K416"/>
      <c r="L416"/>
      <c r="M416"/>
      <c r="N416"/>
      <c r="O416"/>
      <c r="P416"/>
      <c r="Q416"/>
    </row>
    <row r="417" spans="10:17" x14ac:dyDescent="0.25">
      <c r="J417"/>
      <c r="K417"/>
      <c r="L417"/>
      <c r="M417"/>
      <c r="N417"/>
      <c r="O417"/>
      <c r="P417"/>
      <c r="Q417"/>
    </row>
    <row r="418" spans="10:17" x14ac:dyDescent="0.25">
      <c r="J418"/>
      <c r="K418"/>
      <c r="L418"/>
      <c r="M418"/>
      <c r="N418"/>
      <c r="O418"/>
      <c r="P418"/>
      <c r="Q418"/>
    </row>
    <row r="419" spans="10:17" x14ac:dyDescent="0.25">
      <c r="J419"/>
      <c r="K419"/>
      <c r="L419"/>
      <c r="M419"/>
      <c r="N419"/>
      <c r="O419"/>
      <c r="P419"/>
      <c r="Q419"/>
    </row>
    <row r="420" spans="10:17" x14ac:dyDescent="0.25">
      <c r="J420"/>
      <c r="K420"/>
      <c r="L420"/>
      <c r="M420"/>
      <c r="N420"/>
      <c r="O420"/>
      <c r="P420"/>
      <c r="Q420"/>
    </row>
    <row r="421" spans="10:17" x14ac:dyDescent="0.25">
      <c r="J421"/>
      <c r="K421"/>
      <c r="L421"/>
      <c r="M421"/>
      <c r="N421"/>
      <c r="O421"/>
      <c r="P421"/>
      <c r="Q421"/>
    </row>
    <row r="422" spans="10:17" x14ac:dyDescent="0.25">
      <c r="J422"/>
      <c r="K422"/>
      <c r="L422"/>
      <c r="M422"/>
      <c r="N422"/>
      <c r="O422"/>
      <c r="P422"/>
      <c r="Q422"/>
    </row>
    <row r="423" spans="10:17" x14ac:dyDescent="0.25">
      <c r="J423"/>
      <c r="K423"/>
      <c r="L423"/>
      <c r="M423"/>
      <c r="N423"/>
      <c r="O423"/>
      <c r="P423"/>
      <c r="Q423"/>
    </row>
    <row r="424" spans="10:17" x14ac:dyDescent="0.25">
      <c r="J424"/>
      <c r="K424"/>
      <c r="L424"/>
      <c r="M424"/>
      <c r="N424"/>
      <c r="O424"/>
      <c r="P424"/>
      <c r="Q424"/>
    </row>
    <row r="425" spans="10:17" x14ac:dyDescent="0.25">
      <c r="J425"/>
      <c r="K425"/>
      <c r="L425"/>
      <c r="M425"/>
      <c r="N425"/>
      <c r="O425"/>
      <c r="P425"/>
      <c r="Q425"/>
    </row>
    <row r="426" spans="10:17" x14ac:dyDescent="0.25">
      <c r="J426"/>
      <c r="K426"/>
      <c r="L426"/>
      <c r="M426"/>
      <c r="N426"/>
      <c r="O426"/>
      <c r="P426"/>
      <c r="Q426"/>
    </row>
    <row r="427" spans="10:17" x14ac:dyDescent="0.25">
      <c r="J427"/>
      <c r="K427"/>
      <c r="L427"/>
      <c r="M427"/>
      <c r="N427"/>
      <c r="O427"/>
      <c r="P427"/>
      <c r="Q427"/>
    </row>
    <row r="428" spans="10:17" x14ac:dyDescent="0.25">
      <c r="J428"/>
      <c r="K428"/>
      <c r="L428"/>
      <c r="M428"/>
      <c r="N428"/>
      <c r="O428"/>
      <c r="P428"/>
      <c r="Q428"/>
    </row>
    <row r="429" spans="10:17" x14ac:dyDescent="0.25">
      <c r="J429"/>
      <c r="K429"/>
      <c r="L429"/>
      <c r="M429"/>
      <c r="N429"/>
      <c r="O429"/>
      <c r="P429"/>
      <c r="Q429"/>
    </row>
    <row r="430" spans="10:17" x14ac:dyDescent="0.25">
      <c r="J430"/>
      <c r="K430"/>
      <c r="L430"/>
      <c r="M430"/>
      <c r="N430"/>
      <c r="O430"/>
      <c r="P430"/>
      <c r="Q430"/>
    </row>
    <row r="431" spans="10:17" x14ac:dyDescent="0.25">
      <c r="J431"/>
      <c r="K431"/>
      <c r="L431"/>
      <c r="M431"/>
      <c r="N431"/>
      <c r="O431"/>
      <c r="P431"/>
      <c r="Q431"/>
    </row>
    <row r="432" spans="10:17" x14ac:dyDescent="0.25">
      <c r="J432"/>
      <c r="K432"/>
      <c r="L432"/>
      <c r="M432"/>
      <c r="N432"/>
      <c r="O432"/>
      <c r="P432"/>
      <c r="Q432"/>
    </row>
    <row r="433" spans="10:17" x14ac:dyDescent="0.25">
      <c r="J433"/>
      <c r="K433"/>
      <c r="L433"/>
      <c r="M433"/>
      <c r="N433"/>
      <c r="O433"/>
      <c r="P433"/>
      <c r="Q433"/>
    </row>
    <row r="434" spans="10:17" x14ac:dyDescent="0.25">
      <c r="J434"/>
      <c r="K434"/>
      <c r="L434"/>
      <c r="M434"/>
      <c r="N434"/>
      <c r="O434"/>
      <c r="P434"/>
      <c r="Q434"/>
    </row>
    <row r="435" spans="10:17" x14ac:dyDescent="0.25">
      <c r="J435"/>
      <c r="K435"/>
      <c r="L435"/>
      <c r="M435"/>
      <c r="N435"/>
      <c r="O435"/>
      <c r="P435"/>
      <c r="Q435"/>
    </row>
    <row r="436" spans="10:17" x14ac:dyDescent="0.25">
      <c r="J436"/>
      <c r="K436"/>
      <c r="L436"/>
      <c r="M436"/>
      <c r="N436"/>
      <c r="O436"/>
      <c r="P436"/>
      <c r="Q436"/>
    </row>
    <row r="437" spans="10:17" x14ac:dyDescent="0.25">
      <c r="J437"/>
      <c r="K437"/>
      <c r="L437"/>
      <c r="M437"/>
      <c r="N437"/>
      <c r="O437"/>
      <c r="P437"/>
      <c r="Q437"/>
    </row>
    <row r="438" spans="10:17" x14ac:dyDescent="0.25">
      <c r="J438"/>
      <c r="K438"/>
      <c r="L438"/>
      <c r="M438"/>
      <c r="N438"/>
      <c r="O438"/>
      <c r="P438"/>
      <c r="Q438"/>
    </row>
    <row r="439" spans="10:17" x14ac:dyDescent="0.25">
      <c r="J439"/>
      <c r="K439"/>
      <c r="L439"/>
      <c r="M439"/>
      <c r="N439"/>
      <c r="O439"/>
      <c r="P439"/>
      <c r="Q439"/>
    </row>
    <row r="440" spans="10:17" x14ac:dyDescent="0.25">
      <c r="J440"/>
      <c r="K440"/>
      <c r="L440"/>
      <c r="M440"/>
      <c r="N440"/>
      <c r="O440"/>
      <c r="P440"/>
      <c r="Q440"/>
    </row>
    <row r="441" spans="10:17" x14ac:dyDescent="0.25">
      <c r="J441"/>
      <c r="K441"/>
      <c r="L441"/>
      <c r="M441"/>
      <c r="N441"/>
      <c r="O441"/>
      <c r="P441"/>
      <c r="Q441"/>
    </row>
    <row r="442" spans="10:17" x14ac:dyDescent="0.25">
      <c r="J442"/>
      <c r="K442"/>
      <c r="L442"/>
      <c r="M442"/>
      <c r="N442"/>
      <c r="O442"/>
      <c r="P442"/>
      <c r="Q442"/>
    </row>
    <row r="443" spans="10:17" x14ac:dyDescent="0.25">
      <c r="J443"/>
      <c r="K443"/>
      <c r="L443"/>
      <c r="M443"/>
      <c r="N443"/>
      <c r="O443"/>
      <c r="P443"/>
      <c r="Q443"/>
    </row>
    <row r="444" spans="10:17" x14ac:dyDescent="0.25">
      <c r="J444"/>
      <c r="K444"/>
      <c r="L444"/>
      <c r="M444"/>
      <c r="N444"/>
      <c r="O444"/>
      <c r="P444"/>
      <c r="Q444"/>
    </row>
    <row r="445" spans="10:17" x14ac:dyDescent="0.25">
      <c r="J445"/>
      <c r="K445"/>
      <c r="L445"/>
      <c r="M445"/>
      <c r="N445"/>
      <c r="O445"/>
      <c r="P445"/>
      <c r="Q445"/>
    </row>
    <row r="446" spans="10:17" x14ac:dyDescent="0.25">
      <c r="J446"/>
      <c r="K446"/>
      <c r="L446"/>
      <c r="M446"/>
      <c r="N446"/>
      <c r="O446"/>
      <c r="P446"/>
      <c r="Q446"/>
    </row>
    <row r="447" spans="10:17" x14ac:dyDescent="0.25">
      <c r="J447"/>
      <c r="K447"/>
      <c r="L447"/>
      <c r="M447"/>
      <c r="N447"/>
      <c r="O447"/>
      <c r="P447"/>
      <c r="Q447"/>
    </row>
    <row r="448" spans="10:17" x14ac:dyDescent="0.25">
      <c r="J448"/>
      <c r="K448"/>
      <c r="L448"/>
      <c r="M448"/>
      <c r="N448"/>
      <c r="O448"/>
      <c r="P448"/>
      <c r="Q448"/>
    </row>
    <row r="449" spans="10:17" x14ac:dyDescent="0.25">
      <c r="J449"/>
      <c r="K449"/>
      <c r="L449"/>
      <c r="M449"/>
      <c r="N449"/>
      <c r="O449"/>
      <c r="P449"/>
      <c r="Q449"/>
    </row>
    <row r="450" spans="10:17" x14ac:dyDescent="0.25">
      <c r="J450"/>
      <c r="K450"/>
      <c r="L450"/>
      <c r="M450"/>
      <c r="N450"/>
      <c r="O450"/>
      <c r="P450"/>
      <c r="Q450"/>
    </row>
    <row r="451" spans="10:17" x14ac:dyDescent="0.25">
      <c r="J451"/>
      <c r="K451"/>
      <c r="L451"/>
      <c r="M451"/>
      <c r="N451"/>
      <c r="O451"/>
      <c r="P451"/>
      <c r="Q451"/>
    </row>
    <row r="452" spans="10:17" x14ac:dyDescent="0.25">
      <c r="J452"/>
      <c r="K452"/>
      <c r="L452"/>
      <c r="M452"/>
      <c r="N452"/>
      <c r="O452"/>
      <c r="P452"/>
      <c r="Q452"/>
    </row>
    <row r="453" spans="10:17" x14ac:dyDescent="0.25">
      <c r="J453"/>
      <c r="K453"/>
      <c r="L453"/>
      <c r="M453"/>
      <c r="N453"/>
      <c r="O453"/>
      <c r="P453"/>
      <c r="Q453"/>
    </row>
    <row r="454" spans="10:17" x14ac:dyDescent="0.25">
      <c r="J454"/>
      <c r="K454"/>
      <c r="L454"/>
      <c r="M454"/>
      <c r="N454"/>
      <c r="O454"/>
      <c r="P454"/>
      <c r="Q454"/>
    </row>
    <row r="455" spans="10:17" x14ac:dyDescent="0.25">
      <c r="J455"/>
      <c r="K455"/>
      <c r="L455"/>
      <c r="M455"/>
      <c r="N455"/>
      <c r="O455"/>
      <c r="P455"/>
      <c r="Q455"/>
    </row>
    <row r="456" spans="10:17" x14ac:dyDescent="0.25">
      <c r="J456"/>
      <c r="K456"/>
      <c r="L456"/>
      <c r="M456"/>
      <c r="N456"/>
      <c r="O456"/>
      <c r="P456"/>
      <c r="Q456"/>
    </row>
    <row r="457" spans="10:17" x14ac:dyDescent="0.25">
      <c r="J457"/>
      <c r="K457"/>
      <c r="L457"/>
      <c r="M457"/>
      <c r="N457"/>
      <c r="O457"/>
      <c r="P457"/>
      <c r="Q457"/>
    </row>
    <row r="458" spans="10:17" x14ac:dyDescent="0.25">
      <c r="J458"/>
      <c r="K458"/>
      <c r="L458"/>
      <c r="M458"/>
      <c r="N458"/>
      <c r="O458"/>
      <c r="P458"/>
      <c r="Q458"/>
    </row>
    <row r="459" spans="10:17" x14ac:dyDescent="0.25">
      <c r="J459"/>
      <c r="K459"/>
      <c r="L459"/>
      <c r="M459"/>
      <c r="N459"/>
      <c r="O459"/>
      <c r="P459"/>
      <c r="Q459"/>
    </row>
    <row r="460" spans="10:17" x14ac:dyDescent="0.25">
      <c r="J460"/>
      <c r="K460"/>
      <c r="L460"/>
      <c r="M460"/>
      <c r="N460"/>
      <c r="O460"/>
      <c r="P460"/>
      <c r="Q460"/>
    </row>
    <row r="461" spans="10:17" x14ac:dyDescent="0.25">
      <c r="J461"/>
      <c r="K461"/>
      <c r="L461"/>
      <c r="M461"/>
      <c r="N461"/>
      <c r="O461"/>
      <c r="P461"/>
      <c r="Q461"/>
    </row>
    <row r="462" spans="10:17" x14ac:dyDescent="0.25">
      <c r="J462"/>
      <c r="K462"/>
      <c r="L462"/>
      <c r="M462"/>
      <c r="N462"/>
      <c r="O462"/>
      <c r="P462"/>
      <c r="Q462"/>
    </row>
    <row r="463" spans="10:17" x14ac:dyDescent="0.25">
      <c r="J463"/>
      <c r="K463"/>
      <c r="L463"/>
      <c r="M463"/>
      <c r="N463"/>
      <c r="O463"/>
      <c r="P463"/>
      <c r="Q463"/>
    </row>
    <row r="464" spans="10:17" x14ac:dyDescent="0.25">
      <c r="J464"/>
      <c r="K464"/>
      <c r="L464"/>
      <c r="M464"/>
      <c r="N464"/>
      <c r="O464"/>
      <c r="P464"/>
      <c r="Q464"/>
    </row>
    <row r="465" spans="10:17" x14ac:dyDescent="0.25">
      <c r="J465"/>
      <c r="K465"/>
      <c r="L465"/>
      <c r="M465"/>
      <c r="N465"/>
      <c r="O465"/>
      <c r="P465"/>
      <c r="Q465"/>
    </row>
    <row r="466" spans="10:17" x14ac:dyDescent="0.25">
      <c r="J466"/>
      <c r="K466"/>
      <c r="L466"/>
      <c r="M466"/>
      <c r="N466"/>
      <c r="O466"/>
      <c r="P466"/>
      <c r="Q466"/>
    </row>
    <row r="467" spans="10:17" x14ac:dyDescent="0.25">
      <c r="J467"/>
      <c r="K467"/>
      <c r="L467"/>
      <c r="M467"/>
      <c r="N467"/>
      <c r="O467"/>
      <c r="P467"/>
      <c r="Q467"/>
    </row>
    <row r="468" spans="10:17" x14ac:dyDescent="0.25">
      <c r="J468"/>
      <c r="K468"/>
      <c r="L468"/>
      <c r="M468"/>
      <c r="N468"/>
      <c r="O468"/>
      <c r="P468"/>
      <c r="Q468"/>
    </row>
    <row r="469" spans="10:17" x14ac:dyDescent="0.25">
      <c r="J469"/>
      <c r="K469"/>
      <c r="L469"/>
      <c r="M469"/>
      <c r="N469"/>
      <c r="O469"/>
      <c r="P469"/>
      <c r="Q469"/>
    </row>
    <row r="470" spans="10:17" x14ac:dyDescent="0.25">
      <c r="J470"/>
      <c r="K470"/>
      <c r="L470"/>
      <c r="M470"/>
      <c r="N470"/>
      <c r="O470"/>
      <c r="P470"/>
      <c r="Q470"/>
    </row>
    <row r="471" spans="10:17" x14ac:dyDescent="0.25">
      <c r="J471"/>
      <c r="K471"/>
      <c r="L471"/>
      <c r="M471"/>
      <c r="N471"/>
      <c r="O471"/>
      <c r="P471"/>
      <c r="Q471"/>
    </row>
    <row r="472" spans="10:17" x14ac:dyDescent="0.25">
      <c r="J472"/>
      <c r="K472"/>
      <c r="L472"/>
      <c r="M472"/>
      <c r="N472"/>
      <c r="O472"/>
      <c r="P472"/>
      <c r="Q472"/>
    </row>
    <row r="473" spans="10:17" x14ac:dyDescent="0.25">
      <c r="J473"/>
      <c r="K473"/>
      <c r="L473"/>
      <c r="M473"/>
      <c r="N473"/>
      <c r="O473"/>
      <c r="P473"/>
      <c r="Q473"/>
    </row>
    <row r="474" spans="10:17" x14ac:dyDescent="0.25">
      <c r="J474"/>
      <c r="K474"/>
      <c r="L474"/>
      <c r="M474"/>
      <c r="N474"/>
      <c r="O474"/>
      <c r="P474"/>
      <c r="Q474"/>
    </row>
    <row r="475" spans="10:17" x14ac:dyDescent="0.25">
      <c r="J475"/>
      <c r="K475"/>
      <c r="L475"/>
      <c r="M475"/>
      <c r="N475"/>
      <c r="O475"/>
      <c r="P475"/>
      <c r="Q475"/>
    </row>
    <row r="476" spans="10:17" x14ac:dyDescent="0.25">
      <c r="J476"/>
      <c r="K476"/>
      <c r="L476"/>
      <c r="M476"/>
      <c r="N476"/>
      <c r="O476"/>
      <c r="P476"/>
      <c r="Q476"/>
    </row>
    <row r="477" spans="10:17" x14ac:dyDescent="0.25">
      <c r="J477"/>
      <c r="K477"/>
      <c r="L477"/>
      <c r="M477"/>
      <c r="N477"/>
      <c r="O477"/>
      <c r="P477"/>
      <c r="Q477"/>
    </row>
    <row r="478" spans="10:17" x14ac:dyDescent="0.25">
      <c r="J478"/>
      <c r="K478"/>
      <c r="L478"/>
      <c r="M478"/>
      <c r="N478"/>
      <c r="O478"/>
      <c r="P478"/>
      <c r="Q478"/>
    </row>
    <row r="479" spans="10:17" x14ac:dyDescent="0.25">
      <c r="J479"/>
      <c r="K479"/>
      <c r="L479"/>
      <c r="M479"/>
      <c r="N479"/>
      <c r="O479"/>
      <c r="P479"/>
      <c r="Q479"/>
    </row>
    <row r="480" spans="10:17" x14ac:dyDescent="0.25">
      <c r="J480"/>
      <c r="K480"/>
      <c r="L480"/>
      <c r="M480"/>
      <c r="N480"/>
      <c r="O480"/>
      <c r="P480"/>
      <c r="Q480"/>
    </row>
    <row r="481" spans="10:17" x14ac:dyDescent="0.25">
      <c r="J481"/>
      <c r="K481"/>
      <c r="L481"/>
      <c r="M481"/>
      <c r="N481"/>
      <c r="O481"/>
      <c r="P481"/>
      <c r="Q481"/>
    </row>
    <row r="482" spans="10:17" x14ac:dyDescent="0.25">
      <c r="J482"/>
      <c r="K482"/>
      <c r="L482"/>
      <c r="M482"/>
      <c r="N482"/>
      <c r="O482"/>
      <c r="P482"/>
      <c r="Q482"/>
    </row>
    <row r="483" spans="10:17" x14ac:dyDescent="0.25">
      <c r="J483"/>
      <c r="K483"/>
      <c r="L483"/>
      <c r="M483"/>
      <c r="N483"/>
      <c r="O483"/>
      <c r="P483"/>
      <c r="Q483"/>
    </row>
    <row r="484" spans="10:17" x14ac:dyDescent="0.25">
      <c r="J484"/>
      <c r="K484"/>
      <c r="L484"/>
      <c r="M484"/>
      <c r="N484"/>
      <c r="O484"/>
      <c r="P484"/>
      <c r="Q484"/>
    </row>
    <row r="485" spans="10:17" x14ac:dyDescent="0.25">
      <c r="J485"/>
      <c r="K485"/>
      <c r="L485"/>
      <c r="M485"/>
      <c r="N485"/>
      <c r="O485"/>
      <c r="P485"/>
      <c r="Q485"/>
    </row>
    <row r="486" spans="10:17" x14ac:dyDescent="0.25">
      <c r="J486"/>
      <c r="K486"/>
      <c r="L486"/>
      <c r="M486"/>
      <c r="N486"/>
      <c r="O486"/>
      <c r="P486"/>
      <c r="Q486"/>
    </row>
    <row r="487" spans="10:17" x14ac:dyDescent="0.25">
      <c r="J487"/>
      <c r="K487"/>
      <c r="L487"/>
      <c r="M487"/>
      <c r="N487"/>
      <c r="O487"/>
      <c r="P487"/>
      <c r="Q487"/>
    </row>
    <row r="488" spans="10:17" x14ac:dyDescent="0.25">
      <c r="J488"/>
      <c r="K488"/>
      <c r="L488"/>
      <c r="M488"/>
      <c r="N488"/>
      <c r="O488"/>
      <c r="P488"/>
      <c r="Q488"/>
    </row>
    <row r="489" spans="10:17" x14ac:dyDescent="0.25">
      <c r="J489"/>
      <c r="K489"/>
      <c r="L489"/>
      <c r="M489"/>
      <c r="N489"/>
      <c r="O489"/>
      <c r="P489"/>
      <c r="Q489"/>
    </row>
    <row r="490" spans="10:17" x14ac:dyDescent="0.25">
      <c r="J490"/>
      <c r="K490"/>
      <c r="L490"/>
      <c r="M490"/>
      <c r="N490"/>
      <c r="O490"/>
      <c r="P490"/>
      <c r="Q490"/>
    </row>
    <row r="491" spans="10:17" x14ac:dyDescent="0.25">
      <c r="J491"/>
      <c r="K491"/>
      <c r="L491"/>
      <c r="M491"/>
      <c r="N491"/>
      <c r="O491"/>
      <c r="P491"/>
      <c r="Q491"/>
    </row>
    <row r="492" spans="10:17" x14ac:dyDescent="0.25">
      <c r="J492"/>
      <c r="K492"/>
      <c r="L492"/>
      <c r="M492"/>
      <c r="N492"/>
      <c r="O492"/>
      <c r="P492"/>
      <c r="Q492"/>
    </row>
    <row r="493" spans="10:17" x14ac:dyDescent="0.25">
      <c r="J493"/>
      <c r="K493"/>
      <c r="L493"/>
      <c r="M493"/>
      <c r="N493"/>
      <c r="O493"/>
      <c r="P493"/>
      <c r="Q493"/>
    </row>
    <row r="494" spans="10:17" x14ac:dyDescent="0.25">
      <c r="J494"/>
      <c r="K494"/>
      <c r="L494"/>
      <c r="M494"/>
      <c r="N494"/>
      <c r="O494"/>
      <c r="P494"/>
      <c r="Q494"/>
    </row>
    <row r="495" spans="10:17" x14ac:dyDescent="0.25">
      <c r="J495"/>
      <c r="K495"/>
      <c r="L495"/>
      <c r="M495"/>
      <c r="N495"/>
      <c r="O495"/>
      <c r="P495"/>
      <c r="Q495"/>
    </row>
    <row r="496" spans="10:17" x14ac:dyDescent="0.25">
      <c r="J496"/>
      <c r="K496"/>
      <c r="L496"/>
      <c r="M496"/>
      <c r="N496"/>
      <c r="O496"/>
      <c r="P496"/>
      <c r="Q496"/>
    </row>
    <row r="497" spans="10:17" x14ac:dyDescent="0.25">
      <c r="J497"/>
      <c r="K497"/>
      <c r="L497"/>
      <c r="M497"/>
      <c r="N497"/>
      <c r="O497"/>
      <c r="P497"/>
      <c r="Q497"/>
    </row>
    <row r="498" spans="10:17" x14ac:dyDescent="0.25">
      <c r="J498"/>
      <c r="K498"/>
      <c r="L498"/>
      <c r="M498"/>
      <c r="N498"/>
      <c r="O498"/>
      <c r="P498"/>
      <c r="Q498"/>
    </row>
    <row r="499" spans="10:17" x14ac:dyDescent="0.25">
      <c r="J499"/>
      <c r="K499"/>
      <c r="L499"/>
      <c r="M499"/>
      <c r="N499"/>
      <c r="O499"/>
      <c r="P499"/>
      <c r="Q499"/>
    </row>
    <row r="500" spans="10:17" x14ac:dyDescent="0.25">
      <c r="J500"/>
      <c r="K500"/>
      <c r="L500"/>
      <c r="M500"/>
      <c r="N500"/>
      <c r="O500"/>
      <c r="P500"/>
      <c r="Q500"/>
    </row>
    <row r="501" spans="10:17" x14ac:dyDescent="0.25">
      <c r="J501"/>
      <c r="K501"/>
      <c r="L501"/>
      <c r="M501"/>
      <c r="N501"/>
      <c r="O501"/>
      <c r="P501"/>
      <c r="Q501"/>
    </row>
    <row r="502" spans="10:17" x14ac:dyDescent="0.25">
      <c r="J502"/>
      <c r="K502"/>
      <c r="L502"/>
      <c r="M502"/>
      <c r="N502"/>
      <c r="O502"/>
      <c r="P502"/>
      <c r="Q502"/>
    </row>
    <row r="503" spans="10:17" x14ac:dyDescent="0.25">
      <c r="J503"/>
      <c r="K503"/>
      <c r="L503"/>
      <c r="M503"/>
      <c r="N503"/>
      <c r="O503"/>
      <c r="P503"/>
      <c r="Q503"/>
    </row>
    <row r="504" spans="10:17" x14ac:dyDescent="0.25">
      <c r="J504"/>
      <c r="K504"/>
      <c r="L504"/>
      <c r="M504"/>
      <c r="N504"/>
      <c r="O504"/>
      <c r="P504"/>
      <c r="Q504"/>
    </row>
    <row r="505" spans="10:17" x14ac:dyDescent="0.25">
      <c r="J505"/>
      <c r="K505"/>
      <c r="L505"/>
      <c r="M505"/>
      <c r="N505"/>
      <c r="O505"/>
      <c r="P505"/>
      <c r="Q505"/>
    </row>
    <row r="506" spans="10:17" x14ac:dyDescent="0.25">
      <c r="J506"/>
      <c r="K506"/>
      <c r="L506"/>
      <c r="M506"/>
      <c r="N506"/>
      <c r="O506"/>
      <c r="P506"/>
      <c r="Q506"/>
    </row>
    <row r="507" spans="10:17" x14ac:dyDescent="0.25">
      <c r="J507"/>
      <c r="K507"/>
      <c r="L507"/>
      <c r="M507"/>
      <c r="N507"/>
      <c r="O507"/>
      <c r="P507"/>
      <c r="Q507"/>
    </row>
    <row r="508" spans="10:17" x14ac:dyDescent="0.25">
      <c r="J508"/>
      <c r="K508"/>
      <c r="L508"/>
      <c r="M508"/>
      <c r="N508"/>
      <c r="O508"/>
      <c r="P508"/>
      <c r="Q508"/>
    </row>
    <row r="509" spans="10:17" x14ac:dyDescent="0.25">
      <c r="J509"/>
      <c r="K509"/>
      <c r="L509"/>
      <c r="M509"/>
      <c r="N509"/>
      <c r="O509"/>
      <c r="P509"/>
      <c r="Q509"/>
    </row>
    <row r="510" spans="10:17" x14ac:dyDescent="0.25">
      <c r="J510"/>
      <c r="K510"/>
      <c r="L510"/>
      <c r="M510"/>
      <c r="N510"/>
      <c r="O510"/>
      <c r="P510"/>
      <c r="Q510"/>
    </row>
    <row r="511" spans="10:17" x14ac:dyDescent="0.25">
      <c r="J511"/>
      <c r="K511"/>
      <c r="L511"/>
      <c r="M511"/>
      <c r="N511"/>
      <c r="O511"/>
      <c r="P511"/>
      <c r="Q511"/>
    </row>
    <row r="512" spans="10:17" x14ac:dyDescent="0.25">
      <c r="J512"/>
      <c r="K512"/>
      <c r="L512"/>
      <c r="M512"/>
      <c r="N512"/>
      <c r="O512"/>
      <c r="P512"/>
      <c r="Q512"/>
    </row>
    <row r="513" spans="10:17" x14ac:dyDescent="0.25">
      <c r="J513"/>
      <c r="K513"/>
      <c r="L513"/>
      <c r="M513"/>
      <c r="N513"/>
      <c r="O513"/>
      <c r="P513"/>
      <c r="Q513"/>
    </row>
    <row r="514" spans="10:17" x14ac:dyDescent="0.25">
      <c r="J514"/>
      <c r="K514"/>
      <c r="L514"/>
      <c r="M514"/>
      <c r="N514"/>
      <c r="O514"/>
      <c r="P514"/>
      <c r="Q514"/>
    </row>
    <row r="515" spans="10:17" x14ac:dyDescent="0.25">
      <c r="J515"/>
      <c r="K515"/>
      <c r="L515"/>
      <c r="M515"/>
      <c r="N515"/>
      <c r="O515"/>
      <c r="P515"/>
      <c r="Q515"/>
    </row>
    <row r="516" spans="10:17" x14ac:dyDescent="0.25">
      <c r="J516"/>
      <c r="K516"/>
      <c r="L516"/>
      <c r="M516"/>
      <c r="N516"/>
      <c r="O516"/>
      <c r="P516"/>
      <c r="Q516"/>
    </row>
    <row r="517" spans="10:17" x14ac:dyDescent="0.25">
      <c r="J517"/>
      <c r="K517"/>
      <c r="L517"/>
      <c r="M517"/>
      <c r="N517"/>
      <c r="O517"/>
      <c r="P517"/>
      <c r="Q517"/>
    </row>
    <row r="518" spans="10:17" x14ac:dyDescent="0.25">
      <c r="J518"/>
      <c r="K518"/>
      <c r="L518"/>
      <c r="M518"/>
      <c r="N518"/>
      <c r="O518"/>
      <c r="P518"/>
      <c r="Q518"/>
    </row>
    <row r="519" spans="10:17" x14ac:dyDescent="0.25">
      <c r="J519"/>
      <c r="K519"/>
      <c r="L519"/>
      <c r="M519"/>
      <c r="N519"/>
      <c r="O519"/>
      <c r="P519"/>
      <c r="Q519"/>
    </row>
    <row r="520" spans="10:17" x14ac:dyDescent="0.25">
      <c r="J520"/>
      <c r="K520"/>
      <c r="L520"/>
      <c r="M520"/>
      <c r="N520"/>
      <c r="O520"/>
      <c r="P520"/>
      <c r="Q520"/>
    </row>
    <row r="521" spans="10:17" x14ac:dyDescent="0.25">
      <c r="J521"/>
      <c r="K521"/>
      <c r="L521"/>
      <c r="M521"/>
      <c r="N521"/>
      <c r="O521"/>
      <c r="P521"/>
      <c r="Q521"/>
    </row>
    <row r="522" spans="10:17" x14ac:dyDescent="0.25">
      <c r="J522"/>
      <c r="K522"/>
      <c r="L522"/>
      <c r="M522"/>
      <c r="N522"/>
      <c r="O522"/>
      <c r="P522"/>
      <c r="Q522"/>
    </row>
    <row r="523" spans="10:17" x14ac:dyDescent="0.25">
      <c r="J523"/>
      <c r="K523"/>
      <c r="L523"/>
      <c r="M523"/>
      <c r="N523"/>
      <c r="O523"/>
      <c r="P523"/>
      <c r="Q523"/>
    </row>
    <row r="524" spans="10:17" x14ac:dyDescent="0.25">
      <c r="J524"/>
      <c r="K524"/>
      <c r="L524"/>
      <c r="M524"/>
      <c r="N524"/>
      <c r="O524"/>
      <c r="P524"/>
      <c r="Q524"/>
    </row>
    <row r="525" spans="10:17" x14ac:dyDescent="0.25">
      <c r="J525"/>
      <c r="K525"/>
      <c r="L525"/>
      <c r="M525"/>
      <c r="N525"/>
      <c r="O525"/>
      <c r="P525"/>
      <c r="Q525"/>
    </row>
    <row r="526" spans="10:17" x14ac:dyDescent="0.25">
      <c r="J526"/>
      <c r="K526"/>
      <c r="L526"/>
      <c r="M526"/>
      <c r="N526"/>
      <c r="O526"/>
      <c r="P526"/>
      <c r="Q526"/>
    </row>
    <row r="527" spans="10:17" x14ac:dyDescent="0.25">
      <c r="J527"/>
      <c r="K527"/>
      <c r="L527"/>
      <c r="M527"/>
      <c r="N527"/>
      <c r="O527"/>
      <c r="P527"/>
      <c r="Q527"/>
    </row>
    <row r="528" spans="10:17" x14ac:dyDescent="0.25">
      <c r="J528"/>
      <c r="K528"/>
      <c r="L528"/>
      <c r="M528"/>
      <c r="N528"/>
      <c r="O528"/>
      <c r="P528"/>
      <c r="Q528"/>
    </row>
    <row r="529" spans="10:17" x14ac:dyDescent="0.25">
      <c r="J529"/>
      <c r="K529"/>
      <c r="L529"/>
      <c r="M529"/>
      <c r="N529"/>
      <c r="O529"/>
      <c r="P529"/>
      <c r="Q529"/>
    </row>
    <row r="530" spans="10:17" x14ac:dyDescent="0.25">
      <c r="J530"/>
      <c r="K530"/>
      <c r="L530"/>
      <c r="M530"/>
      <c r="N530"/>
      <c r="O530"/>
      <c r="P530"/>
      <c r="Q530"/>
    </row>
    <row r="531" spans="10:17" x14ac:dyDescent="0.25">
      <c r="J531"/>
      <c r="K531"/>
      <c r="L531"/>
      <c r="M531"/>
      <c r="N531"/>
      <c r="O531"/>
      <c r="P531"/>
      <c r="Q531"/>
    </row>
    <row r="532" spans="10:17" x14ac:dyDescent="0.25">
      <c r="J532"/>
      <c r="K532"/>
      <c r="L532"/>
      <c r="M532"/>
      <c r="N532"/>
      <c r="O532"/>
      <c r="P532"/>
      <c r="Q532"/>
    </row>
    <row r="533" spans="10:17" x14ac:dyDescent="0.25">
      <c r="J533"/>
      <c r="K533"/>
      <c r="L533"/>
      <c r="M533"/>
      <c r="N533"/>
      <c r="O533"/>
      <c r="P533"/>
      <c r="Q533"/>
    </row>
    <row r="534" spans="10:17" x14ac:dyDescent="0.25">
      <c r="J534"/>
      <c r="K534"/>
      <c r="L534"/>
      <c r="M534"/>
      <c r="N534"/>
      <c r="O534"/>
      <c r="P534"/>
      <c r="Q534"/>
    </row>
    <row r="535" spans="10:17" x14ac:dyDescent="0.25">
      <c r="J535"/>
      <c r="K535"/>
      <c r="L535"/>
      <c r="M535"/>
      <c r="N535"/>
      <c r="O535"/>
      <c r="P535"/>
      <c r="Q535"/>
    </row>
    <row r="536" spans="10:17" x14ac:dyDescent="0.25">
      <c r="J536"/>
      <c r="K536"/>
      <c r="L536"/>
      <c r="M536"/>
      <c r="N536"/>
      <c r="O536"/>
      <c r="P536"/>
      <c r="Q536"/>
    </row>
  </sheetData>
  <autoFilter ref="A2:Q45"/>
  <mergeCells count="2">
    <mergeCell ref="A1:Q1"/>
    <mergeCell ref="A46:I46"/>
  </mergeCells>
  <printOptions horizontalCentered="1"/>
  <pageMargins left="0" right="0" top="0.39370078740157483" bottom="0" header="0.31496062992125984" footer="0.31496062992125984"/>
  <pageSetup paperSize="9" scale="55" orientation="landscape"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88"/>
  <sheetViews>
    <sheetView showGridLines="0" zoomScale="81" zoomScaleNormal="81" workbookViewId="0">
      <pane xSplit="4" ySplit="3" topLeftCell="E4" activePane="bottomRight" state="frozen"/>
      <selection pane="topRight" activeCell="F1" sqref="F1"/>
      <selection pane="bottomLeft" activeCell="A4" sqref="A4"/>
      <selection pane="bottomRight" activeCell="E13" sqref="E13"/>
    </sheetView>
  </sheetViews>
  <sheetFormatPr defaultRowHeight="15" x14ac:dyDescent="0.25"/>
  <cols>
    <col min="1" max="1" width="5.5703125" customWidth="1"/>
    <col min="2" max="2" width="14.28515625" style="8" customWidth="1"/>
    <col min="3" max="3" width="12.140625" customWidth="1"/>
    <col min="4" max="4" width="27.28515625" bestFit="1" customWidth="1"/>
    <col min="5" max="5" width="18" customWidth="1"/>
    <col min="6" max="6" width="14.5703125" style="9" customWidth="1"/>
    <col min="7" max="7" width="17.85546875" customWidth="1"/>
    <col min="8" max="10" width="13.140625" style="130" customWidth="1"/>
    <col min="11" max="11" width="13.140625" style="11" customWidth="1"/>
    <col min="12" max="12" width="16.7109375" style="11" bestFit="1" customWidth="1"/>
    <col min="13" max="13" width="15.28515625" style="11" customWidth="1"/>
    <col min="14" max="14" width="18.28515625" style="11" customWidth="1"/>
    <col min="16" max="17" width="11.140625" bestFit="1" customWidth="1"/>
    <col min="18" max="18" width="25.7109375" bestFit="1" customWidth="1"/>
  </cols>
  <sheetData>
    <row r="1" spans="1:14" ht="27" customHeight="1" x14ac:dyDescent="0.25">
      <c r="A1" s="130"/>
      <c r="B1" s="130">
        <v>44502</v>
      </c>
    </row>
    <row r="2" spans="1:14" ht="42" customHeight="1" x14ac:dyDescent="0.25">
      <c r="A2" s="1121" t="s">
        <v>6</v>
      </c>
      <c r="B2" s="1122" t="s">
        <v>0</v>
      </c>
      <c r="C2" s="1121" t="s">
        <v>7</v>
      </c>
      <c r="D2" s="1121" t="s">
        <v>8</v>
      </c>
      <c r="E2" s="1121" t="s">
        <v>9</v>
      </c>
      <c r="F2" s="1123" t="s">
        <v>10</v>
      </c>
      <c r="G2" s="1121" t="s">
        <v>11</v>
      </c>
      <c r="H2" s="1125" t="s">
        <v>138</v>
      </c>
      <c r="I2" s="1126" t="s">
        <v>1528</v>
      </c>
      <c r="J2" s="1126" t="s">
        <v>2319</v>
      </c>
      <c r="K2" s="1062" t="s">
        <v>49</v>
      </c>
      <c r="L2" s="1118" t="s">
        <v>1</v>
      </c>
      <c r="M2" s="1118" t="s">
        <v>40</v>
      </c>
      <c r="N2" s="1120" t="s">
        <v>2</v>
      </c>
    </row>
    <row r="3" spans="1:14" ht="21" customHeight="1" x14ac:dyDescent="0.25">
      <c r="A3" s="1121"/>
      <c r="B3" s="1122"/>
      <c r="C3" s="1121"/>
      <c r="D3" s="1121"/>
      <c r="E3" s="1121"/>
      <c r="F3" s="1123"/>
      <c r="G3" s="1121"/>
      <c r="H3" s="1125"/>
      <c r="I3" s="1127"/>
      <c r="J3" s="1127"/>
      <c r="K3" s="1062"/>
      <c r="L3" s="1119"/>
      <c r="M3" s="1119"/>
      <c r="N3" s="1120"/>
    </row>
    <row r="4" spans="1:14" ht="21" customHeight="1" x14ac:dyDescent="0.25">
      <c r="A4" s="193">
        <v>1</v>
      </c>
      <c r="B4" s="197">
        <v>44264</v>
      </c>
      <c r="C4" s="58">
        <v>400734</v>
      </c>
      <c r="D4" s="53" t="s">
        <v>435</v>
      </c>
      <c r="E4" s="126" t="s">
        <v>477</v>
      </c>
      <c r="F4" s="45">
        <v>1200000</v>
      </c>
      <c r="G4" s="133" t="s">
        <v>476</v>
      </c>
      <c r="H4" s="301">
        <v>44273</v>
      </c>
      <c r="I4" s="301">
        <v>44304</v>
      </c>
      <c r="J4" s="444">
        <f>B1-I4</f>
        <v>198</v>
      </c>
      <c r="K4" s="191">
        <f>F4</f>
        <v>1200000</v>
      </c>
      <c r="L4" s="196">
        <v>600000</v>
      </c>
      <c r="M4" s="285">
        <v>600000</v>
      </c>
      <c r="N4" s="192">
        <f>K4-L4-M4</f>
        <v>0</v>
      </c>
    </row>
    <row r="5" spans="1:14" ht="21" customHeight="1" x14ac:dyDescent="0.25">
      <c r="A5" s="193">
        <v>2</v>
      </c>
      <c r="B5" s="197">
        <v>44274</v>
      </c>
      <c r="C5" s="58"/>
      <c r="D5" s="53" t="s">
        <v>435</v>
      </c>
      <c r="E5" s="126" t="s">
        <v>462</v>
      </c>
      <c r="F5" s="45">
        <v>700000</v>
      </c>
      <c r="G5" s="133" t="s">
        <v>482</v>
      </c>
      <c r="H5" s="301">
        <v>44275</v>
      </c>
      <c r="I5" s="301">
        <v>44306</v>
      </c>
      <c r="J5" s="444">
        <f>B1-I5</f>
        <v>196</v>
      </c>
      <c r="K5" s="191">
        <f t="shared" ref="K5:K13" si="0">F5</f>
        <v>700000</v>
      </c>
      <c r="L5" s="196">
        <v>500000</v>
      </c>
      <c r="M5" s="285">
        <v>200000</v>
      </c>
      <c r="N5" s="192">
        <f t="shared" ref="N5:N12" si="1">K5-L5-M5</f>
        <v>0</v>
      </c>
    </row>
    <row r="6" spans="1:14" ht="21" customHeight="1" x14ac:dyDescent="0.25">
      <c r="A6" s="193">
        <v>3</v>
      </c>
      <c r="B6" s="197">
        <v>44290</v>
      </c>
      <c r="C6" s="58"/>
      <c r="D6" s="53" t="s">
        <v>435</v>
      </c>
      <c r="E6" s="126" t="s">
        <v>641</v>
      </c>
      <c r="F6" s="45">
        <v>12394000</v>
      </c>
      <c r="G6" s="133" t="s">
        <v>640</v>
      </c>
      <c r="H6" s="301">
        <v>44306</v>
      </c>
      <c r="I6" s="301">
        <v>44336</v>
      </c>
      <c r="J6" s="444">
        <f>B1-I6</f>
        <v>166</v>
      </c>
      <c r="K6" s="191">
        <f t="shared" si="0"/>
        <v>12394000</v>
      </c>
      <c r="L6" s="196">
        <v>10000000</v>
      </c>
      <c r="M6" s="285"/>
      <c r="N6" s="192">
        <f t="shared" si="1"/>
        <v>2394000</v>
      </c>
    </row>
    <row r="7" spans="1:14" ht="21" customHeight="1" x14ac:dyDescent="0.25">
      <c r="A7" s="193">
        <v>4</v>
      </c>
      <c r="B7" s="197">
        <v>44281</v>
      </c>
      <c r="C7" s="58" t="s">
        <v>643</v>
      </c>
      <c r="D7" s="53" t="s">
        <v>435</v>
      </c>
      <c r="E7" s="126" t="s">
        <v>171</v>
      </c>
      <c r="F7" s="45">
        <v>2000000</v>
      </c>
      <c r="G7" s="133" t="s">
        <v>642</v>
      </c>
      <c r="H7" s="301">
        <v>44306</v>
      </c>
      <c r="I7" s="301">
        <v>44336</v>
      </c>
      <c r="J7" s="444">
        <f>B1-I7</f>
        <v>166</v>
      </c>
      <c r="K7" s="191">
        <f t="shared" si="0"/>
        <v>2000000</v>
      </c>
      <c r="L7" s="196"/>
      <c r="M7" s="285"/>
      <c r="N7" s="192">
        <f t="shared" si="1"/>
        <v>2000000</v>
      </c>
    </row>
    <row r="8" spans="1:14" ht="21" customHeight="1" x14ac:dyDescent="0.25">
      <c r="A8" s="193">
        <v>5</v>
      </c>
      <c r="B8" s="197">
        <v>44291</v>
      </c>
      <c r="C8" s="58"/>
      <c r="D8" s="53" t="s">
        <v>435</v>
      </c>
      <c r="E8" s="126" t="s">
        <v>645</v>
      </c>
      <c r="F8" s="45">
        <v>700000</v>
      </c>
      <c r="G8" s="133" t="s">
        <v>644</v>
      </c>
      <c r="H8" s="301">
        <v>44306</v>
      </c>
      <c r="I8" s="301">
        <v>44336</v>
      </c>
      <c r="J8" s="444">
        <f>B1-I8</f>
        <v>166</v>
      </c>
      <c r="K8" s="191">
        <f t="shared" si="0"/>
        <v>700000</v>
      </c>
      <c r="L8" s="196"/>
      <c r="M8" s="285">
        <v>550000</v>
      </c>
      <c r="N8" s="192">
        <f t="shared" si="1"/>
        <v>150000</v>
      </c>
    </row>
    <row r="9" spans="1:14" ht="21" customHeight="1" x14ac:dyDescent="0.25">
      <c r="A9" s="193">
        <v>6</v>
      </c>
      <c r="B9" s="197">
        <v>44308</v>
      </c>
      <c r="C9" s="58"/>
      <c r="D9" s="53" t="s">
        <v>435</v>
      </c>
      <c r="E9" s="168" t="s">
        <v>133</v>
      </c>
      <c r="F9" s="45">
        <v>1100000</v>
      </c>
      <c r="G9" s="133" t="s">
        <v>690</v>
      </c>
      <c r="H9" s="301">
        <v>44316</v>
      </c>
      <c r="I9" s="301">
        <v>44346</v>
      </c>
      <c r="J9" s="444">
        <f>B1-I9</f>
        <v>156</v>
      </c>
      <c r="K9" s="191">
        <f t="shared" si="0"/>
        <v>1100000</v>
      </c>
      <c r="L9" s="196">
        <v>1000000</v>
      </c>
      <c r="M9" s="285">
        <v>100000</v>
      </c>
      <c r="N9" s="192">
        <f t="shared" si="1"/>
        <v>0</v>
      </c>
    </row>
    <row r="10" spans="1:14" ht="21" customHeight="1" x14ac:dyDescent="0.25">
      <c r="A10" s="193">
        <v>7</v>
      </c>
      <c r="B10" s="197">
        <v>44321</v>
      </c>
      <c r="C10" s="58">
        <v>403504</v>
      </c>
      <c r="D10" s="167" t="s">
        <v>435</v>
      </c>
      <c r="E10" s="126" t="s">
        <v>668</v>
      </c>
      <c r="F10" s="45">
        <v>14000000</v>
      </c>
      <c r="G10" s="133" t="s">
        <v>794</v>
      </c>
      <c r="H10" s="301">
        <v>44341</v>
      </c>
      <c r="I10" s="301">
        <v>44372</v>
      </c>
      <c r="J10" s="444">
        <f>B1-I10</f>
        <v>130</v>
      </c>
      <c r="K10" s="191">
        <f t="shared" si="0"/>
        <v>14000000</v>
      </c>
      <c r="L10" s="196">
        <v>7000000</v>
      </c>
      <c r="M10" s="285"/>
      <c r="N10" s="192">
        <f t="shared" si="1"/>
        <v>7000000</v>
      </c>
    </row>
    <row r="11" spans="1:14" ht="21" customHeight="1" x14ac:dyDescent="0.25">
      <c r="A11" s="193">
        <v>8</v>
      </c>
      <c r="B11" s="197">
        <v>44305</v>
      </c>
      <c r="C11" s="58" t="s">
        <v>801</v>
      </c>
      <c r="D11" s="53" t="s">
        <v>435</v>
      </c>
      <c r="E11" s="168" t="s">
        <v>800</v>
      </c>
      <c r="F11" s="45">
        <v>1500000</v>
      </c>
      <c r="G11" s="133" t="s">
        <v>799</v>
      </c>
      <c r="H11" s="301">
        <v>44347</v>
      </c>
      <c r="I11" s="301">
        <v>44377</v>
      </c>
      <c r="J11" s="444">
        <f>B1-I11</f>
        <v>125</v>
      </c>
      <c r="K11" s="191">
        <f t="shared" si="0"/>
        <v>1500000</v>
      </c>
      <c r="L11" s="196"/>
      <c r="M11" s="285">
        <v>1500000</v>
      </c>
      <c r="N11" s="192">
        <f t="shared" si="1"/>
        <v>0</v>
      </c>
    </row>
    <row r="12" spans="1:14" ht="21" customHeight="1" x14ac:dyDescent="0.25">
      <c r="A12" s="193">
        <v>9</v>
      </c>
      <c r="B12" s="197">
        <v>44334</v>
      </c>
      <c r="C12" s="58"/>
      <c r="D12" s="53" t="s">
        <v>435</v>
      </c>
      <c r="E12" s="168" t="s">
        <v>163</v>
      </c>
      <c r="F12" s="45">
        <v>8550000</v>
      </c>
      <c r="G12" s="133" t="s">
        <v>802</v>
      </c>
      <c r="H12" s="301">
        <v>44347</v>
      </c>
      <c r="I12" s="301">
        <v>44377</v>
      </c>
      <c r="J12" s="444">
        <f>B1-I12</f>
        <v>125</v>
      </c>
      <c r="K12" s="191">
        <f t="shared" si="0"/>
        <v>8550000</v>
      </c>
      <c r="L12" s="196">
        <v>5000000</v>
      </c>
      <c r="M12" s="285">
        <v>3550000</v>
      </c>
      <c r="N12" s="192">
        <f t="shared" si="1"/>
        <v>0</v>
      </c>
    </row>
    <row r="13" spans="1:14" ht="21" customHeight="1" x14ac:dyDescent="0.25">
      <c r="A13" s="193">
        <v>10</v>
      </c>
      <c r="B13" s="247">
        <v>44350</v>
      </c>
      <c r="C13" s="58"/>
      <c r="D13" s="112" t="s">
        <v>1002</v>
      </c>
      <c r="E13" s="126" t="s">
        <v>653</v>
      </c>
      <c r="F13" s="45">
        <v>700000</v>
      </c>
      <c r="G13" s="133" t="s">
        <v>1015</v>
      </c>
      <c r="H13" s="301">
        <v>44359</v>
      </c>
      <c r="I13" s="301">
        <v>44389</v>
      </c>
      <c r="J13" s="444">
        <f>B1-I13</f>
        <v>113</v>
      </c>
      <c r="K13" s="191">
        <f t="shared" si="0"/>
        <v>700000</v>
      </c>
      <c r="L13" s="285"/>
      <c r="M13" s="284"/>
      <c r="N13" s="192">
        <f t="shared" ref="N13" si="2">K13-L13-M13</f>
        <v>700000</v>
      </c>
    </row>
    <row r="14" spans="1:14" ht="38.25" customHeight="1" x14ac:dyDescent="0.25">
      <c r="A14" s="1074" t="s">
        <v>788</v>
      </c>
      <c r="B14" s="1074"/>
      <c r="C14" s="1074"/>
      <c r="D14" s="1074"/>
      <c r="E14" s="1074"/>
      <c r="F14" s="1074"/>
      <c r="G14" s="1074"/>
      <c r="H14" s="1074"/>
      <c r="I14" s="1074"/>
      <c r="J14" s="1074"/>
      <c r="K14" s="1074"/>
      <c r="L14" s="1074"/>
      <c r="M14" s="195"/>
      <c r="N14" s="198">
        <f>SUM(N4:N13)</f>
        <v>12244000</v>
      </c>
    </row>
    <row r="15" spans="1:14" x14ac:dyDescent="0.25">
      <c r="A15" s="40"/>
      <c r="B15" s="41"/>
      <c r="C15" s="7"/>
      <c r="D15" s="7"/>
      <c r="E15" s="7"/>
      <c r="F15" s="42"/>
      <c r="G15" s="7"/>
      <c r="H15" s="443"/>
      <c r="I15" s="443"/>
      <c r="J15" s="443"/>
      <c r="K15"/>
      <c r="L15"/>
      <c r="M15"/>
      <c r="N15"/>
    </row>
    <row r="16" spans="1:14" x14ac:dyDescent="0.25">
      <c r="A16" s="40"/>
      <c r="B16" s="41"/>
      <c r="C16" s="7"/>
      <c r="D16" s="7"/>
      <c r="E16" s="7"/>
      <c r="F16" s="42"/>
      <c r="G16" s="7"/>
      <c r="H16" s="443"/>
      <c r="I16" s="443"/>
      <c r="J16" s="443"/>
      <c r="K16"/>
      <c r="L16"/>
      <c r="M16"/>
      <c r="N16"/>
    </row>
    <row r="17" spans="1:14" x14ac:dyDescent="0.25">
      <c r="A17" s="40"/>
      <c r="B17" s="41"/>
      <c r="C17" s="7"/>
      <c r="D17" s="7"/>
      <c r="E17" s="7"/>
      <c r="F17" s="42"/>
      <c r="G17" s="7"/>
      <c r="H17" s="443"/>
      <c r="I17" s="443"/>
      <c r="J17" s="443"/>
      <c r="K17"/>
      <c r="L17"/>
      <c r="M17"/>
      <c r="N17"/>
    </row>
    <row r="18" spans="1:14" x14ac:dyDescent="0.25">
      <c r="A18" s="40"/>
      <c r="B18" s="41"/>
      <c r="C18" s="7"/>
      <c r="D18" s="7"/>
      <c r="E18" s="7"/>
      <c r="F18" s="42"/>
      <c r="G18" s="7"/>
      <c r="H18" s="443"/>
      <c r="I18" s="443"/>
      <c r="J18" s="443"/>
      <c r="K18"/>
      <c r="L18"/>
      <c r="M18"/>
      <c r="N18"/>
    </row>
    <row r="19" spans="1:14" x14ac:dyDescent="0.25">
      <c r="A19" s="40"/>
      <c r="B19" s="41"/>
      <c r="C19" s="7"/>
      <c r="D19" s="7"/>
      <c r="E19" s="7"/>
      <c r="F19" s="42"/>
      <c r="G19" s="7"/>
      <c r="H19" s="443"/>
      <c r="I19" s="443"/>
      <c r="J19" s="443"/>
      <c r="K19"/>
      <c r="L19"/>
      <c r="M19"/>
      <c r="N19"/>
    </row>
    <row r="20" spans="1:14" x14ac:dyDescent="0.25">
      <c r="A20" s="40"/>
      <c r="B20" s="41"/>
      <c r="C20" s="7"/>
      <c r="D20" s="7"/>
      <c r="E20" s="7"/>
      <c r="F20" s="42"/>
      <c r="G20" s="7"/>
      <c r="H20" s="443"/>
      <c r="I20" s="443"/>
      <c r="J20" s="443"/>
      <c r="K20"/>
      <c r="L20"/>
      <c r="M20"/>
      <c r="N20"/>
    </row>
    <row r="21" spans="1:14" x14ac:dyDescent="0.25">
      <c r="A21" s="40"/>
      <c r="B21" s="41"/>
      <c r="C21" s="7"/>
      <c r="D21" s="7"/>
      <c r="E21" s="7"/>
      <c r="F21" s="42"/>
      <c r="G21" s="7"/>
      <c r="H21" s="443"/>
      <c r="I21" s="443"/>
      <c r="J21" s="443"/>
      <c r="K21"/>
      <c r="L21"/>
      <c r="M21"/>
      <c r="N21"/>
    </row>
    <row r="22" spans="1:14" x14ac:dyDescent="0.25">
      <c r="A22" s="40"/>
      <c r="B22" s="41"/>
      <c r="C22" s="7"/>
      <c r="D22" s="7"/>
      <c r="E22" s="7"/>
      <c r="F22" s="42"/>
      <c r="G22" s="7"/>
      <c r="H22" s="443"/>
      <c r="I22" s="443"/>
      <c r="J22" s="443"/>
      <c r="K22"/>
      <c r="L22"/>
      <c r="M22"/>
      <c r="N22"/>
    </row>
    <row r="23" spans="1:14" x14ac:dyDescent="0.25">
      <c r="A23" s="40"/>
      <c r="B23" s="41"/>
      <c r="C23" s="7"/>
      <c r="D23" s="7"/>
      <c r="E23" s="7"/>
      <c r="F23" s="42"/>
      <c r="G23" s="7"/>
      <c r="H23" s="443"/>
      <c r="I23" s="443"/>
      <c r="J23" s="443"/>
      <c r="K23"/>
      <c r="L23"/>
      <c r="M23"/>
      <c r="N23"/>
    </row>
    <row r="24" spans="1:14" x14ac:dyDescent="0.25">
      <c r="A24" s="40"/>
      <c r="B24" s="41"/>
      <c r="C24" s="7"/>
      <c r="D24" s="7"/>
      <c r="E24" s="7"/>
      <c r="F24" s="42"/>
      <c r="G24" s="7"/>
      <c r="H24" s="443"/>
      <c r="I24" s="443"/>
      <c r="J24" s="443"/>
      <c r="K24"/>
      <c r="L24"/>
      <c r="M24"/>
      <c r="N24"/>
    </row>
    <row r="25" spans="1:14" x14ac:dyDescent="0.25">
      <c r="A25" s="40"/>
      <c r="B25" s="41"/>
      <c r="C25" s="7"/>
      <c r="D25" s="7"/>
      <c r="E25" s="7"/>
      <c r="F25" s="42"/>
      <c r="G25" s="7"/>
      <c r="H25" s="443"/>
      <c r="I25" s="443"/>
      <c r="J25" s="443"/>
      <c r="K25"/>
      <c r="L25"/>
      <c r="M25"/>
      <c r="N25"/>
    </row>
    <row r="26" spans="1:14" x14ac:dyDescent="0.25">
      <c r="A26" s="40"/>
      <c r="B26" s="41"/>
      <c r="C26" s="7"/>
      <c r="D26" s="7"/>
      <c r="E26" s="7"/>
      <c r="F26" s="42"/>
      <c r="G26" s="7"/>
      <c r="H26" s="443"/>
      <c r="I26" s="443"/>
      <c r="J26" s="443"/>
      <c r="K26"/>
      <c r="L26"/>
      <c r="M26"/>
      <c r="N26"/>
    </row>
    <row r="27" spans="1:14" x14ac:dyDescent="0.25">
      <c r="A27" s="40"/>
      <c r="B27" s="41"/>
      <c r="C27" s="7"/>
      <c r="D27" s="7"/>
      <c r="E27" s="7"/>
      <c r="F27" s="42"/>
      <c r="G27" s="7"/>
      <c r="H27" s="443"/>
      <c r="I27" s="443"/>
      <c r="J27" s="443"/>
      <c r="K27"/>
      <c r="L27"/>
      <c r="M27"/>
      <c r="N27"/>
    </row>
    <row r="28" spans="1:14" x14ac:dyDescent="0.25">
      <c r="A28" s="40"/>
      <c r="B28" s="41"/>
      <c r="C28" s="7"/>
      <c r="D28" s="7"/>
      <c r="E28" s="7"/>
      <c r="F28" s="42"/>
      <c r="G28" s="7"/>
      <c r="H28" s="443"/>
      <c r="I28" s="443"/>
      <c r="J28" s="443"/>
      <c r="K28"/>
      <c r="L28"/>
      <c r="M28"/>
      <c r="N28"/>
    </row>
    <row r="29" spans="1:14" x14ac:dyDescent="0.25">
      <c r="A29" s="40"/>
      <c r="B29" s="41"/>
      <c r="C29" s="7"/>
      <c r="D29" s="7"/>
      <c r="E29" s="7"/>
      <c r="F29" s="42"/>
      <c r="G29" s="7"/>
      <c r="H29" s="443"/>
      <c r="I29" s="443"/>
      <c r="J29" s="443"/>
      <c r="K29"/>
      <c r="L29"/>
      <c r="M29"/>
      <c r="N29"/>
    </row>
    <row r="30" spans="1:14" x14ac:dyDescent="0.25">
      <c r="A30" s="40"/>
      <c r="B30" s="41"/>
      <c r="C30" s="7"/>
      <c r="D30" s="7"/>
      <c r="E30" s="7"/>
      <c r="F30" s="42"/>
      <c r="G30" s="7"/>
      <c r="H30" s="443"/>
      <c r="I30" s="443"/>
      <c r="J30" s="443"/>
      <c r="K30"/>
      <c r="L30"/>
      <c r="M30"/>
      <c r="N30"/>
    </row>
    <row r="31" spans="1:14" x14ac:dyDescent="0.25">
      <c r="A31" s="40"/>
      <c r="B31" s="41"/>
      <c r="C31" s="7"/>
      <c r="D31" s="7"/>
      <c r="E31" s="7"/>
      <c r="F31" s="42"/>
      <c r="G31" s="7"/>
      <c r="H31" s="443"/>
      <c r="I31" s="443"/>
      <c r="J31" s="443"/>
      <c r="K31"/>
      <c r="L31"/>
      <c r="M31"/>
      <c r="N31"/>
    </row>
    <row r="32" spans="1:14" x14ac:dyDescent="0.25">
      <c r="A32" s="40"/>
      <c r="B32" s="41"/>
      <c r="C32" s="7"/>
      <c r="D32" s="7"/>
      <c r="E32" s="7"/>
      <c r="F32" s="42"/>
      <c r="G32" s="7"/>
      <c r="H32" s="443"/>
      <c r="I32" s="443"/>
      <c r="J32" s="443"/>
      <c r="K32"/>
      <c r="L32"/>
      <c r="M32"/>
      <c r="N32"/>
    </row>
    <row r="33" spans="1:14" x14ac:dyDescent="0.25">
      <c r="A33" s="40"/>
      <c r="B33" s="41"/>
      <c r="C33" s="7"/>
      <c r="D33" s="7"/>
      <c r="E33" s="7"/>
      <c r="F33" s="42"/>
      <c r="G33" s="7"/>
      <c r="H33" s="443"/>
      <c r="I33" s="443"/>
      <c r="J33" s="443"/>
      <c r="K33"/>
      <c r="L33"/>
      <c r="M33"/>
      <c r="N33"/>
    </row>
    <row r="34" spans="1:14" x14ac:dyDescent="0.25">
      <c r="A34" s="40"/>
      <c r="B34" s="41"/>
      <c r="C34" s="7"/>
      <c r="D34" s="7"/>
      <c r="E34" s="7"/>
      <c r="F34" s="42"/>
      <c r="G34" s="7"/>
      <c r="H34" s="443"/>
      <c r="I34" s="443"/>
      <c r="J34" s="443"/>
      <c r="K34"/>
      <c r="L34"/>
      <c r="M34"/>
      <c r="N34"/>
    </row>
    <row r="35" spans="1:14" x14ac:dyDescent="0.25">
      <c r="A35" s="40"/>
      <c r="B35" s="41"/>
      <c r="C35" s="7"/>
      <c r="D35" s="7"/>
      <c r="E35" s="7"/>
      <c r="F35" s="42"/>
      <c r="G35" s="7"/>
      <c r="H35" s="443"/>
      <c r="I35" s="443"/>
      <c r="J35" s="443"/>
      <c r="K35"/>
      <c r="L35"/>
      <c r="M35"/>
      <c r="N35"/>
    </row>
    <row r="36" spans="1:14" x14ac:dyDescent="0.25">
      <c r="A36" s="40"/>
      <c r="B36" s="41"/>
      <c r="C36" s="7"/>
      <c r="D36" s="7"/>
      <c r="E36" s="7"/>
      <c r="F36" s="42"/>
      <c r="G36" s="7"/>
      <c r="H36" s="443"/>
      <c r="I36" s="443"/>
      <c r="J36" s="443"/>
      <c r="K36"/>
      <c r="L36"/>
      <c r="M36"/>
      <c r="N36"/>
    </row>
    <row r="37" spans="1:14" x14ac:dyDescent="0.25">
      <c r="A37" s="40"/>
      <c r="B37" s="41"/>
      <c r="C37" s="7"/>
      <c r="D37" s="7"/>
      <c r="E37" s="7"/>
      <c r="F37" s="42"/>
      <c r="G37" s="7"/>
      <c r="H37" s="443"/>
      <c r="I37" s="443"/>
      <c r="J37" s="443"/>
      <c r="K37"/>
      <c r="L37"/>
      <c r="M37"/>
      <c r="N37"/>
    </row>
    <row r="38" spans="1:14" x14ac:dyDescent="0.25">
      <c r="A38" s="40"/>
      <c r="B38" s="41"/>
      <c r="C38" s="7"/>
      <c r="D38" s="7"/>
      <c r="E38" s="7"/>
      <c r="F38" s="42"/>
      <c r="G38" s="7"/>
      <c r="H38" s="443"/>
      <c r="I38" s="443"/>
      <c r="J38" s="443"/>
      <c r="K38"/>
      <c r="L38"/>
      <c r="M38"/>
      <c r="N38"/>
    </row>
    <row r="39" spans="1:14" x14ac:dyDescent="0.25">
      <c r="A39" s="40"/>
      <c r="B39" s="41"/>
      <c r="C39" s="7"/>
      <c r="D39" s="7"/>
      <c r="E39" s="7"/>
      <c r="F39" s="42"/>
      <c r="G39" s="7"/>
      <c r="H39" s="443"/>
      <c r="I39" s="443"/>
      <c r="J39" s="443"/>
      <c r="K39"/>
      <c r="L39"/>
      <c r="M39"/>
      <c r="N39"/>
    </row>
    <row r="40" spans="1:14" x14ac:dyDescent="0.25">
      <c r="A40" s="40"/>
      <c r="B40" s="41"/>
      <c r="C40" s="7"/>
      <c r="D40" s="7"/>
      <c r="E40" s="7"/>
      <c r="F40" s="42"/>
      <c r="G40" s="7"/>
      <c r="H40" s="443"/>
      <c r="I40" s="443"/>
      <c r="J40" s="443"/>
      <c r="K40"/>
      <c r="L40"/>
      <c r="M40"/>
      <c r="N40"/>
    </row>
    <row r="41" spans="1:14" x14ac:dyDescent="0.25">
      <c r="A41" s="40"/>
      <c r="B41" s="41"/>
      <c r="C41" s="7"/>
      <c r="D41" s="7"/>
      <c r="E41" s="7"/>
      <c r="F41" s="42"/>
      <c r="G41" s="7"/>
      <c r="H41" s="443"/>
      <c r="I41" s="443"/>
      <c r="J41" s="443"/>
      <c r="K41"/>
      <c r="L41"/>
      <c r="M41"/>
      <c r="N41"/>
    </row>
    <row r="42" spans="1:14" x14ac:dyDescent="0.25">
      <c r="A42" s="40"/>
      <c r="B42" s="41"/>
      <c r="C42" s="7"/>
      <c r="D42" s="7"/>
      <c r="E42" s="7"/>
      <c r="F42" s="42"/>
      <c r="G42" s="7"/>
      <c r="H42" s="443"/>
      <c r="I42" s="443"/>
      <c r="J42" s="443"/>
      <c r="K42"/>
      <c r="L42"/>
      <c r="M42"/>
      <c r="N42"/>
    </row>
    <row r="43" spans="1:14" x14ac:dyDescent="0.25">
      <c r="A43" s="40"/>
      <c r="B43" s="41"/>
      <c r="C43" s="7"/>
      <c r="D43" s="7"/>
      <c r="E43" s="7"/>
      <c r="F43" s="42"/>
      <c r="G43" s="7"/>
      <c r="H43" s="443"/>
      <c r="I43" s="443"/>
      <c r="J43" s="443"/>
      <c r="K43"/>
      <c r="L43"/>
      <c r="M43"/>
      <c r="N43"/>
    </row>
    <row r="44" spans="1:14" x14ac:dyDescent="0.25">
      <c r="A44" s="40"/>
      <c r="B44" s="41"/>
      <c r="C44" s="7"/>
      <c r="D44" s="7"/>
      <c r="E44" s="7"/>
      <c r="F44" s="42"/>
      <c r="G44" s="7"/>
      <c r="H44" s="443"/>
      <c r="I44" s="443"/>
      <c r="J44" s="443"/>
      <c r="K44"/>
      <c r="L44"/>
      <c r="M44"/>
      <c r="N44"/>
    </row>
    <row r="45" spans="1:14" x14ac:dyDescent="0.25">
      <c r="A45" s="40"/>
      <c r="B45" s="41"/>
      <c r="C45" s="7"/>
      <c r="D45" s="7"/>
      <c r="E45" s="7"/>
      <c r="F45" s="42"/>
      <c r="G45" s="7"/>
      <c r="H45" s="443"/>
      <c r="I45" s="443"/>
      <c r="J45" s="443"/>
      <c r="K45"/>
      <c r="L45"/>
      <c r="M45"/>
      <c r="N45"/>
    </row>
    <row r="46" spans="1:14" x14ac:dyDescent="0.25">
      <c r="A46" s="40"/>
      <c r="B46" s="41"/>
      <c r="C46" s="7"/>
      <c r="D46" s="7"/>
      <c r="E46" s="7"/>
      <c r="F46" s="42"/>
      <c r="G46" s="7"/>
      <c r="H46" s="443"/>
      <c r="I46" s="443"/>
      <c r="J46" s="443"/>
      <c r="K46"/>
      <c r="L46"/>
      <c r="M46"/>
      <c r="N46"/>
    </row>
    <row r="47" spans="1:14" x14ac:dyDescent="0.25">
      <c r="A47" s="40"/>
      <c r="B47" s="41"/>
      <c r="C47" s="7"/>
      <c r="D47" s="7"/>
      <c r="E47" s="7"/>
      <c r="F47" s="42"/>
      <c r="G47" s="7"/>
      <c r="H47" s="443"/>
      <c r="I47" s="443"/>
      <c r="J47" s="443"/>
      <c r="K47"/>
      <c r="L47"/>
      <c r="M47"/>
      <c r="N47"/>
    </row>
    <row r="48" spans="1:14" x14ac:dyDescent="0.25">
      <c r="A48" s="40"/>
      <c r="B48" s="41"/>
      <c r="C48" s="7"/>
      <c r="D48" s="7"/>
      <c r="E48" s="7"/>
      <c r="F48" s="42"/>
      <c r="G48" s="7"/>
      <c r="H48" s="443"/>
      <c r="I48" s="443"/>
      <c r="J48" s="443"/>
      <c r="K48"/>
      <c r="L48"/>
      <c r="M48"/>
      <c r="N48"/>
    </row>
    <row r="49" spans="1:14" x14ac:dyDescent="0.25">
      <c r="A49" s="40"/>
      <c r="B49" s="41"/>
      <c r="C49" s="7"/>
      <c r="D49" s="7"/>
      <c r="E49" s="7"/>
      <c r="F49" s="42"/>
      <c r="G49" s="7"/>
      <c r="H49" s="443"/>
      <c r="I49" s="443"/>
      <c r="J49" s="443"/>
      <c r="K49"/>
      <c r="L49"/>
      <c r="M49"/>
      <c r="N49"/>
    </row>
    <row r="50" spans="1:14" x14ac:dyDescent="0.25">
      <c r="A50" s="40"/>
      <c r="B50" s="41"/>
      <c r="C50" s="7"/>
      <c r="D50" s="7"/>
      <c r="E50" s="7"/>
      <c r="F50" s="42"/>
      <c r="G50" s="7"/>
      <c r="H50" s="443"/>
      <c r="I50" s="443"/>
      <c r="J50" s="443"/>
      <c r="K50"/>
      <c r="L50"/>
      <c r="M50"/>
      <c r="N50"/>
    </row>
    <row r="51" spans="1:14" x14ac:dyDescent="0.25">
      <c r="A51" s="40"/>
      <c r="B51" s="41"/>
      <c r="C51" s="7"/>
      <c r="D51" s="7"/>
      <c r="E51" s="7"/>
      <c r="F51" s="42"/>
      <c r="G51" s="7"/>
      <c r="H51" s="443"/>
      <c r="I51" s="443"/>
      <c r="J51" s="443"/>
      <c r="K51"/>
      <c r="L51"/>
      <c r="M51"/>
      <c r="N51"/>
    </row>
    <row r="52" spans="1:14" x14ac:dyDescent="0.25">
      <c r="A52" s="40"/>
      <c r="B52" s="41"/>
      <c r="C52" s="7"/>
      <c r="D52" s="7"/>
      <c r="E52" s="7"/>
      <c r="F52" s="42"/>
      <c r="G52" s="7"/>
      <c r="H52" s="443"/>
      <c r="I52" s="443"/>
      <c r="J52" s="443"/>
      <c r="K52"/>
      <c r="L52"/>
      <c r="M52"/>
      <c r="N52"/>
    </row>
    <row r="53" spans="1:14" x14ac:dyDescent="0.25">
      <c r="A53" s="40"/>
      <c r="B53" s="41"/>
      <c r="C53" s="7"/>
      <c r="D53" s="7"/>
      <c r="E53" s="7"/>
      <c r="F53" s="42"/>
      <c r="G53" s="7"/>
      <c r="H53" s="443"/>
      <c r="I53" s="443"/>
      <c r="J53" s="443"/>
      <c r="K53"/>
      <c r="L53"/>
      <c r="M53"/>
      <c r="N53"/>
    </row>
    <row r="54" spans="1:14" x14ac:dyDescent="0.25">
      <c r="A54" s="40"/>
      <c r="B54" s="41"/>
      <c r="C54" s="7"/>
      <c r="D54" s="7"/>
      <c r="E54" s="7"/>
      <c r="F54" s="42"/>
      <c r="G54" s="7"/>
      <c r="H54" s="443"/>
      <c r="I54" s="443"/>
      <c r="J54" s="443"/>
      <c r="K54"/>
      <c r="L54"/>
      <c r="M54"/>
      <c r="N54"/>
    </row>
    <row r="55" spans="1:14" x14ac:dyDescent="0.25">
      <c r="A55" s="40"/>
      <c r="B55" s="41"/>
      <c r="C55" s="7"/>
      <c r="D55" s="7"/>
      <c r="E55" s="7"/>
      <c r="F55" s="42"/>
      <c r="G55" s="7"/>
      <c r="H55" s="443"/>
      <c r="I55" s="443"/>
      <c r="J55" s="443"/>
      <c r="K55"/>
      <c r="L55"/>
      <c r="M55"/>
      <c r="N55"/>
    </row>
    <row r="56" spans="1:14" x14ac:dyDescent="0.25">
      <c r="A56" s="40"/>
      <c r="B56" s="41"/>
      <c r="C56" s="7"/>
      <c r="D56" s="7"/>
      <c r="E56" s="7"/>
      <c r="F56" s="42"/>
      <c r="G56" s="7"/>
      <c r="H56" s="443"/>
      <c r="I56" s="443"/>
      <c r="J56" s="443"/>
      <c r="K56"/>
      <c r="L56"/>
      <c r="M56"/>
      <c r="N56"/>
    </row>
    <row r="57" spans="1:14" x14ac:dyDescent="0.25">
      <c r="A57" s="40"/>
      <c r="B57" s="41"/>
      <c r="C57" s="7"/>
      <c r="D57" s="7"/>
      <c r="E57" s="7"/>
      <c r="F57" s="42"/>
      <c r="G57" s="7"/>
      <c r="H57" s="443"/>
      <c r="I57" s="443"/>
      <c r="J57" s="443"/>
      <c r="K57"/>
      <c r="L57"/>
      <c r="M57"/>
      <c r="N57"/>
    </row>
    <row r="58" spans="1:14" x14ac:dyDescent="0.25">
      <c r="A58" s="40"/>
      <c r="B58" s="41"/>
      <c r="C58" s="7"/>
      <c r="D58" s="7"/>
      <c r="E58" s="7"/>
      <c r="F58" s="42"/>
      <c r="G58" s="7"/>
      <c r="H58" s="443"/>
      <c r="I58" s="443"/>
      <c r="J58" s="443"/>
      <c r="K58"/>
      <c r="L58"/>
      <c r="M58"/>
      <c r="N58"/>
    </row>
    <row r="59" spans="1:14" x14ac:dyDescent="0.25">
      <c r="A59" s="40"/>
      <c r="B59" s="41"/>
      <c r="C59" s="7"/>
      <c r="D59" s="7"/>
      <c r="E59" s="7"/>
      <c r="F59" s="42"/>
      <c r="G59" s="7"/>
      <c r="H59" s="443"/>
      <c r="I59" s="443"/>
      <c r="J59" s="443"/>
      <c r="K59"/>
      <c r="L59"/>
      <c r="M59"/>
      <c r="N59"/>
    </row>
    <row r="60" spans="1:14" x14ac:dyDescent="0.25">
      <c r="A60" s="40"/>
      <c r="B60" s="41"/>
      <c r="C60" s="7"/>
      <c r="D60" s="7"/>
      <c r="E60" s="7"/>
      <c r="F60" s="42"/>
      <c r="G60" s="7"/>
      <c r="H60" s="443"/>
      <c r="I60" s="443"/>
      <c r="J60" s="443"/>
      <c r="K60"/>
      <c r="L60"/>
      <c r="M60"/>
      <c r="N60"/>
    </row>
    <row r="61" spans="1:14" x14ac:dyDescent="0.25">
      <c r="A61" s="40"/>
      <c r="B61" s="41"/>
      <c r="C61" s="7"/>
      <c r="D61" s="7"/>
      <c r="E61" s="7"/>
      <c r="F61" s="42"/>
      <c r="G61" s="7"/>
      <c r="H61" s="443"/>
      <c r="I61" s="443"/>
      <c r="J61" s="443"/>
      <c r="K61"/>
      <c r="L61"/>
      <c r="M61"/>
      <c r="N61"/>
    </row>
    <row r="62" spans="1:14" x14ac:dyDescent="0.25">
      <c r="A62" s="40"/>
      <c r="B62" s="41"/>
      <c r="C62" s="7"/>
      <c r="D62" s="7"/>
      <c r="E62" s="7"/>
      <c r="F62" s="42"/>
      <c r="G62" s="7"/>
      <c r="H62" s="443"/>
      <c r="I62" s="443"/>
      <c r="J62" s="443"/>
      <c r="K62"/>
      <c r="L62"/>
      <c r="M62"/>
      <c r="N62"/>
    </row>
    <row r="63" spans="1:14" x14ac:dyDescent="0.25">
      <c r="A63" s="40"/>
      <c r="B63" s="41"/>
      <c r="C63" s="7"/>
      <c r="D63" s="7"/>
      <c r="E63" s="7"/>
      <c r="F63" s="42"/>
      <c r="G63" s="7"/>
      <c r="H63" s="443"/>
      <c r="I63" s="443"/>
      <c r="J63" s="443"/>
      <c r="K63"/>
      <c r="L63"/>
      <c r="M63"/>
      <c r="N63"/>
    </row>
    <row r="64" spans="1:14" x14ac:dyDescent="0.25">
      <c r="A64" s="40"/>
      <c r="B64" s="41"/>
      <c r="C64" s="7"/>
      <c r="D64" s="7"/>
      <c r="E64" s="7"/>
      <c r="F64" s="42"/>
      <c r="G64" s="7"/>
      <c r="H64" s="443"/>
      <c r="I64" s="443"/>
      <c r="J64" s="443"/>
      <c r="K64"/>
      <c r="L64"/>
      <c r="M64"/>
      <c r="N64"/>
    </row>
    <row r="65" spans="1:14" x14ac:dyDescent="0.25">
      <c r="A65" s="40"/>
      <c r="B65" s="41"/>
      <c r="C65" s="7"/>
      <c r="D65" s="7"/>
      <c r="E65" s="7"/>
      <c r="F65" s="42"/>
      <c r="G65" s="7"/>
      <c r="H65" s="443"/>
      <c r="I65" s="443"/>
      <c r="J65" s="443"/>
      <c r="K65"/>
      <c r="L65"/>
      <c r="M65"/>
      <c r="N65"/>
    </row>
    <row r="66" spans="1:14" x14ac:dyDescent="0.25">
      <c r="A66" s="40"/>
      <c r="B66" s="41"/>
      <c r="C66" s="7"/>
      <c r="D66" s="7"/>
      <c r="E66" s="7"/>
      <c r="F66" s="42"/>
      <c r="G66" s="7"/>
      <c r="H66" s="443"/>
      <c r="I66" s="443"/>
      <c r="J66" s="443"/>
      <c r="K66"/>
      <c r="L66"/>
      <c r="M66"/>
      <c r="N66"/>
    </row>
    <row r="67" spans="1:14" x14ac:dyDescent="0.25">
      <c r="A67" s="40"/>
      <c r="B67" s="41"/>
      <c r="C67" s="7"/>
      <c r="D67" s="7"/>
      <c r="E67" s="7"/>
      <c r="F67" s="42"/>
      <c r="G67" s="7"/>
      <c r="H67" s="443"/>
      <c r="I67" s="443"/>
      <c r="J67" s="443"/>
      <c r="K67"/>
      <c r="L67"/>
      <c r="M67"/>
      <c r="N67"/>
    </row>
    <row r="68" spans="1:14" x14ac:dyDescent="0.25">
      <c r="A68" s="40"/>
      <c r="B68" s="41"/>
      <c r="C68" s="7"/>
      <c r="D68" s="7"/>
      <c r="E68" s="7"/>
      <c r="F68" s="42"/>
      <c r="G68" s="7"/>
      <c r="H68" s="443"/>
      <c r="I68" s="443"/>
      <c r="J68" s="443"/>
      <c r="K68"/>
      <c r="L68"/>
      <c r="M68"/>
      <c r="N68"/>
    </row>
    <row r="69" spans="1:14" x14ac:dyDescent="0.25">
      <c r="A69" s="40"/>
      <c r="B69" s="41"/>
      <c r="C69" s="7"/>
      <c r="D69" s="7"/>
      <c r="E69" s="7"/>
      <c r="F69" s="42"/>
      <c r="G69" s="7"/>
      <c r="H69" s="443"/>
      <c r="I69" s="443"/>
      <c r="J69" s="443"/>
      <c r="K69"/>
      <c r="L69"/>
      <c r="M69"/>
      <c r="N69"/>
    </row>
    <row r="70" spans="1:14" x14ac:dyDescent="0.25">
      <c r="A70" s="40"/>
      <c r="B70" s="41"/>
      <c r="C70" s="7"/>
      <c r="D70" s="7"/>
      <c r="E70" s="7"/>
      <c r="F70" s="42"/>
      <c r="G70" s="7"/>
      <c r="H70" s="443"/>
      <c r="I70" s="443"/>
      <c r="J70" s="443"/>
      <c r="K70"/>
      <c r="L70"/>
      <c r="M70"/>
      <c r="N70"/>
    </row>
    <row r="71" spans="1:14" x14ac:dyDescent="0.25">
      <c r="A71" s="40"/>
      <c r="B71" s="41"/>
      <c r="C71" s="7"/>
      <c r="D71" s="7"/>
      <c r="E71" s="7"/>
      <c r="F71" s="42"/>
      <c r="G71" s="7"/>
      <c r="H71" s="443"/>
      <c r="I71" s="443"/>
      <c r="J71" s="443"/>
      <c r="K71"/>
      <c r="L71"/>
      <c r="M71"/>
      <c r="N71"/>
    </row>
    <row r="72" spans="1:14" x14ac:dyDescent="0.25">
      <c r="A72" s="40"/>
      <c r="B72" s="41"/>
      <c r="C72" s="7"/>
      <c r="D72" s="7"/>
      <c r="E72" s="7"/>
      <c r="F72" s="42"/>
      <c r="G72" s="7"/>
      <c r="H72" s="443"/>
      <c r="I72" s="443"/>
      <c r="J72" s="443"/>
      <c r="K72"/>
      <c r="L72"/>
      <c r="M72"/>
      <c r="N72"/>
    </row>
    <row r="73" spans="1:14" x14ac:dyDescent="0.25">
      <c r="A73" s="40"/>
      <c r="B73" s="41"/>
      <c r="C73" s="7"/>
      <c r="D73" s="7"/>
      <c r="E73" s="7"/>
      <c r="F73" s="42"/>
      <c r="G73" s="7"/>
      <c r="H73" s="443"/>
      <c r="I73" s="443"/>
      <c r="J73" s="443"/>
      <c r="K73"/>
      <c r="L73"/>
      <c r="M73"/>
      <c r="N73"/>
    </row>
    <row r="74" spans="1:14" x14ac:dyDescent="0.25">
      <c r="A74" s="40"/>
      <c r="B74" s="41"/>
      <c r="C74" s="7"/>
      <c r="D74" s="7"/>
      <c r="E74" s="7"/>
      <c r="F74" s="42"/>
      <c r="G74" s="7"/>
      <c r="H74" s="443"/>
      <c r="I74" s="443"/>
      <c r="J74" s="443"/>
      <c r="K74"/>
      <c r="L74"/>
      <c r="M74"/>
      <c r="N74"/>
    </row>
    <row r="75" spans="1:14" x14ac:dyDescent="0.25">
      <c r="A75" s="40"/>
      <c r="B75" s="41"/>
      <c r="C75" s="7"/>
      <c r="D75" s="7"/>
      <c r="E75" s="7"/>
      <c r="F75" s="42"/>
      <c r="G75" s="7"/>
      <c r="H75" s="443"/>
      <c r="I75" s="443"/>
      <c r="J75" s="443"/>
      <c r="K75"/>
      <c r="L75"/>
      <c r="M75"/>
      <c r="N75"/>
    </row>
    <row r="76" spans="1:14" x14ac:dyDescent="0.25">
      <c r="A76" s="40"/>
      <c r="B76" s="41"/>
      <c r="C76" s="7"/>
      <c r="D76" s="7"/>
      <c r="E76" s="7"/>
      <c r="F76" s="42"/>
      <c r="G76" s="7"/>
      <c r="H76" s="443"/>
      <c r="I76" s="443"/>
      <c r="J76" s="443"/>
      <c r="K76"/>
      <c r="L76"/>
      <c r="M76"/>
      <c r="N76"/>
    </row>
    <row r="77" spans="1:14" x14ac:dyDescent="0.25">
      <c r="A77" s="40"/>
      <c r="B77" s="41"/>
      <c r="C77" s="7"/>
      <c r="D77" s="7"/>
      <c r="E77" s="7"/>
      <c r="F77" s="42"/>
      <c r="G77" s="7"/>
      <c r="H77" s="443"/>
      <c r="I77" s="443"/>
      <c r="J77" s="443"/>
      <c r="K77"/>
      <c r="L77"/>
      <c r="M77"/>
      <c r="N77"/>
    </row>
    <row r="78" spans="1:14" x14ac:dyDescent="0.25">
      <c r="A78" s="40"/>
      <c r="B78" s="41"/>
      <c r="C78" s="7"/>
      <c r="D78" s="7"/>
      <c r="E78" s="7"/>
      <c r="F78" s="42"/>
      <c r="G78" s="7"/>
      <c r="H78" s="443"/>
      <c r="I78" s="443"/>
      <c r="J78" s="443"/>
      <c r="K78"/>
      <c r="L78"/>
      <c r="M78"/>
      <c r="N78"/>
    </row>
    <row r="79" spans="1:14" x14ac:dyDescent="0.25">
      <c r="A79" s="40"/>
      <c r="B79" s="41"/>
      <c r="C79" s="7"/>
      <c r="D79" s="7"/>
      <c r="E79" s="7"/>
      <c r="F79" s="42"/>
      <c r="G79" s="7"/>
      <c r="H79" s="443"/>
      <c r="I79" s="443"/>
      <c r="J79" s="443"/>
      <c r="K79"/>
      <c r="L79"/>
      <c r="M79"/>
      <c r="N79"/>
    </row>
    <row r="80" spans="1:14" x14ac:dyDescent="0.25">
      <c r="A80" s="40"/>
      <c r="B80" s="41"/>
      <c r="C80" s="7"/>
      <c r="D80" s="7"/>
      <c r="E80" s="7"/>
      <c r="F80" s="42"/>
      <c r="G80" s="7"/>
      <c r="H80" s="443"/>
      <c r="I80" s="443"/>
      <c r="J80" s="443"/>
      <c r="K80"/>
      <c r="L80"/>
      <c r="M80"/>
      <c r="N80"/>
    </row>
    <row r="81" spans="3:14" x14ac:dyDescent="0.25">
      <c r="C81" t="s">
        <v>42</v>
      </c>
      <c r="E81" s="17" t="e">
        <f>SUM(#REF!)</f>
        <v>#REF!</v>
      </c>
      <c r="K81"/>
      <c r="L81"/>
      <c r="M81"/>
      <c r="N81"/>
    </row>
    <row r="82" spans="3:14" x14ac:dyDescent="0.25">
      <c r="K82"/>
      <c r="L82"/>
      <c r="M82"/>
      <c r="N82"/>
    </row>
    <row r="83" spans="3:14" x14ac:dyDescent="0.25">
      <c r="K83"/>
      <c r="L83"/>
      <c r="M83"/>
      <c r="N83"/>
    </row>
    <row r="84" spans="3:14" x14ac:dyDescent="0.25">
      <c r="C84" t="s">
        <v>36</v>
      </c>
      <c r="F84" s="9" t="e">
        <f>SUM(#REF!)</f>
        <v>#REF!</v>
      </c>
      <c r="K84"/>
      <c r="L84" s="16"/>
      <c r="M84" s="16"/>
      <c r="N84"/>
    </row>
    <row r="85" spans="3:14" x14ac:dyDescent="0.25">
      <c r="C85" t="s">
        <v>37</v>
      </c>
      <c r="F85" s="15">
        <f>[2]Phapros!H379</f>
        <v>299675900</v>
      </c>
      <c r="K85"/>
      <c r="L85"/>
      <c r="M85"/>
      <c r="N85"/>
    </row>
    <row r="86" spans="3:14" x14ac:dyDescent="0.25">
      <c r="D86" t="s">
        <v>43</v>
      </c>
      <c r="F86" s="14" t="e">
        <f>F84+F85</f>
        <v>#REF!</v>
      </c>
      <c r="K86"/>
      <c r="L86"/>
      <c r="M86"/>
      <c r="N86"/>
    </row>
    <row r="87" spans="3:14" ht="11.25" customHeight="1" x14ac:dyDescent="0.25">
      <c r="F87" s="14"/>
      <c r="K87"/>
      <c r="L87"/>
      <c r="M87"/>
      <c r="N87"/>
    </row>
    <row r="88" spans="3:14" x14ac:dyDescent="0.25">
      <c r="C88" t="s">
        <v>38</v>
      </c>
      <c r="K88"/>
      <c r="L88"/>
      <c r="M88"/>
      <c r="N88"/>
    </row>
    <row r="89" spans="3:14" x14ac:dyDescent="0.25">
      <c r="C89" t="s">
        <v>44</v>
      </c>
      <c r="E89" s="9">
        <v>220186527</v>
      </c>
      <c r="K89"/>
      <c r="L89"/>
      <c r="M89"/>
      <c r="N89"/>
    </row>
    <row r="90" spans="3:14" x14ac:dyDescent="0.25">
      <c r="C90" t="s">
        <v>45</v>
      </c>
      <c r="E90" s="15">
        <v>452400140</v>
      </c>
      <c r="K90"/>
      <c r="L90"/>
      <c r="M90"/>
      <c r="N90"/>
    </row>
    <row r="91" spans="3:14" ht="15.75" x14ac:dyDescent="0.25">
      <c r="C91" t="s">
        <v>46</v>
      </c>
      <c r="F91" s="18">
        <f>E89+E90</f>
        <v>672586667</v>
      </c>
      <c r="K91"/>
      <c r="L91"/>
      <c r="M91"/>
      <c r="N91"/>
    </row>
    <row r="92" spans="3:14" ht="15.75" x14ac:dyDescent="0.25">
      <c r="D92" s="1" t="s">
        <v>39</v>
      </c>
      <c r="F92" s="9" t="e">
        <f>F86-F91</f>
        <v>#REF!</v>
      </c>
      <c r="K92"/>
      <c r="L92"/>
      <c r="M92"/>
      <c r="N92"/>
    </row>
    <row r="93" spans="3:14" x14ac:dyDescent="0.25">
      <c r="K93"/>
      <c r="L93"/>
      <c r="M93"/>
      <c r="N93"/>
    </row>
    <row r="94" spans="3:14" x14ac:dyDescent="0.25">
      <c r="K94"/>
      <c r="L94"/>
      <c r="M94"/>
      <c r="N94"/>
    </row>
    <row r="95" spans="3:14" x14ac:dyDescent="0.25">
      <c r="K95"/>
      <c r="L95"/>
      <c r="M95"/>
      <c r="N95"/>
    </row>
    <row r="96" spans="3:14" x14ac:dyDescent="0.25">
      <c r="K96"/>
      <c r="L96" s="19"/>
      <c r="M96" s="19"/>
      <c r="N96"/>
    </row>
    <row r="97" spans="11:14" x14ac:dyDescent="0.25">
      <c r="K97"/>
      <c r="L97" s="19"/>
      <c r="M97" s="19"/>
      <c r="N97"/>
    </row>
    <row r="98" spans="11:14" x14ac:dyDescent="0.25">
      <c r="K98"/>
      <c r="L98" s="7"/>
      <c r="M98" s="7"/>
      <c r="N98"/>
    </row>
    <row r="99" spans="11:14" x14ac:dyDescent="0.25">
      <c r="K99"/>
      <c r="L99" s="19"/>
      <c r="M99" s="19"/>
      <c r="N99"/>
    </row>
    <row r="100" spans="11:14" x14ac:dyDescent="0.25">
      <c r="K100"/>
      <c r="L100" s="19"/>
      <c r="M100" s="19"/>
      <c r="N100"/>
    </row>
    <row r="101" spans="11:14" x14ac:dyDescent="0.25">
      <c r="K101"/>
      <c r="L101" s="7"/>
      <c r="M101" s="7"/>
      <c r="N101"/>
    </row>
    <row r="102" spans="11:14" x14ac:dyDescent="0.25">
      <c r="K102"/>
      <c r="L102" s="19"/>
      <c r="M102" s="19"/>
      <c r="N102"/>
    </row>
    <row r="103" spans="11:14" x14ac:dyDescent="0.25">
      <c r="K103"/>
      <c r="L103" s="19"/>
      <c r="M103" s="19"/>
      <c r="N103"/>
    </row>
    <row r="104" spans="11:14" x14ac:dyDescent="0.25">
      <c r="K104"/>
      <c r="L104" s="7"/>
      <c r="M104" s="7"/>
      <c r="N104"/>
    </row>
    <row r="105" spans="11:14" x14ac:dyDescent="0.25">
      <c r="K105"/>
      <c r="L105"/>
      <c r="M105"/>
      <c r="N105"/>
    </row>
    <row r="106" spans="11:14" x14ac:dyDescent="0.25">
      <c r="K106"/>
      <c r="L106"/>
      <c r="M106"/>
      <c r="N106"/>
    </row>
    <row r="107" spans="11:14" x14ac:dyDescent="0.25">
      <c r="K107"/>
      <c r="L107"/>
      <c r="M107"/>
      <c r="N107"/>
    </row>
    <row r="108" spans="11:14" x14ac:dyDescent="0.25">
      <c r="K108"/>
      <c r="L108"/>
      <c r="M108"/>
      <c r="N108"/>
    </row>
    <row r="109" spans="11:14" x14ac:dyDescent="0.25">
      <c r="K109"/>
      <c r="L109"/>
      <c r="M109"/>
      <c r="N109"/>
    </row>
    <row r="110" spans="11:14" x14ac:dyDescent="0.25">
      <c r="K110"/>
      <c r="L110"/>
      <c r="M110"/>
      <c r="N110"/>
    </row>
    <row r="111" spans="11:14" x14ac:dyDescent="0.25">
      <c r="K111"/>
      <c r="L111"/>
      <c r="M111"/>
      <c r="N111"/>
    </row>
    <row r="112" spans="11:14" x14ac:dyDescent="0.25">
      <c r="K112"/>
      <c r="L112"/>
      <c r="M112"/>
      <c r="N112"/>
    </row>
    <row r="113" spans="11:14" x14ac:dyDescent="0.25">
      <c r="K113"/>
      <c r="L113"/>
      <c r="M113"/>
      <c r="N113"/>
    </row>
    <row r="114" spans="11:14" x14ac:dyDescent="0.25">
      <c r="K114"/>
      <c r="L114"/>
      <c r="M114"/>
      <c r="N114"/>
    </row>
    <row r="115" spans="11:14" x14ac:dyDescent="0.25">
      <c r="K115"/>
      <c r="L115"/>
      <c r="M115"/>
      <c r="N115"/>
    </row>
    <row r="116" spans="11:14" x14ac:dyDescent="0.25">
      <c r="K116"/>
      <c r="L116"/>
      <c r="M116"/>
      <c r="N116"/>
    </row>
    <row r="117" spans="11:14" x14ac:dyDescent="0.25">
      <c r="K117"/>
      <c r="L117"/>
      <c r="M117"/>
      <c r="N117"/>
    </row>
    <row r="118" spans="11:14" x14ac:dyDescent="0.25">
      <c r="K118"/>
      <c r="L118"/>
      <c r="M118"/>
      <c r="N118"/>
    </row>
    <row r="119" spans="11:14" x14ac:dyDescent="0.25">
      <c r="K119"/>
      <c r="L119"/>
      <c r="M119"/>
      <c r="N119"/>
    </row>
    <row r="120" spans="11:14" x14ac:dyDescent="0.25">
      <c r="K120"/>
      <c r="L120"/>
      <c r="M120"/>
      <c r="N120"/>
    </row>
    <row r="121" spans="11:14" x14ac:dyDescent="0.25">
      <c r="K121"/>
      <c r="L121"/>
      <c r="M121"/>
      <c r="N121"/>
    </row>
    <row r="122" spans="11:14" x14ac:dyDescent="0.25">
      <c r="K122"/>
      <c r="L122"/>
      <c r="M122"/>
      <c r="N122"/>
    </row>
    <row r="123" spans="11:14" x14ac:dyDescent="0.25">
      <c r="K123"/>
      <c r="L123"/>
      <c r="M123"/>
      <c r="N123"/>
    </row>
    <row r="124" spans="11:14" x14ac:dyDescent="0.25">
      <c r="K124"/>
      <c r="L124"/>
      <c r="M124"/>
      <c r="N124"/>
    </row>
    <row r="125" spans="11:14" x14ac:dyDescent="0.25">
      <c r="K125"/>
      <c r="L125"/>
      <c r="M125"/>
      <c r="N125"/>
    </row>
    <row r="126" spans="11:14" x14ac:dyDescent="0.25">
      <c r="K126"/>
      <c r="L126"/>
      <c r="M126"/>
      <c r="N126"/>
    </row>
    <row r="127" spans="11:14" x14ac:dyDescent="0.25">
      <c r="K127"/>
      <c r="L127"/>
      <c r="M127"/>
      <c r="N127"/>
    </row>
    <row r="128" spans="11:14" x14ac:dyDescent="0.25">
      <c r="K128"/>
      <c r="L128"/>
      <c r="M128"/>
      <c r="N128"/>
    </row>
    <row r="129" spans="11:14" x14ac:dyDescent="0.25">
      <c r="K129"/>
      <c r="L129"/>
      <c r="M129"/>
      <c r="N129"/>
    </row>
    <row r="130" spans="11:14" x14ac:dyDescent="0.25">
      <c r="K130"/>
      <c r="L130"/>
      <c r="M130"/>
      <c r="N130"/>
    </row>
    <row r="131" spans="11:14" x14ac:dyDescent="0.25">
      <c r="K131"/>
      <c r="L131"/>
      <c r="M131"/>
      <c r="N131"/>
    </row>
    <row r="132" spans="11:14" x14ac:dyDescent="0.25">
      <c r="K132"/>
      <c r="L132"/>
      <c r="M132"/>
      <c r="N132"/>
    </row>
    <row r="133" spans="11:14" x14ac:dyDescent="0.25">
      <c r="K133"/>
      <c r="L133"/>
      <c r="M133"/>
      <c r="N133"/>
    </row>
    <row r="134" spans="11:14" x14ac:dyDescent="0.25">
      <c r="K134"/>
      <c r="L134"/>
      <c r="M134"/>
      <c r="N134"/>
    </row>
    <row r="135" spans="11:14" x14ac:dyDescent="0.25">
      <c r="K135"/>
      <c r="L135"/>
      <c r="M135"/>
      <c r="N135"/>
    </row>
    <row r="136" spans="11:14" x14ac:dyDescent="0.25">
      <c r="K136"/>
      <c r="L136"/>
      <c r="M136"/>
      <c r="N136"/>
    </row>
    <row r="137" spans="11:14" x14ac:dyDescent="0.25">
      <c r="K137"/>
      <c r="L137"/>
      <c r="M137"/>
      <c r="N137"/>
    </row>
    <row r="138" spans="11:14" x14ac:dyDescent="0.25">
      <c r="K138"/>
      <c r="L138"/>
      <c r="M138"/>
      <c r="N138"/>
    </row>
    <row r="139" spans="11:14" x14ac:dyDescent="0.25">
      <c r="K139"/>
      <c r="L139"/>
      <c r="M139"/>
      <c r="N139"/>
    </row>
    <row r="140" spans="11:14" x14ac:dyDescent="0.25">
      <c r="K140"/>
      <c r="L140"/>
      <c r="M140"/>
      <c r="N140"/>
    </row>
    <row r="141" spans="11:14" x14ac:dyDescent="0.25">
      <c r="K141"/>
      <c r="L141"/>
      <c r="M141"/>
      <c r="N141"/>
    </row>
    <row r="142" spans="11:14" x14ac:dyDescent="0.25">
      <c r="K142"/>
      <c r="L142"/>
      <c r="M142"/>
      <c r="N142"/>
    </row>
    <row r="143" spans="11:14" x14ac:dyDescent="0.25">
      <c r="K143"/>
      <c r="L143"/>
      <c r="M143"/>
      <c r="N143"/>
    </row>
    <row r="144" spans="11:14" x14ac:dyDescent="0.25">
      <c r="K144"/>
      <c r="L144"/>
      <c r="M144"/>
      <c r="N144"/>
    </row>
    <row r="145" spans="11:14" x14ac:dyDescent="0.25">
      <c r="K145"/>
      <c r="L145"/>
      <c r="M145"/>
      <c r="N145"/>
    </row>
    <row r="146" spans="11:14" x14ac:dyDescent="0.25">
      <c r="K146"/>
      <c r="L146"/>
      <c r="M146"/>
      <c r="N146"/>
    </row>
    <row r="147" spans="11:14" x14ac:dyDescent="0.25">
      <c r="K147"/>
      <c r="L147"/>
      <c r="M147"/>
      <c r="N147"/>
    </row>
    <row r="148" spans="11:14" x14ac:dyDescent="0.25">
      <c r="K148"/>
      <c r="L148"/>
      <c r="M148"/>
      <c r="N148"/>
    </row>
    <row r="149" spans="11:14" x14ac:dyDescent="0.25">
      <c r="K149"/>
      <c r="L149"/>
      <c r="M149"/>
      <c r="N149"/>
    </row>
    <row r="150" spans="11:14" x14ac:dyDescent="0.25">
      <c r="K150"/>
      <c r="L150"/>
      <c r="M150"/>
      <c r="N150"/>
    </row>
    <row r="151" spans="11:14" x14ac:dyDescent="0.25">
      <c r="K151"/>
      <c r="L151"/>
      <c r="M151"/>
      <c r="N151"/>
    </row>
    <row r="152" spans="11:14" x14ac:dyDescent="0.25">
      <c r="K152"/>
      <c r="L152"/>
      <c r="M152"/>
      <c r="N152"/>
    </row>
    <row r="153" spans="11:14" x14ac:dyDescent="0.25">
      <c r="K153"/>
      <c r="L153"/>
      <c r="M153"/>
      <c r="N153"/>
    </row>
    <row r="154" spans="11:14" x14ac:dyDescent="0.25">
      <c r="K154"/>
      <c r="L154"/>
      <c r="M154"/>
      <c r="N154"/>
    </row>
    <row r="155" spans="11:14" x14ac:dyDescent="0.25">
      <c r="K155"/>
      <c r="L155"/>
      <c r="M155"/>
      <c r="N155"/>
    </row>
    <row r="156" spans="11:14" x14ac:dyDescent="0.25">
      <c r="K156"/>
      <c r="L156"/>
      <c r="M156"/>
      <c r="N156"/>
    </row>
    <row r="157" spans="11:14" x14ac:dyDescent="0.25">
      <c r="K157"/>
      <c r="L157"/>
      <c r="M157"/>
      <c r="N157"/>
    </row>
    <row r="158" spans="11:14" x14ac:dyDescent="0.25">
      <c r="K158"/>
      <c r="L158"/>
      <c r="M158"/>
      <c r="N158"/>
    </row>
    <row r="159" spans="11:14" x14ac:dyDescent="0.25">
      <c r="K159"/>
      <c r="L159"/>
      <c r="M159"/>
      <c r="N159"/>
    </row>
    <row r="160" spans="11:14" x14ac:dyDescent="0.25">
      <c r="K160"/>
      <c r="L160"/>
      <c r="M160"/>
      <c r="N160"/>
    </row>
    <row r="161" spans="11:14" x14ac:dyDescent="0.25">
      <c r="K161"/>
      <c r="L161"/>
      <c r="M161"/>
      <c r="N161"/>
    </row>
    <row r="162" spans="11:14" x14ac:dyDescent="0.25">
      <c r="K162"/>
      <c r="L162"/>
      <c r="M162"/>
      <c r="N162"/>
    </row>
    <row r="163" spans="11:14" x14ac:dyDescent="0.25">
      <c r="K163"/>
      <c r="L163"/>
      <c r="M163"/>
      <c r="N163"/>
    </row>
    <row r="164" spans="11:14" x14ac:dyDescent="0.25">
      <c r="K164"/>
      <c r="L164"/>
      <c r="M164"/>
      <c r="N164"/>
    </row>
    <row r="165" spans="11:14" x14ac:dyDescent="0.25">
      <c r="K165"/>
      <c r="L165"/>
      <c r="M165"/>
      <c r="N165"/>
    </row>
    <row r="166" spans="11:14" x14ac:dyDescent="0.25">
      <c r="K166"/>
      <c r="L166"/>
      <c r="M166"/>
      <c r="N166"/>
    </row>
    <row r="167" spans="11:14" x14ac:dyDescent="0.25">
      <c r="K167"/>
      <c r="L167"/>
      <c r="M167"/>
      <c r="N167"/>
    </row>
    <row r="168" spans="11:14" x14ac:dyDescent="0.25">
      <c r="K168"/>
      <c r="L168"/>
      <c r="M168"/>
      <c r="N168"/>
    </row>
    <row r="169" spans="11:14" x14ac:dyDescent="0.25">
      <c r="K169"/>
      <c r="L169"/>
      <c r="M169"/>
      <c r="N169"/>
    </row>
    <row r="170" spans="11:14" x14ac:dyDescent="0.25">
      <c r="K170"/>
      <c r="L170"/>
      <c r="M170"/>
      <c r="N170"/>
    </row>
    <row r="171" spans="11:14" x14ac:dyDescent="0.25">
      <c r="K171"/>
      <c r="L171"/>
      <c r="M171"/>
      <c r="N171"/>
    </row>
    <row r="172" spans="11:14" x14ac:dyDescent="0.25">
      <c r="K172"/>
      <c r="L172"/>
      <c r="M172"/>
      <c r="N172"/>
    </row>
    <row r="173" spans="11:14" x14ac:dyDescent="0.25">
      <c r="K173"/>
      <c r="L173"/>
      <c r="M173"/>
      <c r="N173"/>
    </row>
    <row r="174" spans="11:14" x14ac:dyDescent="0.25">
      <c r="K174"/>
      <c r="L174"/>
      <c r="M174"/>
      <c r="N174"/>
    </row>
    <row r="175" spans="11:14" x14ac:dyDescent="0.25">
      <c r="K175"/>
      <c r="L175"/>
      <c r="M175"/>
      <c r="N175"/>
    </row>
    <row r="176" spans="11:14" x14ac:dyDescent="0.25">
      <c r="K176"/>
      <c r="L176"/>
      <c r="M176"/>
      <c r="N176"/>
    </row>
    <row r="177" spans="11:14" x14ac:dyDescent="0.25">
      <c r="K177"/>
      <c r="L177"/>
      <c r="M177"/>
      <c r="N177"/>
    </row>
    <row r="178" spans="11:14" x14ac:dyDescent="0.25">
      <c r="K178"/>
      <c r="L178"/>
      <c r="M178"/>
      <c r="N178"/>
    </row>
    <row r="179" spans="11:14" x14ac:dyDescent="0.25">
      <c r="K179"/>
      <c r="L179"/>
      <c r="M179"/>
      <c r="N179"/>
    </row>
    <row r="180" spans="11:14" x14ac:dyDescent="0.25">
      <c r="K180"/>
      <c r="L180"/>
      <c r="M180"/>
      <c r="N180"/>
    </row>
    <row r="181" spans="11:14" x14ac:dyDescent="0.25">
      <c r="K181"/>
      <c r="L181"/>
      <c r="M181"/>
      <c r="N181"/>
    </row>
    <row r="182" spans="11:14" x14ac:dyDescent="0.25">
      <c r="K182"/>
      <c r="L182"/>
      <c r="M182"/>
      <c r="N182"/>
    </row>
    <row r="183" spans="11:14" x14ac:dyDescent="0.25">
      <c r="K183"/>
      <c r="L183"/>
      <c r="M183"/>
      <c r="N183"/>
    </row>
    <row r="184" spans="11:14" x14ac:dyDescent="0.25">
      <c r="K184"/>
      <c r="L184"/>
      <c r="M184"/>
      <c r="N184"/>
    </row>
    <row r="185" spans="11:14" x14ac:dyDescent="0.25">
      <c r="K185"/>
      <c r="L185"/>
      <c r="M185"/>
      <c r="N185"/>
    </row>
    <row r="186" spans="11:14" x14ac:dyDescent="0.25">
      <c r="K186"/>
      <c r="L186"/>
      <c r="M186"/>
      <c r="N186"/>
    </row>
    <row r="187" spans="11:14" x14ac:dyDescent="0.25">
      <c r="K187"/>
      <c r="L187"/>
      <c r="M187"/>
      <c r="N187"/>
    </row>
    <row r="188" spans="11:14" x14ac:dyDescent="0.25">
      <c r="K188"/>
      <c r="L188"/>
      <c r="M188"/>
      <c r="N188"/>
    </row>
    <row r="189" spans="11:14" x14ac:dyDescent="0.25">
      <c r="K189"/>
      <c r="L189"/>
      <c r="M189"/>
      <c r="N189"/>
    </row>
    <row r="190" spans="11:14" x14ac:dyDescent="0.25">
      <c r="K190"/>
      <c r="L190"/>
      <c r="M190"/>
      <c r="N190"/>
    </row>
    <row r="191" spans="11:14" x14ac:dyDescent="0.25">
      <c r="K191"/>
      <c r="L191"/>
      <c r="M191"/>
      <c r="N191"/>
    </row>
    <row r="192" spans="11:14" x14ac:dyDescent="0.25">
      <c r="K192"/>
      <c r="L192"/>
      <c r="M192"/>
      <c r="N192"/>
    </row>
    <row r="193" spans="11:14" x14ac:dyDescent="0.25">
      <c r="K193"/>
      <c r="L193"/>
      <c r="M193"/>
      <c r="N193"/>
    </row>
    <row r="194" spans="11:14" x14ac:dyDescent="0.25">
      <c r="K194"/>
      <c r="L194"/>
      <c r="M194"/>
      <c r="N194"/>
    </row>
    <row r="195" spans="11:14" x14ac:dyDescent="0.25">
      <c r="K195"/>
      <c r="L195"/>
      <c r="M195"/>
      <c r="N195"/>
    </row>
    <row r="196" spans="11:14" x14ac:dyDescent="0.25">
      <c r="K196"/>
      <c r="L196"/>
      <c r="M196"/>
      <c r="N196"/>
    </row>
    <row r="197" spans="11:14" x14ac:dyDescent="0.25">
      <c r="K197"/>
      <c r="L197"/>
      <c r="M197"/>
      <c r="N197"/>
    </row>
    <row r="198" spans="11:14" x14ac:dyDescent="0.25">
      <c r="K198"/>
      <c r="L198"/>
      <c r="M198"/>
      <c r="N198"/>
    </row>
    <row r="199" spans="11:14" x14ac:dyDescent="0.25">
      <c r="K199"/>
      <c r="L199"/>
      <c r="M199"/>
      <c r="N199"/>
    </row>
    <row r="200" spans="11:14" x14ac:dyDescent="0.25">
      <c r="K200"/>
      <c r="L200"/>
      <c r="M200"/>
      <c r="N200"/>
    </row>
    <row r="201" spans="11:14" x14ac:dyDescent="0.25">
      <c r="K201"/>
      <c r="L201"/>
      <c r="M201"/>
      <c r="N201"/>
    </row>
    <row r="202" spans="11:14" x14ac:dyDescent="0.25">
      <c r="K202"/>
      <c r="L202"/>
      <c r="M202"/>
      <c r="N202"/>
    </row>
    <row r="203" spans="11:14" x14ac:dyDescent="0.25">
      <c r="K203"/>
      <c r="L203"/>
      <c r="M203"/>
      <c r="N203"/>
    </row>
    <row r="204" spans="11:14" x14ac:dyDescent="0.25">
      <c r="K204"/>
      <c r="L204"/>
      <c r="M204"/>
      <c r="N204"/>
    </row>
    <row r="205" spans="11:14" x14ac:dyDescent="0.25">
      <c r="K205"/>
      <c r="L205"/>
      <c r="M205"/>
      <c r="N205"/>
    </row>
    <row r="206" spans="11:14" x14ac:dyDescent="0.25">
      <c r="K206"/>
      <c r="L206"/>
      <c r="M206"/>
      <c r="N206"/>
    </row>
    <row r="207" spans="11:14" x14ac:dyDescent="0.25">
      <c r="K207"/>
      <c r="L207"/>
      <c r="M207"/>
      <c r="N207"/>
    </row>
    <row r="208" spans="11:14" x14ac:dyDescent="0.25">
      <c r="K208"/>
      <c r="L208"/>
      <c r="M208"/>
      <c r="N208"/>
    </row>
    <row r="209" spans="11:14" x14ac:dyDescent="0.25">
      <c r="K209"/>
      <c r="L209"/>
      <c r="M209"/>
      <c r="N209"/>
    </row>
    <row r="210" spans="11:14" x14ac:dyDescent="0.25">
      <c r="K210"/>
      <c r="L210"/>
      <c r="M210"/>
      <c r="N210"/>
    </row>
    <row r="211" spans="11:14" x14ac:dyDescent="0.25">
      <c r="K211"/>
      <c r="L211"/>
      <c r="M211"/>
      <c r="N211"/>
    </row>
    <row r="212" spans="11:14" x14ac:dyDescent="0.25">
      <c r="K212"/>
      <c r="L212"/>
      <c r="M212"/>
      <c r="N212"/>
    </row>
    <row r="213" spans="11:14" x14ac:dyDescent="0.25">
      <c r="K213"/>
      <c r="L213"/>
      <c r="M213"/>
      <c r="N213"/>
    </row>
    <row r="214" spans="11:14" x14ac:dyDescent="0.25">
      <c r="K214"/>
      <c r="L214"/>
      <c r="M214"/>
      <c r="N214"/>
    </row>
    <row r="215" spans="11:14" x14ac:dyDescent="0.25">
      <c r="K215"/>
      <c r="L215"/>
      <c r="M215"/>
      <c r="N215"/>
    </row>
    <row r="216" spans="11:14" x14ac:dyDescent="0.25">
      <c r="K216"/>
      <c r="L216"/>
      <c r="M216"/>
      <c r="N216"/>
    </row>
    <row r="217" spans="11:14" x14ac:dyDescent="0.25">
      <c r="K217"/>
      <c r="L217"/>
      <c r="M217"/>
      <c r="N217"/>
    </row>
    <row r="218" spans="11:14" x14ac:dyDescent="0.25">
      <c r="K218"/>
      <c r="L218"/>
      <c r="M218"/>
      <c r="N218"/>
    </row>
    <row r="219" spans="11:14" x14ac:dyDescent="0.25">
      <c r="K219"/>
      <c r="L219"/>
      <c r="M219"/>
      <c r="N219"/>
    </row>
    <row r="220" spans="11:14" x14ac:dyDescent="0.25">
      <c r="K220"/>
      <c r="L220"/>
      <c r="M220"/>
      <c r="N220"/>
    </row>
    <row r="221" spans="11:14" x14ac:dyDescent="0.25">
      <c r="K221"/>
      <c r="L221"/>
      <c r="M221"/>
      <c r="N221"/>
    </row>
    <row r="222" spans="11:14" x14ac:dyDescent="0.25">
      <c r="K222"/>
      <c r="L222"/>
      <c r="M222"/>
      <c r="N222"/>
    </row>
    <row r="223" spans="11:14" x14ac:dyDescent="0.25">
      <c r="K223"/>
      <c r="L223"/>
      <c r="M223"/>
      <c r="N223"/>
    </row>
    <row r="224" spans="11:14" x14ac:dyDescent="0.25">
      <c r="K224"/>
      <c r="L224"/>
      <c r="M224"/>
      <c r="N224"/>
    </row>
    <row r="225" spans="11:14" x14ac:dyDescent="0.25">
      <c r="K225"/>
      <c r="L225"/>
      <c r="M225"/>
      <c r="N225"/>
    </row>
    <row r="226" spans="11:14" x14ac:dyDescent="0.25">
      <c r="K226"/>
      <c r="L226"/>
      <c r="M226"/>
      <c r="N226"/>
    </row>
    <row r="227" spans="11:14" x14ac:dyDescent="0.25">
      <c r="K227"/>
      <c r="L227"/>
      <c r="M227"/>
      <c r="N227"/>
    </row>
    <row r="228" spans="11:14" x14ac:dyDescent="0.25">
      <c r="K228"/>
      <c r="L228"/>
      <c r="M228"/>
      <c r="N228"/>
    </row>
    <row r="229" spans="11:14" x14ac:dyDescent="0.25">
      <c r="K229"/>
      <c r="L229"/>
      <c r="M229"/>
      <c r="N229"/>
    </row>
    <row r="230" spans="11:14" x14ac:dyDescent="0.25">
      <c r="K230"/>
      <c r="L230"/>
      <c r="M230"/>
      <c r="N230"/>
    </row>
    <row r="231" spans="11:14" x14ac:dyDescent="0.25">
      <c r="K231"/>
      <c r="L231"/>
      <c r="M231"/>
      <c r="N231"/>
    </row>
    <row r="232" spans="11:14" x14ac:dyDescent="0.25">
      <c r="K232"/>
      <c r="L232"/>
      <c r="M232"/>
      <c r="N232"/>
    </row>
    <row r="233" spans="11:14" x14ac:dyDescent="0.25">
      <c r="K233"/>
      <c r="L233"/>
      <c r="M233"/>
      <c r="N233"/>
    </row>
    <row r="234" spans="11:14" x14ac:dyDescent="0.25">
      <c r="K234"/>
      <c r="L234"/>
      <c r="M234"/>
      <c r="N234"/>
    </row>
    <row r="235" spans="11:14" x14ac:dyDescent="0.25">
      <c r="K235"/>
      <c r="L235"/>
      <c r="M235"/>
      <c r="N235"/>
    </row>
    <row r="236" spans="11:14" x14ac:dyDescent="0.25">
      <c r="K236"/>
      <c r="L236"/>
      <c r="M236"/>
      <c r="N236"/>
    </row>
    <row r="237" spans="11:14" x14ac:dyDescent="0.25">
      <c r="K237"/>
      <c r="L237"/>
      <c r="M237"/>
      <c r="N237"/>
    </row>
    <row r="238" spans="11:14" x14ac:dyDescent="0.25">
      <c r="K238"/>
      <c r="L238"/>
      <c r="M238"/>
      <c r="N238"/>
    </row>
    <row r="239" spans="11:14" x14ac:dyDescent="0.25">
      <c r="K239"/>
      <c r="L239"/>
      <c r="M239"/>
      <c r="N239"/>
    </row>
    <row r="240" spans="11:14" x14ac:dyDescent="0.25">
      <c r="K240"/>
      <c r="L240"/>
      <c r="M240"/>
      <c r="N240"/>
    </row>
    <row r="241" spans="11:14" x14ac:dyDescent="0.25">
      <c r="K241"/>
      <c r="L241"/>
      <c r="M241"/>
      <c r="N241"/>
    </row>
    <row r="242" spans="11:14" x14ac:dyDescent="0.25">
      <c r="K242"/>
      <c r="L242"/>
      <c r="M242"/>
      <c r="N242"/>
    </row>
    <row r="243" spans="11:14" x14ac:dyDescent="0.25">
      <c r="K243"/>
      <c r="L243"/>
      <c r="M243"/>
      <c r="N243"/>
    </row>
    <row r="244" spans="11:14" x14ac:dyDescent="0.25">
      <c r="K244"/>
      <c r="L244"/>
      <c r="M244"/>
      <c r="N244"/>
    </row>
    <row r="245" spans="11:14" x14ac:dyDescent="0.25">
      <c r="K245"/>
      <c r="L245"/>
      <c r="M245"/>
      <c r="N245"/>
    </row>
    <row r="246" spans="11:14" x14ac:dyDescent="0.25">
      <c r="K246"/>
      <c r="L246"/>
      <c r="M246"/>
      <c r="N246"/>
    </row>
    <row r="247" spans="11:14" x14ac:dyDescent="0.25">
      <c r="K247"/>
      <c r="L247"/>
      <c r="M247"/>
      <c r="N247"/>
    </row>
    <row r="248" spans="11:14" x14ac:dyDescent="0.25">
      <c r="K248"/>
      <c r="L248"/>
      <c r="M248"/>
      <c r="N248"/>
    </row>
    <row r="249" spans="11:14" x14ac:dyDescent="0.25">
      <c r="K249"/>
      <c r="L249"/>
      <c r="M249"/>
      <c r="N249"/>
    </row>
    <row r="250" spans="11:14" x14ac:dyDescent="0.25">
      <c r="K250"/>
      <c r="L250"/>
      <c r="M250"/>
      <c r="N250"/>
    </row>
    <row r="251" spans="11:14" x14ac:dyDescent="0.25">
      <c r="K251"/>
      <c r="L251"/>
      <c r="M251"/>
      <c r="N251"/>
    </row>
    <row r="252" spans="11:14" x14ac:dyDescent="0.25">
      <c r="K252"/>
      <c r="L252"/>
      <c r="M252"/>
      <c r="N252"/>
    </row>
    <row r="253" spans="11:14" x14ac:dyDescent="0.25">
      <c r="K253"/>
      <c r="L253"/>
      <c r="M253"/>
      <c r="N253"/>
    </row>
    <row r="254" spans="11:14" x14ac:dyDescent="0.25">
      <c r="K254"/>
      <c r="L254"/>
      <c r="M254"/>
      <c r="N254"/>
    </row>
    <row r="255" spans="11:14" x14ac:dyDescent="0.25">
      <c r="K255"/>
      <c r="L255"/>
      <c r="M255"/>
      <c r="N255"/>
    </row>
    <row r="256" spans="11:14" x14ac:dyDescent="0.25">
      <c r="K256"/>
      <c r="L256"/>
      <c r="M256"/>
      <c r="N256"/>
    </row>
    <row r="257" spans="11:14" x14ac:dyDescent="0.25">
      <c r="K257"/>
      <c r="L257"/>
      <c r="M257"/>
      <c r="N257"/>
    </row>
    <row r="258" spans="11:14" x14ac:dyDescent="0.25">
      <c r="K258"/>
      <c r="L258"/>
      <c r="M258"/>
      <c r="N258"/>
    </row>
    <row r="259" spans="11:14" x14ac:dyDescent="0.25">
      <c r="K259"/>
      <c r="L259"/>
      <c r="M259"/>
      <c r="N259"/>
    </row>
    <row r="260" spans="11:14" x14ac:dyDescent="0.25">
      <c r="K260"/>
      <c r="L260"/>
      <c r="M260"/>
      <c r="N260"/>
    </row>
    <row r="261" spans="11:14" x14ac:dyDescent="0.25">
      <c r="K261"/>
      <c r="L261"/>
      <c r="M261"/>
      <c r="N261"/>
    </row>
    <row r="262" spans="11:14" x14ac:dyDescent="0.25">
      <c r="K262"/>
      <c r="L262"/>
      <c r="M262"/>
      <c r="N262"/>
    </row>
    <row r="263" spans="11:14" x14ac:dyDescent="0.25">
      <c r="K263"/>
      <c r="L263"/>
      <c r="M263"/>
      <c r="N263"/>
    </row>
    <row r="264" spans="11:14" x14ac:dyDescent="0.25">
      <c r="K264"/>
      <c r="L264"/>
      <c r="M264"/>
      <c r="N264"/>
    </row>
    <row r="265" spans="11:14" x14ac:dyDescent="0.25">
      <c r="K265"/>
      <c r="L265"/>
      <c r="M265"/>
      <c r="N265"/>
    </row>
    <row r="266" spans="11:14" x14ac:dyDescent="0.25">
      <c r="K266"/>
      <c r="L266"/>
      <c r="M266"/>
      <c r="N266"/>
    </row>
    <row r="267" spans="11:14" x14ac:dyDescent="0.25">
      <c r="K267"/>
      <c r="L267"/>
      <c r="M267"/>
      <c r="N267"/>
    </row>
    <row r="268" spans="11:14" x14ac:dyDescent="0.25">
      <c r="K268"/>
      <c r="L268"/>
      <c r="M268"/>
      <c r="N268"/>
    </row>
    <row r="269" spans="11:14" x14ac:dyDescent="0.25">
      <c r="K269"/>
      <c r="L269"/>
      <c r="M269"/>
      <c r="N269"/>
    </row>
    <row r="270" spans="11:14" x14ac:dyDescent="0.25">
      <c r="K270"/>
      <c r="L270"/>
      <c r="M270"/>
      <c r="N270"/>
    </row>
    <row r="271" spans="11:14" x14ac:dyDescent="0.25">
      <c r="K271"/>
      <c r="L271"/>
      <c r="M271"/>
      <c r="N271"/>
    </row>
    <row r="272" spans="11:14" x14ac:dyDescent="0.25">
      <c r="K272"/>
      <c r="L272"/>
      <c r="M272"/>
      <c r="N272"/>
    </row>
    <row r="273" spans="11:14" x14ac:dyDescent="0.25">
      <c r="K273"/>
      <c r="L273"/>
      <c r="M273"/>
      <c r="N273"/>
    </row>
    <row r="274" spans="11:14" x14ac:dyDescent="0.25">
      <c r="K274"/>
      <c r="L274"/>
      <c r="M274"/>
      <c r="N274"/>
    </row>
    <row r="275" spans="11:14" x14ac:dyDescent="0.25">
      <c r="K275"/>
      <c r="L275"/>
      <c r="M275"/>
      <c r="N275"/>
    </row>
    <row r="276" spans="11:14" x14ac:dyDescent="0.25">
      <c r="K276"/>
      <c r="L276"/>
      <c r="M276"/>
      <c r="N276"/>
    </row>
    <row r="277" spans="11:14" x14ac:dyDescent="0.25">
      <c r="K277"/>
      <c r="L277"/>
      <c r="M277"/>
      <c r="N277"/>
    </row>
    <row r="278" spans="11:14" x14ac:dyDescent="0.25">
      <c r="K278"/>
      <c r="L278"/>
      <c r="M278"/>
      <c r="N278"/>
    </row>
    <row r="279" spans="11:14" x14ac:dyDescent="0.25">
      <c r="K279"/>
      <c r="L279"/>
      <c r="M279"/>
      <c r="N279"/>
    </row>
    <row r="280" spans="11:14" x14ac:dyDescent="0.25">
      <c r="K280"/>
      <c r="L280"/>
      <c r="M280"/>
      <c r="N280"/>
    </row>
    <row r="281" spans="11:14" x14ac:dyDescent="0.25">
      <c r="K281"/>
      <c r="L281"/>
      <c r="M281"/>
      <c r="N281"/>
    </row>
    <row r="282" spans="11:14" x14ac:dyDescent="0.25">
      <c r="K282"/>
      <c r="L282"/>
      <c r="M282"/>
      <c r="N282"/>
    </row>
    <row r="283" spans="11:14" x14ac:dyDescent="0.25">
      <c r="K283"/>
      <c r="L283"/>
      <c r="M283"/>
      <c r="N283"/>
    </row>
    <row r="284" spans="11:14" x14ac:dyDescent="0.25">
      <c r="K284"/>
      <c r="L284"/>
      <c r="M284"/>
      <c r="N284"/>
    </row>
    <row r="285" spans="11:14" x14ac:dyDescent="0.25">
      <c r="K285"/>
      <c r="L285"/>
      <c r="M285"/>
      <c r="N285"/>
    </row>
    <row r="286" spans="11:14" x14ac:dyDescent="0.25">
      <c r="K286"/>
      <c r="L286"/>
      <c r="M286"/>
      <c r="N286"/>
    </row>
    <row r="287" spans="11:14" x14ac:dyDescent="0.25">
      <c r="K287"/>
      <c r="L287"/>
      <c r="M287"/>
      <c r="N287"/>
    </row>
    <row r="288" spans="11:14" x14ac:dyDescent="0.25">
      <c r="K288"/>
      <c r="L288"/>
      <c r="M288"/>
      <c r="N288"/>
    </row>
    <row r="289" spans="11:14" x14ac:dyDescent="0.25">
      <c r="K289"/>
      <c r="L289"/>
      <c r="M289"/>
      <c r="N289"/>
    </row>
    <row r="290" spans="11:14" x14ac:dyDescent="0.25">
      <c r="K290"/>
      <c r="L290"/>
      <c r="M290"/>
      <c r="N290"/>
    </row>
    <row r="291" spans="11:14" x14ac:dyDescent="0.25">
      <c r="K291"/>
      <c r="L291"/>
      <c r="M291"/>
      <c r="N291"/>
    </row>
    <row r="292" spans="11:14" x14ac:dyDescent="0.25">
      <c r="K292"/>
      <c r="L292"/>
      <c r="M292"/>
      <c r="N292"/>
    </row>
    <row r="293" spans="11:14" x14ac:dyDescent="0.25">
      <c r="K293"/>
      <c r="L293"/>
      <c r="M293"/>
      <c r="N293"/>
    </row>
    <row r="294" spans="11:14" x14ac:dyDescent="0.25">
      <c r="K294"/>
      <c r="L294"/>
      <c r="M294"/>
      <c r="N294"/>
    </row>
    <row r="295" spans="11:14" x14ac:dyDescent="0.25">
      <c r="K295"/>
      <c r="L295"/>
      <c r="M295"/>
      <c r="N295"/>
    </row>
    <row r="296" spans="11:14" x14ac:dyDescent="0.25">
      <c r="K296"/>
      <c r="L296"/>
      <c r="M296"/>
      <c r="N296"/>
    </row>
    <row r="297" spans="11:14" x14ac:dyDescent="0.25">
      <c r="K297"/>
      <c r="L297"/>
      <c r="M297"/>
      <c r="N297"/>
    </row>
    <row r="298" spans="11:14" x14ac:dyDescent="0.25">
      <c r="K298"/>
      <c r="L298"/>
      <c r="M298"/>
      <c r="N298"/>
    </row>
    <row r="299" spans="11:14" x14ac:dyDescent="0.25">
      <c r="K299"/>
      <c r="L299"/>
      <c r="M299"/>
      <c r="N299"/>
    </row>
    <row r="300" spans="11:14" x14ac:dyDescent="0.25">
      <c r="K300"/>
      <c r="L300"/>
      <c r="M300"/>
      <c r="N300"/>
    </row>
    <row r="301" spans="11:14" x14ac:dyDescent="0.25">
      <c r="K301"/>
      <c r="L301"/>
      <c r="M301"/>
      <c r="N301"/>
    </row>
    <row r="302" spans="11:14" x14ac:dyDescent="0.25">
      <c r="K302"/>
      <c r="L302"/>
      <c r="M302"/>
      <c r="N302"/>
    </row>
    <row r="303" spans="11:14" x14ac:dyDescent="0.25">
      <c r="K303"/>
      <c r="L303"/>
      <c r="M303"/>
      <c r="N303"/>
    </row>
    <row r="304" spans="11:14" x14ac:dyDescent="0.25">
      <c r="K304"/>
      <c r="L304"/>
      <c r="M304"/>
      <c r="N304"/>
    </row>
    <row r="305" spans="11:14" x14ac:dyDescent="0.25">
      <c r="K305"/>
      <c r="L305"/>
      <c r="M305"/>
      <c r="N305"/>
    </row>
    <row r="306" spans="11:14" x14ac:dyDescent="0.25">
      <c r="K306"/>
      <c r="L306"/>
      <c r="M306"/>
      <c r="N306"/>
    </row>
    <row r="307" spans="11:14" x14ac:dyDescent="0.25">
      <c r="K307"/>
      <c r="L307"/>
      <c r="M307"/>
      <c r="N307"/>
    </row>
    <row r="308" spans="11:14" x14ac:dyDescent="0.25">
      <c r="K308"/>
      <c r="L308"/>
      <c r="M308"/>
      <c r="N308"/>
    </row>
    <row r="309" spans="11:14" x14ac:dyDescent="0.25">
      <c r="K309"/>
      <c r="L309"/>
      <c r="M309"/>
      <c r="N309"/>
    </row>
    <row r="310" spans="11:14" x14ac:dyDescent="0.25">
      <c r="K310"/>
      <c r="L310"/>
      <c r="M310"/>
      <c r="N310"/>
    </row>
    <row r="311" spans="11:14" x14ac:dyDescent="0.25">
      <c r="K311"/>
      <c r="L311"/>
      <c r="M311"/>
      <c r="N311"/>
    </row>
    <row r="312" spans="11:14" x14ac:dyDescent="0.25">
      <c r="K312"/>
      <c r="L312"/>
      <c r="M312"/>
      <c r="N312"/>
    </row>
    <row r="313" spans="11:14" x14ac:dyDescent="0.25">
      <c r="K313"/>
      <c r="L313"/>
      <c r="M313"/>
      <c r="N313"/>
    </row>
    <row r="314" spans="11:14" x14ac:dyDescent="0.25">
      <c r="K314"/>
      <c r="L314"/>
      <c r="M314"/>
      <c r="N314"/>
    </row>
    <row r="315" spans="11:14" x14ac:dyDescent="0.25">
      <c r="K315"/>
      <c r="L315"/>
      <c r="M315"/>
      <c r="N315"/>
    </row>
    <row r="316" spans="11:14" x14ac:dyDescent="0.25">
      <c r="K316"/>
      <c r="L316"/>
      <c r="M316"/>
      <c r="N316"/>
    </row>
    <row r="317" spans="11:14" x14ac:dyDescent="0.25">
      <c r="K317"/>
      <c r="L317"/>
      <c r="M317"/>
      <c r="N317"/>
    </row>
    <row r="318" spans="11:14" x14ac:dyDescent="0.25">
      <c r="K318"/>
      <c r="L318"/>
      <c r="M318"/>
      <c r="N318"/>
    </row>
    <row r="319" spans="11:14" x14ac:dyDescent="0.25">
      <c r="K319"/>
      <c r="L319"/>
      <c r="M319"/>
      <c r="N319"/>
    </row>
    <row r="320" spans="11:14" x14ac:dyDescent="0.25">
      <c r="K320"/>
      <c r="L320"/>
      <c r="M320"/>
      <c r="N320"/>
    </row>
    <row r="321" spans="11:14" x14ac:dyDescent="0.25">
      <c r="K321"/>
      <c r="L321"/>
      <c r="M321"/>
      <c r="N321"/>
    </row>
    <row r="322" spans="11:14" x14ac:dyDescent="0.25">
      <c r="K322"/>
      <c r="L322"/>
      <c r="M322"/>
      <c r="N322"/>
    </row>
    <row r="323" spans="11:14" x14ac:dyDescent="0.25">
      <c r="K323"/>
      <c r="L323"/>
      <c r="M323"/>
      <c r="N323"/>
    </row>
    <row r="324" spans="11:14" x14ac:dyDescent="0.25">
      <c r="K324"/>
      <c r="L324"/>
      <c r="M324"/>
      <c r="N324"/>
    </row>
    <row r="325" spans="11:14" x14ac:dyDescent="0.25">
      <c r="K325"/>
      <c r="L325"/>
      <c r="M325"/>
      <c r="N325"/>
    </row>
    <row r="326" spans="11:14" x14ac:dyDescent="0.25">
      <c r="K326"/>
      <c r="L326"/>
      <c r="M326"/>
      <c r="N326"/>
    </row>
    <row r="327" spans="11:14" x14ac:dyDescent="0.25">
      <c r="K327"/>
      <c r="L327"/>
      <c r="M327"/>
      <c r="N327"/>
    </row>
    <row r="328" spans="11:14" x14ac:dyDescent="0.25">
      <c r="K328"/>
      <c r="L328"/>
      <c r="M328"/>
      <c r="N328"/>
    </row>
    <row r="329" spans="11:14" x14ac:dyDescent="0.25">
      <c r="K329"/>
      <c r="L329"/>
      <c r="M329"/>
      <c r="N329"/>
    </row>
    <row r="330" spans="11:14" x14ac:dyDescent="0.25">
      <c r="K330"/>
      <c r="L330"/>
      <c r="M330"/>
      <c r="N330"/>
    </row>
    <row r="331" spans="11:14" x14ac:dyDescent="0.25">
      <c r="K331"/>
      <c r="L331"/>
      <c r="M331"/>
      <c r="N331"/>
    </row>
    <row r="332" spans="11:14" x14ac:dyDescent="0.25">
      <c r="K332"/>
      <c r="L332"/>
      <c r="M332"/>
      <c r="N332"/>
    </row>
    <row r="333" spans="11:14" x14ac:dyDescent="0.25">
      <c r="K333"/>
      <c r="L333"/>
      <c r="M333"/>
      <c r="N333"/>
    </row>
    <row r="334" spans="11:14" x14ac:dyDescent="0.25">
      <c r="K334"/>
      <c r="L334"/>
      <c r="M334"/>
      <c r="N334"/>
    </row>
    <row r="335" spans="11:14" x14ac:dyDescent="0.25">
      <c r="K335"/>
      <c r="L335"/>
      <c r="M335"/>
      <c r="N335"/>
    </row>
    <row r="336" spans="11:14" x14ac:dyDescent="0.25">
      <c r="K336"/>
      <c r="L336"/>
      <c r="M336"/>
      <c r="N336"/>
    </row>
    <row r="337" spans="11:14" x14ac:dyDescent="0.25">
      <c r="K337"/>
      <c r="L337"/>
      <c r="M337"/>
      <c r="N337"/>
    </row>
    <row r="338" spans="11:14" x14ac:dyDescent="0.25">
      <c r="K338"/>
      <c r="L338"/>
      <c r="M338"/>
      <c r="N338"/>
    </row>
    <row r="339" spans="11:14" x14ac:dyDescent="0.25">
      <c r="K339"/>
      <c r="L339"/>
      <c r="M339"/>
      <c r="N339"/>
    </row>
    <row r="340" spans="11:14" x14ac:dyDescent="0.25">
      <c r="K340"/>
      <c r="L340"/>
      <c r="M340"/>
      <c r="N340"/>
    </row>
    <row r="341" spans="11:14" x14ac:dyDescent="0.25">
      <c r="K341"/>
      <c r="L341"/>
      <c r="M341"/>
      <c r="N341"/>
    </row>
    <row r="342" spans="11:14" x14ac:dyDescent="0.25">
      <c r="K342"/>
      <c r="L342"/>
      <c r="M342"/>
      <c r="N342"/>
    </row>
    <row r="343" spans="11:14" x14ac:dyDescent="0.25">
      <c r="K343"/>
      <c r="L343"/>
      <c r="M343"/>
      <c r="N343"/>
    </row>
    <row r="344" spans="11:14" x14ac:dyDescent="0.25">
      <c r="K344"/>
      <c r="L344"/>
      <c r="M344"/>
      <c r="N344"/>
    </row>
    <row r="345" spans="11:14" x14ac:dyDescent="0.25">
      <c r="K345"/>
      <c r="L345"/>
      <c r="M345"/>
      <c r="N345"/>
    </row>
    <row r="346" spans="11:14" x14ac:dyDescent="0.25">
      <c r="K346"/>
      <c r="L346"/>
      <c r="M346"/>
      <c r="N346"/>
    </row>
    <row r="347" spans="11:14" x14ac:dyDescent="0.25">
      <c r="K347"/>
      <c r="L347"/>
      <c r="M347"/>
      <c r="N347"/>
    </row>
    <row r="348" spans="11:14" x14ac:dyDescent="0.25">
      <c r="K348"/>
      <c r="L348"/>
      <c r="M348"/>
      <c r="N348"/>
    </row>
    <row r="349" spans="11:14" x14ac:dyDescent="0.25">
      <c r="K349"/>
      <c r="L349"/>
      <c r="M349"/>
      <c r="N349"/>
    </row>
    <row r="350" spans="11:14" x14ac:dyDescent="0.25">
      <c r="K350"/>
      <c r="L350"/>
      <c r="M350"/>
      <c r="N350"/>
    </row>
    <row r="351" spans="11:14" x14ac:dyDescent="0.25">
      <c r="K351"/>
      <c r="L351"/>
      <c r="M351"/>
      <c r="N351"/>
    </row>
    <row r="352" spans="11:14" x14ac:dyDescent="0.25">
      <c r="K352"/>
      <c r="L352"/>
      <c r="M352"/>
      <c r="N352"/>
    </row>
    <row r="353" spans="11:14" x14ac:dyDescent="0.25">
      <c r="K353"/>
      <c r="L353"/>
      <c r="M353"/>
      <c r="N353"/>
    </row>
    <row r="354" spans="11:14" x14ac:dyDescent="0.25">
      <c r="K354"/>
      <c r="L354"/>
      <c r="M354"/>
      <c r="N354"/>
    </row>
    <row r="355" spans="11:14" x14ac:dyDescent="0.25">
      <c r="K355"/>
      <c r="L355"/>
      <c r="M355"/>
      <c r="N355"/>
    </row>
    <row r="356" spans="11:14" x14ac:dyDescent="0.25">
      <c r="K356"/>
      <c r="L356"/>
      <c r="M356"/>
      <c r="N356"/>
    </row>
    <row r="357" spans="11:14" x14ac:dyDescent="0.25">
      <c r="K357"/>
      <c r="L357"/>
      <c r="M357"/>
      <c r="N357"/>
    </row>
    <row r="358" spans="11:14" x14ac:dyDescent="0.25">
      <c r="K358"/>
      <c r="L358"/>
      <c r="M358"/>
      <c r="N358"/>
    </row>
    <row r="359" spans="11:14" x14ac:dyDescent="0.25">
      <c r="K359"/>
      <c r="L359"/>
      <c r="M359"/>
      <c r="N359"/>
    </row>
    <row r="360" spans="11:14" x14ac:dyDescent="0.25">
      <c r="K360"/>
      <c r="L360"/>
      <c r="M360"/>
      <c r="N360"/>
    </row>
    <row r="361" spans="11:14" x14ac:dyDescent="0.25">
      <c r="K361"/>
      <c r="L361"/>
      <c r="M361"/>
      <c r="N361"/>
    </row>
    <row r="362" spans="11:14" x14ac:dyDescent="0.25">
      <c r="K362"/>
      <c r="L362"/>
      <c r="M362"/>
      <c r="N362"/>
    </row>
    <row r="363" spans="11:14" x14ac:dyDescent="0.25">
      <c r="K363"/>
      <c r="L363"/>
      <c r="M363"/>
      <c r="N363"/>
    </row>
    <row r="364" spans="11:14" x14ac:dyDescent="0.25">
      <c r="K364"/>
      <c r="L364"/>
      <c r="M364"/>
      <c r="N364"/>
    </row>
    <row r="365" spans="11:14" x14ac:dyDescent="0.25">
      <c r="K365"/>
      <c r="L365"/>
      <c r="M365"/>
      <c r="N365"/>
    </row>
    <row r="366" spans="11:14" x14ac:dyDescent="0.25">
      <c r="K366"/>
      <c r="L366"/>
      <c r="M366"/>
      <c r="N366"/>
    </row>
    <row r="367" spans="11:14" x14ac:dyDescent="0.25">
      <c r="K367"/>
      <c r="L367"/>
      <c r="M367"/>
      <c r="N367"/>
    </row>
    <row r="368" spans="11:14" x14ac:dyDescent="0.25">
      <c r="K368"/>
      <c r="L368"/>
      <c r="M368"/>
      <c r="N368"/>
    </row>
    <row r="369" spans="11:14" x14ac:dyDescent="0.25">
      <c r="K369"/>
      <c r="L369"/>
      <c r="M369"/>
      <c r="N369"/>
    </row>
    <row r="370" spans="11:14" x14ac:dyDescent="0.25">
      <c r="K370"/>
      <c r="L370"/>
      <c r="M370"/>
      <c r="N370"/>
    </row>
    <row r="371" spans="11:14" x14ac:dyDescent="0.25">
      <c r="K371"/>
      <c r="L371"/>
      <c r="M371"/>
      <c r="N371"/>
    </row>
    <row r="372" spans="11:14" x14ac:dyDescent="0.25">
      <c r="K372"/>
      <c r="L372"/>
      <c r="M372"/>
      <c r="N372"/>
    </row>
    <row r="373" spans="11:14" x14ac:dyDescent="0.25">
      <c r="K373"/>
      <c r="L373"/>
      <c r="M373"/>
      <c r="N373"/>
    </row>
    <row r="374" spans="11:14" x14ac:dyDescent="0.25">
      <c r="K374"/>
      <c r="L374"/>
      <c r="M374"/>
      <c r="N374"/>
    </row>
    <row r="375" spans="11:14" x14ac:dyDescent="0.25">
      <c r="K375"/>
      <c r="L375"/>
      <c r="M375"/>
      <c r="N375"/>
    </row>
    <row r="376" spans="11:14" x14ac:dyDescent="0.25">
      <c r="K376"/>
      <c r="L376"/>
      <c r="M376"/>
      <c r="N376"/>
    </row>
    <row r="377" spans="11:14" x14ac:dyDescent="0.25">
      <c r="K377"/>
      <c r="L377"/>
      <c r="M377"/>
      <c r="N377"/>
    </row>
    <row r="378" spans="11:14" x14ac:dyDescent="0.25">
      <c r="K378"/>
      <c r="L378"/>
      <c r="M378"/>
      <c r="N378"/>
    </row>
    <row r="379" spans="11:14" x14ac:dyDescent="0.25">
      <c r="K379"/>
      <c r="L379"/>
      <c r="M379"/>
      <c r="N379"/>
    </row>
    <row r="380" spans="11:14" x14ac:dyDescent="0.25">
      <c r="K380"/>
      <c r="L380"/>
      <c r="M380"/>
      <c r="N380"/>
    </row>
    <row r="381" spans="11:14" x14ac:dyDescent="0.25">
      <c r="K381"/>
      <c r="L381"/>
      <c r="M381"/>
      <c r="N381"/>
    </row>
    <row r="382" spans="11:14" x14ac:dyDescent="0.25">
      <c r="K382"/>
      <c r="L382"/>
      <c r="M382"/>
      <c r="N382"/>
    </row>
    <row r="383" spans="11:14" x14ac:dyDescent="0.25">
      <c r="K383"/>
      <c r="L383"/>
      <c r="M383"/>
      <c r="N383"/>
    </row>
    <row r="384" spans="11:14" x14ac:dyDescent="0.25">
      <c r="K384"/>
      <c r="L384"/>
      <c r="M384"/>
      <c r="N384"/>
    </row>
    <row r="385" spans="11:14" x14ac:dyDescent="0.25">
      <c r="K385"/>
      <c r="L385"/>
      <c r="M385"/>
      <c r="N385"/>
    </row>
    <row r="386" spans="11:14" x14ac:dyDescent="0.25">
      <c r="K386"/>
      <c r="L386"/>
      <c r="M386"/>
      <c r="N386"/>
    </row>
    <row r="387" spans="11:14" x14ac:dyDescent="0.25">
      <c r="K387"/>
      <c r="L387"/>
      <c r="M387"/>
      <c r="N387"/>
    </row>
    <row r="388" spans="11:14" x14ac:dyDescent="0.25">
      <c r="K388"/>
      <c r="L388"/>
      <c r="M388"/>
      <c r="N388"/>
    </row>
    <row r="389" spans="11:14" x14ac:dyDescent="0.25">
      <c r="K389"/>
      <c r="L389"/>
      <c r="M389"/>
      <c r="N389"/>
    </row>
    <row r="390" spans="11:14" x14ac:dyDescent="0.25">
      <c r="K390"/>
      <c r="L390"/>
      <c r="M390"/>
      <c r="N390"/>
    </row>
    <row r="391" spans="11:14" x14ac:dyDescent="0.25">
      <c r="K391"/>
      <c r="L391"/>
      <c r="M391"/>
      <c r="N391"/>
    </row>
    <row r="392" spans="11:14" x14ac:dyDescent="0.25">
      <c r="K392"/>
      <c r="L392"/>
      <c r="M392"/>
      <c r="N392"/>
    </row>
    <row r="393" spans="11:14" x14ac:dyDescent="0.25">
      <c r="K393"/>
      <c r="L393"/>
      <c r="M393"/>
      <c r="N393"/>
    </row>
    <row r="394" spans="11:14" x14ac:dyDescent="0.25">
      <c r="K394"/>
      <c r="L394"/>
      <c r="M394"/>
      <c r="N394"/>
    </row>
    <row r="395" spans="11:14" x14ac:dyDescent="0.25">
      <c r="K395"/>
      <c r="L395"/>
      <c r="M395"/>
      <c r="N395"/>
    </row>
    <row r="396" spans="11:14" x14ac:dyDescent="0.25">
      <c r="K396"/>
      <c r="L396"/>
      <c r="M396"/>
      <c r="N396"/>
    </row>
    <row r="397" spans="11:14" x14ac:dyDescent="0.25">
      <c r="K397"/>
      <c r="L397"/>
      <c r="M397"/>
      <c r="N397"/>
    </row>
    <row r="398" spans="11:14" x14ac:dyDescent="0.25">
      <c r="K398"/>
      <c r="L398"/>
      <c r="M398"/>
      <c r="N398"/>
    </row>
    <row r="399" spans="11:14" x14ac:dyDescent="0.25">
      <c r="K399"/>
      <c r="L399"/>
      <c r="M399"/>
      <c r="N399"/>
    </row>
    <row r="400" spans="11:14" x14ac:dyDescent="0.25">
      <c r="K400"/>
      <c r="L400"/>
      <c r="M400"/>
      <c r="N400"/>
    </row>
    <row r="401" spans="11:14" x14ac:dyDescent="0.25">
      <c r="K401"/>
      <c r="L401"/>
      <c r="M401"/>
      <c r="N401"/>
    </row>
    <row r="402" spans="11:14" x14ac:dyDescent="0.25">
      <c r="K402"/>
      <c r="L402"/>
      <c r="M402"/>
      <c r="N402"/>
    </row>
    <row r="403" spans="11:14" x14ac:dyDescent="0.25">
      <c r="K403"/>
      <c r="L403"/>
      <c r="M403"/>
      <c r="N403"/>
    </row>
    <row r="404" spans="11:14" x14ac:dyDescent="0.25">
      <c r="K404"/>
      <c r="L404"/>
      <c r="M404"/>
      <c r="N404"/>
    </row>
    <row r="405" spans="11:14" x14ac:dyDescent="0.25">
      <c r="K405"/>
      <c r="L405"/>
      <c r="M405"/>
      <c r="N405"/>
    </row>
    <row r="406" spans="11:14" x14ac:dyDescent="0.25">
      <c r="K406"/>
      <c r="L406"/>
      <c r="M406"/>
      <c r="N406"/>
    </row>
    <row r="407" spans="11:14" x14ac:dyDescent="0.25">
      <c r="K407"/>
      <c r="L407"/>
      <c r="M407"/>
      <c r="N407"/>
    </row>
    <row r="408" spans="11:14" x14ac:dyDescent="0.25">
      <c r="K408"/>
      <c r="L408"/>
      <c r="M408"/>
      <c r="N408"/>
    </row>
    <row r="409" spans="11:14" x14ac:dyDescent="0.25">
      <c r="K409"/>
      <c r="L409"/>
      <c r="M409"/>
      <c r="N409"/>
    </row>
    <row r="410" spans="11:14" x14ac:dyDescent="0.25">
      <c r="K410"/>
      <c r="L410"/>
      <c r="M410"/>
      <c r="N410"/>
    </row>
    <row r="411" spans="11:14" x14ac:dyDescent="0.25">
      <c r="K411"/>
      <c r="L411"/>
      <c r="M411"/>
      <c r="N411"/>
    </row>
    <row r="412" spans="11:14" x14ac:dyDescent="0.25">
      <c r="K412"/>
      <c r="L412"/>
      <c r="M412"/>
      <c r="N412"/>
    </row>
    <row r="413" spans="11:14" x14ac:dyDescent="0.25">
      <c r="K413"/>
      <c r="L413"/>
      <c r="M413"/>
      <c r="N413"/>
    </row>
    <row r="414" spans="11:14" x14ac:dyDescent="0.25">
      <c r="K414"/>
      <c r="L414"/>
      <c r="M414"/>
      <c r="N414"/>
    </row>
    <row r="415" spans="11:14" x14ac:dyDescent="0.25">
      <c r="K415"/>
      <c r="L415"/>
      <c r="M415"/>
      <c r="N415"/>
    </row>
    <row r="416" spans="11:14" x14ac:dyDescent="0.25">
      <c r="K416"/>
      <c r="L416"/>
      <c r="M416"/>
      <c r="N416"/>
    </row>
    <row r="417" spans="11:14" x14ac:dyDescent="0.25">
      <c r="K417"/>
      <c r="L417"/>
      <c r="M417"/>
      <c r="N417"/>
    </row>
    <row r="418" spans="11:14" x14ac:dyDescent="0.25">
      <c r="K418"/>
      <c r="L418"/>
      <c r="M418"/>
      <c r="N418"/>
    </row>
    <row r="419" spans="11:14" x14ac:dyDescent="0.25">
      <c r="K419"/>
      <c r="L419"/>
      <c r="M419"/>
      <c r="N419"/>
    </row>
    <row r="420" spans="11:14" x14ac:dyDescent="0.25">
      <c r="K420"/>
      <c r="L420"/>
      <c r="M420"/>
      <c r="N420"/>
    </row>
    <row r="421" spans="11:14" x14ac:dyDescent="0.25">
      <c r="K421"/>
      <c r="L421"/>
      <c r="M421"/>
      <c r="N421"/>
    </row>
    <row r="422" spans="11:14" x14ac:dyDescent="0.25">
      <c r="K422"/>
      <c r="L422"/>
      <c r="M422"/>
      <c r="N422"/>
    </row>
    <row r="423" spans="11:14" x14ac:dyDescent="0.25">
      <c r="K423"/>
      <c r="L423"/>
      <c r="M423"/>
      <c r="N423"/>
    </row>
    <row r="424" spans="11:14" x14ac:dyDescent="0.25">
      <c r="K424"/>
      <c r="L424"/>
      <c r="M424"/>
      <c r="N424"/>
    </row>
    <row r="425" spans="11:14" x14ac:dyDescent="0.25">
      <c r="K425"/>
      <c r="L425"/>
      <c r="M425"/>
      <c r="N425"/>
    </row>
    <row r="426" spans="11:14" x14ac:dyDescent="0.25">
      <c r="K426"/>
      <c r="L426"/>
      <c r="M426"/>
      <c r="N426"/>
    </row>
    <row r="427" spans="11:14" x14ac:dyDescent="0.25">
      <c r="K427"/>
      <c r="L427"/>
      <c r="M427"/>
      <c r="N427"/>
    </row>
    <row r="428" spans="11:14" x14ac:dyDescent="0.25">
      <c r="K428"/>
      <c r="L428"/>
      <c r="M428"/>
      <c r="N428"/>
    </row>
    <row r="429" spans="11:14" x14ac:dyDescent="0.25">
      <c r="K429"/>
      <c r="L429"/>
      <c r="M429"/>
      <c r="N429"/>
    </row>
    <row r="430" spans="11:14" x14ac:dyDescent="0.25">
      <c r="K430"/>
      <c r="L430"/>
      <c r="M430"/>
      <c r="N430"/>
    </row>
    <row r="431" spans="11:14" x14ac:dyDescent="0.25">
      <c r="K431"/>
      <c r="L431"/>
      <c r="M431"/>
      <c r="N431"/>
    </row>
    <row r="432" spans="11:14" x14ac:dyDescent="0.25">
      <c r="K432"/>
      <c r="L432"/>
      <c r="M432"/>
      <c r="N432"/>
    </row>
    <row r="433" spans="11:14" x14ac:dyDescent="0.25">
      <c r="K433"/>
      <c r="L433"/>
      <c r="M433"/>
      <c r="N433"/>
    </row>
    <row r="434" spans="11:14" x14ac:dyDescent="0.25">
      <c r="K434"/>
      <c r="L434"/>
      <c r="M434"/>
      <c r="N434"/>
    </row>
    <row r="435" spans="11:14" x14ac:dyDescent="0.25">
      <c r="K435"/>
      <c r="L435"/>
      <c r="M435"/>
      <c r="N435"/>
    </row>
    <row r="436" spans="11:14" x14ac:dyDescent="0.25">
      <c r="K436"/>
      <c r="L436"/>
      <c r="M436"/>
      <c r="N436"/>
    </row>
    <row r="437" spans="11:14" x14ac:dyDescent="0.25">
      <c r="K437"/>
      <c r="L437"/>
      <c r="M437"/>
      <c r="N437"/>
    </row>
    <row r="438" spans="11:14" x14ac:dyDescent="0.25">
      <c r="K438"/>
      <c r="L438"/>
      <c r="M438"/>
      <c r="N438"/>
    </row>
    <row r="439" spans="11:14" x14ac:dyDescent="0.25">
      <c r="K439"/>
      <c r="L439"/>
      <c r="M439"/>
      <c r="N439"/>
    </row>
    <row r="440" spans="11:14" x14ac:dyDescent="0.25">
      <c r="K440"/>
      <c r="L440"/>
      <c r="M440"/>
      <c r="N440"/>
    </row>
    <row r="441" spans="11:14" x14ac:dyDescent="0.25">
      <c r="K441"/>
      <c r="L441"/>
      <c r="M441"/>
      <c r="N441"/>
    </row>
    <row r="442" spans="11:14" x14ac:dyDescent="0.25">
      <c r="K442"/>
      <c r="L442"/>
      <c r="M442"/>
      <c r="N442"/>
    </row>
    <row r="443" spans="11:14" x14ac:dyDescent="0.25">
      <c r="K443"/>
      <c r="L443"/>
      <c r="M443"/>
      <c r="N443"/>
    </row>
    <row r="444" spans="11:14" x14ac:dyDescent="0.25">
      <c r="K444"/>
      <c r="L444"/>
      <c r="M444"/>
      <c r="N444"/>
    </row>
    <row r="445" spans="11:14" x14ac:dyDescent="0.25">
      <c r="K445"/>
      <c r="L445"/>
      <c r="M445"/>
      <c r="N445"/>
    </row>
    <row r="446" spans="11:14" x14ac:dyDescent="0.25">
      <c r="K446"/>
      <c r="L446"/>
      <c r="M446"/>
      <c r="N446"/>
    </row>
    <row r="447" spans="11:14" x14ac:dyDescent="0.25">
      <c r="K447"/>
      <c r="L447"/>
      <c r="M447"/>
      <c r="N447"/>
    </row>
    <row r="448" spans="11:14" x14ac:dyDescent="0.25">
      <c r="K448"/>
      <c r="L448"/>
      <c r="M448"/>
      <c r="N448"/>
    </row>
    <row r="449" spans="11:14" x14ac:dyDescent="0.25">
      <c r="K449"/>
      <c r="L449"/>
      <c r="M449"/>
      <c r="N449"/>
    </row>
    <row r="450" spans="11:14" x14ac:dyDescent="0.25">
      <c r="K450"/>
      <c r="L450"/>
      <c r="M450"/>
      <c r="N450"/>
    </row>
    <row r="451" spans="11:14" x14ac:dyDescent="0.25">
      <c r="K451"/>
      <c r="L451"/>
      <c r="M451"/>
      <c r="N451"/>
    </row>
    <row r="452" spans="11:14" x14ac:dyDescent="0.25">
      <c r="K452"/>
      <c r="L452"/>
      <c r="M452"/>
      <c r="N452"/>
    </row>
    <row r="453" spans="11:14" x14ac:dyDescent="0.25">
      <c r="K453"/>
      <c r="L453"/>
      <c r="M453"/>
      <c r="N453"/>
    </row>
    <row r="454" spans="11:14" x14ac:dyDescent="0.25">
      <c r="K454"/>
      <c r="L454"/>
      <c r="M454"/>
      <c r="N454"/>
    </row>
    <row r="455" spans="11:14" x14ac:dyDescent="0.25">
      <c r="K455"/>
      <c r="L455"/>
      <c r="M455"/>
      <c r="N455"/>
    </row>
    <row r="456" spans="11:14" x14ac:dyDescent="0.25">
      <c r="K456"/>
      <c r="L456"/>
      <c r="M456"/>
      <c r="N456"/>
    </row>
    <row r="457" spans="11:14" x14ac:dyDescent="0.25">
      <c r="K457"/>
      <c r="L457"/>
      <c r="M457"/>
      <c r="N457"/>
    </row>
    <row r="458" spans="11:14" x14ac:dyDescent="0.25">
      <c r="K458"/>
      <c r="L458"/>
      <c r="M458"/>
      <c r="N458"/>
    </row>
    <row r="459" spans="11:14" x14ac:dyDescent="0.25">
      <c r="K459"/>
      <c r="L459"/>
      <c r="M459"/>
      <c r="N459"/>
    </row>
    <row r="460" spans="11:14" x14ac:dyDescent="0.25">
      <c r="K460"/>
      <c r="L460"/>
      <c r="M460"/>
      <c r="N460"/>
    </row>
    <row r="461" spans="11:14" x14ac:dyDescent="0.25">
      <c r="K461"/>
      <c r="L461"/>
      <c r="M461"/>
      <c r="N461"/>
    </row>
    <row r="462" spans="11:14" x14ac:dyDescent="0.25">
      <c r="K462"/>
      <c r="L462"/>
      <c r="M462"/>
      <c r="N462"/>
    </row>
    <row r="463" spans="11:14" x14ac:dyDescent="0.25">
      <c r="K463"/>
      <c r="L463"/>
      <c r="M463"/>
      <c r="N463"/>
    </row>
    <row r="464" spans="11:14" x14ac:dyDescent="0.25">
      <c r="K464"/>
      <c r="L464"/>
      <c r="M464"/>
      <c r="N464"/>
    </row>
    <row r="465" spans="11:14" x14ac:dyDescent="0.25">
      <c r="K465"/>
      <c r="L465"/>
      <c r="M465"/>
      <c r="N465"/>
    </row>
    <row r="466" spans="11:14" x14ac:dyDescent="0.25">
      <c r="K466"/>
      <c r="L466"/>
      <c r="M466"/>
      <c r="N466"/>
    </row>
    <row r="467" spans="11:14" x14ac:dyDescent="0.25">
      <c r="K467"/>
      <c r="L467"/>
      <c r="M467"/>
      <c r="N467"/>
    </row>
    <row r="468" spans="11:14" x14ac:dyDescent="0.25">
      <c r="K468"/>
      <c r="L468"/>
      <c r="M468"/>
      <c r="N468"/>
    </row>
    <row r="469" spans="11:14" x14ac:dyDescent="0.25">
      <c r="K469"/>
      <c r="L469"/>
      <c r="M469"/>
      <c r="N469"/>
    </row>
    <row r="470" spans="11:14" x14ac:dyDescent="0.25">
      <c r="K470"/>
      <c r="L470"/>
      <c r="M470"/>
      <c r="N470"/>
    </row>
    <row r="471" spans="11:14" x14ac:dyDescent="0.25">
      <c r="K471"/>
      <c r="L471"/>
      <c r="M471"/>
      <c r="N471"/>
    </row>
    <row r="472" spans="11:14" x14ac:dyDescent="0.25">
      <c r="K472"/>
      <c r="L472"/>
      <c r="M472"/>
      <c r="N472"/>
    </row>
    <row r="473" spans="11:14" x14ac:dyDescent="0.25">
      <c r="K473"/>
      <c r="L473"/>
      <c r="M473"/>
      <c r="N473"/>
    </row>
    <row r="474" spans="11:14" x14ac:dyDescent="0.25">
      <c r="K474"/>
      <c r="L474"/>
      <c r="M474"/>
      <c r="N474"/>
    </row>
    <row r="475" spans="11:14" x14ac:dyDescent="0.25">
      <c r="K475"/>
      <c r="L475"/>
      <c r="M475"/>
      <c r="N475"/>
    </row>
    <row r="476" spans="11:14" x14ac:dyDescent="0.25">
      <c r="K476"/>
      <c r="L476"/>
      <c r="M476"/>
      <c r="N476"/>
    </row>
    <row r="477" spans="11:14" x14ac:dyDescent="0.25">
      <c r="K477"/>
      <c r="L477"/>
      <c r="M477"/>
      <c r="N477"/>
    </row>
    <row r="478" spans="11:14" x14ac:dyDescent="0.25">
      <c r="K478"/>
      <c r="L478"/>
      <c r="M478"/>
      <c r="N478"/>
    </row>
    <row r="479" spans="11:14" x14ac:dyDescent="0.25">
      <c r="K479"/>
      <c r="L479"/>
      <c r="M479"/>
      <c r="N479"/>
    </row>
    <row r="480" spans="11:14" x14ac:dyDescent="0.25">
      <c r="K480"/>
      <c r="L480"/>
      <c r="M480"/>
      <c r="N480"/>
    </row>
    <row r="481" spans="11:14" x14ac:dyDescent="0.25">
      <c r="K481"/>
      <c r="L481"/>
      <c r="M481"/>
      <c r="N481"/>
    </row>
    <row r="482" spans="11:14" x14ac:dyDescent="0.25">
      <c r="K482"/>
      <c r="L482"/>
      <c r="M482"/>
      <c r="N482"/>
    </row>
    <row r="483" spans="11:14" x14ac:dyDescent="0.25">
      <c r="K483"/>
      <c r="L483"/>
      <c r="M483"/>
      <c r="N483"/>
    </row>
    <row r="484" spans="11:14" x14ac:dyDescent="0.25">
      <c r="K484"/>
      <c r="L484"/>
      <c r="M484"/>
      <c r="N484"/>
    </row>
    <row r="485" spans="11:14" x14ac:dyDescent="0.25">
      <c r="K485"/>
      <c r="L485"/>
      <c r="M485"/>
      <c r="N485"/>
    </row>
    <row r="486" spans="11:14" x14ac:dyDescent="0.25">
      <c r="K486"/>
      <c r="L486"/>
      <c r="M486"/>
      <c r="N486"/>
    </row>
    <row r="487" spans="11:14" x14ac:dyDescent="0.25">
      <c r="K487"/>
      <c r="L487"/>
      <c r="M487"/>
      <c r="N487"/>
    </row>
    <row r="488" spans="11:14" x14ac:dyDescent="0.25">
      <c r="K488"/>
      <c r="L488"/>
      <c r="M488"/>
      <c r="N488"/>
    </row>
  </sheetData>
  <mergeCells count="15">
    <mergeCell ref="M2:M3"/>
    <mergeCell ref="N2:N3"/>
    <mergeCell ref="A2:A3"/>
    <mergeCell ref="B2:B3"/>
    <mergeCell ref="C2:C3"/>
    <mergeCell ref="D2:D3"/>
    <mergeCell ref="E2:E3"/>
    <mergeCell ref="F2:F3"/>
    <mergeCell ref="I2:I3"/>
    <mergeCell ref="J2:J3"/>
    <mergeCell ref="A14:L14"/>
    <mergeCell ref="G2:G3"/>
    <mergeCell ref="H2:H3"/>
    <mergeCell ref="K2:K3"/>
    <mergeCell ref="L2:L3"/>
  </mergeCells>
  <pageMargins left="0" right="0" top="0.39370078740157483" bottom="0" header="0.31496062992125984" footer="0.31496062992125984"/>
  <pageSetup scale="85" orientation="landscape"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81"/>
  <sheetViews>
    <sheetView showGridLines="0" zoomScale="81" zoomScaleNormal="81" workbookViewId="0">
      <pane xSplit="3" ySplit="2" topLeftCell="D3" activePane="bottomRight" state="frozen"/>
      <selection pane="topRight" activeCell="F1" sqref="F1"/>
      <selection pane="bottomLeft" activeCell="A4" sqref="A4"/>
      <selection pane="bottomRight" activeCell="F16" sqref="F16"/>
    </sheetView>
  </sheetViews>
  <sheetFormatPr defaultRowHeight="15" x14ac:dyDescent="0.25"/>
  <cols>
    <col min="1" max="1" width="4.140625" customWidth="1"/>
    <col min="2" max="2" width="12.85546875" style="8" customWidth="1"/>
    <col min="3" max="3" width="16.42578125" customWidth="1"/>
    <col min="4" max="4" width="8.28515625" customWidth="1"/>
    <col min="5" max="5" width="13" style="9" customWidth="1"/>
    <col min="6" max="6" width="18.5703125" customWidth="1"/>
    <col min="7" max="7" width="12" customWidth="1"/>
    <col min="8" max="8" width="14.28515625" style="11" customWidth="1"/>
    <col min="9" max="9" width="13.140625" style="11" customWidth="1"/>
    <col min="10" max="10" width="13.85546875" style="11" customWidth="1"/>
    <col min="11" max="11" width="12.140625" style="11" customWidth="1"/>
    <col min="12" max="12" width="13.85546875" style="11" customWidth="1"/>
    <col min="13" max="13" width="18.42578125" style="11" customWidth="1"/>
    <col min="15" max="16" width="11.140625" bestFit="1" customWidth="1"/>
    <col min="17" max="17" width="25.7109375" bestFit="1" customWidth="1"/>
  </cols>
  <sheetData>
    <row r="2" spans="1:13" ht="42" customHeight="1" x14ac:dyDescent="0.25">
      <c r="A2" s="798" t="s">
        <v>6</v>
      </c>
      <c r="B2" s="799" t="s">
        <v>0</v>
      </c>
      <c r="C2" s="798" t="s">
        <v>8</v>
      </c>
      <c r="D2" s="798" t="s">
        <v>9</v>
      </c>
      <c r="E2" s="800" t="s">
        <v>10</v>
      </c>
      <c r="F2" s="798" t="s">
        <v>11</v>
      </c>
      <c r="G2" s="801" t="s">
        <v>138</v>
      </c>
      <c r="H2" s="802" t="s">
        <v>49</v>
      </c>
      <c r="I2" s="806" t="s">
        <v>3413</v>
      </c>
      <c r="J2" s="805" t="s">
        <v>1</v>
      </c>
      <c r="K2" s="805" t="s">
        <v>548</v>
      </c>
      <c r="L2" s="805" t="s">
        <v>40</v>
      </c>
      <c r="M2" s="803" t="s">
        <v>2</v>
      </c>
    </row>
    <row r="3" spans="1:13" ht="21" customHeight="1" x14ac:dyDescent="0.25">
      <c r="A3" s="193">
        <v>1</v>
      </c>
      <c r="B3" s="197">
        <v>44407</v>
      </c>
      <c r="C3" s="53" t="s">
        <v>1795</v>
      </c>
      <c r="D3" s="55" t="s">
        <v>1117</v>
      </c>
      <c r="E3" s="45">
        <v>148851200</v>
      </c>
      <c r="F3" s="133" t="s">
        <v>3414</v>
      </c>
      <c r="G3" s="301">
        <v>44429</v>
      </c>
      <c r="H3" s="191">
        <f>E3</f>
        <v>148851200</v>
      </c>
      <c r="I3" s="807">
        <v>2534000</v>
      </c>
      <c r="J3" s="373">
        <v>53300000</v>
      </c>
      <c r="K3" s="804">
        <v>2926344</v>
      </c>
      <c r="L3" s="373">
        <v>86106326</v>
      </c>
      <c r="M3" s="192">
        <f>H3-J3-L3-I3-K3</f>
        <v>3984530</v>
      </c>
    </row>
    <row r="4" spans="1:13" ht="21" customHeight="1" x14ac:dyDescent="0.25">
      <c r="A4" s="193">
        <v>2</v>
      </c>
      <c r="B4" s="197">
        <v>44407</v>
      </c>
      <c r="C4" s="53" t="s">
        <v>1795</v>
      </c>
      <c r="D4" s="55" t="s">
        <v>1117</v>
      </c>
      <c r="E4" s="45">
        <v>7400000</v>
      </c>
      <c r="F4" s="133" t="s">
        <v>1796</v>
      </c>
      <c r="G4" s="301">
        <v>44429</v>
      </c>
      <c r="H4" s="191">
        <f t="shared" ref="H4" si="0">E4</f>
        <v>7400000</v>
      </c>
      <c r="I4" s="807"/>
      <c r="J4" s="373"/>
      <c r="K4" s="804"/>
      <c r="L4" s="373"/>
      <c r="M4" s="192">
        <f>H4-J4-L4-I4-K4</f>
        <v>7400000</v>
      </c>
    </row>
    <row r="5" spans="1:13" ht="21" customHeight="1" x14ac:dyDescent="0.25">
      <c r="A5" s="193">
        <v>3</v>
      </c>
      <c r="B5" s="197">
        <v>44419</v>
      </c>
      <c r="C5" s="53" t="s">
        <v>1795</v>
      </c>
      <c r="D5" s="55" t="s">
        <v>1117</v>
      </c>
      <c r="E5" s="45">
        <v>39100400</v>
      </c>
      <c r="F5" s="133" t="s">
        <v>1821</v>
      </c>
      <c r="G5" s="301">
        <v>44431</v>
      </c>
      <c r="H5" s="191">
        <f t="shared" ref="H5:H6" si="1">E5</f>
        <v>39100400</v>
      </c>
      <c r="I5" s="807"/>
      <c r="J5" s="373"/>
      <c r="K5" s="804"/>
      <c r="L5" s="373">
        <v>39102392</v>
      </c>
      <c r="M5" s="192">
        <f>H5-J5-L5-I5-K5</f>
        <v>-1992</v>
      </c>
    </row>
    <row r="6" spans="1:13" ht="21" customHeight="1" x14ac:dyDescent="0.25">
      <c r="A6" s="193">
        <v>4</v>
      </c>
      <c r="B6" s="197">
        <v>44420</v>
      </c>
      <c r="C6" s="53" t="s">
        <v>1795</v>
      </c>
      <c r="D6" s="55" t="s">
        <v>1117</v>
      </c>
      <c r="E6" s="45">
        <v>800000</v>
      </c>
      <c r="F6" s="133" t="s">
        <v>1822</v>
      </c>
      <c r="G6" s="301">
        <v>44431</v>
      </c>
      <c r="H6" s="191">
        <f t="shared" si="1"/>
        <v>800000</v>
      </c>
      <c r="I6" s="807"/>
      <c r="J6" s="373"/>
      <c r="K6" s="804"/>
      <c r="L6" s="373"/>
      <c r="M6" s="192">
        <f>H6-J6-L6-I6-K6</f>
        <v>800000</v>
      </c>
    </row>
    <row r="7" spans="1:13" ht="38.25" customHeight="1" x14ac:dyDescent="0.25">
      <c r="A7" s="1074" t="s">
        <v>788</v>
      </c>
      <c r="B7" s="1074"/>
      <c r="C7" s="1074"/>
      <c r="D7" s="1074"/>
      <c r="E7" s="1074"/>
      <c r="F7" s="1074"/>
      <c r="G7" s="1074"/>
      <c r="H7" s="1074"/>
      <c r="I7" s="1074"/>
      <c r="J7" s="1074"/>
      <c r="K7" s="797"/>
      <c r="L7" s="374"/>
      <c r="M7" s="198">
        <f>SUM(M3:M6)</f>
        <v>12182538</v>
      </c>
    </row>
    <row r="8" spans="1:13" x14ac:dyDescent="0.25">
      <c r="A8" s="40"/>
      <c r="B8" s="41"/>
      <c r="C8" s="7"/>
      <c r="D8" s="7"/>
      <c r="E8" s="42"/>
      <c r="F8" s="7"/>
      <c r="G8" s="7"/>
      <c r="H8"/>
      <c r="I8"/>
      <c r="J8"/>
      <c r="K8"/>
      <c r="L8"/>
      <c r="M8"/>
    </row>
    <row r="9" spans="1:13" x14ac:dyDescent="0.25">
      <c r="A9" s="40"/>
      <c r="B9" s="41"/>
      <c r="C9" s="7"/>
      <c r="D9" s="7"/>
      <c r="E9" s="42"/>
      <c r="F9" s="7"/>
      <c r="G9" s="7"/>
      <c r="H9"/>
      <c r="I9"/>
      <c r="J9"/>
      <c r="K9"/>
      <c r="L9"/>
      <c r="M9"/>
    </row>
    <row r="10" spans="1:13" x14ac:dyDescent="0.25">
      <c r="A10" s="40"/>
      <c r="B10" s="41"/>
      <c r="C10" s="7"/>
      <c r="D10" s="7"/>
      <c r="E10" s="42"/>
      <c r="F10" s="7"/>
      <c r="G10" s="7"/>
      <c r="H10"/>
      <c r="I10"/>
      <c r="J10"/>
      <c r="K10"/>
      <c r="L10"/>
      <c r="M10"/>
    </row>
    <row r="11" spans="1:13" x14ac:dyDescent="0.25">
      <c r="A11" s="40"/>
      <c r="B11" s="41"/>
      <c r="C11" s="7"/>
      <c r="D11" s="7"/>
      <c r="E11" s="42"/>
      <c r="F11" s="7"/>
      <c r="G11" s="7"/>
      <c r="H11"/>
      <c r="I11"/>
      <c r="J11"/>
      <c r="K11"/>
      <c r="L11"/>
      <c r="M11"/>
    </row>
    <row r="12" spans="1:13" x14ac:dyDescent="0.25">
      <c r="A12" s="40"/>
      <c r="B12" s="41"/>
      <c r="C12" s="7"/>
      <c r="D12" s="7"/>
      <c r="E12" s="42"/>
      <c r="F12" s="7"/>
      <c r="G12" s="7"/>
      <c r="H12"/>
      <c r="I12"/>
      <c r="J12"/>
      <c r="K12"/>
      <c r="L12"/>
      <c r="M12"/>
    </row>
    <row r="13" spans="1:13" x14ac:dyDescent="0.25">
      <c r="A13" s="40"/>
      <c r="B13" s="41"/>
      <c r="C13" s="7"/>
      <c r="D13" s="7"/>
      <c r="E13" s="42"/>
      <c r="F13" s="7"/>
      <c r="G13" s="7"/>
      <c r="H13"/>
      <c r="I13"/>
      <c r="J13"/>
      <c r="K13"/>
      <c r="L13"/>
      <c r="M13"/>
    </row>
    <row r="14" spans="1:13" x14ac:dyDescent="0.25">
      <c r="A14" s="40"/>
      <c r="B14" s="41"/>
      <c r="C14" s="7"/>
      <c r="D14" s="7"/>
      <c r="E14" s="42"/>
      <c r="F14" s="7"/>
      <c r="G14" s="7"/>
      <c r="H14"/>
      <c r="I14"/>
      <c r="J14" s="131">
        <v>86106326</v>
      </c>
      <c r="K14"/>
      <c r="L14"/>
      <c r="M14"/>
    </row>
    <row r="15" spans="1:13" x14ac:dyDescent="0.25">
      <c r="A15" s="40"/>
      <c r="B15" s="41"/>
      <c r="C15" s="7"/>
      <c r="D15" s="7"/>
      <c r="E15" s="42"/>
      <c r="F15" s="7"/>
      <c r="G15" s="7"/>
      <c r="H15"/>
      <c r="I15"/>
      <c r="J15" s="142">
        <v>39102392</v>
      </c>
      <c r="K15"/>
      <c r="L15" s="808"/>
      <c r="M15"/>
    </row>
    <row r="16" spans="1:13" x14ac:dyDescent="0.25">
      <c r="A16" s="40"/>
      <c r="B16" s="41"/>
      <c r="C16" s="7"/>
      <c r="D16" s="7"/>
      <c r="E16" s="42"/>
      <c r="F16" s="7"/>
      <c r="G16" s="7"/>
      <c r="H16"/>
      <c r="I16"/>
      <c r="J16"/>
      <c r="K16"/>
      <c r="L16"/>
      <c r="M16"/>
    </row>
    <row r="17" spans="1:13" x14ac:dyDescent="0.25">
      <c r="A17" s="40"/>
      <c r="B17" s="41"/>
      <c r="C17" s="7"/>
      <c r="D17" s="7"/>
      <c r="E17" s="42"/>
      <c r="F17" s="7"/>
      <c r="G17" s="7"/>
      <c r="H17"/>
      <c r="I17"/>
      <c r="J17"/>
      <c r="K17"/>
      <c r="L17"/>
      <c r="M17"/>
    </row>
    <row r="18" spans="1:13" x14ac:dyDescent="0.25">
      <c r="A18" s="40"/>
      <c r="B18" s="41"/>
      <c r="C18" s="7"/>
      <c r="D18" s="7"/>
      <c r="E18" s="42"/>
      <c r="F18" s="7"/>
      <c r="G18" s="7"/>
      <c r="H18"/>
      <c r="I18"/>
      <c r="J18"/>
      <c r="K18"/>
      <c r="L18"/>
      <c r="M18"/>
    </row>
    <row r="19" spans="1:13" x14ac:dyDescent="0.25">
      <c r="A19" s="40"/>
      <c r="B19" s="41"/>
      <c r="C19" s="7"/>
      <c r="D19" s="7"/>
      <c r="E19" s="42"/>
      <c r="F19" s="7"/>
      <c r="G19" s="7"/>
      <c r="H19"/>
      <c r="I19"/>
      <c r="J19"/>
      <c r="K19"/>
      <c r="L19"/>
      <c r="M19"/>
    </row>
    <row r="20" spans="1:13" x14ac:dyDescent="0.25">
      <c r="A20" s="40"/>
      <c r="B20" s="41"/>
      <c r="C20" s="7"/>
      <c r="D20" s="7"/>
      <c r="E20" s="42"/>
      <c r="F20" s="7"/>
      <c r="G20" s="7"/>
      <c r="H20"/>
      <c r="I20"/>
      <c r="J20"/>
      <c r="K20"/>
      <c r="L20"/>
      <c r="M20"/>
    </row>
    <row r="21" spans="1:13" x14ac:dyDescent="0.25">
      <c r="A21" s="40"/>
      <c r="B21" s="41"/>
      <c r="C21" s="7"/>
      <c r="D21" s="7"/>
      <c r="E21" s="42"/>
      <c r="F21" s="7"/>
      <c r="G21" s="7"/>
      <c r="H21"/>
      <c r="I21"/>
      <c r="J21"/>
      <c r="K21"/>
      <c r="L21"/>
      <c r="M21"/>
    </row>
    <row r="22" spans="1:13" x14ac:dyDescent="0.25">
      <c r="A22" s="40"/>
      <c r="B22" s="41"/>
      <c r="C22" s="7"/>
      <c r="D22" s="7"/>
      <c r="E22" s="42"/>
      <c r="F22" s="7"/>
      <c r="G22" s="7"/>
      <c r="H22"/>
      <c r="I22"/>
      <c r="J22"/>
      <c r="K22"/>
      <c r="L22"/>
      <c r="M22"/>
    </row>
    <row r="23" spans="1:13" x14ac:dyDescent="0.25">
      <c r="A23" s="40"/>
      <c r="B23" s="41"/>
      <c r="C23" s="7"/>
      <c r="D23" s="7"/>
      <c r="E23" s="42"/>
      <c r="F23" s="7"/>
      <c r="G23" s="7"/>
      <c r="H23"/>
      <c r="I23"/>
      <c r="J23"/>
      <c r="K23"/>
      <c r="L23"/>
      <c r="M23"/>
    </row>
    <row r="24" spans="1:13" x14ac:dyDescent="0.25">
      <c r="A24" s="40"/>
      <c r="B24" s="41"/>
      <c r="C24" s="7"/>
      <c r="D24" s="7"/>
      <c r="E24" s="42"/>
      <c r="F24" s="7"/>
      <c r="G24" s="7"/>
      <c r="H24"/>
      <c r="I24"/>
      <c r="J24"/>
      <c r="K24"/>
      <c r="L24"/>
      <c r="M24"/>
    </row>
    <row r="25" spans="1:13" x14ac:dyDescent="0.25">
      <c r="A25" s="40"/>
      <c r="B25" s="41"/>
      <c r="C25" s="7"/>
      <c r="D25" s="7"/>
      <c r="E25" s="42"/>
      <c r="F25" s="7"/>
      <c r="G25" s="7"/>
      <c r="H25"/>
      <c r="I25"/>
      <c r="J25"/>
      <c r="K25"/>
      <c r="L25"/>
      <c r="M25"/>
    </row>
    <row r="26" spans="1:13" x14ac:dyDescent="0.25">
      <c r="A26" s="40"/>
      <c r="B26" s="41"/>
      <c r="C26" s="7"/>
      <c r="D26" s="7"/>
      <c r="E26" s="42"/>
      <c r="F26" s="7"/>
      <c r="G26" s="7"/>
      <c r="H26"/>
      <c r="I26"/>
      <c r="J26"/>
      <c r="K26"/>
      <c r="L26"/>
      <c r="M26"/>
    </row>
    <row r="27" spans="1:13" x14ac:dyDescent="0.25">
      <c r="A27" s="40"/>
      <c r="B27" s="41"/>
      <c r="C27" s="7"/>
      <c r="D27" s="7"/>
      <c r="E27" s="42"/>
      <c r="F27" s="7"/>
      <c r="G27" s="7"/>
      <c r="H27"/>
      <c r="I27"/>
      <c r="J27"/>
      <c r="K27"/>
      <c r="L27"/>
      <c r="M27"/>
    </row>
    <row r="28" spans="1:13" x14ac:dyDescent="0.25">
      <c r="A28" s="40"/>
      <c r="B28" s="41"/>
      <c r="C28" s="7"/>
      <c r="D28" s="7"/>
      <c r="E28" s="42"/>
      <c r="F28" s="7"/>
      <c r="G28" s="7"/>
      <c r="H28"/>
      <c r="I28"/>
      <c r="J28"/>
      <c r="K28"/>
      <c r="L28"/>
      <c r="M28"/>
    </row>
    <row r="29" spans="1:13" x14ac:dyDescent="0.25">
      <c r="A29" s="40"/>
      <c r="B29" s="41"/>
      <c r="C29" s="7"/>
      <c r="D29" s="7"/>
      <c r="E29" s="42"/>
      <c r="F29" s="7"/>
      <c r="G29" s="7"/>
      <c r="H29"/>
      <c r="I29"/>
      <c r="J29"/>
      <c r="K29"/>
      <c r="L29"/>
      <c r="M29"/>
    </row>
    <row r="30" spans="1:13" x14ac:dyDescent="0.25">
      <c r="A30" s="40"/>
      <c r="B30" s="41"/>
      <c r="C30" s="7"/>
      <c r="D30" s="7"/>
      <c r="E30" s="42"/>
      <c r="F30" s="7"/>
      <c r="G30" s="7"/>
      <c r="H30"/>
      <c r="I30"/>
      <c r="J30"/>
      <c r="K30"/>
      <c r="L30"/>
      <c r="M30"/>
    </row>
    <row r="31" spans="1:13" x14ac:dyDescent="0.25">
      <c r="A31" s="40"/>
      <c r="B31" s="41"/>
      <c r="C31" s="7"/>
      <c r="D31" s="7"/>
      <c r="E31" s="42"/>
      <c r="F31" s="7"/>
      <c r="G31" s="7"/>
      <c r="H31"/>
      <c r="I31"/>
      <c r="J31"/>
      <c r="K31"/>
      <c r="L31"/>
      <c r="M31"/>
    </row>
    <row r="32" spans="1:13" x14ac:dyDescent="0.25">
      <c r="A32" s="40"/>
      <c r="B32" s="41"/>
      <c r="C32" s="7"/>
      <c r="D32" s="7"/>
      <c r="E32" s="42"/>
      <c r="F32" s="7"/>
      <c r="G32" s="7"/>
      <c r="H32"/>
      <c r="I32"/>
      <c r="J32"/>
      <c r="K32"/>
      <c r="L32"/>
      <c r="M32"/>
    </row>
    <row r="33" spans="1:13" x14ac:dyDescent="0.25">
      <c r="A33" s="40"/>
      <c r="B33" s="41"/>
      <c r="C33" s="7"/>
      <c r="D33" s="7"/>
      <c r="E33" s="42"/>
      <c r="F33" s="7"/>
      <c r="G33" s="7"/>
      <c r="H33"/>
      <c r="I33"/>
      <c r="J33"/>
      <c r="K33"/>
      <c r="L33"/>
      <c r="M33"/>
    </row>
    <row r="34" spans="1:13" x14ac:dyDescent="0.25">
      <c r="A34" s="40"/>
      <c r="B34" s="41"/>
      <c r="C34" s="7"/>
      <c r="D34" s="7"/>
      <c r="E34" s="42"/>
      <c r="F34" s="7"/>
      <c r="G34" s="7"/>
      <c r="H34"/>
      <c r="I34"/>
      <c r="J34"/>
      <c r="K34"/>
      <c r="L34"/>
      <c r="M34"/>
    </row>
    <row r="35" spans="1:13" x14ac:dyDescent="0.25">
      <c r="A35" s="40"/>
      <c r="B35" s="41"/>
      <c r="C35" s="7"/>
      <c r="D35" s="7"/>
      <c r="E35" s="42"/>
      <c r="F35" s="7"/>
      <c r="G35" s="7"/>
      <c r="H35"/>
      <c r="I35"/>
      <c r="J35"/>
      <c r="K35"/>
      <c r="L35"/>
      <c r="M35"/>
    </row>
    <row r="36" spans="1:13" x14ac:dyDescent="0.25">
      <c r="A36" s="40"/>
      <c r="B36" s="41"/>
      <c r="C36" s="7"/>
      <c r="D36" s="7"/>
      <c r="E36" s="42"/>
      <c r="F36" s="7"/>
      <c r="G36" s="7"/>
      <c r="H36"/>
      <c r="I36"/>
      <c r="J36"/>
      <c r="K36"/>
      <c r="L36"/>
      <c r="M36"/>
    </row>
    <row r="37" spans="1:13" x14ac:dyDescent="0.25">
      <c r="A37" s="40"/>
      <c r="B37" s="41"/>
      <c r="C37" s="7"/>
      <c r="D37" s="7"/>
      <c r="E37" s="42"/>
      <c r="F37" s="7"/>
      <c r="G37" s="7"/>
      <c r="H37"/>
      <c r="I37"/>
      <c r="J37"/>
      <c r="K37"/>
      <c r="L37"/>
      <c r="M37"/>
    </row>
    <row r="38" spans="1:13" x14ac:dyDescent="0.25">
      <c r="A38" s="40"/>
      <c r="B38" s="41"/>
      <c r="C38" s="7"/>
      <c r="D38" s="7"/>
      <c r="E38" s="42"/>
      <c r="F38" s="7"/>
      <c r="G38" s="7"/>
      <c r="H38"/>
      <c r="I38"/>
      <c r="J38"/>
      <c r="K38"/>
      <c r="L38"/>
      <c r="M38"/>
    </row>
    <row r="39" spans="1:13" x14ac:dyDescent="0.25">
      <c r="A39" s="40"/>
      <c r="B39" s="41"/>
      <c r="C39" s="7"/>
      <c r="D39" s="7"/>
      <c r="E39" s="42"/>
      <c r="F39" s="7"/>
      <c r="G39" s="7"/>
      <c r="H39"/>
      <c r="I39"/>
      <c r="J39"/>
      <c r="K39"/>
      <c r="L39"/>
      <c r="M39"/>
    </row>
    <row r="40" spans="1:13" x14ac:dyDescent="0.25">
      <c r="A40" s="40"/>
      <c r="B40" s="41"/>
      <c r="C40" s="7"/>
      <c r="D40" s="7"/>
      <c r="E40" s="42"/>
      <c r="F40" s="7"/>
      <c r="G40" s="7"/>
      <c r="H40"/>
      <c r="I40"/>
      <c r="J40"/>
      <c r="K40"/>
      <c r="L40"/>
      <c r="M40"/>
    </row>
    <row r="41" spans="1:13" x14ac:dyDescent="0.25">
      <c r="A41" s="40"/>
      <c r="B41" s="41"/>
      <c r="C41" s="7"/>
      <c r="D41" s="7"/>
      <c r="E41" s="42"/>
      <c r="F41" s="7"/>
      <c r="G41" s="7"/>
      <c r="H41"/>
      <c r="I41"/>
      <c r="J41"/>
      <c r="K41"/>
      <c r="L41"/>
      <c r="M41"/>
    </row>
    <row r="42" spans="1:13" x14ac:dyDescent="0.25">
      <c r="A42" s="40"/>
      <c r="B42" s="41"/>
      <c r="C42" s="7"/>
      <c r="D42" s="7"/>
      <c r="E42" s="42"/>
      <c r="F42" s="7"/>
      <c r="G42" s="7"/>
      <c r="H42"/>
      <c r="I42"/>
      <c r="J42"/>
      <c r="K42"/>
      <c r="L42"/>
      <c r="M42"/>
    </row>
    <row r="43" spans="1:13" x14ac:dyDescent="0.25">
      <c r="A43" s="40"/>
      <c r="B43" s="41"/>
      <c r="C43" s="7"/>
      <c r="D43" s="7"/>
      <c r="E43" s="42"/>
      <c r="F43" s="7"/>
      <c r="G43" s="7"/>
      <c r="H43"/>
      <c r="I43"/>
      <c r="J43"/>
      <c r="K43"/>
      <c r="L43"/>
      <c r="M43"/>
    </row>
    <row r="44" spans="1:13" x14ac:dyDescent="0.25">
      <c r="A44" s="40"/>
      <c r="B44" s="41"/>
      <c r="C44" s="7"/>
      <c r="D44" s="7"/>
      <c r="E44" s="42"/>
      <c r="F44" s="7"/>
      <c r="G44" s="7"/>
      <c r="H44"/>
      <c r="I44"/>
      <c r="J44"/>
      <c r="K44"/>
      <c r="L44"/>
      <c r="M44"/>
    </row>
    <row r="45" spans="1:13" x14ac:dyDescent="0.25">
      <c r="A45" s="40"/>
      <c r="B45" s="41"/>
      <c r="C45" s="7"/>
      <c r="D45" s="7"/>
      <c r="E45" s="42"/>
      <c r="F45" s="7"/>
      <c r="G45" s="7"/>
      <c r="H45"/>
      <c r="I45"/>
      <c r="J45"/>
      <c r="K45"/>
      <c r="L45"/>
      <c r="M45"/>
    </row>
    <row r="46" spans="1:13" x14ac:dyDescent="0.25">
      <c r="A46" s="40"/>
      <c r="B46" s="41"/>
      <c r="C46" s="7"/>
      <c r="D46" s="7"/>
      <c r="E46" s="42"/>
      <c r="F46" s="7"/>
      <c r="G46" s="7"/>
      <c r="H46"/>
      <c r="I46"/>
      <c r="J46"/>
      <c r="K46"/>
      <c r="L46"/>
      <c r="M46"/>
    </row>
    <row r="47" spans="1:13" x14ac:dyDescent="0.25">
      <c r="A47" s="40"/>
      <c r="B47" s="41"/>
      <c r="C47" s="7"/>
      <c r="D47" s="7"/>
      <c r="E47" s="42"/>
      <c r="F47" s="7"/>
      <c r="G47" s="7"/>
      <c r="H47"/>
      <c r="I47"/>
      <c r="J47"/>
      <c r="K47"/>
      <c r="L47"/>
      <c r="M47"/>
    </row>
    <row r="48" spans="1:13" x14ac:dyDescent="0.25">
      <c r="A48" s="40"/>
      <c r="B48" s="41"/>
      <c r="C48" s="7"/>
      <c r="D48" s="7"/>
      <c r="E48" s="42"/>
      <c r="F48" s="7"/>
      <c r="G48" s="7"/>
      <c r="H48"/>
      <c r="I48"/>
      <c r="J48"/>
      <c r="K48"/>
      <c r="L48"/>
      <c r="M48"/>
    </row>
    <row r="49" spans="1:13" x14ac:dyDescent="0.25">
      <c r="A49" s="40"/>
      <c r="B49" s="41"/>
      <c r="C49" s="7"/>
      <c r="D49" s="7"/>
      <c r="E49" s="42"/>
      <c r="F49" s="7"/>
      <c r="G49" s="7"/>
      <c r="H49"/>
      <c r="I49"/>
      <c r="J49"/>
      <c r="K49"/>
      <c r="L49"/>
      <c r="M49"/>
    </row>
    <row r="50" spans="1:13" x14ac:dyDescent="0.25">
      <c r="A50" s="40"/>
      <c r="B50" s="41"/>
      <c r="C50" s="7"/>
      <c r="D50" s="7"/>
      <c r="E50" s="42"/>
      <c r="F50" s="7"/>
      <c r="G50" s="7"/>
      <c r="H50"/>
      <c r="I50"/>
      <c r="J50"/>
      <c r="K50"/>
      <c r="L50"/>
      <c r="M50"/>
    </row>
    <row r="51" spans="1:13" x14ac:dyDescent="0.25">
      <c r="A51" s="40"/>
      <c r="B51" s="41"/>
      <c r="C51" s="7"/>
      <c r="D51" s="7"/>
      <c r="E51" s="42"/>
      <c r="F51" s="7"/>
      <c r="G51" s="7"/>
      <c r="H51"/>
      <c r="I51"/>
      <c r="J51"/>
      <c r="K51"/>
      <c r="L51"/>
      <c r="M51"/>
    </row>
    <row r="52" spans="1:13" x14ac:dyDescent="0.25">
      <c r="A52" s="40"/>
      <c r="B52" s="41"/>
      <c r="C52" s="7"/>
      <c r="D52" s="7"/>
      <c r="E52" s="42"/>
      <c r="F52" s="7"/>
      <c r="G52" s="7"/>
      <c r="H52"/>
      <c r="I52"/>
      <c r="J52"/>
      <c r="K52"/>
      <c r="L52"/>
      <c r="M52"/>
    </row>
    <row r="53" spans="1:13" x14ac:dyDescent="0.25">
      <c r="A53" s="40"/>
      <c r="B53" s="41"/>
      <c r="C53" s="7"/>
      <c r="D53" s="7"/>
      <c r="E53" s="42"/>
      <c r="F53" s="7"/>
      <c r="G53" s="7"/>
      <c r="H53"/>
      <c r="I53"/>
      <c r="J53"/>
      <c r="K53"/>
      <c r="L53"/>
      <c r="M53"/>
    </row>
    <row r="54" spans="1:13" x14ac:dyDescent="0.25">
      <c r="A54" s="40"/>
      <c r="B54" s="41"/>
      <c r="C54" s="7"/>
      <c r="D54" s="7"/>
      <c r="E54" s="42"/>
      <c r="F54" s="7"/>
      <c r="G54" s="7"/>
      <c r="H54"/>
      <c r="I54"/>
      <c r="J54"/>
      <c r="K54"/>
      <c r="L54"/>
      <c r="M54"/>
    </row>
    <row r="55" spans="1:13" x14ac:dyDescent="0.25">
      <c r="A55" s="40"/>
      <c r="B55" s="41"/>
      <c r="C55" s="7"/>
      <c r="D55" s="7"/>
      <c r="E55" s="42"/>
      <c r="F55" s="7"/>
      <c r="G55" s="7"/>
      <c r="H55"/>
      <c r="I55"/>
      <c r="J55"/>
      <c r="K55"/>
      <c r="L55"/>
      <c r="M55"/>
    </row>
    <row r="56" spans="1:13" x14ac:dyDescent="0.25">
      <c r="A56" s="40"/>
      <c r="B56" s="41"/>
      <c r="C56" s="7"/>
      <c r="D56" s="7"/>
      <c r="E56" s="42"/>
      <c r="F56" s="7"/>
      <c r="G56" s="7"/>
      <c r="H56"/>
      <c r="I56"/>
      <c r="J56"/>
      <c r="K56"/>
      <c r="L56"/>
      <c r="M56"/>
    </row>
    <row r="57" spans="1:13" x14ac:dyDescent="0.25">
      <c r="A57" s="40"/>
      <c r="B57" s="41"/>
      <c r="C57" s="7"/>
      <c r="D57" s="7"/>
      <c r="E57" s="42"/>
      <c r="F57" s="7"/>
      <c r="G57" s="7"/>
      <c r="H57"/>
      <c r="I57"/>
      <c r="J57"/>
      <c r="K57"/>
      <c r="L57"/>
      <c r="M57"/>
    </row>
    <row r="58" spans="1:13" x14ac:dyDescent="0.25">
      <c r="A58" s="40"/>
      <c r="B58" s="41"/>
      <c r="C58" s="7"/>
      <c r="D58" s="7"/>
      <c r="E58" s="42"/>
      <c r="F58" s="7"/>
      <c r="G58" s="7"/>
      <c r="H58"/>
      <c r="I58"/>
      <c r="J58"/>
      <c r="K58"/>
      <c r="L58"/>
      <c r="M58"/>
    </row>
    <row r="59" spans="1:13" x14ac:dyDescent="0.25">
      <c r="A59" s="40"/>
      <c r="B59" s="41"/>
      <c r="C59" s="7"/>
      <c r="D59" s="7"/>
      <c r="E59" s="42"/>
      <c r="F59" s="7"/>
      <c r="G59" s="7"/>
      <c r="H59"/>
      <c r="I59"/>
      <c r="J59"/>
      <c r="K59"/>
      <c r="L59"/>
      <c r="M59"/>
    </row>
    <row r="60" spans="1:13" x14ac:dyDescent="0.25">
      <c r="A60" s="40"/>
      <c r="B60" s="41"/>
      <c r="C60" s="7"/>
      <c r="D60" s="7"/>
      <c r="E60" s="42"/>
      <c r="F60" s="7"/>
      <c r="G60" s="7"/>
      <c r="H60"/>
      <c r="I60"/>
      <c r="J60"/>
      <c r="K60"/>
      <c r="L60"/>
      <c r="M60"/>
    </row>
    <row r="61" spans="1:13" x14ac:dyDescent="0.25">
      <c r="A61" s="40"/>
      <c r="B61" s="41"/>
      <c r="C61" s="7"/>
      <c r="D61" s="7"/>
      <c r="E61" s="42"/>
      <c r="F61" s="7"/>
      <c r="G61" s="7"/>
      <c r="H61"/>
      <c r="I61"/>
      <c r="J61"/>
      <c r="K61"/>
      <c r="L61"/>
      <c r="M61"/>
    </row>
    <row r="62" spans="1:13" x14ac:dyDescent="0.25">
      <c r="A62" s="40"/>
      <c r="B62" s="41"/>
      <c r="C62" s="7"/>
      <c r="D62" s="7"/>
      <c r="E62" s="42"/>
      <c r="F62" s="7"/>
      <c r="G62" s="7"/>
      <c r="H62"/>
      <c r="I62"/>
      <c r="J62"/>
      <c r="K62"/>
      <c r="L62"/>
      <c r="M62"/>
    </row>
    <row r="63" spans="1:13" x14ac:dyDescent="0.25">
      <c r="A63" s="40"/>
      <c r="B63" s="41"/>
      <c r="C63" s="7"/>
      <c r="D63" s="7"/>
      <c r="E63" s="42"/>
      <c r="F63" s="7"/>
      <c r="G63" s="7"/>
      <c r="H63"/>
      <c r="I63"/>
      <c r="J63"/>
      <c r="K63"/>
      <c r="L63"/>
      <c r="M63"/>
    </row>
    <row r="64" spans="1:13" x14ac:dyDescent="0.25">
      <c r="A64" s="40"/>
      <c r="B64" s="41"/>
      <c r="C64" s="7"/>
      <c r="D64" s="7"/>
      <c r="E64" s="42"/>
      <c r="F64" s="7"/>
      <c r="G64" s="7"/>
      <c r="H64"/>
      <c r="I64"/>
      <c r="J64"/>
      <c r="K64"/>
      <c r="L64"/>
      <c r="M64"/>
    </row>
    <row r="65" spans="1:13" x14ac:dyDescent="0.25">
      <c r="A65" s="40"/>
      <c r="B65" s="41"/>
      <c r="C65" s="7"/>
      <c r="D65" s="7"/>
      <c r="E65" s="42"/>
      <c r="F65" s="7"/>
      <c r="G65" s="7"/>
      <c r="H65"/>
      <c r="I65"/>
      <c r="J65"/>
      <c r="K65"/>
      <c r="L65"/>
      <c r="M65"/>
    </row>
    <row r="66" spans="1:13" x14ac:dyDescent="0.25">
      <c r="A66" s="40"/>
      <c r="B66" s="41"/>
      <c r="C66" s="7"/>
      <c r="D66" s="7"/>
      <c r="E66" s="42"/>
      <c r="F66" s="7"/>
      <c r="G66" s="7"/>
      <c r="H66"/>
      <c r="I66"/>
      <c r="J66"/>
      <c r="K66"/>
      <c r="L66"/>
      <c r="M66"/>
    </row>
    <row r="67" spans="1:13" x14ac:dyDescent="0.25">
      <c r="A67" s="40"/>
      <c r="B67" s="41"/>
      <c r="C67" s="7"/>
      <c r="D67" s="7"/>
      <c r="E67" s="42"/>
      <c r="F67" s="7"/>
      <c r="G67" s="7"/>
      <c r="H67"/>
      <c r="I67"/>
      <c r="J67"/>
      <c r="K67"/>
      <c r="L67"/>
      <c r="M67"/>
    </row>
    <row r="68" spans="1:13" x14ac:dyDescent="0.25">
      <c r="A68" s="40"/>
      <c r="B68" s="41"/>
      <c r="C68" s="7"/>
      <c r="D68" s="7"/>
      <c r="E68" s="42"/>
      <c r="F68" s="7"/>
      <c r="G68" s="7"/>
      <c r="H68"/>
      <c r="I68"/>
      <c r="J68"/>
      <c r="K68"/>
      <c r="L68"/>
      <c r="M68"/>
    </row>
    <row r="69" spans="1:13" x14ac:dyDescent="0.25">
      <c r="A69" s="40"/>
      <c r="B69" s="41"/>
      <c r="C69" s="7"/>
      <c r="D69" s="7"/>
      <c r="E69" s="42"/>
      <c r="F69" s="7"/>
      <c r="G69" s="7"/>
      <c r="H69"/>
      <c r="I69"/>
      <c r="J69"/>
      <c r="K69"/>
      <c r="L69"/>
      <c r="M69"/>
    </row>
    <row r="70" spans="1:13" x14ac:dyDescent="0.25">
      <c r="A70" s="40"/>
      <c r="B70" s="41"/>
      <c r="C70" s="7"/>
      <c r="D70" s="7"/>
      <c r="E70" s="42"/>
      <c r="F70" s="7"/>
      <c r="G70" s="7"/>
      <c r="H70"/>
      <c r="I70"/>
      <c r="J70"/>
      <c r="K70"/>
      <c r="L70"/>
      <c r="M70"/>
    </row>
    <row r="71" spans="1:13" x14ac:dyDescent="0.25">
      <c r="A71" s="40"/>
      <c r="B71" s="41"/>
      <c r="C71" s="7"/>
      <c r="D71" s="7"/>
      <c r="E71" s="42"/>
      <c r="F71" s="7"/>
      <c r="G71" s="7"/>
      <c r="H71"/>
      <c r="I71"/>
      <c r="J71"/>
      <c r="K71"/>
      <c r="L71"/>
      <c r="M71"/>
    </row>
    <row r="72" spans="1:13" x14ac:dyDescent="0.25">
      <c r="A72" s="40"/>
      <c r="B72" s="41"/>
      <c r="C72" s="7"/>
      <c r="D72" s="7"/>
      <c r="E72" s="42"/>
      <c r="F72" s="7"/>
      <c r="G72" s="7"/>
      <c r="H72"/>
      <c r="I72"/>
      <c r="J72"/>
      <c r="K72"/>
      <c r="L72"/>
      <c r="M72"/>
    </row>
    <row r="73" spans="1:13" x14ac:dyDescent="0.25">
      <c r="A73" s="40"/>
      <c r="B73" s="41"/>
      <c r="C73" s="7"/>
      <c r="D73" s="7"/>
      <c r="E73" s="42"/>
      <c r="F73" s="7"/>
      <c r="G73" s="7"/>
      <c r="H73"/>
      <c r="I73"/>
      <c r="J73"/>
      <c r="K73"/>
      <c r="L73"/>
      <c r="M73"/>
    </row>
    <row r="74" spans="1:13" x14ac:dyDescent="0.25">
      <c r="D74" s="17" t="e">
        <f>SUM(#REF!)</f>
        <v>#REF!</v>
      </c>
      <c r="H74"/>
      <c r="I74"/>
      <c r="J74"/>
      <c r="K74"/>
      <c r="L74"/>
      <c r="M74"/>
    </row>
    <row r="75" spans="1:13" x14ac:dyDescent="0.25">
      <c r="H75"/>
      <c r="I75"/>
      <c r="J75"/>
      <c r="K75"/>
      <c r="L75"/>
      <c r="M75"/>
    </row>
    <row r="76" spans="1:13" x14ac:dyDescent="0.25">
      <c r="H76"/>
      <c r="I76"/>
      <c r="J76"/>
      <c r="K76"/>
      <c r="L76"/>
      <c r="M76"/>
    </row>
    <row r="77" spans="1:13" x14ac:dyDescent="0.25">
      <c r="E77" s="9" t="e">
        <f>SUM(#REF!)</f>
        <v>#REF!</v>
      </c>
      <c r="H77"/>
      <c r="I77"/>
      <c r="J77" s="16"/>
      <c r="K77" s="16"/>
      <c r="L77" s="16"/>
      <c r="M77"/>
    </row>
    <row r="78" spans="1:13" x14ac:dyDescent="0.25">
      <c r="E78" s="15">
        <f>[2]Phapros!H379</f>
        <v>299675900</v>
      </c>
      <c r="H78"/>
      <c r="I78"/>
      <c r="J78"/>
      <c r="K78"/>
      <c r="L78"/>
      <c r="M78"/>
    </row>
    <row r="79" spans="1:13" x14ac:dyDescent="0.25">
      <c r="C79" t="s">
        <v>43</v>
      </c>
      <c r="E79" s="14" t="e">
        <f>E77+E78</f>
        <v>#REF!</v>
      </c>
      <c r="H79"/>
      <c r="I79"/>
      <c r="J79"/>
      <c r="K79"/>
      <c r="L79"/>
      <c r="M79"/>
    </row>
    <row r="80" spans="1:13" ht="11.25" customHeight="1" x14ac:dyDescent="0.25">
      <c r="E80" s="14"/>
      <c r="H80"/>
      <c r="I80"/>
      <c r="J80"/>
      <c r="K80"/>
      <c r="L80"/>
      <c r="M80"/>
    </row>
    <row r="81" spans="3:13" x14ac:dyDescent="0.25">
      <c r="H81"/>
      <c r="I81"/>
      <c r="J81"/>
      <c r="K81"/>
      <c r="L81"/>
      <c r="M81"/>
    </row>
    <row r="82" spans="3:13" x14ac:dyDescent="0.25">
      <c r="D82" s="9">
        <v>220186527</v>
      </c>
      <c r="H82"/>
      <c r="I82"/>
      <c r="J82"/>
      <c r="K82"/>
      <c r="L82"/>
      <c r="M82"/>
    </row>
    <row r="83" spans="3:13" x14ac:dyDescent="0.25">
      <c r="D83" s="15">
        <v>452400140</v>
      </c>
      <c r="H83"/>
      <c r="I83"/>
      <c r="J83"/>
      <c r="K83"/>
      <c r="L83"/>
      <c r="M83"/>
    </row>
    <row r="84" spans="3:13" ht="15.75" x14ac:dyDescent="0.25">
      <c r="E84" s="18">
        <f>D82+D83</f>
        <v>672586667</v>
      </c>
      <c r="H84"/>
      <c r="I84"/>
      <c r="J84"/>
      <c r="K84"/>
      <c r="L84"/>
      <c r="M84"/>
    </row>
    <row r="85" spans="3:13" ht="15.75" x14ac:dyDescent="0.25">
      <c r="C85" s="1" t="s">
        <v>39</v>
      </c>
      <c r="E85" s="9" t="e">
        <f>E79-E84</f>
        <v>#REF!</v>
      </c>
      <c r="H85"/>
      <c r="I85"/>
      <c r="J85"/>
      <c r="K85"/>
      <c r="L85"/>
      <c r="M85"/>
    </row>
    <row r="86" spans="3:13" x14ac:dyDescent="0.25">
      <c r="H86"/>
      <c r="I86"/>
      <c r="J86"/>
      <c r="K86"/>
      <c r="L86"/>
      <c r="M86"/>
    </row>
    <row r="87" spans="3:13" x14ac:dyDescent="0.25">
      <c r="H87"/>
      <c r="I87"/>
      <c r="J87"/>
      <c r="K87"/>
      <c r="L87"/>
      <c r="M87"/>
    </row>
    <row r="88" spans="3:13" x14ac:dyDescent="0.25">
      <c r="H88"/>
      <c r="I88"/>
      <c r="J88"/>
      <c r="K88"/>
      <c r="L88"/>
      <c r="M88"/>
    </row>
    <row r="89" spans="3:13" x14ac:dyDescent="0.25">
      <c r="H89"/>
      <c r="I89"/>
      <c r="J89" s="19"/>
      <c r="K89" s="19"/>
      <c r="L89" s="19"/>
      <c r="M89"/>
    </row>
    <row r="90" spans="3:13" x14ac:dyDescent="0.25">
      <c r="H90"/>
      <c r="I90"/>
      <c r="J90" s="19"/>
      <c r="K90" s="19"/>
      <c r="L90" s="19"/>
      <c r="M90"/>
    </row>
    <row r="91" spans="3:13" x14ac:dyDescent="0.25">
      <c r="H91"/>
      <c r="I91"/>
      <c r="J91" s="7"/>
      <c r="K91" s="7"/>
      <c r="L91" s="7"/>
      <c r="M91"/>
    </row>
    <row r="92" spans="3:13" x14ac:dyDescent="0.25">
      <c r="H92"/>
      <c r="I92"/>
      <c r="J92" s="19"/>
      <c r="K92" s="19"/>
      <c r="L92" s="19"/>
      <c r="M92"/>
    </row>
    <row r="93" spans="3:13" x14ac:dyDescent="0.25">
      <c r="H93"/>
      <c r="I93"/>
      <c r="J93" s="19"/>
      <c r="K93" s="19"/>
      <c r="L93" s="19"/>
      <c r="M93"/>
    </row>
    <row r="94" spans="3:13" x14ac:dyDescent="0.25">
      <c r="H94"/>
      <c r="I94"/>
      <c r="J94" s="7"/>
      <c r="K94" s="7"/>
      <c r="L94" s="7"/>
      <c r="M94"/>
    </row>
    <row r="95" spans="3:13" x14ac:dyDescent="0.25">
      <c r="H95"/>
      <c r="I95"/>
      <c r="J95" s="19"/>
      <c r="K95" s="19"/>
      <c r="L95" s="19"/>
      <c r="M95"/>
    </row>
    <row r="96" spans="3:13" x14ac:dyDescent="0.25">
      <c r="H96"/>
      <c r="I96"/>
      <c r="J96" s="19"/>
      <c r="K96" s="19"/>
      <c r="L96" s="19"/>
      <c r="M96"/>
    </row>
    <row r="97" spans="8:13" x14ac:dyDescent="0.25">
      <c r="H97"/>
      <c r="I97"/>
      <c r="J97" s="7"/>
      <c r="K97" s="7"/>
      <c r="L97" s="7"/>
      <c r="M97"/>
    </row>
    <row r="98" spans="8:13" x14ac:dyDescent="0.25">
      <c r="H98"/>
      <c r="I98"/>
      <c r="J98"/>
      <c r="K98"/>
      <c r="L98"/>
      <c r="M98"/>
    </row>
    <row r="99" spans="8:13" x14ac:dyDescent="0.25">
      <c r="H99"/>
      <c r="I99"/>
      <c r="J99"/>
      <c r="K99"/>
      <c r="L99"/>
      <c r="M99"/>
    </row>
    <row r="100" spans="8:13" x14ac:dyDescent="0.25">
      <c r="H100"/>
      <c r="I100"/>
      <c r="J100"/>
      <c r="K100"/>
      <c r="L100"/>
      <c r="M100"/>
    </row>
    <row r="101" spans="8:13" x14ac:dyDescent="0.25">
      <c r="H101"/>
      <c r="I101"/>
      <c r="J101"/>
      <c r="K101"/>
      <c r="L101"/>
      <c r="M101"/>
    </row>
    <row r="102" spans="8:13" x14ac:dyDescent="0.25">
      <c r="H102"/>
      <c r="I102"/>
      <c r="J102"/>
      <c r="K102"/>
      <c r="L102"/>
      <c r="M102"/>
    </row>
    <row r="103" spans="8:13" x14ac:dyDescent="0.25">
      <c r="H103"/>
      <c r="I103"/>
      <c r="J103"/>
      <c r="K103"/>
      <c r="L103"/>
      <c r="M103"/>
    </row>
    <row r="104" spans="8:13" x14ac:dyDescent="0.25">
      <c r="H104"/>
      <c r="I104"/>
      <c r="J104"/>
      <c r="K104"/>
      <c r="L104"/>
      <c r="M104"/>
    </row>
    <row r="105" spans="8:13" x14ac:dyDescent="0.25">
      <c r="H105"/>
      <c r="I105"/>
      <c r="J105"/>
      <c r="K105"/>
      <c r="L105"/>
      <c r="M105"/>
    </row>
    <row r="106" spans="8:13" x14ac:dyDescent="0.25">
      <c r="H106"/>
      <c r="I106"/>
      <c r="J106"/>
      <c r="K106"/>
      <c r="L106"/>
      <c r="M106"/>
    </row>
    <row r="107" spans="8:13" x14ac:dyDescent="0.25">
      <c r="H107"/>
      <c r="I107"/>
      <c r="J107"/>
      <c r="K107"/>
      <c r="L107"/>
      <c r="M107"/>
    </row>
    <row r="108" spans="8:13" x14ac:dyDescent="0.25">
      <c r="H108"/>
      <c r="I108"/>
      <c r="J108"/>
      <c r="K108"/>
      <c r="L108"/>
      <c r="M108"/>
    </row>
    <row r="109" spans="8:13" x14ac:dyDescent="0.25">
      <c r="H109"/>
      <c r="I109"/>
      <c r="J109"/>
      <c r="K109"/>
      <c r="L109"/>
      <c r="M109"/>
    </row>
    <row r="110" spans="8:13" x14ac:dyDescent="0.25">
      <c r="H110"/>
      <c r="I110"/>
      <c r="J110"/>
      <c r="K110"/>
      <c r="L110"/>
      <c r="M110"/>
    </row>
    <row r="111" spans="8:13" x14ac:dyDescent="0.25">
      <c r="H111"/>
      <c r="I111"/>
      <c r="J111"/>
      <c r="K111"/>
      <c r="L111"/>
      <c r="M111"/>
    </row>
    <row r="112" spans="8:13" x14ac:dyDescent="0.25">
      <c r="H112"/>
      <c r="I112"/>
      <c r="J112"/>
      <c r="K112"/>
      <c r="L112"/>
      <c r="M112"/>
    </row>
    <row r="113" spans="8:13" x14ac:dyDescent="0.25">
      <c r="H113"/>
      <c r="I113"/>
      <c r="J113"/>
      <c r="K113"/>
      <c r="L113"/>
      <c r="M113"/>
    </row>
    <row r="114" spans="8:13" x14ac:dyDescent="0.25">
      <c r="H114"/>
      <c r="I114"/>
      <c r="J114"/>
      <c r="K114"/>
      <c r="L114"/>
      <c r="M114"/>
    </row>
    <row r="115" spans="8:13" x14ac:dyDescent="0.25">
      <c r="H115"/>
      <c r="I115"/>
      <c r="J115"/>
      <c r="K115"/>
      <c r="L115"/>
      <c r="M115"/>
    </row>
    <row r="116" spans="8:13" x14ac:dyDescent="0.25">
      <c r="H116"/>
      <c r="I116"/>
      <c r="J116"/>
      <c r="K116"/>
      <c r="L116"/>
      <c r="M116"/>
    </row>
    <row r="117" spans="8:13" x14ac:dyDescent="0.25">
      <c r="H117"/>
      <c r="I117"/>
      <c r="J117"/>
      <c r="K117"/>
      <c r="L117"/>
      <c r="M117"/>
    </row>
    <row r="118" spans="8:13" x14ac:dyDescent="0.25">
      <c r="H118"/>
      <c r="I118"/>
      <c r="J118"/>
      <c r="K118"/>
      <c r="L118"/>
      <c r="M118"/>
    </row>
    <row r="119" spans="8:13" x14ac:dyDescent="0.25">
      <c r="H119"/>
      <c r="I119"/>
      <c r="J119"/>
      <c r="K119"/>
      <c r="L119"/>
      <c r="M119"/>
    </row>
    <row r="120" spans="8:13" x14ac:dyDescent="0.25">
      <c r="H120"/>
      <c r="I120"/>
      <c r="J120"/>
      <c r="K120"/>
      <c r="L120"/>
      <c r="M120"/>
    </row>
    <row r="121" spans="8:13" x14ac:dyDescent="0.25">
      <c r="H121"/>
      <c r="I121"/>
      <c r="J121"/>
      <c r="K121"/>
      <c r="L121"/>
      <c r="M121"/>
    </row>
    <row r="122" spans="8:13" x14ac:dyDescent="0.25">
      <c r="H122"/>
      <c r="I122"/>
      <c r="J122"/>
      <c r="K122"/>
      <c r="L122"/>
      <c r="M122"/>
    </row>
    <row r="123" spans="8:13" x14ac:dyDescent="0.25">
      <c r="H123"/>
      <c r="I123"/>
      <c r="J123"/>
      <c r="K123"/>
      <c r="L123"/>
      <c r="M123"/>
    </row>
    <row r="124" spans="8:13" x14ac:dyDescent="0.25">
      <c r="H124"/>
      <c r="I124"/>
      <c r="J124"/>
      <c r="K124"/>
      <c r="L124"/>
      <c r="M124"/>
    </row>
    <row r="125" spans="8:13" x14ac:dyDescent="0.25">
      <c r="H125"/>
      <c r="I125"/>
      <c r="J125"/>
      <c r="K125"/>
      <c r="L125"/>
      <c r="M125"/>
    </row>
    <row r="126" spans="8:13" x14ac:dyDescent="0.25">
      <c r="H126"/>
      <c r="I126"/>
      <c r="J126"/>
      <c r="K126"/>
      <c r="L126"/>
      <c r="M126"/>
    </row>
    <row r="127" spans="8:13" x14ac:dyDescent="0.25">
      <c r="H127"/>
      <c r="I127"/>
      <c r="J127"/>
      <c r="K127"/>
      <c r="L127"/>
      <c r="M127"/>
    </row>
    <row r="128" spans="8:13" x14ac:dyDescent="0.25">
      <c r="H128"/>
      <c r="I128"/>
      <c r="J128"/>
      <c r="K128"/>
      <c r="L128"/>
      <c r="M128"/>
    </row>
    <row r="129" spans="8:13" x14ac:dyDescent="0.25">
      <c r="H129"/>
      <c r="I129"/>
      <c r="J129"/>
      <c r="K129"/>
      <c r="L129"/>
      <c r="M129"/>
    </row>
    <row r="130" spans="8:13" x14ac:dyDescent="0.25">
      <c r="H130"/>
      <c r="I130"/>
      <c r="J130"/>
      <c r="K130"/>
      <c r="L130"/>
      <c r="M130"/>
    </row>
    <row r="131" spans="8:13" x14ac:dyDescent="0.25">
      <c r="H131"/>
      <c r="I131"/>
      <c r="J131"/>
      <c r="K131"/>
      <c r="L131"/>
      <c r="M131"/>
    </row>
    <row r="132" spans="8:13" x14ac:dyDescent="0.25">
      <c r="H132"/>
      <c r="I132"/>
      <c r="J132"/>
      <c r="K132"/>
      <c r="L132"/>
      <c r="M132"/>
    </row>
    <row r="133" spans="8:13" x14ac:dyDescent="0.25">
      <c r="H133"/>
      <c r="I133"/>
      <c r="J133"/>
      <c r="K133"/>
      <c r="L133"/>
      <c r="M133"/>
    </row>
    <row r="134" spans="8:13" x14ac:dyDescent="0.25">
      <c r="H134"/>
      <c r="I134"/>
      <c r="J134"/>
      <c r="K134"/>
      <c r="L134"/>
      <c r="M134"/>
    </row>
    <row r="135" spans="8:13" x14ac:dyDescent="0.25">
      <c r="H135"/>
      <c r="I135"/>
      <c r="J135"/>
      <c r="K135"/>
      <c r="L135"/>
      <c r="M135"/>
    </row>
    <row r="136" spans="8:13" x14ac:dyDescent="0.25">
      <c r="H136"/>
      <c r="I136"/>
      <c r="J136"/>
      <c r="K136"/>
      <c r="L136"/>
      <c r="M136"/>
    </row>
    <row r="137" spans="8:13" x14ac:dyDescent="0.25">
      <c r="H137"/>
      <c r="I137"/>
      <c r="J137"/>
      <c r="K137"/>
      <c r="L137"/>
      <c r="M137"/>
    </row>
    <row r="138" spans="8:13" x14ac:dyDescent="0.25">
      <c r="H138"/>
      <c r="I138"/>
      <c r="J138"/>
      <c r="K138"/>
      <c r="L138"/>
      <c r="M138"/>
    </row>
    <row r="139" spans="8:13" x14ac:dyDescent="0.25">
      <c r="H139"/>
      <c r="I139"/>
      <c r="J139"/>
      <c r="K139"/>
      <c r="L139"/>
      <c r="M139"/>
    </row>
    <row r="140" spans="8:13" x14ac:dyDescent="0.25">
      <c r="H140"/>
      <c r="I140"/>
      <c r="J140"/>
      <c r="K140"/>
      <c r="L140"/>
      <c r="M140"/>
    </row>
    <row r="141" spans="8:13" x14ac:dyDescent="0.25">
      <c r="H141"/>
      <c r="I141"/>
      <c r="J141"/>
      <c r="K141"/>
      <c r="L141"/>
      <c r="M141"/>
    </row>
    <row r="142" spans="8:13" x14ac:dyDescent="0.25">
      <c r="H142"/>
      <c r="I142"/>
      <c r="J142"/>
      <c r="K142"/>
      <c r="L142"/>
      <c r="M142"/>
    </row>
    <row r="143" spans="8:13" x14ac:dyDescent="0.25">
      <c r="H143"/>
      <c r="I143"/>
      <c r="J143"/>
      <c r="K143"/>
      <c r="L143"/>
      <c r="M143"/>
    </row>
    <row r="144" spans="8:13" x14ac:dyDescent="0.25">
      <c r="H144"/>
      <c r="I144"/>
      <c r="J144"/>
      <c r="K144"/>
      <c r="L144"/>
      <c r="M144"/>
    </row>
    <row r="145" spans="8:13" x14ac:dyDescent="0.25">
      <c r="H145"/>
      <c r="I145"/>
      <c r="J145"/>
      <c r="K145"/>
      <c r="L145"/>
      <c r="M145"/>
    </row>
    <row r="146" spans="8:13" x14ac:dyDescent="0.25">
      <c r="H146"/>
      <c r="I146"/>
      <c r="J146"/>
      <c r="K146"/>
      <c r="L146"/>
      <c r="M146"/>
    </row>
    <row r="147" spans="8:13" x14ac:dyDescent="0.25">
      <c r="H147"/>
      <c r="I147"/>
      <c r="J147"/>
      <c r="K147"/>
      <c r="L147"/>
      <c r="M147"/>
    </row>
    <row r="148" spans="8:13" x14ac:dyDescent="0.25">
      <c r="H148"/>
      <c r="I148"/>
      <c r="J148"/>
      <c r="K148"/>
      <c r="L148"/>
      <c r="M148"/>
    </row>
    <row r="149" spans="8:13" x14ac:dyDescent="0.25">
      <c r="H149"/>
      <c r="I149"/>
      <c r="J149"/>
      <c r="K149"/>
      <c r="L149"/>
      <c r="M149"/>
    </row>
    <row r="150" spans="8:13" x14ac:dyDescent="0.25">
      <c r="H150"/>
      <c r="I150"/>
      <c r="J150"/>
      <c r="K150"/>
      <c r="L150"/>
      <c r="M150"/>
    </row>
    <row r="151" spans="8:13" x14ac:dyDescent="0.25">
      <c r="H151"/>
      <c r="I151"/>
      <c r="J151"/>
      <c r="K151"/>
      <c r="L151"/>
      <c r="M151"/>
    </row>
    <row r="152" spans="8:13" x14ac:dyDescent="0.25">
      <c r="H152"/>
      <c r="I152"/>
      <c r="J152"/>
      <c r="K152"/>
      <c r="L152"/>
      <c r="M152"/>
    </row>
    <row r="153" spans="8:13" x14ac:dyDescent="0.25">
      <c r="H153"/>
      <c r="I153"/>
      <c r="J153"/>
      <c r="K153"/>
      <c r="L153"/>
      <c r="M153"/>
    </row>
    <row r="154" spans="8:13" x14ac:dyDescent="0.25">
      <c r="H154"/>
      <c r="I154"/>
      <c r="J154"/>
      <c r="K154"/>
      <c r="L154"/>
      <c r="M154"/>
    </row>
    <row r="155" spans="8:13" x14ac:dyDescent="0.25">
      <c r="H155"/>
      <c r="I155"/>
      <c r="J155"/>
      <c r="K155"/>
      <c r="L155"/>
      <c r="M155"/>
    </row>
    <row r="156" spans="8:13" x14ac:dyDescent="0.25">
      <c r="H156"/>
      <c r="I156"/>
      <c r="J156"/>
      <c r="K156"/>
      <c r="L156"/>
      <c r="M156"/>
    </row>
    <row r="157" spans="8:13" x14ac:dyDescent="0.25">
      <c r="H157"/>
      <c r="I157"/>
      <c r="J157"/>
      <c r="K157"/>
      <c r="L157"/>
      <c r="M157"/>
    </row>
    <row r="158" spans="8:13" x14ac:dyDescent="0.25">
      <c r="H158"/>
      <c r="I158"/>
      <c r="J158"/>
      <c r="K158"/>
      <c r="L158"/>
      <c r="M158"/>
    </row>
    <row r="159" spans="8:13" x14ac:dyDescent="0.25">
      <c r="H159"/>
      <c r="I159"/>
      <c r="J159"/>
      <c r="K159"/>
      <c r="L159"/>
      <c r="M159"/>
    </row>
    <row r="160" spans="8:13" x14ac:dyDescent="0.25">
      <c r="H160"/>
      <c r="I160"/>
      <c r="J160"/>
      <c r="K160"/>
      <c r="L160"/>
      <c r="M160"/>
    </row>
    <row r="161" spans="8:13" x14ac:dyDescent="0.25">
      <c r="H161"/>
      <c r="I161"/>
      <c r="J161"/>
      <c r="K161"/>
      <c r="L161"/>
      <c r="M161"/>
    </row>
    <row r="162" spans="8:13" x14ac:dyDescent="0.25">
      <c r="H162"/>
      <c r="I162"/>
      <c r="J162"/>
      <c r="K162"/>
      <c r="L162"/>
      <c r="M162"/>
    </row>
    <row r="163" spans="8:13" x14ac:dyDescent="0.25">
      <c r="H163"/>
      <c r="I163"/>
      <c r="J163"/>
      <c r="K163"/>
      <c r="L163"/>
      <c r="M163"/>
    </row>
    <row r="164" spans="8:13" x14ac:dyDescent="0.25">
      <c r="H164"/>
      <c r="I164"/>
      <c r="J164"/>
      <c r="K164"/>
      <c r="L164"/>
      <c r="M164"/>
    </row>
    <row r="165" spans="8:13" x14ac:dyDescent="0.25">
      <c r="H165"/>
      <c r="I165"/>
      <c r="J165"/>
      <c r="K165"/>
      <c r="L165"/>
      <c r="M165"/>
    </row>
    <row r="166" spans="8:13" x14ac:dyDescent="0.25">
      <c r="H166"/>
      <c r="I166"/>
      <c r="J166"/>
      <c r="K166"/>
      <c r="L166"/>
      <c r="M166"/>
    </row>
    <row r="167" spans="8:13" x14ac:dyDescent="0.25">
      <c r="H167"/>
      <c r="I167"/>
      <c r="J167"/>
      <c r="K167"/>
      <c r="L167"/>
      <c r="M167"/>
    </row>
    <row r="168" spans="8:13" x14ac:dyDescent="0.25">
      <c r="H168"/>
      <c r="I168"/>
      <c r="J168"/>
      <c r="K168"/>
      <c r="L168"/>
      <c r="M168"/>
    </row>
    <row r="169" spans="8:13" x14ac:dyDescent="0.25">
      <c r="H169"/>
      <c r="I169"/>
      <c r="J169"/>
      <c r="K169"/>
      <c r="L169"/>
      <c r="M169"/>
    </row>
    <row r="170" spans="8:13" x14ac:dyDescent="0.25">
      <c r="H170"/>
      <c r="I170"/>
      <c r="J170"/>
      <c r="K170"/>
      <c r="L170"/>
      <c r="M170"/>
    </row>
    <row r="171" spans="8:13" x14ac:dyDescent="0.25">
      <c r="H171"/>
      <c r="I171"/>
      <c r="J171"/>
      <c r="K171"/>
      <c r="L171"/>
      <c r="M171"/>
    </row>
    <row r="172" spans="8:13" x14ac:dyDescent="0.25">
      <c r="H172"/>
      <c r="I172"/>
      <c r="J172"/>
      <c r="K172"/>
      <c r="L172"/>
      <c r="M172"/>
    </row>
    <row r="173" spans="8:13" x14ac:dyDescent="0.25">
      <c r="H173"/>
      <c r="I173"/>
      <c r="J173"/>
      <c r="K173"/>
      <c r="L173"/>
      <c r="M173"/>
    </row>
    <row r="174" spans="8:13" x14ac:dyDescent="0.25">
      <c r="H174"/>
      <c r="I174"/>
      <c r="J174"/>
      <c r="K174"/>
      <c r="L174"/>
      <c r="M174"/>
    </row>
    <row r="175" spans="8:13" x14ac:dyDescent="0.25">
      <c r="H175"/>
      <c r="I175"/>
      <c r="J175"/>
      <c r="K175"/>
      <c r="L175"/>
      <c r="M175"/>
    </row>
    <row r="176" spans="8:13" x14ac:dyDescent="0.25">
      <c r="H176"/>
      <c r="I176"/>
      <c r="J176"/>
      <c r="K176"/>
      <c r="L176"/>
      <c r="M176"/>
    </row>
    <row r="177" spans="8:13" x14ac:dyDescent="0.25">
      <c r="H177"/>
      <c r="I177"/>
      <c r="J177"/>
      <c r="K177"/>
      <c r="L177"/>
      <c r="M177"/>
    </row>
    <row r="178" spans="8:13" x14ac:dyDescent="0.25">
      <c r="H178"/>
      <c r="I178"/>
      <c r="J178"/>
      <c r="K178"/>
      <c r="L178"/>
      <c r="M178"/>
    </row>
    <row r="179" spans="8:13" x14ac:dyDescent="0.25">
      <c r="H179"/>
      <c r="I179"/>
      <c r="J179"/>
      <c r="K179"/>
      <c r="L179"/>
      <c r="M179"/>
    </row>
    <row r="180" spans="8:13" x14ac:dyDescent="0.25">
      <c r="H180"/>
      <c r="I180"/>
      <c r="J180"/>
      <c r="K180"/>
      <c r="L180"/>
      <c r="M180"/>
    </row>
    <row r="181" spans="8:13" x14ac:dyDescent="0.25">
      <c r="H181"/>
      <c r="I181"/>
      <c r="J181"/>
      <c r="K181"/>
      <c r="L181"/>
      <c r="M181"/>
    </row>
    <row r="182" spans="8:13" x14ac:dyDescent="0.25">
      <c r="H182"/>
      <c r="I182"/>
      <c r="J182"/>
      <c r="K182"/>
      <c r="L182"/>
      <c r="M182"/>
    </row>
    <row r="183" spans="8:13" x14ac:dyDescent="0.25">
      <c r="H183"/>
      <c r="I183"/>
      <c r="J183"/>
      <c r="K183"/>
      <c r="L183"/>
      <c r="M183"/>
    </row>
    <row r="184" spans="8:13" x14ac:dyDescent="0.25">
      <c r="H184"/>
      <c r="I184"/>
      <c r="J184"/>
      <c r="K184"/>
      <c r="L184"/>
      <c r="M184"/>
    </row>
    <row r="185" spans="8:13" x14ac:dyDescent="0.25">
      <c r="H185"/>
      <c r="I185"/>
      <c r="J185"/>
      <c r="K185"/>
      <c r="L185"/>
      <c r="M185"/>
    </row>
    <row r="186" spans="8:13" x14ac:dyDescent="0.25">
      <c r="H186"/>
      <c r="I186"/>
      <c r="J186"/>
      <c r="K186"/>
      <c r="L186"/>
      <c r="M186"/>
    </row>
    <row r="187" spans="8:13" x14ac:dyDescent="0.25">
      <c r="H187"/>
      <c r="I187"/>
      <c r="J187"/>
      <c r="K187"/>
      <c r="L187"/>
      <c r="M187"/>
    </row>
    <row r="188" spans="8:13" x14ac:dyDescent="0.25">
      <c r="H188"/>
      <c r="I188"/>
      <c r="J188"/>
      <c r="K188"/>
      <c r="L188"/>
      <c r="M188"/>
    </row>
    <row r="189" spans="8:13" x14ac:dyDescent="0.25">
      <c r="H189"/>
      <c r="I189"/>
      <c r="J189"/>
      <c r="K189"/>
      <c r="L189"/>
      <c r="M189"/>
    </row>
    <row r="190" spans="8:13" x14ac:dyDescent="0.25">
      <c r="H190"/>
      <c r="I190"/>
      <c r="J190"/>
      <c r="K190"/>
      <c r="L190"/>
      <c r="M190"/>
    </row>
    <row r="191" spans="8:13" x14ac:dyDescent="0.25">
      <c r="H191"/>
      <c r="I191"/>
      <c r="J191"/>
      <c r="K191"/>
      <c r="L191"/>
      <c r="M191"/>
    </row>
    <row r="192" spans="8:13" x14ac:dyDescent="0.25">
      <c r="H192"/>
      <c r="I192"/>
      <c r="J192"/>
      <c r="K192"/>
      <c r="L192"/>
      <c r="M192"/>
    </row>
    <row r="193" spans="8:13" x14ac:dyDescent="0.25">
      <c r="H193"/>
      <c r="I193"/>
      <c r="J193"/>
      <c r="K193"/>
      <c r="L193"/>
      <c r="M193"/>
    </row>
    <row r="194" spans="8:13" x14ac:dyDescent="0.25">
      <c r="H194"/>
      <c r="I194"/>
      <c r="J194"/>
      <c r="K194"/>
      <c r="L194"/>
      <c r="M194"/>
    </row>
    <row r="195" spans="8:13" x14ac:dyDescent="0.25">
      <c r="H195"/>
      <c r="I195"/>
      <c r="J195"/>
      <c r="K195"/>
      <c r="L195"/>
      <c r="M195"/>
    </row>
    <row r="196" spans="8:13" x14ac:dyDescent="0.25">
      <c r="H196"/>
      <c r="I196"/>
      <c r="J196"/>
      <c r="K196"/>
      <c r="L196"/>
      <c r="M196"/>
    </row>
    <row r="197" spans="8:13" x14ac:dyDescent="0.25">
      <c r="H197"/>
      <c r="I197"/>
      <c r="J197"/>
      <c r="K197"/>
      <c r="L197"/>
      <c r="M197"/>
    </row>
    <row r="198" spans="8:13" x14ac:dyDescent="0.25">
      <c r="H198"/>
      <c r="I198"/>
      <c r="J198"/>
      <c r="K198"/>
      <c r="L198"/>
      <c r="M198"/>
    </row>
    <row r="199" spans="8:13" x14ac:dyDescent="0.25">
      <c r="H199"/>
      <c r="I199"/>
      <c r="J199"/>
      <c r="K199"/>
      <c r="L199"/>
      <c r="M199"/>
    </row>
    <row r="200" spans="8:13" x14ac:dyDescent="0.25">
      <c r="H200"/>
      <c r="I200"/>
      <c r="J200"/>
      <c r="K200"/>
      <c r="L200"/>
      <c r="M200"/>
    </row>
    <row r="201" spans="8:13" x14ac:dyDescent="0.25">
      <c r="H201"/>
      <c r="I201"/>
      <c r="J201"/>
      <c r="K201"/>
      <c r="L201"/>
      <c r="M201"/>
    </row>
    <row r="202" spans="8:13" x14ac:dyDescent="0.25">
      <c r="H202"/>
      <c r="I202"/>
      <c r="J202"/>
      <c r="K202"/>
      <c r="L202"/>
      <c r="M202"/>
    </row>
    <row r="203" spans="8:13" x14ac:dyDescent="0.25">
      <c r="H203"/>
      <c r="I203"/>
      <c r="J203"/>
      <c r="K203"/>
      <c r="L203"/>
      <c r="M203"/>
    </row>
    <row r="204" spans="8:13" x14ac:dyDescent="0.25">
      <c r="H204"/>
      <c r="I204"/>
      <c r="J204"/>
      <c r="K204"/>
      <c r="L204"/>
      <c r="M204"/>
    </row>
    <row r="205" spans="8:13" x14ac:dyDescent="0.25">
      <c r="H205"/>
      <c r="I205"/>
      <c r="J205"/>
      <c r="K205"/>
      <c r="L205"/>
      <c r="M205"/>
    </row>
    <row r="206" spans="8:13" x14ac:dyDescent="0.25">
      <c r="H206"/>
      <c r="I206"/>
      <c r="J206"/>
      <c r="K206"/>
      <c r="L206"/>
      <c r="M206"/>
    </row>
    <row r="207" spans="8:13" x14ac:dyDescent="0.25">
      <c r="H207"/>
      <c r="I207"/>
      <c r="J207"/>
      <c r="K207"/>
      <c r="L207"/>
      <c r="M207"/>
    </row>
    <row r="208" spans="8:13" x14ac:dyDescent="0.25">
      <c r="H208"/>
      <c r="I208"/>
      <c r="J208"/>
      <c r="K208"/>
      <c r="L208"/>
      <c r="M208"/>
    </row>
    <row r="209" spans="8:13" x14ac:dyDescent="0.25">
      <c r="H209"/>
      <c r="I209"/>
      <c r="J209"/>
      <c r="K209"/>
      <c r="L209"/>
      <c r="M209"/>
    </row>
    <row r="210" spans="8:13" x14ac:dyDescent="0.25">
      <c r="H210"/>
      <c r="I210"/>
      <c r="J210"/>
      <c r="K210"/>
      <c r="L210"/>
      <c r="M210"/>
    </row>
    <row r="211" spans="8:13" x14ac:dyDescent="0.25">
      <c r="H211"/>
      <c r="I211"/>
      <c r="J211"/>
      <c r="K211"/>
      <c r="L211"/>
      <c r="M211"/>
    </row>
    <row r="212" spans="8:13" x14ac:dyDescent="0.25">
      <c r="H212"/>
      <c r="I212"/>
      <c r="J212"/>
      <c r="K212"/>
      <c r="L212"/>
      <c r="M212"/>
    </row>
    <row r="213" spans="8:13" x14ac:dyDescent="0.25">
      <c r="H213"/>
      <c r="I213"/>
      <c r="J213"/>
      <c r="K213"/>
      <c r="L213"/>
      <c r="M213"/>
    </row>
    <row r="214" spans="8:13" x14ac:dyDescent="0.25">
      <c r="H214"/>
      <c r="I214"/>
      <c r="J214"/>
      <c r="K214"/>
      <c r="L214"/>
      <c r="M214"/>
    </row>
    <row r="215" spans="8:13" x14ac:dyDescent="0.25">
      <c r="H215"/>
      <c r="I215"/>
      <c r="J215"/>
      <c r="K215"/>
      <c r="L215"/>
      <c r="M215"/>
    </row>
    <row r="216" spans="8:13" x14ac:dyDescent="0.25">
      <c r="H216"/>
      <c r="I216"/>
      <c r="J216"/>
      <c r="K216"/>
      <c r="L216"/>
      <c r="M216"/>
    </row>
    <row r="217" spans="8:13" x14ac:dyDescent="0.25">
      <c r="H217"/>
      <c r="I217"/>
      <c r="J217"/>
      <c r="K217"/>
      <c r="L217"/>
      <c r="M217"/>
    </row>
    <row r="218" spans="8:13" x14ac:dyDescent="0.25">
      <c r="H218"/>
      <c r="I218"/>
      <c r="J218"/>
      <c r="K218"/>
      <c r="L218"/>
      <c r="M218"/>
    </row>
    <row r="219" spans="8:13" x14ac:dyDescent="0.25">
      <c r="H219"/>
      <c r="I219"/>
      <c r="J219"/>
      <c r="K219"/>
      <c r="L219"/>
      <c r="M219"/>
    </row>
    <row r="220" spans="8:13" x14ac:dyDescent="0.25">
      <c r="H220"/>
      <c r="I220"/>
      <c r="J220"/>
      <c r="K220"/>
      <c r="L220"/>
      <c r="M220"/>
    </row>
    <row r="221" spans="8:13" x14ac:dyDescent="0.25">
      <c r="H221"/>
      <c r="I221"/>
      <c r="J221"/>
      <c r="K221"/>
      <c r="L221"/>
      <c r="M221"/>
    </row>
    <row r="222" spans="8:13" x14ac:dyDescent="0.25">
      <c r="H222"/>
      <c r="I222"/>
      <c r="J222"/>
      <c r="K222"/>
      <c r="L222"/>
      <c r="M222"/>
    </row>
    <row r="223" spans="8:13" x14ac:dyDescent="0.25">
      <c r="H223"/>
      <c r="I223"/>
      <c r="J223"/>
      <c r="K223"/>
      <c r="L223"/>
      <c r="M223"/>
    </row>
    <row r="224" spans="8:13" x14ac:dyDescent="0.25">
      <c r="H224"/>
      <c r="I224"/>
      <c r="J224"/>
      <c r="K224"/>
      <c r="L224"/>
      <c r="M224"/>
    </row>
    <row r="225" spans="8:13" x14ac:dyDescent="0.25">
      <c r="H225"/>
      <c r="I225"/>
      <c r="J225"/>
      <c r="K225"/>
      <c r="L225"/>
      <c r="M225"/>
    </row>
    <row r="226" spans="8:13" x14ac:dyDescent="0.25">
      <c r="H226"/>
      <c r="I226"/>
      <c r="J226"/>
      <c r="K226"/>
      <c r="L226"/>
      <c r="M226"/>
    </row>
    <row r="227" spans="8:13" x14ac:dyDescent="0.25">
      <c r="H227"/>
      <c r="I227"/>
      <c r="J227"/>
      <c r="K227"/>
      <c r="L227"/>
      <c r="M227"/>
    </row>
    <row r="228" spans="8:13" x14ac:dyDescent="0.25">
      <c r="H228"/>
      <c r="I228"/>
      <c r="J228"/>
      <c r="K228"/>
      <c r="L228"/>
      <c r="M228"/>
    </row>
    <row r="229" spans="8:13" x14ac:dyDescent="0.25">
      <c r="H229"/>
      <c r="I229"/>
      <c r="J229"/>
      <c r="K229"/>
      <c r="L229"/>
      <c r="M229"/>
    </row>
    <row r="230" spans="8:13" x14ac:dyDescent="0.25">
      <c r="H230"/>
      <c r="I230"/>
      <c r="J230"/>
      <c r="K230"/>
      <c r="L230"/>
      <c r="M230"/>
    </row>
    <row r="231" spans="8:13" x14ac:dyDescent="0.25">
      <c r="H231"/>
      <c r="I231"/>
      <c r="J231"/>
      <c r="K231"/>
      <c r="L231"/>
      <c r="M231"/>
    </row>
    <row r="232" spans="8:13" x14ac:dyDescent="0.25">
      <c r="H232"/>
      <c r="I232"/>
      <c r="J232"/>
      <c r="K232"/>
      <c r="L232"/>
      <c r="M232"/>
    </row>
    <row r="233" spans="8:13" x14ac:dyDescent="0.25">
      <c r="H233"/>
      <c r="I233"/>
      <c r="J233"/>
      <c r="K233"/>
      <c r="L233"/>
      <c r="M233"/>
    </row>
    <row r="234" spans="8:13" x14ac:dyDescent="0.25">
      <c r="H234"/>
      <c r="I234"/>
      <c r="J234"/>
      <c r="K234"/>
      <c r="L234"/>
      <c r="M234"/>
    </row>
    <row r="235" spans="8:13" x14ac:dyDescent="0.25">
      <c r="H235"/>
      <c r="I235"/>
      <c r="J235"/>
      <c r="K235"/>
      <c r="L235"/>
      <c r="M235"/>
    </row>
    <row r="236" spans="8:13" x14ac:dyDescent="0.25">
      <c r="H236"/>
      <c r="I236"/>
      <c r="J236"/>
      <c r="K236"/>
      <c r="L236"/>
      <c r="M236"/>
    </row>
    <row r="237" spans="8:13" x14ac:dyDescent="0.25">
      <c r="H237"/>
      <c r="I237"/>
      <c r="J237"/>
      <c r="K237"/>
      <c r="L237"/>
      <c r="M237"/>
    </row>
    <row r="238" spans="8:13" x14ac:dyDescent="0.25">
      <c r="H238"/>
      <c r="I238"/>
      <c r="J238"/>
      <c r="K238"/>
      <c r="L238"/>
      <c r="M238"/>
    </row>
    <row r="239" spans="8:13" x14ac:dyDescent="0.25">
      <c r="H239"/>
      <c r="I239"/>
      <c r="J239"/>
      <c r="K239"/>
      <c r="L239"/>
      <c r="M239"/>
    </row>
    <row r="240" spans="8:13" x14ac:dyDescent="0.25">
      <c r="H240"/>
      <c r="I240"/>
      <c r="J240"/>
      <c r="K240"/>
      <c r="L240"/>
      <c r="M240"/>
    </row>
    <row r="241" spans="8:13" x14ac:dyDescent="0.25">
      <c r="H241"/>
      <c r="I241"/>
      <c r="J241"/>
      <c r="K241"/>
      <c r="L241"/>
      <c r="M241"/>
    </row>
    <row r="242" spans="8:13" x14ac:dyDescent="0.25">
      <c r="H242"/>
      <c r="I242"/>
      <c r="J242"/>
      <c r="K242"/>
      <c r="L242"/>
      <c r="M242"/>
    </row>
    <row r="243" spans="8:13" x14ac:dyDescent="0.25">
      <c r="H243"/>
      <c r="I243"/>
      <c r="J243"/>
      <c r="K243"/>
      <c r="L243"/>
      <c r="M243"/>
    </row>
    <row r="244" spans="8:13" x14ac:dyDescent="0.25">
      <c r="H244"/>
      <c r="I244"/>
      <c r="J244"/>
      <c r="K244"/>
      <c r="L244"/>
      <c r="M244"/>
    </row>
    <row r="245" spans="8:13" x14ac:dyDescent="0.25">
      <c r="H245"/>
      <c r="I245"/>
      <c r="J245"/>
      <c r="K245"/>
      <c r="L245"/>
      <c r="M245"/>
    </row>
    <row r="246" spans="8:13" x14ac:dyDescent="0.25">
      <c r="H246"/>
      <c r="I246"/>
      <c r="J246"/>
      <c r="K246"/>
      <c r="L246"/>
      <c r="M246"/>
    </row>
    <row r="247" spans="8:13" x14ac:dyDescent="0.25">
      <c r="H247"/>
      <c r="I247"/>
      <c r="J247"/>
      <c r="K247"/>
      <c r="L247"/>
      <c r="M247"/>
    </row>
    <row r="248" spans="8:13" x14ac:dyDescent="0.25">
      <c r="H248"/>
      <c r="I248"/>
      <c r="J248"/>
      <c r="K248"/>
      <c r="L248"/>
      <c r="M248"/>
    </row>
    <row r="249" spans="8:13" x14ac:dyDescent="0.25">
      <c r="H249"/>
      <c r="I249"/>
      <c r="J249"/>
      <c r="K249"/>
      <c r="L249"/>
      <c r="M249"/>
    </row>
    <row r="250" spans="8:13" x14ac:dyDescent="0.25">
      <c r="H250"/>
      <c r="I250"/>
      <c r="J250"/>
      <c r="K250"/>
      <c r="L250"/>
      <c r="M250"/>
    </row>
    <row r="251" spans="8:13" x14ac:dyDescent="0.25">
      <c r="H251"/>
      <c r="I251"/>
      <c r="J251"/>
      <c r="K251"/>
      <c r="L251"/>
      <c r="M251"/>
    </row>
    <row r="252" spans="8:13" x14ac:dyDescent="0.25">
      <c r="H252"/>
      <c r="I252"/>
      <c r="J252"/>
      <c r="K252"/>
      <c r="L252"/>
      <c r="M252"/>
    </row>
    <row r="253" spans="8:13" x14ac:dyDescent="0.25">
      <c r="H253"/>
      <c r="I253"/>
      <c r="J253"/>
      <c r="K253"/>
      <c r="L253"/>
      <c r="M253"/>
    </row>
    <row r="254" spans="8:13" x14ac:dyDescent="0.25">
      <c r="H254"/>
      <c r="I254"/>
      <c r="J254"/>
      <c r="K254"/>
      <c r="L254"/>
      <c r="M254"/>
    </row>
    <row r="255" spans="8:13" x14ac:dyDescent="0.25">
      <c r="H255"/>
      <c r="I255"/>
      <c r="J255"/>
      <c r="K255"/>
      <c r="L255"/>
      <c r="M255"/>
    </row>
    <row r="256" spans="8:13" x14ac:dyDescent="0.25">
      <c r="H256"/>
      <c r="I256"/>
      <c r="J256"/>
      <c r="K256"/>
      <c r="L256"/>
      <c r="M256"/>
    </row>
    <row r="257" spans="8:13" x14ac:dyDescent="0.25">
      <c r="H257"/>
      <c r="I257"/>
      <c r="J257"/>
      <c r="K257"/>
      <c r="L257"/>
      <c r="M257"/>
    </row>
    <row r="258" spans="8:13" x14ac:dyDescent="0.25">
      <c r="H258"/>
      <c r="I258"/>
      <c r="J258"/>
      <c r="K258"/>
      <c r="L258"/>
      <c r="M258"/>
    </row>
    <row r="259" spans="8:13" x14ac:dyDescent="0.25">
      <c r="H259"/>
      <c r="I259"/>
      <c r="J259"/>
      <c r="K259"/>
      <c r="L259"/>
      <c r="M259"/>
    </row>
    <row r="260" spans="8:13" x14ac:dyDescent="0.25">
      <c r="H260"/>
      <c r="I260"/>
      <c r="J260"/>
      <c r="K260"/>
      <c r="L260"/>
      <c r="M260"/>
    </row>
    <row r="261" spans="8:13" x14ac:dyDescent="0.25">
      <c r="H261"/>
      <c r="I261"/>
      <c r="J261"/>
      <c r="K261"/>
      <c r="L261"/>
      <c r="M261"/>
    </row>
    <row r="262" spans="8:13" x14ac:dyDescent="0.25">
      <c r="H262"/>
      <c r="I262"/>
      <c r="J262"/>
      <c r="K262"/>
      <c r="L262"/>
      <c r="M262"/>
    </row>
    <row r="263" spans="8:13" x14ac:dyDescent="0.25">
      <c r="H263"/>
      <c r="I263"/>
      <c r="J263"/>
      <c r="K263"/>
      <c r="L263"/>
      <c r="M263"/>
    </row>
    <row r="264" spans="8:13" x14ac:dyDescent="0.25">
      <c r="H264"/>
      <c r="I264"/>
      <c r="J264"/>
      <c r="K264"/>
      <c r="L264"/>
      <c r="M264"/>
    </row>
    <row r="265" spans="8:13" x14ac:dyDescent="0.25">
      <c r="H265"/>
      <c r="I265"/>
      <c r="J265"/>
      <c r="K265"/>
      <c r="L265"/>
      <c r="M265"/>
    </row>
    <row r="266" spans="8:13" x14ac:dyDescent="0.25">
      <c r="H266"/>
      <c r="I266"/>
      <c r="J266"/>
      <c r="K266"/>
      <c r="L266"/>
      <c r="M266"/>
    </row>
    <row r="267" spans="8:13" x14ac:dyDescent="0.25">
      <c r="H267"/>
      <c r="I267"/>
      <c r="J267"/>
      <c r="K267"/>
      <c r="L267"/>
      <c r="M267"/>
    </row>
    <row r="268" spans="8:13" x14ac:dyDescent="0.25">
      <c r="H268"/>
      <c r="I268"/>
      <c r="J268"/>
      <c r="K268"/>
      <c r="L268"/>
      <c r="M268"/>
    </row>
    <row r="269" spans="8:13" x14ac:dyDescent="0.25">
      <c r="H269"/>
      <c r="I269"/>
      <c r="J269"/>
      <c r="K269"/>
      <c r="L269"/>
      <c r="M269"/>
    </row>
    <row r="270" spans="8:13" x14ac:dyDescent="0.25">
      <c r="H270"/>
      <c r="I270"/>
      <c r="J270"/>
      <c r="K270"/>
      <c r="L270"/>
      <c r="M270"/>
    </row>
    <row r="271" spans="8:13" x14ac:dyDescent="0.25">
      <c r="H271"/>
      <c r="I271"/>
      <c r="J271"/>
      <c r="K271"/>
      <c r="L271"/>
      <c r="M271"/>
    </row>
    <row r="272" spans="8:13" x14ac:dyDescent="0.25">
      <c r="H272"/>
      <c r="I272"/>
      <c r="J272"/>
      <c r="K272"/>
      <c r="L272"/>
      <c r="M272"/>
    </row>
    <row r="273" spans="8:13" x14ac:dyDescent="0.25">
      <c r="H273"/>
      <c r="I273"/>
      <c r="J273"/>
      <c r="K273"/>
      <c r="L273"/>
      <c r="M273"/>
    </row>
    <row r="274" spans="8:13" x14ac:dyDescent="0.25">
      <c r="H274"/>
      <c r="I274"/>
      <c r="J274"/>
      <c r="K274"/>
      <c r="L274"/>
      <c r="M274"/>
    </row>
    <row r="275" spans="8:13" x14ac:dyDescent="0.25">
      <c r="H275"/>
      <c r="I275"/>
      <c r="J275"/>
      <c r="K275"/>
      <c r="L275"/>
      <c r="M275"/>
    </row>
    <row r="276" spans="8:13" x14ac:dyDescent="0.25">
      <c r="H276"/>
      <c r="I276"/>
      <c r="J276"/>
      <c r="K276"/>
      <c r="L276"/>
      <c r="M276"/>
    </row>
    <row r="277" spans="8:13" x14ac:dyDescent="0.25">
      <c r="H277"/>
      <c r="I277"/>
      <c r="J277"/>
      <c r="K277"/>
      <c r="L277"/>
      <c r="M277"/>
    </row>
    <row r="278" spans="8:13" x14ac:dyDescent="0.25">
      <c r="H278"/>
      <c r="I278"/>
      <c r="J278"/>
      <c r="K278"/>
      <c r="L278"/>
      <c r="M278"/>
    </row>
    <row r="279" spans="8:13" x14ac:dyDescent="0.25">
      <c r="H279"/>
      <c r="I279"/>
      <c r="J279"/>
      <c r="K279"/>
      <c r="L279"/>
      <c r="M279"/>
    </row>
    <row r="280" spans="8:13" x14ac:dyDescent="0.25">
      <c r="H280"/>
      <c r="I280"/>
      <c r="J280"/>
      <c r="K280"/>
      <c r="L280"/>
      <c r="M280"/>
    </row>
    <row r="281" spans="8:13" x14ac:dyDescent="0.25">
      <c r="H281"/>
      <c r="I281"/>
      <c r="J281"/>
      <c r="K281"/>
      <c r="L281"/>
      <c r="M281"/>
    </row>
    <row r="282" spans="8:13" x14ac:dyDescent="0.25">
      <c r="H282"/>
      <c r="I282"/>
      <c r="J282"/>
      <c r="K282"/>
      <c r="L282"/>
      <c r="M282"/>
    </row>
    <row r="283" spans="8:13" x14ac:dyDescent="0.25">
      <c r="H283"/>
      <c r="I283"/>
      <c r="J283"/>
      <c r="K283"/>
      <c r="L283"/>
      <c r="M283"/>
    </row>
    <row r="284" spans="8:13" x14ac:dyDescent="0.25">
      <c r="H284"/>
      <c r="I284"/>
      <c r="J284"/>
      <c r="K284"/>
      <c r="L284"/>
      <c r="M284"/>
    </row>
    <row r="285" spans="8:13" x14ac:dyDescent="0.25">
      <c r="H285"/>
      <c r="I285"/>
      <c r="J285"/>
      <c r="K285"/>
      <c r="L285"/>
      <c r="M285"/>
    </row>
    <row r="286" spans="8:13" x14ac:dyDescent="0.25">
      <c r="H286"/>
      <c r="I286"/>
      <c r="J286"/>
      <c r="K286"/>
      <c r="L286"/>
      <c r="M286"/>
    </row>
    <row r="287" spans="8:13" x14ac:dyDescent="0.25">
      <c r="H287"/>
      <c r="I287"/>
      <c r="J287"/>
      <c r="K287"/>
      <c r="L287"/>
      <c r="M287"/>
    </row>
    <row r="288" spans="8:13" x14ac:dyDescent="0.25">
      <c r="H288"/>
      <c r="I288"/>
      <c r="J288"/>
      <c r="K288"/>
      <c r="L288"/>
      <c r="M288"/>
    </row>
    <row r="289" spans="8:13" x14ac:dyDescent="0.25">
      <c r="H289"/>
      <c r="I289"/>
      <c r="J289"/>
      <c r="K289"/>
      <c r="L289"/>
      <c r="M289"/>
    </row>
    <row r="290" spans="8:13" x14ac:dyDescent="0.25">
      <c r="H290"/>
      <c r="I290"/>
      <c r="J290"/>
      <c r="K290"/>
      <c r="L290"/>
      <c r="M290"/>
    </row>
    <row r="291" spans="8:13" x14ac:dyDescent="0.25">
      <c r="H291"/>
      <c r="I291"/>
      <c r="J291"/>
      <c r="K291"/>
      <c r="L291"/>
      <c r="M291"/>
    </row>
    <row r="292" spans="8:13" x14ac:dyDescent="0.25">
      <c r="H292"/>
      <c r="I292"/>
      <c r="J292"/>
      <c r="K292"/>
      <c r="L292"/>
      <c r="M292"/>
    </row>
    <row r="293" spans="8:13" x14ac:dyDescent="0.25">
      <c r="H293"/>
      <c r="I293"/>
      <c r="J293"/>
      <c r="K293"/>
      <c r="L293"/>
      <c r="M293"/>
    </row>
    <row r="294" spans="8:13" x14ac:dyDescent="0.25">
      <c r="H294"/>
      <c r="I294"/>
      <c r="J294"/>
      <c r="K294"/>
      <c r="L294"/>
      <c r="M294"/>
    </row>
    <row r="295" spans="8:13" x14ac:dyDescent="0.25">
      <c r="H295"/>
      <c r="I295"/>
      <c r="J295"/>
      <c r="K295"/>
      <c r="L295"/>
      <c r="M295"/>
    </row>
    <row r="296" spans="8:13" x14ac:dyDescent="0.25">
      <c r="H296"/>
      <c r="I296"/>
      <c r="J296"/>
      <c r="K296"/>
      <c r="L296"/>
      <c r="M296"/>
    </row>
    <row r="297" spans="8:13" x14ac:dyDescent="0.25">
      <c r="H297"/>
      <c r="I297"/>
      <c r="J297"/>
      <c r="K297"/>
      <c r="L297"/>
      <c r="M297"/>
    </row>
    <row r="298" spans="8:13" x14ac:dyDescent="0.25">
      <c r="H298"/>
      <c r="I298"/>
      <c r="J298"/>
      <c r="K298"/>
      <c r="L298"/>
      <c r="M298"/>
    </row>
    <row r="299" spans="8:13" x14ac:dyDescent="0.25">
      <c r="H299"/>
      <c r="I299"/>
      <c r="J299"/>
      <c r="K299"/>
      <c r="L299"/>
      <c r="M299"/>
    </row>
    <row r="300" spans="8:13" x14ac:dyDescent="0.25">
      <c r="H300"/>
      <c r="I300"/>
      <c r="J300"/>
      <c r="K300"/>
      <c r="L300"/>
      <c r="M300"/>
    </row>
    <row r="301" spans="8:13" x14ac:dyDescent="0.25">
      <c r="H301"/>
      <c r="I301"/>
      <c r="J301"/>
      <c r="K301"/>
      <c r="L301"/>
      <c r="M301"/>
    </row>
    <row r="302" spans="8:13" x14ac:dyDescent="0.25">
      <c r="H302"/>
      <c r="I302"/>
      <c r="J302"/>
      <c r="K302"/>
      <c r="L302"/>
      <c r="M302"/>
    </row>
    <row r="303" spans="8:13" x14ac:dyDescent="0.25">
      <c r="H303"/>
      <c r="I303"/>
      <c r="J303"/>
      <c r="K303"/>
      <c r="L303"/>
      <c r="M303"/>
    </row>
    <row r="304" spans="8:13" x14ac:dyDescent="0.25">
      <c r="H304"/>
      <c r="I304"/>
      <c r="J304"/>
      <c r="K304"/>
      <c r="L304"/>
      <c r="M304"/>
    </row>
    <row r="305" spans="8:13" x14ac:dyDescent="0.25">
      <c r="H305"/>
      <c r="I305"/>
      <c r="J305"/>
      <c r="K305"/>
      <c r="L305"/>
      <c r="M305"/>
    </row>
    <row r="306" spans="8:13" x14ac:dyDescent="0.25">
      <c r="H306"/>
      <c r="I306"/>
      <c r="J306"/>
      <c r="K306"/>
      <c r="L306"/>
      <c r="M306"/>
    </row>
    <row r="307" spans="8:13" x14ac:dyDescent="0.25">
      <c r="H307"/>
      <c r="I307"/>
      <c r="J307"/>
      <c r="K307"/>
      <c r="L307"/>
      <c r="M307"/>
    </row>
    <row r="308" spans="8:13" x14ac:dyDescent="0.25">
      <c r="H308"/>
      <c r="I308"/>
      <c r="J308"/>
      <c r="K308"/>
      <c r="L308"/>
      <c r="M308"/>
    </row>
    <row r="309" spans="8:13" x14ac:dyDescent="0.25">
      <c r="H309"/>
      <c r="I309"/>
      <c r="J309"/>
      <c r="K309"/>
      <c r="L309"/>
      <c r="M309"/>
    </row>
    <row r="310" spans="8:13" x14ac:dyDescent="0.25">
      <c r="H310"/>
      <c r="I310"/>
      <c r="J310"/>
      <c r="K310"/>
      <c r="L310"/>
      <c r="M310"/>
    </row>
    <row r="311" spans="8:13" x14ac:dyDescent="0.25">
      <c r="H311"/>
      <c r="I311"/>
      <c r="J311"/>
      <c r="K311"/>
      <c r="L311"/>
      <c r="M311"/>
    </row>
    <row r="312" spans="8:13" x14ac:dyDescent="0.25">
      <c r="H312"/>
      <c r="I312"/>
      <c r="J312"/>
      <c r="K312"/>
      <c r="L312"/>
      <c r="M312"/>
    </row>
    <row r="313" spans="8:13" x14ac:dyDescent="0.25">
      <c r="H313"/>
      <c r="I313"/>
      <c r="J313"/>
      <c r="K313"/>
      <c r="L313"/>
      <c r="M313"/>
    </row>
    <row r="314" spans="8:13" x14ac:dyDescent="0.25">
      <c r="H314"/>
      <c r="I314"/>
      <c r="J314"/>
      <c r="K314"/>
      <c r="L314"/>
      <c r="M314"/>
    </row>
    <row r="315" spans="8:13" x14ac:dyDescent="0.25">
      <c r="H315"/>
      <c r="I315"/>
      <c r="J315"/>
      <c r="K315"/>
      <c r="L315"/>
      <c r="M315"/>
    </row>
    <row r="316" spans="8:13" x14ac:dyDescent="0.25">
      <c r="H316"/>
      <c r="I316"/>
      <c r="J316"/>
      <c r="K316"/>
      <c r="L316"/>
      <c r="M316"/>
    </row>
    <row r="317" spans="8:13" x14ac:dyDescent="0.25">
      <c r="H317"/>
      <c r="I317"/>
      <c r="J317"/>
      <c r="K317"/>
      <c r="L317"/>
      <c r="M317"/>
    </row>
    <row r="318" spans="8:13" x14ac:dyDescent="0.25">
      <c r="H318"/>
      <c r="I318"/>
      <c r="J318"/>
      <c r="K318"/>
      <c r="L318"/>
      <c r="M318"/>
    </row>
    <row r="319" spans="8:13" x14ac:dyDescent="0.25">
      <c r="H319"/>
      <c r="I319"/>
      <c r="J319"/>
      <c r="K319"/>
      <c r="L319"/>
      <c r="M319"/>
    </row>
    <row r="320" spans="8:13" x14ac:dyDescent="0.25">
      <c r="H320"/>
      <c r="I320"/>
      <c r="J320"/>
      <c r="K320"/>
      <c r="L320"/>
      <c r="M320"/>
    </row>
    <row r="321" spans="8:13" x14ac:dyDescent="0.25">
      <c r="H321"/>
      <c r="I321"/>
      <c r="J321"/>
      <c r="K321"/>
      <c r="L321"/>
      <c r="M321"/>
    </row>
    <row r="322" spans="8:13" x14ac:dyDescent="0.25">
      <c r="H322"/>
      <c r="I322"/>
      <c r="J322"/>
      <c r="K322"/>
      <c r="L322"/>
      <c r="M322"/>
    </row>
    <row r="323" spans="8:13" x14ac:dyDescent="0.25">
      <c r="H323"/>
      <c r="I323"/>
      <c r="J323"/>
      <c r="K323"/>
      <c r="L323"/>
      <c r="M323"/>
    </row>
    <row r="324" spans="8:13" x14ac:dyDescent="0.25">
      <c r="H324"/>
      <c r="I324"/>
      <c r="J324"/>
      <c r="K324"/>
      <c r="L324"/>
      <c r="M324"/>
    </row>
    <row r="325" spans="8:13" x14ac:dyDescent="0.25">
      <c r="H325"/>
      <c r="I325"/>
      <c r="J325"/>
      <c r="K325"/>
      <c r="L325"/>
      <c r="M325"/>
    </row>
    <row r="326" spans="8:13" x14ac:dyDescent="0.25">
      <c r="H326"/>
      <c r="I326"/>
      <c r="J326"/>
      <c r="K326"/>
      <c r="L326"/>
      <c r="M326"/>
    </row>
    <row r="327" spans="8:13" x14ac:dyDescent="0.25">
      <c r="H327"/>
      <c r="I327"/>
      <c r="J327"/>
      <c r="K327"/>
      <c r="L327"/>
      <c r="M327"/>
    </row>
    <row r="328" spans="8:13" x14ac:dyDescent="0.25">
      <c r="H328"/>
      <c r="I328"/>
      <c r="J328"/>
      <c r="K328"/>
      <c r="L328"/>
      <c r="M328"/>
    </row>
    <row r="329" spans="8:13" x14ac:dyDescent="0.25">
      <c r="H329"/>
      <c r="I329"/>
      <c r="J329"/>
      <c r="K329"/>
      <c r="L329"/>
      <c r="M329"/>
    </row>
    <row r="330" spans="8:13" x14ac:dyDescent="0.25">
      <c r="H330"/>
      <c r="I330"/>
      <c r="J330"/>
      <c r="K330"/>
      <c r="L330"/>
      <c r="M330"/>
    </row>
    <row r="331" spans="8:13" x14ac:dyDescent="0.25">
      <c r="H331"/>
      <c r="I331"/>
      <c r="J331"/>
      <c r="K331"/>
      <c r="L331"/>
      <c r="M331"/>
    </row>
    <row r="332" spans="8:13" x14ac:dyDescent="0.25">
      <c r="H332"/>
      <c r="I332"/>
      <c r="J332"/>
      <c r="K332"/>
      <c r="L332"/>
      <c r="M332"/>
    </row>
    <row r="333" spans="8:13" x14ac:dyDescent="0.25">
      <c r="H333"/>
      <c r="I333"/>
      <c r="J333"/>
      <c r="K333"/>
      <c r="L333"/>
      <c r="M333"/>
    </row>
    <row r="334" spans="8:13" x14ac:dyDescent="0.25">
      <c r="H334"/>
      <c r="I334"/>
      <c r="J334"/>
      <c r="K334"/>
      <c r="L334"/>
      <c r="M334"/>
    </row>
    <row r="335" spans="8:13" x14ac:dyDescent="0.25">
      <c r="H335"/>
      <c r="I335"/>
      <c r="J335"/>
      <c r="K335"/>
      <c r="L335"/>
      <c r="M335"/>
    </row>
    <row r="336" spans="8:13" x14ac:dyDescent="0.25">
      <c r="H336"/>
      <c r="I336"/>
      <c r="J336"/>
      <c r="K336"/>
      <c r="L336"/>
      <c r="M336"/>
    </row>
    <row r="337" spans="8:13" x14ac:dyDescent="0.25">
      <c r="H337"/>
      <c r="I337"/>
      <c r="J337"/>
      <c r="K337"/>
      <c r="L337"/>
      <c r="M337"/>
    </row>
    <row r="338" spans="8:13" x14ac:dyDescent="0.25">
      <c r="H338"/>
      <c r="I338"/>
      <c r="J338"/>
      <c r="K338"/>
      <c r="L338"/>
      <c r="M338"/>
    </row>
    <row r="339" spans="8:13" x14ac:dyDescent="0.25">
      <c r="H339"/>
      <c r="I339"/>
      <c r="J339"/>
      <c r="K339"/>
      <c r="L339"/>
      <c r="M339"/>
    </row>
    <row r="340" spans="8:13" x14ac:dyDescent="0.25">
      <c r="H340"/>
      <c r="I340"/>
      <c r="J340"/>
      <c r="K340"/>
      <c r="L340"/>
      <c r="M340"/>
    </row>
    <row r="341" spans="8:13" x14ac:dyDescent="0.25">
      <c r="H341"/>
      <c r="I341"/>
      <c r="J341"/>
      <c r="K341"/>
      <c r="L341"/>
      <c r="M341"/>
    </row>
    <row r="342" spans="8:13" x14ac:dyDescent="0.25">
      <c r="H342"/>
      <c r="I342"/>
      <c r="J342"/>
      <c r="K342"/>
      <c r="L342"/>
      <c r="M342"/>
    </row>
    <row r="343" spans="8:13" x14ac:dyDescent="0.25">
      <c r="H343"/>
      <c r="I343"/>
      <c r="J343"/>
      <c r="K343"/>
      <c r="L343"/>
      <c r="M343"/>
    </row>
    <row r="344" spans="8:13" x14ac:dyDescent="0.25">
      <c r="H344"/>
      <c r="I344"/>
      <c r="J344"/>
      <c r="K344"/>
      <c r="L344"/>
      <c r="M344"/>
    </row>
    <row r="345" spans="8:13" x14ac:dyDescent="0.25">
      <c r="H345"/>
      <c r="I345"/>
      <c r="J345"/>
      <c r="K345"/>
      <c r="L345"/>
      <c r="M345"/>
    </row>
    <row r="346" spans="8:13" x14ac:dyDescent="0.25">
      <c r="H346"/>
      <c r="I346"/>
      <c r="J346"/>
      <c r="K346"/>
      <c r="L346"/>
      <c r="M346"/>
    </row>
    <row r="347" spans="8:13" x14ac:dyDescent="0.25">
      <c r="H347"/>
      <c r="I347"/>
      <c r="J347"/>
      <c r="K347"/>
      <c r="L347"/>
      <c r="M347"/>
    </row>
    <row r="348" spans="8:13" x14ac:dyDescent="0.25">
      <c r="H348"/>
      <c r="I348"/>
      <c r="J348"/>
      <c r="K348"/>
      <c r="L348"/>
      <c r="M348"/>
    </row>
    <row r="349" spans="8:13" x14ac:dyDescent="0.25">
      <c r="H349"/>
      <c r="I349"/>
      <c r="J349"/>
      <c r="K349"/>
      <c r="L349"/>
      <c r="M349"/>
    </row>
    <row r="350" spans="8:13" x14ac:dyDescent="0.25">
      <c r="H350"/>
      <c r="I350"/>
      <c r="J350"/>
      <c r="K350"/>
      <c r="L350"/>
      <c r="M350"/>
    </row>
    <row r="351" spans="8:13" x14ac:dyDescent="0.25">
      <c r="H351"/>
      <c r="I351"/>
      <c r="J351"/>
      <c r="K351"/>
      <c r="L351"/>
      <c r="M351"/>
    </row>
    <row r="352" spans="8:13" x14ac:dyDescent="0.25">
      <c r="H352"/>
      <c r="I352"/>
      <c r="J352"/>
      <c r="K352"/>
      <c r="L352"/>
      <c r="M352"/>
    </row>
    <row r="353" spans="8:13" x14ac:dyDescent="0.25">
      <c r="H353"/>
      <c r="I353"/>
      <c r="J353"/>
      <c r="K353"/>
      <c r="L353"/>
      <c r="M353"/>
    </row>
    <row r="354" spans="8:13" x14ac:dyDescent="0.25">
      <c r="H354"/>
      <c r="I354"/>
      <c r="J354"/>
      <c r="K354"/>
      <c r="L354"/>
      <c r="M354"/>
    </row>
    <row r="355" spans="8:13" x14ac:dyDescent="0.25">
      <c r="H355"/>
      <c r="I355"/>
      <c r="J355"/>
      <c r="K355"/>
      <c r="L355"/>
      <c r="M355"/>
    </row>
    <row r="356" spans="8:13" x14ac:dyDescent="0.25">
      <c r="H356"/>
      <c r="I356"/>
      <c r="J356"/>
      <c r="K356"/>
      <c r="L356"/>
      <c r="M356"/>
    </row>
    <row r="357" spans="8:13" x14ac:dyDescent="0.25">
      <c r="H357"/>
      <c r="I357"/>
      <c r="J357"/>
      <c r="K357"/>
      <c r="L357"/>
      <c r="M357"/>
    </row>
    <row r="358" spans="8:13" x14ac:dyDescent="0.25">
      <c r="H358"/>
      <c r="I358"/>
      <c r="J358"/>
      <c r="K358"/>
      <c r="L358"/>
      <c r="M358"/>
    </row>
    <row r="359" spans="8:13" x14ac:dyDescent="0.25">
      <c r="H359"/>
      <c r="I359"/>
      <c r="J359"/>
      <c r="K359"/>
      <c r="L359"/>
      <c r="M359"/>
    </row>
    <row r="360" spans="8:13" x14ac:dyDescent="0.25">
      <c r="H360"/>
      <c r="I360"/>
      <c r="J360"/>
      <c r="K360"/>
      <c r="L360"/>
      <c r="M360"/>
    </row>
    <row r="361" spans="8:13" x14ac:dyDescent="0.25">
      <c r="H361"/>
      <c r="I361"/>
      <c r="J361"/>
      <c r="K361"/>
      <c r="L361"/>
      <c r="M361"/>
    </row>
    <row r="362" spans="8:13" x14ac:dyDescent="0.25">
      <c r="H362"/>
      <c r="I362"/>
      <c r="J362"/>
      <c r="K362"/>
      <c r="L362"/>
      <c r="M362"/>
    </row>
    <row r="363" spans="8:13" x14ac:dyDescent="0.25">
      <c r="H363"/>
      <c r="I363"/>
      <c r="J363"/>
      <c r="K363"/>
      <c r="L363"/>
      <c r="M363"/>
    </row>
    <row r="364" spans="8:13" x14ac:dyDescent="0.25">
      <c r="H364"/>
      <c r="I364"/>
      <c r="J364"/>
      <c r="K364"/>
      <c r="L364"/>
      <c r="M364"/>
    </row>
    <row r="365" spans="8:13" x14ac:dyDescent="0.25">
      <c r="H365"/>
      <c r="I365"/>
      <c r="J365"/>
      <c r="K365"/>
      <c r="L365"/>
      <c r="M365"/>
    </row>
    <row r="366" spans="8:13" x14ac:dyDescent="0.25">
      <c r="H366"/>
      <c r="I366"/>
      <c r="J366"/>
      <c r="K366"/>
      <c r="L366"/>
      <c r="M366"/>
    </row>
    <row r="367" spans="8:13" x14ac:dyDescent="0.25">
      <c r="H367"/>
      <c r="I367"/>
      <c r="J367"/>
      <c r="K367"/>
      <c r="L367"/>
      <c r="M367"/>
    </row>
    <row r="368" spans="8:13" x14ac:dyDescent="0.25">
      <c r="H368"/>
      <c r="I368"/>
      <c r="J368"/>
      <c r="K368"/>
      <c r="L368"/>
      <c r="M368"/>
    </row>
    <row r="369" spans="8:13" x14ac:dyDescent="0.25">
      <c r="H369"/>
      <c r="I369"/>
      <c r="J369"/>
      <c r="K369"/>
      <c r="L369"/>
      <c r="M369"/>
    </row>
    <row r="370" spans="8:13" x14ac:dyDescent="0.25">
      <c r="H370"/>
      <c r="I370"/>
      <c r="J370"/>
      <c r="K370"/>
      <c r="L370"/>
      <c r="M370"/>
    </row>
    <row r="371" spans="8:13" x14ac:dyDescent="0.25">
      <c r="H371"/>
      <c r="I371"/>
      <c r="J371"/>
      <c r="K371"/>
      <c r="L371"/>
      <c r="M371"/>
    </row>
    <row r="372" spans="8:13" x14ac:dyDescent="0.25">
      <c r="H372"/>
      <c r="I372"/>
      <c r="J372"/>
      <c r="K372"/>
      <c r="L372"/>
      <c r="M372"/>
    </row>
    <row r="373" spans="8:13" x14ac:dyDescent="0.25">
      <c r="H373"/>
      <c r="I373"/>
      <c r="J373"/>
      <c r="K373"/>
      <c r="L373"/>
      <c r="M373"/>
    </row>
    <row r="374" spans="8:13" x14ac:dyDescent="0.25">
      <c r="H374"/>
      <c r="I374"/>
      <c r="J374"/>
      <c r="K374"/>
      <c r="L374"/>
      <c r="M374"/>
    </row>
    <row r="375" spans="8:13" x14ac:dyDescent="0.25">
      <c r="H375"/>
      <c r="I375"/>
      <c r="J375"/>
      <c r="K375"/>
      <c r="L375"/>
      <c r="M375"/>
    </row>
    <row r="376" spans="8:13" x14ac:dyDescent="0.25">
      <c r="H376"/>
      <c r="I376"/>
      <c r="J376"/>
      <c r="K376"/>
      <c r="L376"/>
      <c r="M376"/>
    </row>
    <row r="377" spans="8:13" x14ac:dyDescent="0.25">
      <c r="H377"/>
      <c r="I377"/>
      <c r="J377"/>
      <c r="K377"/>
      <c r="L377"/>
      <c r="M377"/>
    </row>
    <row r="378" spans="8:13" x14ac:dyDescent="0.25">
      <c r="H378"/>
      <c r="I378"/>
      <c r="J378"/>
      <c r="K378"/>
      <c r="L378"/>
      <c r="M378"/>
    </row>
    <row r="379" spans="8:13" x14ac:dyDescent="0.25">
      <c r="H379"/>
      <c r="I379"/>
      <c r="J379"/>
      <c r="K379"/>
      <c r="L379"/>
      <c r="M379"/>
    </row>
    <row r="380" spans="8:13" x14ac:dyDescent="0.25">
      <c r="H380"/>
      <c r="I380"/>
      <c r="J380"/>
      <c r="K380"/>
      <c r="L380"/>
      <c r="M380"/>
    </row>
    <row r="381" spans="8:13" x14ac:dyDescent="0.25">
      <c r="H381"/>
      <c r="I381"/>
      <c r="J381"/>
      <c r="K381"/>
      <c r="L381"/>
      <c r="M381"/>
    </row>
    <row r="382" spans="8:13" x14ac:dyDescent="0.25">
      <c r="H382"/>
      <c r="I382"/>
      <c r="J382"/>
      <c r="K382"/>
      <c r="L382"/>
      <c r="M382"/>
    </row>
    <row r="383" spans="8:13" x14ac:dyDescent="0.25">
      <c r="H383"/>
      <c r="I383"/>
      <c r="J383"/>
      <c r="K383"/>
      <c r="L383"/>
      <c r="M383"/>
    </row>
    <row r="384" spans="8:13" x14ac:dyDescent="0.25">
      <c r="H384"/>
      <c r="I384"/>
      <c r="J384"/>
      <c r="K384"/>
      <c r="L384"/>
      <c r="M384"/>
    </row>
    <row r="385" spans="8:13" x14ac:dyDescent="0.25">
      <c r="H385"/>
      <c r="I385"/>
      <c r="J385"/>
      <c r="K385"/>
      <c r="L385"/>
      <c r="M385"/>
    </row>
    <row r="386" spans="8:13" x14ac:dyDescent="0.25">
      <c r="H386"/>
      <c r="I386"/>
      <c r="J386"/>
      <c r="K386"/>
      <c r="L386"/>
      <c r="M386"/>
    </row>
    <row r="387" spans="8:13" x14ac:dyDescent="0.25">
      <c r="H387"/>
      <c r="I387"/>
      <c r="J387"/>
      <c r="K387"/>
      <c r="L387"/>
      <c r="M387"/>
    </row>
    <row r="388" spans="8:13" x14ac:dyDescent="0.25">
      <c r="H388"/>
      <c r="I388"/>
      <c r="J388"/>
      <c r="K388"/>
      <c r="L388"/>
      <c r="M388"/>
    </row>
    <row r="389" spans="8:13" x14ac:dyDescent="0.25">
      <c r="H389"/>
      <c r="I389"/>
      <c r="J389"/>
      <c r="K389"/>
      <c r="L389"/>
      <c r="M389"/>
    </row>
    <row r="390" spans="8:13" x14ac:dyDescent="0.25">
      <c r="H390"/>
      <c r="I390"/>
      <c r="J390"/>
      <c r="K390"/>
      <c r="L390"/>
      <c r="M390"/>
    </row>
    <row r="391" spans="8:13" x14ac:dyDescent="0.25">
      <c r="H391"/>
      <c r="I391"/>
      <c r="J391"/>
      <c r="K391"/>
      <c r="L391"/>
      <c r="M391"/>
    </row>
    <row r="392" spans="8:13" x14ac:dyDescent="0.25">
      <c r="H392"/>
      <c r="I392"/>
      <c r="J392"/>
      <c r="K392"/>
      <c r="L392"/>
      <c r="M392"/>
    </row>
    <row r="393" spans="8:13" x14ac:dyDescent="0.25">
      <c r="H393"/>
      <c r="I393"/>
      <c r="J393"/>
      <c r="K393"/>
      <c r="L393"/>
      <c r="M393"/>
    </row>
    <row r="394" spans="8:13" x14ac:dyDescent="0.25">
      <c r="H394"/>
      <c r="I394"/>
      <c r="J394"/>
      <c r="K394"/>
      <c r="L394"/>
      <c r="M394"/>
    </row>
    <row r="395" spans="8:13" x14ac:dyDescent="0.25">
      <c r="H395"/>
      <c r="I395"/>
      <c r="J395"/>
      <c r="K395"/>
      <c r="L395"/>
      <c r="M395"/>
    </row>
    <row r="396" spans="8:13" x14ac:dyDescent="0.25">
      <c r="H396"/>
      <c r="I396"/>
      <c r="J396"/>
      <c r="K396"/>
      <c r="L396"/>
      <c r="M396"/>
    </row>
    <row r="397" spans="8:13" x14ac:dyDescent="0.25">
      <c r="H397"/>
      <c r="I397"/>
      <c r="J397"/>
      <c r="K397"/>
      <c r="L397"/>
      <c r="M397"/>
    </row>
    <row r="398" spans="8:13" x14ac:dyDescent="0.25">
      <c r="H398"/>
      <c r="I398"/>
      <c r="J398"/>
      <c r="K398"/>
      <c r="L398"/>
      <c r="M398"/>
    </row>
    <row r="399" spans="8:13" x14ac:dyDescent="0.25">
      <c r="H399"/>
      <c r="I399"/>
      <c r="J399"/>
      <c r="K399"/>
      <c r="L399"/>
      <c r="M399"/>
    </row>
    <row r="400" spans="8:13" x14ac:dyDescent="0.25">
      <c r="H400"/>
      <c r="I400"/>
      <c r="J400"/>
      <c r="K400"/>
      <c r="L400"/>
      <c r="M400"/>
    </row>
    <row r="401" spans="8:13" x14ac:dyDescent="0.25">
      <c r="H401"/>
      <c r="I401"/>
      <c r="J401"/>
      <c r="K401"/>
      <c r="L401"/>
      <c r="M401"/>
    </row>
    <row r="402" spans="8:13" x14ac:dyDescent="0.25">
      <c r="H402"/>
      <c r="I402"/>
      <c r="J402"/>
      <c r="K402"/>
      <c r="L402"/>
      <c r="M402"/>
    </row>
    <row r="403" spans="8:13" x14ac:dyDescent="0.25">
      <c r="H403"/>
      <c r="I403"/>
      <c r="J403"/>
      <c r="K403"/>
      <c r="L403"/>
      <c r="M403"/>
    </row>
    <row r="404" spans="8:13" x14ac:dyDescent="0.25">
      <c r="H404"/>
      <c r="I404"/>
      <c r="J404"/>
      <c r="K404"/>
      <c r="L404"/>
      <c r="M404"/>
    </row>
    <row r="405" spans="8:13" x14ac:dyDescent="0.25">
      <c r="H405"/>
      <c r="I405"/>
      <c r="J405"/>
      <c r="K405"/>
      <c r="L405"/>
      <c r="M405"/>
    </row>
    <row r="406" spans="8:13" x14ac:dyDescent="0.25">
      <c r="H406"/>
      <c r="I406"/>
      <c r="J406"/>
      <c r="K406"/>
      <c r="L406"/>
      <c r="M406"/>
    </row>
    <row r="407" spans="8:13" x14ac:dyDescent="0.25">
      <c r="H407"/>
      <c r="I407"/>
      <c r="J407"/>
      <c r="K407"/>
      <c r="L407"/>
      <c r="M407"/>
    </row>
    <row r="408" spans="8:13" x14ac:dyDescent="0.25">
      <c r="H408"/>
      <c r="I408"/>
      <c r="J408"/>
      <c r="K408"/>
      <c r="L408"/>
      <c r="M408"/>
    </row>
    <row r="409" spans="8:13" x14ac:dyDescent="0.25">
      <c r="H409"/>
      <c r="I409"/>
      <c r="J409"/>
      <c r="K409"/>
      <c r="L409"/>
      <c r="M409"/>
    </row>
    <row r="410" spans="8:13" x14ac:dyDescent="0.25">
      <c r="H410"/>
      <c r="I410"/>
      <c r="J410"/>
      <c r="K410"/>
      <c r="L410"/>
      <c r="M410"/>
    </row>
    <row r="411" spans="8:13" x14ac:dyDescent="0.25">
      <c r="H411"/>
      <c r="I411"/>
      <c r="J411"/>
      <c r="K411"/>
      <c r="L411"/>
      <c r="M411"/>
    </row>
    <row r="412" spans="8:13" x14ac:dyDescent="0.25">
      <c r="H412"/>
      <c r="I412"/>
      <c r="J412"/>
      <c r="K412"/>
      <c r="L412"/>
      <c r="M412"/>
    </row>
    <row r="413" spans="8:13" x14ac:dyDescent="0.25">
      <c r="H413"/>
      <c r="I413"/>
      <c r="J413"/>
      <c r="K413"/>
      <c r="L413"/>
      <c r="M413"/>
    </row>
    <row r="414" spans="8:13" x14ac:dyDescent="0.25">
      <c r="H414"/>
      <c r="I414"/>
      <c r="J414"/>
      <c r="K414"/>
      <c r="L414"/>
      <c r="M414"/>
    </row>
    <row r="415" spans="8:13" x14ac:dyDescent="0.25">
      <c r="H415"/>
      <c r="I415"/>
      <c r="J415"/>
      <c r="K415"/>
      <c r="L415"/>
      <c r="M415"/>
    </row>
    <row r="416" spans="8:13" x14ac:dyDescent="0.25">
      <c r="H416"/>
      <c r="I416"/>
      <c r="J416"/>
      <c r="K416"/>
      <c r="L416"/>
      <c r="M416"/>
    </row>
    <row r="417" spans="8:13" x14ac:dyDescent="0.25">
      <c r="H417"/>
      <c r="I417"/>
      <c r="J417"/>
      <c r="K417"/>
      <c r="L417"/>
      <c r="M417"/>
    </row>
    <row r="418" spans="8:13" x14ac:dyDescent="0.25">
      <c r="H418"/>
      <c r="I418"/>
      <c r="J418"/>
      <c r="K418"/>
      <c r="L418"/>
      <c r="M418"/>
    </row>
    <row r="419" spans="8:13" x14ac:dyDescent="0.25">
      <c r="H419"/>
      <c r="I419"/>
      <c r="J419"/>
      <c r="K419"/>
      <c r="L419"/>
      <c r="M419"/>
    </row>
    <row r="420" spans="8:13" x14ac:dyDescent="0.25">
      <c r="H420"/>
      <c r="I420"/>
      <c r="J420"/>
      <c r="K420"/>
      <c r="L420"/>
      <c r="M420"/>
    </row>
    <row r="421" spans="8:13" x14ac:dyDescent="0.25">
      <c r="H421"/>
      <c r="I421"/>
      <c r="J421"/>
      <c r="K421"/>
      <c r="L421"/>
      <c r="M421"/>
    </row>
    <row r="422" spans="8:13" x14ac:dyDescent="0.25">
      <c r="H422"/>
      <c r="I422"/>
      <c r="J422"/>
      <c r="K422"/>
      <c r="L422"/>
      <c r="M422"/>
    </row>
    <row r="423" spans="8:13" x14ac:dyDescent="0.25">
      <c r="H423"/>
      <c r="I423"/>
      <c r="J423"/>
      <c r="K423"/>
      <c r="L423"/>
      <c r="M423"/>
    </row>
    <row r="424" spans="8:13" x14ac:dyDescent="0.25">
      <c r="H424"/>
      <c r="I424"/>
      <c r="J424"/>
      <c r="K424"/>
      <c r="L424"/>
      <c r="M424"/>
    </row>
    <row r="425" spans="8:13" x14ac:dyDescent="0.25">
      <c r="H425"/>
      <c r="I425"/>
      <c r="J425"/>
      <c r="K425"/>
      <c r="L425"/>
      <c r="M425"/>
    </row>
    <row r="426" spans="8:13" x14ac:dyDescent="0.25">
      <c r="H426"/>
      <c r="I426"/>
      <c r="J426"/>
      <c r="K426"/>
      <c r="L426"/>
      <c r="M426"/>
    </row>
    <row r="427" spans="8:13" x14ac:dyDescent="0.25">
      <c r="H427"/>
      <c r="I427"/>
      <c r="J427"/>
      <c r="K427"/>
      <c r="L427"/>
      <c r="M427"/>
    </row>
    <row r="428" spans="8:13" x14ac:dyDescent="0.25">
      <c r="H428"/>
      <c r="I428"/>
      <c r="J428"/>
      <c r="K428"/>
      <c r="L428"/>
      <c r="M428"/>
    </row>
    <row r="429" spans="8:13" x14ac:dyDescent="0.25">
      <c r="H429"/>
      <c r="I429"/>
      <c r="J429"/>
      <c r="K429"/>
      <c r="L429"/>
      <c r="M429"/>
    </row>
    <row r="430" spans="8:13" x14ac:dyDescent="0.25">
      <c r="H430"/>
      <c r="I430"/>
      <c r="J430"/>
      <c r="K430"/>
      <c r="L430"/>
      <c r="M430"/>
    </row>
    <row r="431" spans="8:13" x14ac:dyDescent="0.25">
      <c r="H431"/>
      <c r="I431"/>
      <c r="J431"/>
      <c r="K431"/>
      <c r="L431"/>
      <c r="M431"/>
    </row>
    <row r="432" spans="8:13" x14ac:dyDescent="0.25">
      <c r="H432"/>
      <c r="I432"/>
      <c r="J432"/>
      <c r="K432"/>
      <c r="L432"/>
      <c r="M432"/>
    </row>
    <row r="433" spans="8:13" x14ac:dyDescent="0.25">
      <c r="H433"/>
      <c r="I433"/>
      <c r="J433"/>
      <c r="K433"/>
      <c r="L433"/>
      <c r="M433"/>
    </row>
    <row r="434" spans="8:13" x14ac:dyDescent="0.25">
      <c r="H434"/>
      <c r="I434"/>
      <c r="J434"/>
      <c r="K434"/>
      <c r="L434"/>
      <c r="M434"/>
    </row>
    <row r="435" spans="8:13" x14ac:dyDescent="0.25">
      <c r="H435"/>
      <c r="I435"/>
      <c r="J435"/>
      <c r="K435"/>
      <c r="L435"/>
      <c r="M435"/>
    </row>
    <row r="436" spans="8:13" x14ac:dyDescent="0.25">
      <c r="H436"/>
      <c r="I436"/>
      <c r="J436"/>
      <c r="K436"/>
      <c r="L436"/>
      <c r="M436"/>
    </row>
    <row r="437" spans="8:13" x14ac:dyDescent="0.25">
      <c r="H437"/>
      <c r="I437"/>
      <c r="J437"/>
      <c r="K437"/>
      <c r="L437"/>
      <c r="M437"/>
    </row>
    <row r="438" spans="8:13" x14ac:dyDescent="0.25">
      <c r="H438"/>
      <c r="I438"/>
      <c r="J438"/>
      <c r="K438"/>
      <c r="L438"/>
      <c r="M438"/>
    </row>
    <row r="439" spans="8:13" x14ac:dyDescent="0.25">
      <c r="H439"/>
      <c r="I439"/>
      <c r="J439"/>
      <c r="K439"/>
      <c r="L439"/>
      <c r="M439"/>
    </row>
    <row r="440" spans="8:13" x14ac:dyDescent="0.25">
      <c r="H440"/>
      <c r="I440"/>
      <c r="J440"/>
      <c r="K440"/>
      <c r="L440"/>
      <c r="M440"/>
    </row>
    <row r="441" spans="8:13" x14ac:dyDescent="0.25">
      <c r="H441"/>
      <c r="I441"/>
      <c r="J441"/>
      <c r="K441"/>
      <c r="L441"/>
      <c r="M441"/>
    </row>
    <row r="442" spans="8:13" x14ac:dyDescent="0.25">
      <c r="H442"/>
      <c r="I442"/>
      <c r="J442"/>
      <c r="K442"/>
      <c r="L442"/>
      <c r="M442"/>
    </row>
    <row r="443" spans="8:13" x14ac:dyDescent="0.25">
      <c r="H443"/>
      <c r="I443"/>
      <c r="J443"/>
      <c r="K443"/>
      <c r="L443"/>
      <c r="M443"/>
    </row>
    <row r="444" spans="8:13" x14ac:dyDescent="0.25">
      <c r="H444"/>
      <c r="I444"/>
      <c r="J444"/>
      <c r="K444"/>
      <c r="L444"/>
      <c r="M444"/>
    </row>
    <row r="445" spans="8:13" x14ac:dyDescent="0.25">
      <c r="H445"/>
      <c r="I445"/>
      <c r="J445"/>
      <c r="K445"/>
      <c r="L445"/>
      <c r="M445"/>
    </row>
    <row r="446" spans="8:13" x14ac:dyDescent="0.25">
      <c r="H446"/>
      <c r="I446"/>
      <c r="J446"/>
      <c r="K446"/>
      <c r="L446"/>
      <c r="M446"/>
    </row>
    <row r="447" spans="8:13" x14ac:dyDescent="0.25">
      <c r="H447"/>
      <c r="I447"/>
      <c r="J447"/>
      <c r="K447"/>
      <c r="L447"/>
      <c r="M447"/>
    </row>
    <row r="448" spans="8:13" x14ac:dyDescent="0.25">
      <c r="H448"/>
      <c r="I448"/>
      <c r="J448"/>
      <c r="K448"/>
      <c r="L448"/>
      <c r="M448"/>
    </row>
    <row r="449" spans="8:13" x14ac:dyDescent="0.25">
      <c r="H449"/>
      <c r="I449"/>
      <c r="J449"/>
      <c r="K449"/>
      <c r="L449"/>
      <c r="M449"/>
    </row>
    <row r="450" spans="8:13" x14ac:dyDescent="0.25">
      <c r="H450"/>
      <c r="I450"/>
      <c r="J450"/>
      <c r="K450"/>
      <c r="L450"/>
      <c r="M450"/>
    </row>
    <row r="451" spans="8:13" x14ac:dyDescent="0.25">
      <c r="H451"/>
      <c r="I451"/>
      <c r="J451"/>
      <c r="K451"/>
      <c r="L451"/>
      <c r="M451"/>
    </row>
    <row r="452" spans="8:13" x14ac:dyDescent="0.25">
      <c r="H452"/>
      <c r="I452"/>
      <c r="J452"/>
      <c r="K452"/>
      <c r="L452"/>
      <c r="M452"/>
    </row>
    <row r="453" spans="8:13" x14ac:dyDescent="0.25">
      <c r="H453"/>
      <c r="I453"/>
      <c r="J453"/>
      <c r="K453"/>
      <c r="L453"/>
      <c r="M453"/>
    </row>
    <row r="454" spans="8:13" x14ac:dyDescent="0.25">
      <c r="H454"/>
      <c r="I454"/>
      <c r="J454"/>
      <c r="K454"/>
      <c r="L454"/>
      <c r="M454"/>
    </row>
    <row r="455" spans="8:13" x14ac:dyDescent="0.25">
      <c r="H455"/>
      <c r="I455"/>
      <c r="J455"/>
      <c r="K455"/>
      <c r="L455"/>
      <c r="M455"/>
    </row>
    <row r="456" spans="8:13" x14ac:dyDescent="0.25">
      <c r="H456"/>
      <c r="I456"/>
      <c r="J456"/>
      <c r="K456"/>
      <c r="L456"/>
      <c r="M456"/>
    </row>
    <row r="457" spans="8:13" x14ac:dyDescent="0.25">
      <c r="H457"/>
      <c r="I457"/>
      <c r="J457"/>
      <c r="K457"/>
      <c r="L457"/>
      <c r="M457"/>
    </row>
    <row r="458" spans="8:13" x14ac:dyDescent="0.25">
      <c r="H458"/>
      <c r="I458"/>
      <c r="J458"/>
      <c r="K458"/>
      <c r="L458"/>
      <c r="M458"/>
    </row>
    <row r="459" spans="8:13" x14ac:dyDescent="0.25">
      <c r="H459"/>
      <c r="I459"/>
      <c r="J459"/>
      <c r="K459"/>
      <c r="L459"/>
      <c r="M459"/>
    </row>
    <row r="460" spans="8:13" x14ac:dyDescent="0.25">
      <c r="H460"/>
      <c r="I460"/>
      <c r="J460"/>
      <c r="K460"/>
      <c r="L460"/>
      <c r="M460"/>
    </row>
    <row r="461" spans="8:13" x14ac:dyDescent="0.25">
      <c r="H461"/>
      <c r="I461"/>
      <c r="J461"/>
      <c r="K461"/>
      <c r="L461"/>
      <c r="M461"/>
    </row>
    <row r="462" spans="8:13" x14ac:dyDescent="0.25">
      <c r="H462"/>
      <c r="I462"/>
      <c r="J462"/>
      <c r="K462"/>
      <c r="L462"/>
      <c r="M462"/>
    </row>
    <row r="463" spans="8:13" x14ac:dyDescent="0.25">
      <c r="H463"/>
      <c r="I463"/>
      <c r="J463"/>
      <c r="K463"/>
      <c r="L463"/>
      <c r="M463"/>
    </row>
    <row r="464" spans="8:13" x14ac:dyDescent="0.25">
      <c r="H464"/>
      <c r="I464"/>
      <c r="J464"/>
      <c r="K464"/>
      <c r="L464"/>
      <c r="M464"/>
    </row>
    <row r="465" spans="8:13" x14ac:dyDescent="0.25">
      <c r="H465"/>
      <c r="I465"/>
      <c r="J465"/>
      <c r="K465"/>
      <c r="L465"/>
      <c r="M465"/>
    </row>
    <row r="466" spans="8:13" x14ac:dyDescent="0.25">
      <c r="H466"/>
      <c r="I466"/>
      <c r="J466"/>
      <c r="K466"/>
      <c r="L466"/>
      <c r="M466"/>
    </row>
    <row r="467" spans="8:13" x14ac:dyDescent="0.25">
      <c r="H467"/>
      <c r="I467"/>
      <c r="J467"/>
      <c r="K467"/>
      <c r="L467"/>
      <c r="M467"/>
    </row>
    <row r="468" spans="8:13" x14ac:dyDescent="0.25">
      <c r="H468"/>
      <c r="I468"/>
      <c r="J468"/>
      <c r="K468"/>
      <c r="L468"/>
      <c r="M468"/>
    </row>
    <row r="469" spans="8:13" x14ac:dyDescent="0.25">
      <c r="H469"/>
      <c r="I469"/>
      <c r="J469"/>
      <c r="K469"/>
      <c r="L469"/>
      <c r="M469"/>
    </row>
    <row r="470" spans="8:13" x14ac:dyDescent="0.25">
      <c r="H470"/>
      <c r="I470"/>
      <c r="J470"/>
      <c r="K470"/>
      <c r="L470"/>
      <c r="M470"/>
    </row>
    <row r="471" spans="8:13" x14ac:dyDescent="0.25">
      <c r="H471"/>
      <c r="I471"/>
      <c r="J471"/>
      <c r="K471"/>
      <c r="L471"/>
      <c r="M471"/>
    </row>
    <row r="472" spans="8:13" x14ac:dyDescent="0.25">
      <c r="H472"/>
      <c r="I472"/>
      <c r="J472"/>
      <c r="K472"/>
      <c r="L472"/>
      <c r="M472"/>
    </row>
    <row r="473" spans="8:13" x14ac:dyDescent="0.25">
      <c r="H473"/>
      <c r="I473"/>
      <c r="J473"/>
      <c r="K473"/>
      <c r="L473"/>
      <c r="M473"/>
    </row>
    <row r="474" spans="8:13" x14ac:dyDescent="0.25">
      <c r="H474"/>
      <c r="I474"/>
      <c r="J474"/>
      <c r="K474"/>
      <c r="L474"/>
      <c r="M474"/>
    </row>
    <row r="475" spans="8:13" x14ac:dyDescent="0.25">
      <c r="H475"/>
      <c r="I475"/>
      <c r="J475"/>
      <c r="K475"/>
      <c r="L475"/>
      <c r="M475"/>
    </row>
    <row r="476" spans="8:13" x14ac:dyDescent="0.25">
      <c r="H476"/>
      <c r="I476"/>
      <c r="J476"/>
      <c r="K476"/>
      <c r="L476"/>
      <c r="M476"/>
    </row>
    <row r="477" spans="8:13" x14ac:dyDescent="0.25">
      <c r="H477"/>
      <c r="I477"/>
      <c r="J477"/>
      <c r="K477"/>
      <c r="L477"/>
      <c r="M477"/>
    </row>
    <row r="478" spans="8:13" x14ac:dyDescent="0.25">
      <c r="H478"/>
      <c r="I478"/>
      <c r="J478"/>
      <c r="K478"/>
      <c r="L478"/>
      <c r="M478"/>
    </row>
    <row r="479" spans="8:13" x14ac:dyDescent="0.25">
      <c r="H479"/>
      <c r="I479"/>
      <c r="J479"/>
      <c r="K479"/>
      <c r="L479"/>
      <c r="M479"/>
    </row>
    <row r="480" spans="8:13" x14ac:dyDescent="0.25">
      <c r="H480"/>
      <c r="I480"/>
      <c r="J480"/>
      <c r="K480"/>
      <c r="L480"/>
      <c r="M480"/>
    </row>
    <row r="481" spans="8:13" x14ac:dyDescent="0.25">
      <c r="H481"/>
      <c r="I481"/>
      <c r="J481"/>
      <c r="K481"/>
      <c r="L481"/>
      <c r="M481"/>
    </row>
  </sheetData>
  <mergeCells count="1">
    <mergeCell ref="A7:J7"/>
  </mergeCells>
  <printOptions horizontalCentered="1"/>
  <pageMargins left="0" right="0" top="0.39370078740157483" bottom="0" header="0.31496062992125984" footer="0.31496062992125984"/>
  <pageSetup paperSize="9" scale="80" orientation="landscape"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2"/>
  <sheetViews>
    <sheetView showGridLines="0" zoomScale="78" zoomScaleNormal="78" workbookViewId="0">
      <pane xSplit="4" ySplit="1" topLeftCell="F2" activePane="bottomRight" state="frozen"/>
      <selection pane="topRight" activeCell="F1" sqref="F1"/>
      <selection pane="bottomLeft" activeCell="A4" sqref="A4"/>
      <selection pane="bottomRight" activeCell="A13" sqref="A13:K13"/>
    </sheetView>
  </sheetViews>
  <sheetFormatPr defaultRowHeight="15" x14ac:dyDescent="0.25"/>
  <cols>
    <col min="1" max="1" width="5.5703125" customWidth="1"/>
    <col min="2" max="2" width="14.28515625" style="8" customWidth="1"/>
    <col min="3" max="3" width="12.140625" customWidth="1"/>
    <col min="4" max="4" width="27.28515625" bestFit="1" customWidth="1"/>
    <col min="5" max="5" width="24.140625" customWidth="1"/>
    <col min="6" max="6" width="12.7109375" customWidth="1"/>
    <col min="7" max="7" width="14.5703125" style="9" customWidth="1"/>
    <col min="8" max="8" width="19.5703125" customWidth="1"/>
    <col min="9" max="9" width="13.140625" customWidth="1"/>
    <col min="10" max="10" width="13.140625" style="11" customWidth="1"/>
    <col min="11" max="12" width="14.28515625" style="11" customWidth="1"/>
    <col min="13" max="13" width="18.85546875" style="11" customWidth="1"/>
    <col min="14" max="14" width="12" customWidth="1"/>
    <col min="15" max="15" width="13.85546875" customWidth="1"/>
  </cols>
  <sheetData>
    <row r="1" spans="1:15" ht="42" customHeight="1" x14ac:dyDescent="0.25">
      <c r="A1" s="342" t="s">
        <v>6</v>
      </c>
      <c r="B1" s="343" t="s">
        <v>0</v>
      </c>
      <c r="C1" s="342" t="s">
        <v>7</v>
      </c>
      <c r="D1" s="342" t="s">
        <v>8</v>
      </c>
      <c r="E1" s="342" t="s">
        <v>9</v>
      </c>
      <c r="F1" s="354" t="s">
        <v>1527</v>
      </c>
      <c r="G1" s="344" t="s">
        <v>10</v>
      </c>
      <c r="H1" s="342" t="s">
        <v>11</v>
      </c>
      <c r="I1" s="346" t="s">
        <v>138</v>
      </c>
      <c r="J1" s="347" t="s">
        <v>49</v>
      </c>
      <c r="K1" s="340" t="s">
        <v>1</v>
      </c>
      <c r="L1" s="340" t="s">
        <v>40</v>
      </c>
      <c r="M1" s="341" t="s">
        <v>2</v>
      </c>
      <c r="N1" s="355" t="s">
        <v>1528</v>
      </c>
      <c r="O1" s="356" t="s">
        <v>560</v>
      </c>
    </row>
    <row r="2" spans="1:15" ht="32.25" customHeight="1" x14ac:dyDescent="0.25">
      <c r="A2" s="193">
        <v>1</v>
      </c>
      <c r="B2" s="194">
        <v>44355</v>
      </c>
      <c r="C2" s="348" t="s">
        <v>1034</v>
      </c>
      <c r="D2" s="53" t="s">
        <v>1133</v>
      </c>
      <c r="E2" s="230" t="s">
        <v>1033</v>
      </c>
      <c r="F2" s="230" t="s">
        <v>1543</v>
      </c>
      <c r="G2" s="336">
        <v>10400000</v>
      </c>
      <c r="H2" s="133" t="s">
        <v>1032</v>
      </c>
      <c r="I2" s="79" t="s">
        <v>1029</v>
      </c>
      <c r="J2" s="322">
        <f t="shared" ref="J2:J11" si="0">G2</f>
        <v>10400000</v>
      </c>
      <c r="K2" s="337"/>
      <c r="L2" s="339">
        <v>10400000</v>
      </c>
      <c r="M2" s="335">
        <f t="shared" ref="M2:M11" si="1">J2-K2-L2</f>
        <v>0</v>
      </c>
      <c r="N2" s="350">
        <v>44379</v>
      </c>
      <c r="O2" s="351">
        <v>44389</v>
      </c>
    </row>
    <row r="3" spans="1:15" ht="32.25" customHeight="1" x14ac:dyDescent="0.25">
      <c r="A3" s="193">
        <f>A2+1</f>
        <v>2</v>
      </c>
      <c r="B3" s="194">
        <v>44351</v>
      </c>
      <c r="C3" s="349" t="s">
        <v>1074</v>
      </c>
      <c r="D3" s="53" t="s">
        <v>1133</v>
      </c>
      <c r="E3" s="281" t="s">
        <v>30</v>
      </c>
      <c r="F3" s="281" t="s">
        <v>1542</v>
      </c>
      <c r="G3" s="231">
        <v>520000</v>
      </c>
      <c r="H3" s="193" t="s">
        <v>1072</v>
      </c>
      <c r="I3" s="232">
        <v>44371</v>
      </c>
      <c r="J3" s="322">
        <f t="shared" ref="J3:J9" si="2">G3</f>
        <v>520000</v>
      </c>
      <c r="K3" s="337"/>
      <c r="L3" s="339"/>
      <c r="M3" s="282">
        <f t="shared" ref="M3:M9" si="3">J3-K3-L3</f>
        <v>520000</v>
      </c>
      <c r="N3" s="350">
        <v>44392</v>
      </c>
      <c r="O3" s="353"/>
    </row>
    <row r="4" spans="1:15" ht="32.25" customHeight="1" x14ac:dyDescent="0.25">
      <c r="A4" s="193">
        <f t="shared" ref="A4:A12" si="4">A3+1</f>
        <v>3</v>
      </c>
      <c r="B4" s="194">
        <v>44366</v>
      </c>
      <c r="C4" s="349" t="s">
        <v>1520</v>
      </c>
      <c r="D4" s="53" t="s">
        <v>1133</v>
      </c>
      <c r="E4" s="281" t="s">
        <v>136</v>
      </c>
      <c r="F4" s="281" t="s">
        <v>1533</v>
      </c>
      <c r="G4" s="231">
        <v>16190352</v>
      </c>
      <c r="H4" s="193" t="s">
        <v>1274</v>
      </c>
      <c r="I4" s="232" t="s">
        <v>1275</v>
      </c>
      <c r="J4" s="322">
        <f t="shared" si="2"/>
        <v>16190352</v>
      </c>
      <c r="K4" s="337"/>
      <c r="L4" s="339">
        <v>16190352</v>
      </c>
      <c r="M4" s="282">
        <f t="shared" si="3"/>
        <v>0</v>
      </c>
      <c r="N4" s="352"/>
      <c r="O4" s="351">
        <v>44407</v>
      </c>
    </row>
    <row r="5" spans="1:15" ht="32.25" customHeight="1" x14ac:dyDescent="0.25">
      <c r="A5" s="193">
        <f t="shared" si="4"/>
        <v>4</v>
      </c>
      <c r="B5" s="194">
        <v>44368</v>
      </c>
      <c r="C5" s="349" t="s">
        <v>1521</v>
      </c>
      <c r="D5" s="53" t="s">
        <v>1133</v>
      </c>
      <c r="E5" s="281" t="s">
        <v>136</v>
      </c>
      <c r="F5" s="281" t="s">
        <v>1529</v>
      </c>
      <c r="G5" s="231">
        <v>850000</v>
      </c>
      <c r="H5" s="193" t="s">
        <v>1276</v>
      </c>
      <c r="I5" s="232" t="s">
        <v>1275</v>
      </c>
      <c r="J5" s="322">
        <f t="shared" si="2"/>
        <v>850000</v>
      </c>
      <c r="K5" s="337"/>
      <c r="L5" s="339">
        <v>850000</v>
      </c>
      <c r="M5" s="282">
        <f t="shared" si="3"/>
        <v>0</v>
      </c>
      <c r="N5" s="352"/>
      <c r="O5" s="351">
        <v>44407</v>
      </c>
    </row>
    <row r="6" spans="1:15" ht="32.25" customHeight="1" x14ac:dyDescent="0.25">
      <c r="A6" s="193">
        <f t="shared" ref="A6:A8" si="5">A2+1</f>
        <v>2</v>
      </c>
      <c r="B6" s="194">
        <v>44366</v>
      </c>
      <c r="C6" s="349" t="s">
        <v>1522</v>
      </c>
      <c r="D6" s="53" t="s">
        <v>1133</v>
      </c>
      <c r="E6" s="281" t="s">
        <v>136</v>
      </c>
      <c r="F6" s="281" t="s">
        <v>1530</v>
      </c>
      <c r="G6" s="231">
        <v>23048480</v>
      </c>
      <c r="H6" s="193" t="s">
        <v>1297</v>
      </c>
      <c r="I6" s="232" t="s">
        <v>1293</v>
      </c>
      <c r="J6" s="322">
        <f t="shared" ref="J6:J8" si="6">G6</f>
        <v>23048480</v>
      </c>
      <c r="K6" s="337"/>
      <c r="L6" s="339"/>
      <c r="M6" s="282">
        <f t="shared" ref="M6:M8" si="7">J6-K6-L6</f>
        <v>23048480</v>
      </c>
      <c r="N6" s="350">
        <v>44411</v>
      </c>
      <c r="O6" s="353"/>
    </row>
    <row r="7" spans="1:15" ht="32.25" customHeight="1" x14ac:dyDescent="0.25">
      <c r="A7" s="193">
        <f t="shared" si="5"/>
        <v>3</v>
      </c>
      <c r="B7" s="194">
        <v>44368</v>
      </c>
      <c r="C7" s="349" t="s">
        <v>1524</v>
      </c>
      <c r="D7" s="53" t="s">
        <v>1133</v>
      </c>
      <c r="E7" s="281" t="s">
        <v>136</v>
      </c>
      <c r="F7" s="281" t="s">
        <v>1531</v>
      </c>
      <c r="G7" s="231">
        <v>16106496</v>
      </c>
      <c r="H7" s="193" t="s">
        <v>1338</v>
      </c>
      <c r="I7" s="232" t="s">
        <v>1337</v>
      </c>
      <c r="J7" s="322">
        <f t="shared" si="6"/>
        <v>16106496</v>
      </c>
      <c r="K7" s="337"/>
      <c r="L7" s="339"/>
      <c r="M7" s="282">
        <f t="shared" si="7"/>
        <v>16106496</v>
      </c>
      <c r="N7" s="350">
        <v>44421</v>
      </c>
      <c r="O7" s="353"/>
    </row>
    <row r="8" spans="1:15" ht="32.25" customHeight="1" x14ac:dyDescent="0.25">
      <c r="A8" s="193">
        <f t="shared" si="5"/>
        <v>4</v>
      </c>
      <c r="B8" s="194">
        <v>44366</v>
      </c>
      <c r="C8" s="349" t="s">
        <v>1525</v>
      </c>
      <c r="D8" s="53" t="s">
        <v>1133</v>
      </c>
      <c r="E8" s="281" t="s">
        <v>136</v>
      </c>
      <c r="F8" s="281" t="s">
        <v>1532</v>
      </c>
      <c r="G8" s="231">
        <v>7228000</v>
      </c>
      <c r="H8" s="193" t="s">
        <v>1344</v>
      </c>
      <c r="I8" s="232" t="s">
        <v>1343</v>
      </c>
      <c r="J8" s="322">
        <f t="shared" si="6"/>
        <v>7228000</v>
      </c>
      <c r="K8" s="337"/>
      <c r="L8" s="339"/>
      <c r="M8" s="282">
        <f t="shared" si="7"/>
        <v>7228000</v>
      </c>
      <c r="N8" s="350">
        <v>44424</v>
      </c>
      <c r="O8" s="353"/>
    </row>
    <row r="9" spans="1:15" ht="32.25" customHeight="1" x14ac:dyDescent="0.25">
      <c r="A9" s="193">
        <f>A5+1</f>
        <v>5</v>
      </c>
      <c r="B9" s="194">
        <v>44380</v>
      </c>
      <c r="C9" s="349" t="s">
        <v>1526</v>
      </c>
      <c r="D9" s="53" t="s">
        <v>1133</v>
      </c>
      <c r="E9" s="281" t="s">
        <v>136</v>
      </c>
      <c r="F9" s="281" t="s">
        <v>1534</v>
      </c>
      <c r="G9" s="231">
        <v>1600000</v>
      </c>
      <c r="H9" s="193" t="s">
        <v>1345</v>
      </c>
      <c r="I9" s="232" t="s">
        <v>1343</v>
      </c>
      <c r="J9" s="322">
        <f t="shared" si="2"/>
        <v>1600000</v>
      </c>
      <c r="K9" s="337"/>
      <c r="L9" s="339"/>
      <c r="M9" s="282">
        <f t="shared" si="3"/>
        <v>1600000</v>
      </c>
      <c r="N9" s="350">
        <v>44424</v>
      </c>
      <c r="O9" s="353"/>
    </row>
    <row r="10" spans="1:15" ht="32.25" customHeight="1" x14ac:dyDescent="0.25">
      <c r="A10" s="193">
        <f t="shared" si="4"/>
        <v>6</v>
      </c>
      <c r="B10" s="194">
        <v>44434</v>
      </c>
      <c r="C10" s="349" t="s">
        <v>1493</v>
      </c>
      <c r="D10" s="53" t="s">
        <v>1133</v>
      </c>
      <c r="E10" s="281" t="s">
        <v>1117</v>
      </c>
      <c r="F10" s="281" t="s">
        <v>1536</v>
      </c>
      <c r="G10" s="231">
        <v>3548000</v>
      </c>
      <c r="H10" s="193" t="s">
        <v>1492</v>
      </c>
      <c r="I10" s="232" t="s">
        <v>1470</v>
      </c>
      <c r="J10" s="322">
        <f t="shared" si="0"/>
        <v>3548000</v>
      </c>
      <c r="K10" s="337"/>
      <c r="L10" s="339"/>
      <c r="M10" s="282">
        <f t="shared" si="1"/>
        <v>3548000</v>
      </c>
      <c r="N10" s="350">
        <v>44428</v>
      </c>
      <c r="O10" s="353"/>
    </row>
    <row r="11" spans="1:15" ht="32.25" customHeight="1" x14ac:dyDescent="0.25">
      <c r="A11" s="193">
        <f t="shared" si="4"/>
        <v>7</v>
      </c>
      <c r="B11" s="194">
        <v>44380</v>
      </c>
      <c r="C11" s="349" t="s">
        <v>1537</v>
      </c>
      <c r="D11" s="53" t="s">
        <v>1133</v>
      </c>
      <c r="E11" s="281" t="s">
        <v>1117</v>
      </c>
      <c r="F11" s="281" t="s">
        <v>1535</v>
      </c>
      <c r="G11" s="231">
        <v>6217000</v>
      </c>
      <c r="H11" s="193" t="s">
        <v>1538</v>
      </c>
      <c r="I11" s="232">
        <v>44410</v>
      </c>
      <c r="J11" s="322">
        <f t="shared" si="0"/>
        <v>6217000</v>
      </c>
      <c r="K11" s="337"/>
      <c r="L11" s="339"/>
      <c r="M11" s="282">
        <f t="shared" si="1"/>
        <v>6217000</v>
      </c>
      <c r="N11" s="350">
        <v>44431</v>
      </c>
      <c r="O11" s="353"/>
    </row>
    <row r="12" spans="1:15" ht="32.25" customHeight="1" x14ac:dyDescent="0.25">
      <c r="A12" s="193">
        <f t="shared" si="4"/>
        <v>8</v>
      </c>
      <c r="B12" s="194">
        <v>44404</v>
      </c>
      <c r="C12" s="348" t="s">
        <v>1539</v>
      </c>
      <c r="D12" s="53" t="s">
        <v>1133</v>
      </c>
      <c r="E12" s="229" t="s">
        <v>136</v>
      </c>
      <c r="F12" s="281" t="s">
        <v>1540</v>
      </c>
      <c r="G12" s="231">
        <v>3010000</v>
      </c>
      <c r="H12" s="193" t="s">
        <v>1541</v>
      </c>
      <c r="I12" s="232">
        <v>44411</v>
      </c>
      <c r="J12" s="322">
        <f t="shared" ref="J12" si="8">G12</f>
        <v>3010000</v>
      </c>
      <c r="K12" s="337"/>
      <c r="L12" s="339"/>
      <c r="M12" s="282">
        <f t="shared" ref="M12" si="9">J12-K12-L12</f>
        <v>3010000</v>
      </c>
      <c r="N12" s="350">
        <v>44432</v>
      </c>
      <c r="O12" s="353"/>
    </row>
    <row r="13" spans="1:15" ht="32.25" customHeight="1" x14ac:dyDescent="0.25">
      <c r="A13" s="1074" t="s">
        <v>788</v>
      </c>
      <c r="B13" s="1074"/>
      <c r="C13" s="1074"/>
      <c r="D13" s="1074"/>
      <c r="E13" s="1074"/>
      <c r="F13" s="1074"/>
      <c r="G13" s="1074"/>
      <c r="H13" s="1074"/>
      <c r="I13" s="1074"/>
      <c r="J13" s="1074"/>
      <c r="K13" s="1074"/>
      <c r="L13" s="345"/>
      <c r="M13" s="106">
        <f>SUM(M2:M12)</f>
        <v>61277976</v>
      </c>
      <c r="N13" s="5"/>
      <c r="O13" s="5"/>
    </row>
    <row r="14" spans="1:15" x14ac:dyDescent="0.25">
      <c r="A14" s="40"/>
      <c r="B14" s="41"/>
      <c r="C14" s="7"/>
      <c r="D14" s="7"/>
      <c r="E14" s="7"/>
      <c r="F14" s="7"/>
      <c r="G14" s="42"/>
      <c r="H14" s="7"/>
      <c r="I14" s="7"/>
      <c r="J14"/>
      <c r="K14"/>
      <c r="L14"/>
      <c r="M14"/>
    </row>
    <row r="15" spans="1:15" x14ac:dyDescent="0.25">
      <c r="A15" s="40"/>
      <c r="B15" s="41"/>
      <c r="C15" s="7"/>
      <c r="D15" s="7"/>
      <c r="E15" s="7"/>
      <c r="F15" s="7"/>
      <c r="G15" s="42"/>
      <c r="H15" s="7"/>
      <c r="I15" s="7"/>
      <c r="J15"/>
      <c r="K15"/>
      <c r="L15"/>
      <c r="M15" s="16"/>
    </row>
    <row r="16" spans="1:15" x14ac:dyDescent="0.25">
      <c r="A16" s="40"/>
      <c r="B16" s="41"/>
      <c r="C16" s="7"/>
      <c r="D16" s="7"/>
      <c r="E16" s="7"/>
      <c r="F16" s="7"/>
      <c r="G16" s="42"/>
      <c r="H16" s="7"/>
      <c r="I16" s="7"/>
      <c r="J16"/>
      <c r="K16"/>
      <c r="L16"/>
      <c r="M16"/>
    </row>
    <row r="17" spans="1:13" x14ac:dyDescent="0.25">
      <c r="A17" s="40"/>
      <c r="B17" s="41"/>
      <c r="C17" s="7"/>
      <c r="D17" s="7"/>
      <c r="E17" s="7"/>
      <c r="F17" s="7"/>
      <c r="G17" s="42"/>
      <c r="H17" s="7"/>
      <c r="I17" s="7"/>
      <c r="J17"/>
      <c r="K17"/>
      <c r="L17"/>
      <c r="M17"/>
    </row>
    <row r="18" spans="1:13" x14ac:dyDescent="0.25">
      <c r="A18" s="40"/>
      <c r="B18" s="41"/>
      <c r="C18" s="7"/>
      <c r="D18" s="7"/>
      <c r="E18" s="7"/>
      <c r="F18" s="7"/>
      <c r="G18" s="42"/>
      <c r="H18" s="7"/>
      <c r="I18" s="7"/>
      <c r="J18"/>
      <c r="K18"/>
      <c r="L18"/>
      <c r="M18"/>
    </row>
    <row r="19" spans="1:13" x14ac:dyDescent="0.25">
      <c r="A19" s="40"/>
      <c r="B19" s="41"/>
      <c r="C19" s="7"/>
      <c r="D19" s="7"/>
      <c r="E19" s="7"/>
      <c r="F19" s="7"/>
      <c r="G19" s="42"/>
      <c r="H19" s="7"/>
      <c r="I19" s="7"/>
      <c r="J19"/>
      <c r="K19"/>
      <c r="L19"/>
      <c r="M19"/>
    </row>
    <row r="20" spans="1:13" x14ac:dyDescent="0.25">
      <c r="A20" s="40"/>
      <c r="B20" s="41"/>
      <c r="C20" s="7"/>
      <c r="D20" s="7"/>
      <c r="E20" s="7"/>
      <c r="F20" s="7"/>
      <c r="G20" s="42"/>
      <c r="H20" s="7"/>
      <c r="I20" s="7"/>
      <c r="J20"/>
      <c r="K20"/>
      <c r="L20"/>
      <c r="M20"/>
    </row>
    <row r="21" spans="1:13" x14ac:dyDescent="0.25">
      <c r="A21" s="40"/>
      <c r="B21" s="41"/>
      <c r="C21" s="7"/>
      <c r="D21" s="7"/>
      <c r="E21" s="7"/>
      <c r="F21" s="7"/>
      <c r="G21" s="42"/>
      <c r="H21" s="7"/>
      <c r="I21" s="7"/>
      <c r="J21"/>
      <c r="K21"/>
      <c r="L21"/>
      <c r="M21"/>
    </row>
    <row r="22" spans="1:13" x14ac:dyDescent="0.25">
      <c r="A22" s="40"/>
      <c r="B22" s="41"/>
      <c r="C22" s="7"/>
      <c r="D22" s="7"/>
      <c r="E22" s="7"/>
      <c r="F22" s="7"/>
      <c r="G22" s="42"/>
      <c r="H22" s="7"/>
      <c r="I22" s="7"/>
      <c r="J22"/>
      <c r="K22"/>
      <c r="L22"/>
      <c r="M22"/>
    </row>
    <row r="23" spans="1:13" x14ac:dyDescent="0.25">
      <c r="A23" s="40"/>
      <c r="B23" s="41"/>
      <c r="C23" s="7"/>
      <c r="D23" s="7"/>
      <c r="E23" s="7"/>
      <c r="F23" s="7"/>
      <c r="G23" s="42"/>
      <c r="H23" s="7"/>
      <c r="I23" s="7"/>
      <c r="J23"/>
      <c r="K23"/>
      <c r="L23"/>
      <c r="M23"/>
    </row>
    <row r="24" spans="1:13" x14ac:dyDescent="0.25">
      <c r="A24" s="40"/>
      <c r="B24" s="41"/>
      <c r="C24" s="7"/>
      <c r="D24" s="7"/>
      <c r="E24" s="7"/>
      <c r="F24" s="7"/>
      <c r="G24" s="42"/>
      <c r="H24" s="7"/>
      <c r="I24" s="7"/>
      <c r="J24"/>
      <c r="K24"/>
      <c r="L24"/>
      <c r="M24"/>
    </row>
    <row r="25" spans="1:13" x14ac:dyDescent="0.25">
      <c r="A25" s="40"/>
      <c r="B25" s="41"/>
      <c r="C25" s="7"/>
      <c r="D25" s="7"/>
      <c r="E25" s="7"/>
      <c r="F25" s="7"/>
      <c r="G25" s="42"/>
      <c r="H25" s="7"/>
      <c r="I25" s="7"/>
      <c r="J25"/>
      <c r="K25"/>
      <c r="L25"/>
      <c r="M25"/>
    </row>
    <row r="26" spans="1:13" x14ac:dyDescent="0.25">
      <c r="A26" s="40"/>
      <c r="B26" s="41"/>
      <c r="C26" s="7"/>
      <c r="D26" s="7"/>
      <c r="E26" s="7"/>
      <c r="F26" s="7"/>
      <c r="G26" s="42"/>
      <c r="H26" s="7"/>
      <c r="I26" s="7"/>
      <c r="J26"/>
      <c r="K26"/>
      <c r="L26"/>
      <c r="M26"/>
    </row>
    <row r="27" spans="1:13" x14ac:dyDescent="0.25">
      <c r="A27" s="40"/>
      <c r="B27" s="41"/>
      <c r="C27" s="7"/>
      <c r="D27" s="7"/>
      <c r="E27" s="7"/>
      <c r="F27" s="7"/>
      <c r="G27" s="42"/>
      <c r="H27" s="7"/>
      <c r="I27" s="7"/>
      <c r="J27"/>
      <c r="K27"/>
      <c r="L27"/>
      <c r="M27"/>
    </row>
    <row r="28" spans="1:13" x14ac:dyDescent="0.25">
      <c r="A28" s="40"/>
      <c r="B28" s="41"/>
      <c r="C28" s="7"/>
      <c r="D28" s="7"/>
      <c r="E28" s="7"/>
      <c r="F28" s="7"/>
      <c r="G28" s="42"/>
      <c r="H28" s="7"/>
      <c r="I28" s="7"/>
      <c r="J28"/>
      <c r="K28"/>
      <c r="L28"/>
      <c r="M28"/>
    </row>
    <row r="29" spans="1:13" x14ac:dyDescent="0.25">
      <c r="A29" s="40"/>
      <c r="B29" s="41"/>
      <c r="C29" s="7"/>
      <c r="D29" s="7"/>
      <c r="E29" s="7"/>
      <c r="F29" s="7"/>
      <c r="G29" s="42"/>
      <c r="H29" s="7"/>
      <c r="I29" s="7"/>
      <c r="J29"/>
      <c r="K29"/>
      <c r="L29"/>
      <c r="M29"/>
    </row>
    <row r="30" spans="1:13" x14ac:dyDescent="0.25">
      <c r="A30" s="40"/>
      <c r="B30" s="41"/>
      <c r="C30" s="7"/>
      <c r="D30" s="7"/>
      <c r="E30" s="7"/>
      <c r="F30" s="7"/>
      <c r="G30" s="42"/>
      <c r="H30" s="7"/>
      <c r="I30" s="7"/>
      <c r="J30"/>
      <c r="K30"/>
      <c r="L30"/>
      <c r="M30"/>
    </row>
    <row r="31" spans="1:13" x14ac:dyDescent="0.25">
      <c r="A31" s="40"/>
      <c r="B31" s="41"/>
      <c r="C31" s="7"/>
      <c r="D31" s="7"/>
      <c r="E31" s="7"/>
      <c r="F31" s="7"/>
      <c r="G31" s="42"/>
      <c r="H31" s="7"/>
      <c r="I31" s="7"/>
      <c r="J31"/>
      <c r="K31"/>
      <c r="L31"/>
      <c r="M31"/>
    </row>
    <row r="32" spans="1:13" x14ac:dyDescent="0.25">
      <c r="A32" s="40"/>
      <c r="B32" s="41"/>
      <c r="C32" s="7"/>
      <c r="D32" s="7"/>
      <c r="E32" s="7"/>
      <c r="F32" s="7"/>
      <c r="G32" s="42"/>
      <c r="H32" s="7"/>
      <c r="I32" s="7"/>
      <c r="J32"/>
      <c r="K32"/>
      <c r="L32"/>
      <c r="M32"/>
    </row>
    <row r="33" spans="1:13" x14ac:dyDescent="0.25">
      <c r="A33" s="40"/>
      <c r="B33" s="41"/>
      <c r="C33" s="7"/>
      <c r="D33" s="7"/>
      <c r="E33" s="7"/>
      <c r="F33" s="7"/>
      <c r="G33" s="42"/>
      <c r="H33" s="7"/>
      <c r="I33" s="7"/>
      <c r="J33"/>
      <c r="K33"/>
      <c r="L33"/>
      <c r="M33"/>
    </row>
    <row r="34" spans="1:13" x14ac:dyDescent="0.25">
      <c r="A34" s="40"/>
      <c r="B34" s="41"/>
      <c r="C34" s="7"/>
      <c r="D34" s="7"/>
      <c r="E34" s="7"/>
      <c r="F34" s="7"/>
      <c r="G34" s="42"/>
      <c r="H34" s="7"/>
      <c r="I34" s="7"/>
      <c r="J34"/>
      <c r="K34"/>
      <c r="L34"/>
      <c r="M34"/>
    </row>
    <row r="35" spans="1:13" x14ac:dyDescent="0.25">
      <c r="A35" s="40"/>
      <c r="B35" s="41"/>
      <c r="C35" s="7"/>
      <c r="D35" s="7"/>
      <c r="E35" s="7"/>
      <c r="F35" s="7"/>
      <c r="G35" s="42"/>
      <c r="H35" s="7"/>
      <c r="I35" s="7"/>
      <c r="J35"/>
      <c r="K35"/>
      <c r="L35"/>
      <c r="M35"/>
    </row>
    <row r="36" spans="1:13" x14ac:dyDescent="0.25">
      <c r="A36" s="40"/>
      <c r="B36" s="41"/>
      <c r="C36" s="7"/>
      <c r="D36" s="7"/>
      <c r="E36" s="7"/>
      <c r="F36" s="7"/>
      <c r="G36" s="42"/>
      <c r="H36" s="7"/>
      <c r="I36" s="7"/>
      <c r="J36"/>
      <c r="K36"/>
      <c r="L36"/>
      <c r="M36"/>
    </row>
    <row r="37" spans="1:13" x14ac:dyDescent="0.25">
      <c r="A37" s="40"/>
      <c r="B37" s="41"/>
      <c r="C37" s="7"/>
      <c r="D37" s="7"/>
      <c r="E37" s="7"/>
      <c r="F37" s="7"/>
      <c r="G37" s="42"/>
      <c r="H37" s="7"/>
      <c r="I37" s="7"/>
      <c r="J37"/>
      <c r="K37"/>
      <c r="L37"/>
      <c r="M37"/>
    </row>
    <row r="38" spans="1:13" x14ac:dyDescent="0.25">
      <c r="A38" s="40"/>
      <c r="B38" s="41"/>
      <c r="C38" s="7"/>
      <c r="D38" s="7"/>
      <c r="E38" s="7"/>
      <c r="F38" s="7"/>
      <c r="G38" s="42"/>
      <c r="H38" s="7"/>
      <c r="I38" s="7"/>
      <c r="J38"/>
      <c r="K38"/>
      <c r="L38"/>
      <c r="M38"/>
    </row>
    <row r="39" spans="1:13" x14ac:dyDescent="0.25">
      <c r="A39" s="40"/>
      <c r="B39" s="41"/>
      <c r="C39" s="7"/>
      <c r="D39" s="7"/>
      <c r="E39" s="7"/>
      <c r="F39" s="7"/>
      <c r="G39" s="42"/>
      <c r="H39" s="7"/>
      <c r="I39" s="7"/>
      <c r="J39"/>
      <c r="K39"/>
      <c r="L39"/>
      <c r="M39"/>
    </row>
    <row r="40" spans="1:13" x14ac:dyDescent="0.25">
      <c r="A40" s="40"/>
      <c r="B40" s="41"/>
      <c r="C40" s="7"/>
      <c r="D40" s="7"/>
      <c r="E40" s="7"/>
      <c r="F40" s="7"/>
      <c r="G40" s="42"/>
      <c r="H40" s="7"/>
      <c r="I40" s="7"/>
      <c r="J40"/>
      <c r="K40"/>
      <c r="L40"/>
      <c r="M40"/>
    </row>
    <row r="41" spans="1:13" x14ac:dyDescent="0.25">
      <c r="A41" s="40"/>
      <c r="B41" s="41"/>
      <c r="C41" s="7"/>
      <c r="D41" s="7"/>
      <c r="E41" s="7"/>
      <c r="F41" s="7"/>
      <c r="G41" s="42"/>
      <c r="H41" s="7"/>
      <c r="I41" s="7"/>
      <c r="J41"/>
      <c r="K41"/>
      <c r="L41"/>
      <c r="M41"/>
    </row>
    <row r="42" spans="1:13" x14ac:dyDescent="0.25">
      <c r="A42" s="40"/>
      <c r="B42" s="41"/>
      <c r="C42" s="7"/>
      <c r="D42" s="7"/>
      <c r="E42" s="7"/>
      <c r="F42" s="7"/>
      <c r="G42" s="42"/>
      <c r="H42" s="7"/>
      <c r="I42" s="7"/>
      <c r="J42"/>
      <c r="K42"/>
      <c r="L42"/>
      <c r="M42"/>
    </row>
    <row r="43" spans="1:13" x14ac:dyDescent="0.25">
      <c r="A43" s="40"/>
      <c r="B43" s="41"/>
      <c r="C43" s="7"/>
      <c r="D43" s="7"/>
      <c r="E43" s="7"/>
      <c r="F43" s="7"/>
      <c r="G43" s="42"/>
      <c r="H43" s="7"/>
      <c r="I43" s="7"/>
      <c r="J43"/>
      <c r="K43"/>
      <c r="L43"/>
      <c r="M43"/>
    </row>
    <row r="44" spans="1:13" x14ac:dyDescent="0.25">
      <c r="A44" s="40"/>
      <c r="B44" s="41"/>
      <c r="C44" s="7"/>
      <c r="D44" s="7"/>
      <c r="E44" s="7"/>
      <c r="F44" s="7"/>
      <c r="G44" s="42"/>
      <c r="H44" s="7"/>
      <c r="I44" s="7"/>
      <c r="J44"/>
      <c r="K44"/>
      <c r="L44"/>
      <c r="M44"/>
    </row>
    <row r="45" spans="1:13" x14ac:dyDescent="0.25">
      <c r="A45" s="40"/>
      <c r="B45" s="41"/>
      <c r="C45" s="7"/>
      <c r="D45" s="7"/>
      <c r="E45" s="7"/>
      <c r="F45" s="7"/>
      <c r="G45" s="42"/>
      <c r="H45" s="7"/>
      <c r="I45" s="7"/>
      <c r="J45"/>
      <c r="K45"/>
      <c r="L45"/>
      <c r="M45"/>
    </row>
    <row r="46" spans="1:13" x14ac:dyDescent="0.25">
      <c r="A46" s="40"/>
      <c r="B46" s="41"/>
      <c r="C46" s="7"/>
      <c r="D46" s="7"/>
      <c r="E46" s="7"/>
      <c r="F46" s="7"/>
      <c r="G46" s="42"/>
      <c r="H46" s="7"/>
      <c r="I46" s="7"/>
      <c r="J46"/>
      <c r="K46"/>
      <c r="L46"/>
      <c r="M46"/>
    </row>
    <row r="47" spans="1:13" x14ac:dyDescent="0.25">
      <c r="A47" s="40"/>
      <c r="B47" s="41"/>
      <c r="C47" s="7"/>
      <c r="D47" s="7"/>
      <c r="E47" s="7"/>
      <c r="F47" s="7"/>
      <c r="G47" s="42"/>
      <c r="H47" s="7"/>
      <c r="I47" s="7"/>
      <c r="J47"/>
      <c r="K47"/>
      <c r="L47"/>
      <c r="M47"/>
    </row>
    <row r="48" spans="1:13" x14ac:dyDescent="0.25">
      <c r="A48" s="40"/>
      <c r="B48" s="41"/>
      <c r="C48" s="7"/>
      <c r="D48" s="7"/>
      <c r="E48" s="7"/>
      <c r="F48" s="7"/>
      <c r="G48" s="42"/>
      <c r="H48" s="7"/>
      <c r="I48" s="7"/>
      <c r="J48"/>
      <c r="K48"/>
      <c r="L48"/>
      <c r="M48"/>
    </row>
    <row r="49" spans="1:13" x14ac:dyDescent="0.25">
      <c r="A49" s="40"/>
      <c r="B49" s="41"/>
      <c r="C49" s="7"/>
      <c r="D49" s="7"/>
      <c r="E49" s="7"/>
      <c r="F49" s="7"/>
      <c r="G49" s="42"/>
      <c r="H49" s="7"/>
      <c r="I49" s="7"/>
      <c r="J49"/>
      <c r="K49"/>
      <c r="L49"/>
      <c r="M49"/>
    </row>
    <row r="50" spans="1:13" x14ac:dyDescent="0.25">
      <c r="A50" s="40"/>
      <c r="B50" s="41"/>
      <c r="C50" s="7"/>
      <c r="D50" s="7"/>
      <c r="E50" s="7"/>
      <c r="F50" s="7"/>
      <c r="G50" s="42"/>
      <c r="H50" s="7"/>
      <c r="I50" s="7"/>
      <c r="J50"/>
      <c r="K50"/>
      <c r="L50"/>
      <c r="M50"/>
    </row>
    <row r="51" spans="1:13" x14ac:dyDescent="0.25">
      <c r="A51" s="40"/>
      <c r="B51" s="41"/>
      <c r="C51" s="7"/>
      <c r="D51" s="7"/>
      <c r="E51" s="7"/>
      <c r="F51" s="7"/>
      <c r="G51" s="42"/>
      <c r="H51" s="7"/>
      <c r="I51" s="7"/>
      <c r="J51"/>
      <c r="K51"/>
      <c r="L51"/>
      <c r="M51"/>
    </row>
    <row r="52" spans="1:13" x14ac:dyDescent="0.25">
      <c r="A52" s="40"/>
      <c r="B52" s="41"/>
      <c r="C52" s="7"/>
      <c r="D52" s="7"/>
      <c r="E52" s="7"/>
      <c r="F52" s="7"/>
      <c r="G52" s="42"/>
      <c r="H52" s="7"/>
      <c r="I52" s="7"/>
      <c r="J52"/>
      <c r="K52"/>
      <c r="L52"/>
      <c r="M52"/>
    </row>
    <row r="53" spans="1:13" x14ac:dyDescent="0.25">
      <c r="A53" s="40"/>
      <c r="B53" s="41"/>
      <c r="C53" s="7"/>
      <c r="D53" s="7"/>
      <c r="E53" s="7"/>
      <c r="F53" s="7"/>
      <c r="G53" s="42"/>
      <c r="H53" s="7"/>
      <c r="I53" s="7"/>
      <c r="J53"/>
      <c r="K53"/>
      <c r="L53"/>
      <c r="M53"/>
    </row>
    <row r="54" spans="1:13" x14ac:dyDescent="0.25">
      <c r="A54" s="40"/>
      <c r="B54" s="41"/>
      <c r="C54" s="7"/>
      <c r="D54" s="7"/>
      <c r="E54" s="7"/>
      <c r="F54" s="7"/>
      <c r="G54" s="42"/>
      <c r="H54" s="7"/>
      <c r="I54" s="7"/>
      <c r="J54"/>
      <c r="K54"/>
      <c r="L54"/>
      <c r="M54"/>
    </row>
    <row r="55" spans="1:13" x14ac:dyDescent="0.25">
      <c r="A55" s="40"/>
      <c r="B55" s="41"/>
      <c r="C55" s="7"/>
      <c r="D55" s="7"/>
      <c r="E55" s="7"/>
      <c r="F55" s="7"/>
      <c r="G55" s="42"/>
      <c r="H55" s="7"/>
      <c r="I55" s="7"/>
      <c r="J55"/>
      <c r="K55"/>
      <c r="L55"/>
      <c r="M55"/>
    </row>
    <row r="56" spans="1:13" x14ac:dyDescent="0.25">
      <c r="A56" s="40"/>
      <c r="B56" s="41"/>
      <c r="C56" s="7"/>
      <c r="D56" s="7"/>
      <c r="E56" s="7"/>
      <c r="F56" s="7"/>
      <c r="G56" s="42"/>
      <c r="H56" s="7"/>
      <c r="I56" s="7"/>
      <c r="J56"/>
      <c r="K56"/>
      <c r="L56"/>
      <c r="M56"/>
    </row>
    <row r="57" spans="1:13" x14ac:dyDescent="0.25">
      <c r="A57" s="40"/>
      <c r="B57" s="41"/>
      <c r="C57" s="7"/>
      <c r="D57" s="7"/>
      <c r="E57" s="7"/>
      <c r="F57" s="7"/>
      <c r="G57" s="42"/>
      <c r="H57" s="7"/>
      <c r="I57" s="7"/>
      <c r="J57"/>
      <c r="K57"/>
      <c r="L57"/>
      <c r="M57"/>
    </row>
    <row r="58" spans="1:13" x14ac:dyDescent="0.25">
      <c r="A58" s="40"/>
      <c r="B58" s="41"/>
      <c r="C58" s="7"/>
      <c r="D58" s="7"/>
      <c r="E58" s="7"/>
      <c r="F58" s="7"/>
      <c r="G58" s="42"/>
      <c r="H58" s="7"/>
      <c r="I58" s="7"/>
      <c r="J58"/>
      <c r="K58"/>
      <c r="L58"/>
      <c r="M58"/>
    </row>
    <row r="59" spans="1:13" x14ac:dyDescent="0.25">
      <c r="A59" s="40"/>
      <c r="B59" s="41"/>
      <c r="C59" s="7"/>
      <c r="D59" s="7"/>
      <c r="E59" s="7"/>
      <c r="F59" s="7"/>
      <c r="G59" s="42"/>
      <c r="H59" s="7"/>
      <c r="I59" s="7"/>
      <c r="J59"/>
      <c r="K59"/>
      <c r="L59"/>
      <c r="M59"/>
    </row>
    <row r="60" spans="1:13" x14ac:dyDescent="0.25">
      <c r="A60" s="40"/>
      <c r="B60" s="41"/>
      <c r="C60" s="7"/>
      <c r="D60" s="7"/>
      <c r="E60" s="7"/>
      <c r="F60" s="7"/>
      <c r="G60" s="42"/>
      <c r="H60" s="7"/>
      <c r="I60" s="7"/>
      <c r="J60"/>
      <c r="K60"/>
      <c r="L60"/>
      <c r="M60"/>
    </row>
    <row r="61" spans="1:13" x14ac:dyDescent="0.25">
      <c r="A61" s="40"/>
      <c r="B61" s="41"/>
      <c r="C61" s="7"/>
      <c r="D61" s="7"/>
      <c r="E61" s="7"/>
      <c r="F61" s="7"/>
      <c r="G61" s="42"/>
      <c r="H61" s="7"/>
      <c r="I61" s="7"/>
      <c r="J61"/>
      <c r="K61"/>
      <c r="L61"/>
      <c r="M61"/>
    </row>
    <row r="62" spans="1:13" x14ac:dyDescent="0.25">
      <c r="A62" s="40"/>
      <c r="B62" s="41"/>
      <c r="C62" s="7"/>
      <c r="D62" s="7"/>
      <c r="E62" s="7"/>
      <c r="F62" s="7"/>
      <c r="G62" s="42"/>
      <c r="H62" s="7"/>
      <c r="I62" s="7"/>
      <c r="J62"/>
      <c r="K62"/>
      <c r="L62"/>
      <c r="M62"/>
    </row>
    <row r="63" spans="1:13" x14ac:dyDescent="0.25">
      <c r="A63" s="40"/>
      <c r="B63" s="41"/>
      <c r="C63" s="7"/>
      <c r="D63" s="7"/>
      <c r="E63" s="7"/>
      <c r="F63" s="7"/>
      <c r="G63" s="42"/>
      <c r="H63" s="7"/>
      <c r="I63" s="7"/>
      <c r="J63"/>
      <c r="K63"/>
      <c r="L63"/>
      <c r="M63"/>
    </row>
    <row r="64" spans="1:13" x14ac:dyDescent="0.25">
      <c r="A64" s="40"/>
      <c r="B64" s="41"/>
      <c r="C64" s="7"/>
      <c r="D64" s="7"/>
      <c r="E64" s="7"/>
      <c r="F64" s="7"/>
      <c r="G64" s="42"/>
      <c r="H64" s="7"/>
      <c r="I64" s="7"/>
      <c r="J64"/>
      <c r="K64"/>
      <c r="L64"/>
      <c r="M64"/>
    </row>
    <row r="65" spans="1:13" x14ac:dyDescent="0.25">
      <c r="A65" s="40"/>
      <c r="B65" s="41"/>
      <c r="C65" s="7"/>
      <c r="D65" s="7"/>
      <c r="E65" s="7"/>
      <c r="F65" s="7"/>
      <c r="G65" s="42"/>
      <c r="H65" s="7"/>
      <c r="I65" s="7"/>
      <c r="J65"/>
      <c r="K65"/>
      <c r="L65"/>
      <c r="M65"/>
    </row>
    <row r="66" spans="1:13" x14ac:dyDescent="0.25">
      <c r="A66" s="40"/>
      <c r="B66" s="41"/>
      <c r="C66" s="7"/>
      <c r="D66" s="7"/>
      <c r="E66" s="7"/>
      <c r="F66" s="7"/>
      <c r="G66" s="42"/>
      <c r="H66" s="7"/>
      <c r="I66" s="7"/>
      <c r="J66"/>
      <c r="K66"/>
      <c r="L66"/>
      <c r="M66"/>
    </row>
    <row r="67" spans="1:13" x14ac:dyDescent="0.25">
      <c r="A67" s="40"/>
      <c r="B67" s="41"/>
      <c r="C67" s="7"/>
      <c r="D67" s="7"/>
      <c r="E67" s="7"/>
      <c r="F67" s="7"/>
      <c r="G67" s="42"/>
      <c r="H67" s="7"/>
      <c r="I67" s="7"/>
      <c r="J67"/>
      <c r="K67"/>
      <c r="L67"/>
      <c r="M67"/>
    </row>
    <row r="68" spans="1:13" x14ac:dyDescent="0.25">
      <c r="A68" s="40"/>
      <c r="B68" s="41"/>
      <c r="C68" s="7"/>
      <c r="D68" s="7"/>
      <c r="E68" s="7"/>
      <c r="F68" s="7"/>
      <c r="G68" s="42"/>
      <c r="H68" s="7"/>
      <c r="I68" s="7"/>
      <c r="J68"/>
      <c r="K68"/>
      <c r="L68"/>
      <c r="M68"/>
    </row>
    <row r="69" spans="1:13" x14ac:dyDescent="0.25">
      <c r="A69" s="40"/>
      <c r="B69" s="41"/>
      <c r="C69" s="7"/>
      <c r="D69" s="7"/>
      <c r="E69" s="7"/>
      <c r="F69" s="7"/>
      <c r="G69" s="42"/>
      <c r="H69" s="7"/>
      <c r="I69" s="7"/>
      <c r="J69"/>
      <c r="K69"/>
      <c r="L69"/>
      <c r="M69"/>
    </row>
    <row r="70" spans="1:13" x14ac:dyDescent="0.25">
      <c r="A70" s="40"/>
      <c r="B70" s="41"/>
      <c r="C70" s="7"/>
      <c r="D70" s="7"/>
      <c r="E70" s="7"/>
      <c r="F70" s="7"/>
      <c r="G70" s="42"/>
      <c r="H70" s="7"/>
      <c r="I70" s="7"/>
      <c r="J70"/>
      <c r="K70"/>
      <c r="L70"/>
      <c r="M70"/>
    </row>
    <row r="71" spans="1:13" x14ac:dyDescent="0.25">
      <c r="A71" s="40"/>
      <c r="B71" s="41"/>
      <c r="C71" s="7"/>
      <c r="D71" s="7"/>
      <c r="E71" s="7"/>
      <c r="F71" s="7"/>
      <c r="G71" s="42"/>
      <c r="H71" s="7"/>
      <c r="I71" s="7"/>
      <c r="J71"/>
      <c r="K71"/>
      <c r="L71"/>
      <c r="M71"/>
    </row>
    <row r="72" spans="1:13" x14ac:dyDescent="0.25">
      <c r="A72" s="40"/>
      <c r="B72" s="41"/>
      <c r="C72" s="7"/>
      <c r="D72" s="7"/>
      <c r="E72" s="7"/>
      <c r="F72" s="7"/>
      <c r="G72" s="42"/>
      <c r="H72" s="7"/>
      <c r="I72" s="7"/>
      <c r="J72"/>
      <c r="K72"/>
      <c r="L72"/>
      <c r="M72"/>
    </row>
    <row r="73" spans="1:13" x14ac:dyDescent="0.25">
      <c r="A73" s="40"/>
      <c r="B73" s="41"/>
      <c r="C73" s="7"/>
      <c r="D73" s="7"/>
      <c r="E73" s="7"/>
      <c r="F73" s="7"/>
      <c r="G73" s="42"/>
      <c r="H73" s="7"/>
      <c r="I73" s="7"/>
      <c r="J73"/>
      <c r="K73"/>
      <c r="L73"/>
      <c r="M73"/>
    </row>
    <row r="74" spans="1:13" x14ac:dyDescent="0.25">
      <c r="A74" s="40"/>
      <c r="B74" s="41"/>
      <c r="C74" s="7"/>
      <c r="D74" s="7"/>
      <c r="E74" s="7"/>
      <c r="F74" s="7"/>
      <c r="G74" s="42"/>
      <c r="H74" s="7"/>
      <c r="I74" s="7"/>
      <c r="J74"/>
      <c r="K74"/>
      <c r="L74"/>
      <c r="M74"/>
    </row>
    <row r="75" spans="1:13" x14ac:dyDescent="0.25">
      <c r="A75" s="40"/>
      <c r="B75" s="41"/>
      <c r="C75" s="7"/>
      <c r="D75" s="7"/>
      <c r="E75" s="7"/>
      <c r="F75" s="7"/>
      <c r="G75" s="42"/>
      <c r="H75" s="7"/>
      <c r="I75" s="7"/>
      <c r="J75"/>
      <c r="K75"/>
      <c r="L75"/>
      <c r="M75"/>
    </row>
    <row r="76" spans="1:13" x14ac:dyDescent="0.25">
      <c r="A76" s="40"/>
      <c r="B76" s="41"/>
      <c r="C76" s="7"/>
      <c r="D76" s="7"/>
      <c r="E76" s="7"/>
      <c r="F76" s="7"/>
      <c r="G76" s="42"/>
      <c r="H76" s="7"/>
      <c r="I76" s="7"/>
      <c r="J76"/>
      <c r="K76"/>
      <c r="L76"/>
      <c r="M76"/>
    </row>
    <row r="77" spans="1:13" x14ac:dyDescent="0.25">
      <c r="A77" s="40"/>
      <c r="B77" s="41"/>
      <c r="C77" s="7"/>
      <c r="D77" s="7"/>
      <c r="E77" s="7"/>
      <c r="F77" s="7"/>
      <c r="G77" s="42"/>
      <c r="H77" s="7"/>
      <c r="I77" s="7"/>
      <c r="J77"/>
      <c r="K77"/>
      <c r="L77"/>
      <c r="M77"/>
    </row>
    <row r="78" spans="1:13" x14ac:dyDescent="0.25">
      <c r="A78" s="40"/>
      <c r="B78" s="41"/>
      <c r="C78" s="7"/>
      <c r="D78" s="7"/>
      <c r="E78" s="7"/>
      <c r="F78" s="7"/>
      <c r="G78" s="42"/>
      <c r="H78" s="7"/>
      <c r="I78" s="7"/>
      <c r="J78"/>
      <c r="K78"/>
      <c r="L78"/>
      <c r="M78"/>
    </row>
    <row r="79" spans="1:13" x14ac:dyDescent="0.25">
      <c r="A79" s="40"/>
      <c r="B79" s="41"/>
      <c r="C79" s="7"/>
      <c r="D79" s="7"/>
      <c r="E79" s="7"/>
      <c r="F79" s="7"/>
      <c r="G79" s="42"/>
      <c r="H79" s="7"/>
      <c r="I79" s="7"/>
      <c r="J79"/>
      <c r="K79"/>
      <c r="L79"/>
      <c r="M79"/>
    </row>
    <row r="80" spans="1:13" x14ac:dyDescent="0.25">
      <c r="A80" s="40"/>
      <c r="B80" s="41"/>
      <c r="C80" s="7"/>
      <c r="D80" s="7"/>
      <c r="E80" s="7"/>
      <c r="F80" s="7"/>
      <c r="G80" s="42"/>
      <c r="H80" s="7"/>
      <c r="I80" s="7"/>
      <c r="J80"/>
      <c r="K80"/>
      <c r="L80"/>
      <c r="M80"/>
    </row>
    <row r="81" spans="1:13" x14ac:dyDescent="0.25">
      <c r="A81" s="40"/>
      <c r="B81" s="41"/>
      <c r="C81" s="7"/>
      <c r="D81" s="7"/>
      <c r="E81" s="7"/>
      <c r="F81" s="7"/>
      <c r="G81" s="42"/>
      <c r="H81" s="7"/>
      <c r="I81" s="7"/>
      <c r="J81"/>
      <c r="K81"/>
      <c r="L81"/>
      <c r="M81"/>
    </row>
    <row r="82" spans="1:13" x14ac:dyDescent="0.25">
      <c r="A82" s="40"/>
      <c r="B82" s="41"/>
      <c r="C82" s="7"/>
      <c r="D82" s="7"/>
      <c r="E82" s="7"/>
      <c r="F82" s="7"/>
      <c r="G82" s="42"/>
      <c r="H82" s="7"/>
      <c r="I82" s="7"/>
      <c r="J82"/>
      <c r="K82"/>
      <c r="L82"/>
      <c r="M82"/>
    </row>
    <row r="83" spans="1:13" x14ac:dyDescent="0.25">
      <c r="A83" s="40"/>
      <c r="B83" s="41"/>
      <c r="C83" s="7"/>
      <c r="D83" s="7"/>
      <c r="E83" s="7"/>
      <c r="F83" s="7"/>
      <c r="G83" s="42"/>
      <c r="H83" s="7"/>
      <c r="I83" s="7"/>
      <c r="J83"/>
      <c r="K83"/>
      <c r="L83"/>
      <c r="M83"/>
    </row>
    <row r="84" spans="1:13" x14ac:dyDescent="0.25">
      <c r="A84" s="40"/>
      <c r="B84" s="41"/>
      <c r="C84" s="7"/>
      <c r="D84" s="7"/>
      <c r="E84" s="7"/>
      <c r="F84" s="7"/>
      <c r="G84" s="42"/>
      <c r="H84" s="7"/>
      <c r="I84" s="7"/>
      <c r="J84"/>
      <c r="K84"/>
      <c r="L84"/>
      <c r="M84"/>
    </row>
    <row r="85" spans="1:13" x14ac:dyDescent="0.25">
      <c r="A85" s="40"/>
      <c r="B85" s="41"/>
      <c r="C85" s="7"/>
      <c r="D85" s="7"/>
      <c r="E85" s="7"/>
      <c r="F85" s="7"/>
      <c r="G85" s="42"/>
      <c r="H85" s="7"/>
      <c r="I85" s="7"/>
      <c r="J85"/>
      <c r="K85"/>
      <c r="L85"/>
      <c r="M85"/>
    </row>
    <row r="86" spans="1:13" x14ac:dyDescent="0.25">
      <c r="A86" s="40"/>
      <c r="B86" s="41"/>
      <c r="C86" s="7"/>
      <c r="D86" s="7"/>
      <c r="E86" s="7"/>
      <c r="F86" s="7"/>
      <c r="G86" s="42"/>
      <c r="H86" s="7"/>
      <c r="I86" s="7"/>
      <c r="J86"/>
      <c r="K86"/>
      <c r="L86"/>
      <c r="M86"/>
    </row>
    <row r="87" spans="1:13" x14ac:dyDescent="0.25">
      <c r="A87" s="40"/>
      <c r="B87" s="41"/>
      <c r="C87" s="7"/>
      <c r="D87" s="7"/>
      <c r="E87" s="7"/>
      <c r="F87" s="7"/>
      <c r="G87" s="42"/>
      <c r="H87" s="7"/>
      <c r="I87" s="7"/>
      <c r="J87"/>
      <c r="K87"/>
      <c r="L87"/>
      <c r="M87"/>
    </row>
    <row r="88" spans="1:13" x14ac:dyDescent="0.25">
      <c r="A88" s="40"/>
      <c r="B88" s="41"/>
      <c r="C88" s="7"/>
      <c r="D88" s="7"/>
      <c r="E88" s="7"/>
      <c r="F88" s="7"/>
      <c r="G88" s="42"/>
      <c r="H88" s="7"/>
      <c r="I88" s="7"/>
      <c r="J88"/>
      <c r="K88"/>
      <c r="L88"/>
      <c r="M88"/>
    </row>
    <row r="89" spans="1:13" x14ac:dyDescent="0.25">
      <c r="A89" s="40"/>
      <c r="B89" s="41"/>
      <c r="C89" s="7"/>
      <c r="D89" s="7"/>
      <c r="E89" s="7"/>
      <c r="F89" s="7"/>
      <c r="G89" s="42"/>
      <c r="H89" s="7"/>
      <c r="I89" s="7"/>
      <c r="J89"/>
      <c r="K89"/>
      <c r="L89"/>
      <c r="M89"/>
    </row>
    <row r="90" spans="1:13" x14ac:dyDescent="0.25">
      <c r="A90" s="40"/>
      <c r="B90" s="41"/>
      <c r="C90" s="7"/>
      <c r="D90" s="7"/>
      <c r="E90" s="7"/>
      <c r="F90" s="7"/>
      <c r="G90" s="42"/>
      <c r="H90" s="7"/>
      <c r="I90" s="7"/>
      <c r="J90"/>
      <c r="K90"/>
      <c r="L90"/>
      <c r="M90"/>
    </row>
    <row r="91" spans="1:13" x14ac:dyDescent="0.25">
      <c r="A91" s="40"/>
      <c r="B91" s="41"/>
      <c r="C91" s="7"/>
      <c r="D91" s="7"/>
      <c r="E91" s="7"/>
      <c r="F91" s="7"/>
      <c r="G91" s="42"/>
      <c r="H91" s="7"/>
      <c r="I91" s="7"/>
      <c r="J91"/>
      <c r="K91"/>
      <c r="L91"/>
      <c r="M91"/>
    </row>
    <row r="92" spans="1:13" x14ac:dyDescent="0.25">
      <c r="A92" s="40"/>
      <c r="B92" s="41"/>
      <c r="C92" s="7"/>
      <c r="D92" s="7"/>
      <c r="E92" s="7"/>
      <c r="F92" s="7"/>
      <c r="G92" s="42"/>
      <c r="H92" s="7"/>
      <c r="I92" s="7"/>
      <c r="J92"/>
      <c r="K92"/>
      <c r="L92"/>
      <c r="M92"/>
    </row>
    <row r="93" spans="1:13" x14ac:dyDescent="0.25">
      <c r="A93" s="40"/>
      <c r="B93" s="41"/>
      <c r="C93" s="7"/>
      <c r="D93" s="7"/>
      <c r="E93" s="7"/>
      <c r="F93" s="7"/>
      <c r="G93" s="42"/>
      <c r="H93" s="7"/>
      <c r="I93" s="7"/>
      <c r="J93"/>
      <c r="K93"/>
      <c r="L93"/>
      <c r="M93"/>
    </row>
    <row r="94" spans="1:13" x14ac:dyDescent="0.25">
      <c r="A94" s="40"/>
      <c r="B94" s="41"/>
      <c r="C94" s="7"/>
      <c r="D94" s="7"/>
      <c r="E94" s="7"/>
      <c r="F94" s="7"/>
      <c r="G94" s="42"/>
      <c r="H94" s="7"/>
      <c r="I94" s="7"/>
      <c r="J94"/>
      <c r="K94"/>
      <c r="L94"/>
      <c r="M94"/>
    </row>
    <row r="95" spans="1:13" x14ac:dyDescent="0.25">
      <c r="C95" t="s">
        <v>42</v>
      </c>
      <c r="E95" s="17" t="e">
        <f>SUM(#REF!)</f>
        <v>#REF!</v>
      </c>
      <c r="F95" s="17"/>
      <c r="J95"/>
      <c r="K95"/>
      <c r="L95"/>
      <c r="M95"/>
    </row>
    <row r="96" spans="1:13" x14ac:dyDescent="0.25">
      <c r="J96"/>
      <c r="K96"/>
      <c r="L96"/>
      <c r="M96"/>
    </row>
    <row r="97" spans="3:13" x14ac:dyDescent="0.25">
      <c r="J97"/>
      <c r="K97"/>
      <c r="L97"/>
      <c r="M97"/>
    </row>
    <row r="98" spans="3:13" x14ac:dyDescent="0.25">
      <c r="C98" t="s">
        <v>36</v>
      </c>
      <c r="G98" s="9" t="e">
        <f>SUM(#REF!)</f>
        <v>#REF!</v>
      </c>
      <c r="J98"/>
      <c r="K98" s="16"/>
      <c r="L98" s="16"/>
      <c r="M98"/>
    </row>
    <row r="99" spans="3:13" x14ac:dyDescent="0.25">
      <c r="C99" t="s">
        <v>37</v>
      </c>
      <c r="G99" s="15">
        <f>[2]Phapros!H379</f>
        <v>299675900</v>
      </c>
      <c r="J99"/>
      <c r="K99"/>
      <c r="L99"/>
      <c r="M99"/>
    </row>
    <row r="100" spans="3:13" x14ac:dyDescent="0.25">
      <c r="D100" t="s">
        <v>43</v>
      </c>
      <c r="G100" s="14" t="e">
        <f>G98+G99</f>
        <v>#REF!</v>
      </c>
      <c r="J100"/>
      <c r="K100"/>
      <c r="L100"/>
      <c r="M100"/>
    </row>
    <row r="101" spans="3:13" ht="11.25" customHeight="1" x14ac:dyDescent="0.25">
      <c r="G101" s="14"/>
      <c r="J101"/>
      <c r="K101"/>
      <c r="L101"/>
      <c r="M101"/>
    </row>
    <row r="102" spans="3:13" x14ac:dyDescent="0.25">
      <c r="C102" t="s">
        <v>38</v>
      </c>
      <c r="J102"/>
      <c r="K102"/>
      <c r="L102"/>
      <c r="M102"/>
    </row>
    <row r="103" spans="3:13" x14ac:dyDescent="0.25">
      <c r="C103" t="s">
        <v>44</v>
      </c>
      <c r="E103" s="9">
        <v>220186527</v>
      </c>
      <c r="F103" s="9"/>
      <c r="J103"/>
      <c r="K103"/>
      <c r="L103"/>
      <c r="M103"/>
    </row>
    <row r="104" spans="3:13" x14ac:dyDescent="0.25">
      <c r="C104" t="s">
        <v>45</v>
      </c>
      <c r="E104" s="15">
        <v>452400140</v>
      </c>
      <c r="F104" s="42"/>
      <c r="J104"/>
      <c r="K104"/>
      <c r="L104"/>
      <c r="M104"/>
    </row>
    <row r="105" spans="3:13" ht="15.75" x14ac:dyDescent="0.25">
      <c r="C105" t="s">
        <v>46</v>
      </c>
      <c r="G105" s="18">
        <f>E103+E104</f>
        <v>672586667</v>
      </c>
      <c r="J105"/>
      <c r="K105"/>
      <c r="L105"/>
      <c r="M105"/>
    </row>
    <row r="106" spans="3:13" ht="15.75" x14ac:dyDescent="0.25">
      <c r="D106" s="1" t="s">
        <v>39</v>
      </c>
      <c r="G106" s="9" t="e">
        <f>G100-G105</f>
        <v>#REF!</v>
      </c>
      <c r="J106"/>
      <c r="K106"/>
      <c r="L106"/>
      <c r="M106"/>
    </row>
    <row r="107" spans="3:13" x14ac:dyDescent="0.25">
      <c r="J107"/>
      <c r="K107"/>
      <c r="L107"/>
      <c r="M107"/>
    </row>
    <row r="108" spans="3:13" x14ac:dyDescent="0.25">
      <c r="J108"/>
      <c r="K108"/>
      <c r="L108"/>
      <c r="M108"/>
    </row>
    <row r="109" spans="3:13" x14ac:dyDescent="0.25">
      <c r="J109"/>
      <c r="K109"/>
      <c r="L109"/>
      <c r="M109"/>
    </row>
    <row r="110" spans="3:13" x14ac:dyDescent="0.25">
      <c r="J110"/>
      <c r="K110" s="19"/>
      <c r="L110" s="19"/>
      <c r="M110"/>
    </row>
    <row r="111" spans="3:13" x14ac:dyDescent="0.25">
      <c r="J111"/>
      <c r="K111" s="19"/>
      <c r="L111" s="19"/>
      <c r="M111"/>
    </row>
    <row r="112" spans="3:13" x14ac:dyDescent="0.25">
      <c r="J112"/>
      <c r="K112" s="7"/>
      <c r="L112" s="7"/>
      <c r="M112"/>
    </row>
    <row r="113" spans="10:13" x14ac:dyDescent="0.25">
      <c r="J113"/>
      <c r="K113" s="19"/>
      <c r="L113" s="19"/>
      <c r="M113"/>
    </row>
    <row r="114" spans="10:13" x14ac:dyDescent="0.25">
      <c r="J114"/>
      <c r="K114" s="19"/>
      <c r="L114" s="19"/>
      <c r="M114"/>
    </row>
    <row r="115" spans="10:13" x14ac:dyDescent="0.25">
      <c r="J115"/>
      <c r="K115" s="7"/>
      <c r="L115" s="7"/>
      <c r="M115"/>
    </row>
    <row r="116" spans="10:13" x14ac:dyDescent="0.25">
      <c r="J116"/>
      <c r="K116" s="19"/>
      <c r="L116" s="19"/>
      <c r="M116"/>
    </row>
    <row r="117" spans="10:13" x14ac:dyDescent="0.25">
      <c r="J117"/>
      <c r="K117" s="19"/>
      <c r="L117" s="19"/>
      <c r="M117"/>
    </row>
    <row r="118" spans="10:13" x14ac:dyDescent="0.25">
      <c r="J118"/>
      <c r="K118" s="7"/>
      <c r="L118" s="7"/>
      <c r="M118"/>
    </row>
    <row r="119" spans="10:13" x14ac:dyDescent="0.25">
      <c r="J119"/>
      <c r="K119"/>
      <c r="L119"/>
      <c r="M119"/>
    </row>
    <row r="120" spans="10:13" x14ac:dyDescent="0.25">
      <c r="J120"/>
      <c r="K120"/>
      <c r="L120"/>
      <c r="M120"/>
    </row>
    <row r="121" spans="10:13" x14ac:dyDescent="0.25">
      <c r="J121"/>
      <c r="K121"/>
      <c r="L121"/>
      <c r="M121"/>
    </row>
    <row r="122" spans="10:13" x14ac:dyDescent="0.25">
      <c r="J122"/>
      <c r="K122"/>
      <c r="L122"/>
      <c r="M122"/>
    </row>
    <row r="123" spans="10:13" x14ac:dyDescent="0.25">
      <c r="J123"/>
      <c r="K123"/>
      <c r="L123"/>
      <c r="M123"/>
    </row>
    <row r="124" spans="10:13" x14ac:dyDescent="0.25">
      <c r="J124"/>
      <c r="K124"/>
      <c r="L124"/>
      <c r="M124"/>
    </row>
    <row r="125" spans="10:13" x14ac:dyDescent="0.25">
      <c r="J125"/>
      <c r="K125"/>
      <c r="L125"/>
      <c r="M125"/>
    </row>
    <row r="126" spans="10:13" x14ac:dyDescent="0.25">
      <c r="J126"/>
      <c r="K126"/>
      <c r="L126"/>
      <c r="M126"/>
    </row>
    <row r="127" spans="10:13" x14ac:dyDescent="0.25">
      <c r="J127"/>
      <c r="K127"/>
      <c r="L127"/>
      <c r="M127"/>
    </row>
    <row r="128" spans="10:13" x14ac:dyDescent="0.25">
      <c r="J128"/>
      <c r="K128"/>
      <c r="L128"/>
      <c r="M128"/>
    </row>
    <row r="129" spans="10:13" x14ac:dyDescent="0.25">
      <c r="J129"/>
      <c r="K129"/>
      <c r="L129"/>
      <c r="M129"/>
    </row>
    <row r="130" spans="10:13" x14ac:dyDescent="0.25">
      <c r="J130"/>
      <c r="K130"/>
      <c r="L130"/>
      <c r="M130"/>
    </row>
    <row r="131" spans="10:13" x14ac:dyDescent="0.25">
      <c r="J131"/>
      <c r="K131"/>
      <c r="L131"/>
      <c r="M131"/>
    </row>
    <row r="132" spans="10:13" x14ac:dyDescent="0.25">
      <c r="J132"/>
      <c r="K132"/>
      <c r="L132"/>
      <c r="M132"/>
    </row>
    <row r="133" spans="10:13" x14ac:dyDescent="0.25">
      <c r="J133"/>
      <c r="K133"/>
      <c r="L133"/>
      <c r="M133"/>
    </row>
    <row r="134" spans="10:13" x14ac:dyDescent="0.25">
      <c r="J134"/>
      <c r="K134"/>
      <c r="L134"/>
      <c r="M134"/>
    </row>
    <row r="135" spans="10:13" x14ac:dyDescent="0.25">
      <c r="J135"/>
      <c r="K135"/>
      <c r="L135"/>
      <c r="M135"/>
    </row>
    <row r="136" spans="10:13" x14ac:dyDescent="0.25">
      <c r="J136"/>
      <c r="K136"/>
      <c r="L136"/>
      <c r="M136"/>
    </row>
    <row r="137" spans="10:13" x14ac:dyDescent="0.25">
      <c r="J137"/>
      <c r="K137"/>
      <c r="L137"/>
      <c r="M137"/>
    </row>
    <row r="138" spans="10:13" x14ac:dyDescent="0.25">
      <c r="J138"/>
      <c r="K138"/>
      <c r="L138"/>
      <c r="M138"/>
    </row>
    <row r="139" spans="10:13" x14ac:dyDescent="0.25">
      <c r="J139"/>
      <c r="K139"/>
      <c r="L139"/>
      <c r="M139"/>
    </row>
    <row r="140" spans="10:13" x14ac:dyDescent="0.25">
      <c r="J140"/>
      <c r="K140"/>
      <c r="L140"/>
      <c r="M140"/>
    </row>
    <row r="141" spans="10:13" x14ac:dyDescent="0.25">
      <c r="J141"/>
      <c r="K141"/>
      <c r="L141"/>
      <c r="M141"/>
    </row>
    <row r="142" spans="10:13" x14ac:dyDescent="0.25">
      <c r="J142"/>
      <c r="K142"/>
      <c r="L142"/>
      <c r="M142"/>
    </row>
    <row r="143" spans="10:13" x14ac:dyDescent="0.25">
      <c r="J143"/>
      <c r="K143"/>
      <c r="L143"/>
      <c r="M143"/>
    </row>
    <row r="144" spans="10:13" x14ac:dyDescent="0.25">
      <c r="J144"/>
      <c r="K144"/>
      <c r="L144"/>
      <c r="M144"/>
    </row>
    <row r="145" spans="10:13" x14ac:dyDescent="0.25">
      <c r="J145"/>
      <c r="K145"/>
      <c r="L145"/>
      <c r="M145"/>
    </row>
    <row r="146" spans="10:13" x14ac:dyDescent="0.25">
      <c r="J146"/>
      <c r="K146"/>
      <c r="L146"/>
      <c r="M146"/>
    </row>
    <row r="147" spans="10:13" x14ac:dyDescent="0.25">
      <c r="J147"/>
      <c r="K147"/>
      <c r="L147"/>
      <c r="M147"/>
    </row>
    <row r="148" spans="10:13" x14ac:dyDescent="0.25">
      <c r="J148"/>
      <c r="K148"/>
      <c r="L148"/>
      <c r="M148"/>
    </row>
    <row r="149" spans="10:13" x14ac:dyDescent="0.25">
      <c r="J149"/>
      <c r="K149"/>
      <c r="L149"/>
      <c r="M149"/>
    </row>
    <row r="150" spans="10:13" x14ac:dyDescent="0.25">
      <c r="J150"/>
      <c r="K150"/>
      <c r="L150"/>
      <c r="M150"/>
    </row>
    <row r="151" spans="10:13" x14ac:dyDescent="0.25">
      <c r="J151"/>
      <c r="K151"/>
      <c r="L151"/>
      <c r="M151"/>
    </row>
    <row r="152" spans="10:13" x14ac:dyDescent="0.25">
      <c r="J152"/>
      <c r="K152"/>
      <c r="L152"/>
      <c r="M152"/>
    </row>
    <row r="153" spans="10:13" x14ac:dyDescent="0.25">
      <c r="J153"/>
      <c r="K153"/>
      <c r="L153"/>
      <c r="M153"/>
    </row>
    <row r="154" spans="10:13" x14ac:dyDescent="0.25">
      <c r="J154"/>
      <c r="K154"/>
      <c r="L154"/>
      <c r="M154"/>
    </row>
    <row r="155" spans="10:13" x14ac:dyDescent="0.25">
      <c r="J155"/>
      <c r="K155"/>
      <c r="L155"/>
      <c r="M155"/>
    </row>
    <row r="156" spans="10:13" x14ac:dyDescent="0.25">
      <c r="J156"/>
      <c r="K156"/>
      <c r="L156"/>
      <c r="M156"/>
    </row>
    <row r="157" spans="10:13" x14ac:dyDescent="0.25">
      <c r="J157"/>
      <c r="K157"/>
      <c r="L157"/>
      <c r="M157"/>
    </row>
    <row r="158" spans="10:13" x14ac:dyDescent="0.25">
      <c r="J158"/>
      <c r="K158"/>
      <c r="L158"/>
      <c r="M158"/>
    </row>
    <row r="159" spans="10:13" x14ac:dyDescent="0.25">
      <c r="J159"/>
      <c r="K159"/>
      <c r="L159"/>
      <c r="M159"/>
    </row>
    <row r="160" spans="10:13" x14ac:dyDescent="0.25">
      <c r="J160"/>
      <c r="K160"/>
      <c r="L160"/>
      <c r="M160"/>
    </row>
    <row r="161" spans="10:13" x14ac:dyDescent="0.25">
      <c r="J161"/>
      <c r="K161"/>
      <c r="L161"/>
      <c r="M161"/>
    </row>
    <row r="162" spans="10:13" x14ac:dyDescent="0.25">
      <c r="J162"/>
      <c r="K162"/>
      <c r="L162"/>
      <c r="M162"/>
    </row>
    <row r="163" spans="10:13" x14ac:dyDescent="0.25">
      <c r="J163"/>
      <c r="K163"/>
      <c r="L163"/>
      <c r="M163"/>
    </row>
    <row r="164" spans="10:13" x14ac:dyDescent="0.25">
      <c r="J164"/>
      <c r="K164"/>
      <c r="L164"/>
      <c r="M164"/>
    </row>
    <row r="165" spans="10:13" x14ac:dyDescent="0.25">
      <c r="J165"/>
      <c r="K165"/>
      <c r="L165"/>
      <c r="M165"/>
    </row>
    <row r="166" spans="10:13" x14ac:dyDescent="0.25">
      <c r="J166"/>
      <c r="K166"/>
      <c r="L166"/>
      <c r="M166"/>
    </row>
    <row r="167" spans="10:13" x14ac:dyDescent="0.25">
      <c r="J167"/>
      <c r="K167"/>
      <c r="L167"/>
      <c r="M167"/>
    </row>
    <row r="168" spans="10:13" x14ac:dyDescent="0.25">
      <c r="J168"/>
      <c r="K168"/>
      <c r="L168"/>
      <c r="M168"/>
    </row>
    <row r="169" spans="10:13" x14ac:dyDescent="0.25">
      <c r="J169"/>
      <c r="K169"/>
      <c r="L169"/>
      <c r="M169"/>
    </row>
    <row r="170" spans="10:13" x14ac:dyDescent="0.25">
      <c r="J170"/>
      <c r="K170"/>
      <c r="L170"/>
      <c r="M170"/>
    </row>
    <row r="171" spans="10:13" x14ac:dyDescent="0.25">
      <c r="J171"/>
      <c r="K171"/>
      <c r="L171"/>
      <c r="M171"/>
    </row>
    <row r="172" spans="10:13" x14ac:dyDescent="0.25">
      <c r="J172"/>
      <c r="K172"/>
      <c r="L172"/>
      <c r="M172"/>
    </row>
    <row r="173" spans="10:13" x14ac:dyDescent="0.25">
      <c r="J173"/>
      <c r="K173"/>
      <c r="L173"/>
      <c r="M173"/>
    </row>
    <row r="174" spans="10:13" x14ac:dyDescent="0.25">
      <c r="J174"/>
      <c r="K174"/>
      <c r="L174"/>
      <c r="M174"/>
    </row>
    <row r="175" spans="10:13" x14ac:dyDescent="0.25">
      <c r="J175"/>
      <c r="K175"/>
      <c r="L175"/>
      <c r="M175"/>
    </row>
    <row r="176" spans="10:13" x14ac:dyDescent="0.25">
      <c r="J176"/>
      <c r="K176"/>
      <c r="L176"/>
      <c r="M176"/>
    </row>
    <row r="177" spans="10:13" x14ac:dyDescent="0.25">
      <c r="J177"/>
      <c r="K177"/>
      <c r="L177"/>
      <c r="M177"/>
    </row>
    <row r="178" spans="10:13" x14ac:dyDescent="0.25">
      <c r="J178"/>
      <c r="K178"/>
      <c r="L178"/>
      <c r="M178"/>
    </row>
    <row r="179" spans="10:13" x14ac:dyDescent="0.25">
      <c r="J179"/>
      <c r="K179"/>
      <c r="L179"/>
      <c r="M179"/>
    </row>
    <row r="180" spans="10:13" x14ac:dyDescent="0.25">
      <c r="J180"/>
      <c r="K180"/>
      <c r="L180"/>
      <c r="M180"/>
    </row>
    <row r="181" spans="10:13" x14ac:dyDescent="0.25">
      <c r="J181"/>
      <c r="K181"/>
      <c r="L181"/>
      <c r="M181"/>
    </row>
    <row r="182" spans="10:13" x14ac:dyDescent="0.25">
      <c r="J182"/>
      <c r="K182"/>
      <c r="L182"/>
      <c r="M182"/>
    </row>
    <row r="183" spans="10:13" x14ac:dyDescent="0.25">
      <c r="J183"/>
      <c r="K183"/>
      <c r="L183"/>
      <c r="M183"/>
    </row>
    <row r="184" spans="10:13" x14ac:dyDescent="0.25">
      <c r="J184"/>
      <c r="K184"/>
      <c r="L184"/>
      <c r="M184"/>
    </row>
    <row r="185" spans="10:13" x14ac:dyDescent="0.25">
      <c r="J185"/>
      <c r="K185"/>
      <c r="L185"/>
      <c r="M185"/>
    </row>
    <row r="186" spans="10:13" x14ac:dyDescent="0.25">
      <c r="J186"/>
      <c r="K186"/>
      <c r="L186"/>
      <c r="M186"/>
    </row>
    <row r="187" spans="10:13" x14ac:dyDescent="0.25">
      <c r="J187"/>
      <c r="K187"/>
      <c r="L187"/>
      <c r="M187"/>
    </row>
    <row r="188" spans="10:13" x14ac:dyDescent="0.25">
      <c r="J188"/>
      <c r="K188"/>
      <c r="L188"/>
      <c r="M188"/>
    </row>
    <row r="189" spans="10:13" x14ac:dyDescent="0.25">
      <c r="J189"/>
      <c r="K189"/>
      <c r="L189"/>
      <c r="M189"/>
    </row>
    <row r="190" spans="10:13" x14ac:dyDescent="0.25">
      <c r="J190"/>
      <c r="K190"/>
      <c r="L190"/>
      <c r="M190"/>
    </row>
    <row r="191" spans="10:13" x14ac:dyDescent="0.25">
      <c r="J191"/>
      <c r="K191"/>
      <c r="L191"/>
      <c r="M191"/>
    </row>
    <row r="192" spans="10:13" x14ac:dyDescent="0.25">
      <c r="J192"/>
      <c r="K192"/>
      <c r="L192"/>
      <c r="M192"/>
    </row>
    <row r="193" spans="10:13" x14ac:dyDescent="0.25">
      <c r="J193"/>
      <c r="K193"/>
      <c r="L193"/>
      <c r="M193"/>
    </row>
    <row r="194" spans="10:13" x14ac:dyDescent="0.25">
      <c r="J194"/>
      <c r="K194"/>
      <c r="L194"/>
      <c r="M194"/>
    </row>
    <row r="195" spans="10:13" x14ac:dyDescent="0.25">
      <c r="J195"/>
      <c r="K195"/>
      <c r="L195"/>
      <c r="M195"/>
    </row>
    <row r="196" spans="10:13" x14ac:dyDescent="0.25">
      <c r="J196"/>
      <c r="K196"/>
      <c r="L196"/>
      <c r="M196"/>
    </row>
    <row r="197" spans="10:13" x14ac:dyDescent="0.25">
      <c r="J197"/>
      <c r="K197"/>
      <c r="L197"/>
      <c r="M197"/>
    </row>
    <row r="198" spans="10:13" x14ac:dyDescent="0.25">
      <c r="J198"/>
      <c r="K198"/>
      <c r="L198"/>
      <c r="M198"/>
    </row>
    <row r="199" spans="10:13" x14ac:dyDescent="0.25">
      <c r="J199"/>
      <c r="K199"/>
      <c r="L199"/>
      <c r="M199"/>
    </row>
    <row r="200" spans="10:13" x14ac:dyDescent="0.25">
      <c r="J200"/>
      <c r="K200"/>
      <c r="L200"/>
      <c r="M200"/>
    </row>
    <row r="201" spans="10:13" x14ac:dyDescent="0.25">
      <c r="J201"/>
      <c r="K201"/>
      <c r="L201"/>
      <c r="M201"/>
    </row>
    <row r="202" spans="10:13" x14ac:dyDescent="0.25">
      <c r="J202"/>
      <c r="K202"/>
      <c r="L202"/>
      <c r="M202"/>
    </row>
    <row r="203" spans="10:13" x14ac:dyDescent="0.25">
      <c r="J203"/>
      <c r="K203"/>
      <c r="L203"/>
      <c r="M203"/>
    </row>
    <row r="204" spans="10:13" x14ac:dyDescent="0.25">
      <c r="J204"/>
      <c r="K204"/>
      <c r="L204"/>
      <c r="M204"/>
    </row>
    <row r="205" spans="10:13" x14ac:dyDescent="0.25">
      <c r="J205"/>
      <c r="K205"/>
      <c r="L205"/>
      <c r="M205"/>
    </row>
    <row r="206" spans="10:13" x14ac:dyDescent="0.25">
      <c r="J206"/>
      <c r="K206"/>
      <c r="L206"/>
      <c r="M206"/>
    </row>
    <row r="207" spans="10:13" x14ac:dyDescent="0.25">
      <c r="J207"/>
      <c r="K207"/>
      <c r="L207"/>
      <c r="M207"/>
    </row>
    <row r="208" spans="10:13" x14ac:dyDescent="0.25">
      <c r="J208"/>
      <c r="K208"/>
      <c r="L208"/>
      <c r="M208"/>
    </row>
    <row r="209" spans="10:13" x14ac:dyDescent="0.25">
      <c r="J209"/>
      <c r="K209"/>
      <c r="L209"/>
      <c r="M209"/>
    </row>
    <row r="210" spans="10:13" x14ac:dyDescent="0.25">
      <c r="J210"/>
      <c r="K210"/>
      <c r="L210"/>
      <c r="M210"/>
    </row>
    <row r="211" spans="10:13" x14ac:dyDescent="0.25">
      <c r="J211"/>
      <c r="K211"/>
      <c r="L211"/>
      <c r="M211"/>
    </row>
    <row r="212" spans="10:13" x14ac:dyDescent="0.25">
      <c r="J212"/>
      <c r="K212"/>
      <c r="L212"/>
      <c r="M212"/>
    </row>
    <row r="213" spans="10:13" x14ac:dyDescent="0.25">
      <c r="J213"/>
      <c r="K213"/>
      <c r="L213"/>
      <c r="M213"/>
    </row>
    <row r="214" spans="10:13" x14ac:dyDescent="0.25">
      <c r="J214"/>
      <c r="K214"/>
      <c r="L214"/>
      <c r="M214"/>
    </row>
    <row r="215" spans="10:13" x14ac:dyDescent="0.25">
      <c r="J215"/>
      <c r="K215"/>
      <c r="L215"/>
      <c r="M215"/>
    </row>
    <row r="216" spans="10:13" x14ac:dyDescent="0.25">
      <c r="J216"/>
      <c r="K216"/>
      <c r="L216"/>
      <c r="M216"/>
    </row>
    <row r="217" spans="10:13" x14ac:dyDescent="0.25">
      <c r="J217"/>
      <c r="K217"/>
      <c r="L217"/>
      <c r="M217"/>
    </row>
    <row r="218" spans="10:13" x14ac:dyDescent="0.25">
      <c r="J218"/>
      <c r="K218"/>
      <c r="L218"/>
      <c r="M218"/>
    </row>
    <row r="219" spans="10:13" x14ac:dyDescent="0.25">
      <c r="J219"/>
      <c r="K219"/>
      <c r="L219"/>
      <c r="M219"/>
    </row>
    <row r="220" spans="10:13" x14ac:dyDescent="0.25">
      <c r="J220"/>
      <c r="K220"/>
      <c r="L220"/>
      <c r="M220"/>
    </row>
    <row r="221" spans="10:13" x14ac:dyDescent="0.25">
      <c r="J221"/>
      <c r="K221"/>
      <c r="L221"/>
      <c r="M221"/>
    </row>
    <row r="222" spans="10:13" x14ac:dyDescent="0.25">
      <c r="J222"/>
      <c r="K222"/>
      <c r="L222"/>
      <c r="M222"/>
    </row>
    <row r="223" spans="10:13" x14ac:dyDescent="0.25">
      <c r="J223"/>
      <c r="K223"/>
      <c r="L223"/>
      <c r="M223"/>
    </row>
    <row r="224" spans="10:13" x14ac:dyDescent="0.25">
      <c r="J224"/>
      <c r="K224"/>
      <c r="L224"/>
      <c r="M224"/>
    </row>
    <row r="225" spans="10:13" x14ac:dyDescent="0.25">
      <c r="J225"/>
      <c r="K225"/>
      <c r="L225"/>
      <c r="M225"/>
    </row>
    <row r="226" spans="10:13" x14ac:dyDescent="0.25">
      <c r="J226"/>
      <c r="K226"/>
      <c r="L226"/>
      <c r="M226"/>
    </row>
    <row r="227" spans="10:13" x14ac:dyDescent="0.25">
      <c r="J227"/>
      <c r="K227"/>
      <c r="L227"/>
      <c r="M227"/>
    </row>
    <row r="228" spans="10:13" x14ac:dyDescent="0.25">
      <c r="J228"/>
      <c r="K228"/>
      <c r="L228"/>
      <c r="M228"/>
    </row>
    <row r="229" spans="10:13" x14ac:dyDescent="0.25">
      <c r="J229"/>
      <c r="K229"/>
      <c r="L229"/>
      <c r="M229"/>
    </row>
    <row r="230" spans="10:13" x14ac:dyDescent="0.25">
      <c r="J230"/>
      <c r="K230"/>
      <c r="L230"/>
      <c r="M230"/>
    </row>
    <row r="231" spans="10:13" x14ac:dyDescent="0.25">
      <c r="J231"/>
      <c r="K231"/>
      <c r="L231"/>
      <c r="M231"/>
    </row>
    <row r="232" spans="10:13" x14ac:dyDescent="0.25">
      <c r="J232"/>
      <c r="K232"/>
      <c r="L232"/>
      <c r="M232"/>
    </row>
    <row r="233" spans="10:13" x14ac:dyDescent="0.25">
      <c r="J233"/>
      <c r="K233"/>
      <c r="L233"/>
      <c r="M233"/>
    </row>
    <row r="234" spans="10:13" x14ac:dyDescent="0.25">
      <c r="J234"/>
      <c r="K234"/>
      <c r="L234"/>
      <c r="M234"/>
    </row>
    <row r="235" spans="10:13" x14ac:dyDescent="0.25">
      <c r="J235"/>
      <c r="K235"/>
      <c r="L235"/>
      <c r="M235"/>
    </row>
    <row r="236" spans="10:13" x14ac:dyDescent="0.25">
      <c r="J236"/>
      <c r="K236"/>
      <c r="L236"/>
      <c r="M236"/>
    </row>
    <row r="237" spans="10:13" x14ac:dyDescent="0.25">
      <c r="J237"/>
      <c r="K237"/>
      <c r="L237"/>
      <c r="M237"/>
    </row>
    <row r="238" spans="10:13" x14ac:dyDescent="0.25">
      <c r="J238"/>
      <c r="K238"/>
      <c r="L238"/>
      <c r="M238"/>
    </row>
    <row r="239" spans="10:13" x14ac:dyDescent="0.25">
      <c r="J239"/>
      <c r="K239"/>
      <c r="L239"/>
      <c r="M239"/>
    </row>
    <row r="240" spans="10:13" x14ac:dyDescent="0.25">
      <c r="J240"/>
      <c r="K240"/>
      <c r="L240"/>
      <c r="M240"/>
    </row>
    <row r="241" spans="10:13" x14ac:dyDescent="0.25">
      <c r="J241"/>
      <c r="K241"/>
      <c r="L241"/>
      <c r="M241"/>
    </row>
    <row r="242" spans="10:13" x14ac:dyDescent="0.25">
      <c r="J242"/>
      <c r="K242"/>
      <c r="L242"/>
      <c r="M242"/>
    </row>
    <row r="243" spans="10:13" x14ac:dyDescent="0.25">
      <c r="J243"/>
      <c r="K243"/>
      <c r="L243"/>
      <c r="M243"/>
    </row>
    <row r="244" spans="10:13" x14ac:dyDescent="0.25">
      <c r="J244"/>
      <c r="K244"/>
      <c r="L244"/>
      <c r="M244"/>
    </row>
    <row r="245" spans="10:13" x14ac:dyDescent="0.25">
      <c r="J245"/>
      <c r="K245"/>
      <c r="L245"/>
      <c r="M245"/>
    </row>
    <row r="246" spans="10:13" x14ac:dyDescent="0.25">
      <c r="J246"/>
      <c r="K246"/>
      <c r="L246"/>
      <c r="M246"/>
    </row>
    <row r="247" spans="10:13" x14ac:dyDescent="0.25">
      <c r="J247"/>
      <c r="K247"/>
      <c r="L247"/>
      <c r="M247"/>
    </row>
    <row r="248" spans="10:13" x14ac:dyDescent="0.25">
      <c r="J248"/>
      <c r="K248"/>
      <c r="L248"/>
      <c r="M248"/>
    </row>
    <row r="249" spans="10:13" x14ac:dyDescent="0.25">
      <c r="J249"/>
      <c r="K249"/>
      <c r="L249"/>
      <c r="M249"/>
    </row>
    <row r="250" spans="10:13" x14ac:dyDescent="0.25">
      <c r="J250"/>
      <c r="K250"/>
      <c r="L250"/>
      <c r="M250"/>
    </row>
    <row r="251" spans="10:13" x14ac:dyDescent="0.25">
      <c r="J251"/>
      <c r="K251"/>
      <c r="L251"/>
      <c r="M251"/>
    </row>
    <row r="252" spans="10:13" x14ac:dyDescent="0.25">
      <c r="J252"/>
      <c r="K252"/>
      <c r="L252"/>
      <c r="M252"/>
    </row>
    <row r="253" spans="10:13" x14ac:dyDescent="0.25">
      <c r="J253"/>
      <c r="K253"/>
      <c r="L253"/>
      <c r="M253"/>
    </row>
    <row r="254" spans="10:13" x14ac:dyDescent="0.25">
      <c r="J254"/>
      <c r="K254"/>
      <c r="L254"/>
      <c r="M254"/>
    </row>
    <row r="255" spans="10:13" x14ac:dyDescent="0.25">
      <c r="J255"/>
      <c r="K255"/>
      <c r="L255"/>
      <c r="M255"/>
    </row>
    <row r="256" spans="10:13" x14ac:dyDescent="0.25">
      <c r="J256"/>
      <c r="K256"/>
      <c r="L256"/>
      <c r="M256"/>
    </row>
    <row r="257" spans="10:13" x14ac:dyDescent="0.25">
      <c r="J257"/>
      <c r="K257"/>
      <c r="L257"/>
      <c r="M257"/>
    </row>
    <row r="258" spans="10:13" x14ac:dyDescent="0.25">
      <c r="J258"/>
      <c r="K258"/>
      <c r="L258"/>
      <c r="M258"/>
    </row>
    <row r="259" spans="10:13" x14ac:dyDescent="0.25">
      <c r="J259"/>
      <c r="K259"/>
      <c r="L259"/>
      <c r="M259"/>
    </row>
    <row r="260" spans="10:13" x14ac:dyDescent="0.25">
      <c r="J260"/>
      <c r="K260"/>
      <c r="L260"/>
      <c r="M260"/>
    </row>
    <row r="261" spans="10:13" x14ac:dyDescent="0.25">
      <c r="J261"/>
      <c r="K261"/>
      <c r="L261"/>
      <c r="M261"/>
    </row>
    <row r="262" spans="10:13" x14ac:dyDescent="0.25">
      <c r="J262"/>
      <c r="K262"/>
      <c r="L262"/>
      <c r="M262"/>
    </row>
    <row r="263" spans="10:13" x14ac:dyDescent="0.25">
      <c r="J263"/>
      <c r="K263"/>
      <c r="L263"/>
      <c r="M263"/>
    </row>
    <row r="264" spans="10:13" x14ac:dyDescent="0.25">
      <c r="J264"/>
      <c r="K264"/>
      <c r="L264"/>
      <c r="M264"/>
    </row>
    <row r="265" spans="10:13" x14ac:dyDescent="0.25">
      <c r="J265"/>
      <c r="K265"/>
      <c r="L265"/>
      <c r="M265"/>
    </row>
    <row r="266" spans="10:13" x14ac:dyDescent="0.25">
      <c r="J266"/>
      <c r="K266"/>
      <c r="L266"/>
      <c r="M266"/>
    </row>
    <row r="267" spans="10:13" x14ac:dyDescent="0.25">
      <c r="J267"/>
      <c r="K267"/>
      <c r="L267"/>
      <c r="M267"/>
    </row>
    <row r="268" spans="10:13" x14ac:dyDescent="0.25">
      <c r="J268"/>
      <c r="K268"/>
      <c r="L268"/>
      <c r="M268"/>
    </row>
    <row r="269" spans="10:13" x14ac:dyDescent="0.25">
      <c r="J269"/>
      <c r="K269"/>
      <c r="L269"/>
      <c r="M269"/>
    </row>
    <row r="270" spans="10:13" x14ac:dyDescent="0.25">
      <c r="J270"/>
      <c r="K270"/>
      <c r="L270"/>
      <c r="M270"/>
    </row>
    <row r="271" spans="10:13" x14ac:dyDescent="0.25">
      <c r="J271"/>
      <c r="K271"/>
      <c r="L271"/>
      <c r="M271"/>
    </row>
    <row r="272" spans="10:13" x14ac:dyDescent="0.25">
      <c r="J272"/>
      <c r="K272"/>
      <c r="L272"/>
      <c r="M272"/>
    </row>
    <row r="273" spans="10:13" x14ac:dyDescent="0.25">
      <c r="J273"/>
      <c r="K273"/>
      <c r="L273"/>
      <c r="M273"/>
    </row>
    <row r="274" spans="10:13" x14ac:dyDescent="0.25">
      <c r="J274"/>
      <c r="K274"/>
      <c r="L274"/>
      <c r="M274"/>
    </row>
    <row r="275" spans="10:13" x14ac:dyDescent="0.25">
      <c r="J275"/>
      <c r="K275"/>
      <c r="L275"/>
      <c r="M275"/>
    </row>
    <row r="276" spans="10:13" x14ac:dyDescent="0.25">
      <c r="J276"/>
      <c r="K276"/>
      <c r="L276"/>
      <c r="M276"/>
    </row>
    <row r="277" spans="10:13" x14ac:dyDescent="0.25">
      <c r="J277"/>
      <c r="K277"/>
      <c r="L277"/>
      <c r="M277"/>
    </row>
    <row r="278" spans="10:13" x14ac:dyDescent="0.25">
      <c r="J278"/>
      <c r="K278"/>
      <c r="L278"/>
      <c r="M278"/>
    </row>
    <row r="279" spans="10:13" x14ac:dyDescent="0.25">
      <c r="J279"/>
      <c r="K279"/>
      <c r="L279"/>
      <c r="M279"/>
    </row>
    <row r="280" spans="10:13" x14ac:dyDescent="0.25">
      <c r="J280"/>
      <c r="K280"/>
      <c r="L280"/>
      <c r="M280"/>
    </row>
    <row r="281" spans="10:13" x14ac:dyDescent="0.25">
      <c r="J281"/>
      <c r="K281"/>
      <c r="L281"/>
      <c r="M281"/>
    </row>
    <row r="282" spans="10:13" x14ac:dyDescent="0.25">
      <c r="J282"/>
      <c r="K282"/>
      <c r="L282"/>
      <c r="M282"/>
    </row>
    <row r="283" spans="10:13" x14ac:dyDescent="0.25">
      <c r="J283"/>
      <c r="K283"/>
      <c r="L283"/>
      <c r="M283"/>
    </row>
    <row r="284" spans="10:13" x14ac:dyDescent="0.25">
      <c r="J284"/>
      <c r="K284"/>
      <c r="L284"/>
      <c r="M284"/>
    </row>
    <row r="285" spans="10:13" x14ac:dyDescent="0.25">
      <c r="J285"/>
      <c r="K285"/>
      <c r="L285"/>
      <c r="M285"/>
    </row>
    <row r="286" spans="10:13" x14ac:dyDescent="0.25">
      <c r="J286"/>
      <c r="K286"/>
      <c r="L286"/>
      <c r="M286"/>
    </row>
    <row r="287" spans="10:13" x14ac:dyDescent="0.25">
      <c r="J287"/>
      <c r="K287"/>
      <c r="L287"/>
      <c r="M287"/>
    </row>
    <row r="288" spans="10:13" x14ac:dyDescent="0.25">
      <c r="J288"/>
      <c r="K288"/>
      <c r="L288"/>
      <c r="M288"/>
    </row>
    <row r="289" spans="10:13" x14ac:dyDescent="0.25">
      <c r="J289"/>
      <c r="K289"/>
      <c r="L289"/>
      <c r="M289"/>
    </row>
    <row r="290" spans="10:13" x14ac:dyDescent="0.25">
      <c r="J290"/>
      <c r="K290"/>
      <c r="L290"/>
      <c r="M290"/>
    </row>
    <row r="291" spans="10:13" x14ac:dyDescent="0.25">
      <c r="J291"/>
      <c r="K291"/>
      <c r="L291"/>
      <c r="M291"/>
    </row>
    <row r="292" spans="10:13" x14ac:dyDescent="0.25">
      <c r="J292"/>
      <c r="K292"/>
      <c r="L292"/>
      <c r="M292"/>
    </row>
    <row r="293" spans="10:13" x14ac:dyDescent="0.25">
      <c r="J293"/>
      <c r="K293"/>
      <c r="L293"/>
      <c r="M293"/>
    </row>
    <row r="294" spans="10:13" x14ac:dyDescent="0.25">
      <c r="J294"/>
      <c r="K294"/>
      <c r="L294"/>
      <c r="M294"/>
    </row>
    <row r="295" spans="10:13" x14ac:dyDescent="0.25">
      <c r="J295"/>
      <c r="K295"/>
      <c r="L295"/>
      <c r="M295"/>
    </row>
    <row r="296" spans="10:13" x14ac:dyDescent="0.25">
      <c r="J296"/>
      <c r="K296"/>
      <c r="L296"/>
      <c r="M296"/>
    </row>
    <row r="297" spans="10:13" x14ac:dyDescent="0.25">
      <c r="J297"/>
      <c r="K297"/>
      <c r="L297"/>
      <c r="M297"/>
    </row>
    <row r="298" spans="10:13" x14ac:dyDescent="0.25">
      <c r="J298"/>
      <c r="K298"/>
      <c r="L298"/>
      <c r="M298"/>
    </row>
    <row r="299" spans="10:13" x14ac:dyDescent="0.25">
      <c r="J299"/>
      <c r="K299"/>
      <c r="L299"/>
      <c r="M299"/>
    </row>
    <row r="300" spans="10:13" x14ac:dyDescent="0.25">
      <c r="J300"/>
      <c r="K300"/>
      <c r="L300"/>
      <c r="M300"/>
    </row>
    <row r="301" spans="10:13" x14ac:dyDescent="0.25">
      <c r="J301"/>
      <c r="K301"/>
      <c r="L301"/>
      <c r="M301"/>
    </row>
    <row r="302" spans="10:13" x14ac:dyDescent="0.25">
      <c r="J302"/>
      <c r="K302"/>
      <c r="L302"/>
      <c r="M302"/>
    </row>
    <row r="303" spans="10:13" x14ac:dyDescent="0.25">
      <c r="J303"/>
      <c r="K303"/>
      <c r="L303"/>
      <c r="M303"/>
    </row>
    <row r="304" spans="10:13" x14ac:dyDescent="0.25">
      <c r="J304"/>
      <c r="K304"/>
      <c r="L304"/>
      <c r="M304"/>
    </row>
    <row r="305" spans="10:13" x14ac:dyDescent="0.25">
      <c r="J305"/>
      <c r="K305"/>
      <c r="L305"/>
      <c r="M305"/>
    </row>
    <row r="306" spans="10:13" x14ac:dyDescent="0.25">
      <c r="J306"/>
      <c r="K306"/>
      <c r="L306"/>
      <c r="M306"/>
    </row>
    <row r="307" spans="10:13" x14ac:dyDescent="0.25">
      <c r="J307"/>
      <c r="K307"/>
      <c r="L307"/>
      <c r="M307"/>
    </row>
    <row r="308" spans="10:13" x14ac:dyDescent="0.25">
      <c r="J308"/>
      <c r="K308"/>
      <c r="L308"/>
      <c r="M308"/>
    </row>
    <row r="309" spans="10:13" x14ac:dyDescent="0.25">
      <c r="J309"/>
      <c r="K309"/>
      <c r="L309"/>
      <c r="M309"/>
    </row>
    <row r="310" spans="10:13" x14ac:dyDescent="0.25">
      <c r="J310"/>
      <c r="K310"/>
      <c r="L310"/>
      <c r="M310"/>
    </row>
    <row r="311" spans="10:13" x14ac:dyDescent="0.25">
      <c r="J311"/>
      <c r="K311"/>
      <c r="L311"/>
      <c r="M311"/>
    </row>
    <row r="312" spans="10:13" x14ac:dyDescent="0.25">
      <c r="J312"/>
      <c r="K312"/>
      <c r="L312"/>
      <c r="M312"/>
    </row>
    <row r="313" spans="10:13" x14ac:dyDescent="0.25">
      <c r="J313"/>
      <c r="K313"/>
      <c r="L313"/>
      <c r="M313"/>
    </row>
    <row r="314" spans="10:13" x14ac:dyDescent="0.25">
      <c r="J314"/>
      <c r="K314"/>
      <c r="L314"/>
      <c r="M314"/>
    </row>
    <row r="315" spans="10:13" x14ac:dyDescent="0.25">
      <c r="J315"/>
      <c r="K315"/>
      <c r="L315"/>
      <c r="M315"/>
    </row>
    <row r="316" spans="10:13" x14ac:dyDescent="0.25">
      <c r="J316"/>
      <c r="K316"/>
      <c r="L316"/>
      <c r="M316"/>
    </row>
    <row r="317" spans="10:13" x14ac:dyDescent="0.25">
      <c r="J317"/>
      <c r="K317"/>
      <c r="L317"/>
      <c r="M317"/>
    </row>
    <row r="318" spans="10:13" x14ac:dyDescent="0.25">
      <c r="J318"/>
      <c r="K318"/>
      <c r="L318"/>
      <c r="M318"/>
    </row>
    <row r="319" spans="10:13" x14ac:dyDescent="0.25">
      <c r="J319"/>
      <c r="K319"/>
      <c r="L319"/>
      <c r="M319"/>
    </row>
    <row r="320" spans="10:13" x14ac:dyDescent="0.25">
      <c r="J320"/>
      <c r="K320"/>
      <c r="L320"/>
      <c r="M320"/>
    </row>
    <row r="321" spans="10:13" x14ac:dyDescent="0.25">
      <c r="J321"/>
      <c r="K321"/>
      <c r="L321"/>
      <c r="M321"/>
    </row>
    <row r="322" spans="10:13" x14ac:dyDescent="0.25">
      <c r="J322"/>
      <c r="K322"/>
      <c r="L322"/>
      <c r="M322"/>
    </row>
    <row r="323" spans="10:13" x14ac:dyDescent="0.25">
      <c r="J323"/>
      <c r="K323"/>
      <c r="L323"/>
      <c r="M323"/>
    </row>
    <row r="324" spans="10:13" x14ac:dyDescent="0.25">
      <c r="J324"/>
      <c r="K324"/>
      <c r="L324"/>
      <c r="M324"/>
    </row>
    <row r="325" spans="10:13" x14ac:dyDescent="0.25">
      <c r="J325"/>
      <c r="K325"/>
      <c r="L325"/>
      <c r="M325"/>
    </row>
    <row r="326" spans="10:13" x14ac:dyDescent="0.25">
      <c r="J326"/>
      <c r="K326"/>
      <c r="L326"/>
      <c r="M326"/>
    </row>
    <row r="327" spans="10:13" x14ac:dyDescent="0.25">
      <c r="J327"/>
      <c r="K327"/>
      <c r="L327"/>
      <c r="M327"/>
    </row>
    <row r="328" spans="10:13" x14ac:dyDescent="0.25">
      <c r="J328"/>
      <c r="K328"/>
      <c r="L328"/>
      <c r="M328"/>
    </row>
    <row r="329" spans="10:13" x14ac:dyDescent="0.25">
      <c r="J329"/>
      <c r="K329"/>
      <c r="L329"/>
      <c r="M329"/>
    </row>
    <row r="330" spans="10:13" x14ac:dyDescent="0.25">
      <c r="J330"/>
      <c r="K330"/>
      <c r="L330"/>
      <c r="M330"/>
    </row>
    <row r="331" spans="10:13" x14ac:dyDescent="0.25">
      <c r="J331"/>
      <c r="K331"/>
      <c r="L331"/>
      <c r="M331"/>
    </row>
    <row r="332" spans="10:13" x14ac:dyDescent="0.25">
      <c r="J332"/>
      <c r="K332"/>
      <c r="L332"/>
      <c r="M332"/>
    </row>
    <row r="333" spans="10:13" x14ac:dyDescent="0.25">
      <c r="J333"/>
      <c r="K333"/>
      <c r="L333"/>
      <c r="M333"/>
    </row>
    <row r="334" spans="10:13" x14ac:dyDescent="0.25">
      <c r="J334"/>
      <c r="K334"/>
      <c r="L334"/>
      <c r="M334"/>
    </row>
    <row r="335" spans="10:13" x14ac:dyDescent="0.25">
      <c r="J335"/>
      <c r="K335"/>
      <c r="L335"/>
      <c r="M335"/>
    </row>
    <row r="336" spans="10:13" x14ac:dyDescent="0.25">
      <c r="J336"/>
      <c r="K336"/>
      <c r="L336"/>
      <c r="M336"/>
    </row>
    <row r="337" spans="10:13" x14ac:dyDescent="0.25">
      <c r="J337"/>
      <c r="K337"/>
      <c r="L337"/>
      <c r="M337"/>
    </row>
    <row r="338" spans="10:13" x14ac:dyDescent="0.25">
      <c r="J338"/>
      <c r="K338"/>
      <c r="L338"/>
      <c r="M338"/>
    </row>
    <row r="339" spans="10:13" x14ac:dyDescent="0.25">
      <c r="J339"/>
      <c r="K339"/>
      <c r="L339"/>
      <c r="M339"/>
    </row>
    <row r="340" spans="10:13" x14ac:dyDescent="0.25">
      <c r="J340"/>
      <c r="K340"/>
      <c r="L340"/>
      <c r="M340"/>
    </row>
    <row r="341" spans="10:13" x14ac:dyDescent="0.25">
      <c r="J341"/>
      <c r="K341"/>
      <c r="L341"/>
      <c r="M341"/>
    </row>
    <row r="342" spans="10:13" x14ac:dyDescent="0.25">
      <c r="J342"/>
      <c r="K342"/>
      <c r="L342"/>
      <c r="M342"/>
    </row>
    <row r="343" spans="10:13" x14ac:dyDescent="0.25">
      <c r="J343"/>
      <c r="K343"/>
      <c r="L343"/>
      <c r="M343"/>
    </row>
    <row r="344" spans="10:13" x14ac:dyDescent="0.25">
      <c r="J344"/>
      <c r="K344"/>
      <c r="L344"/>
      <c r="M344"/>
    </row>
    <row r="345" spans="10:13" x14ac:dyDescent="0.25">
      <c r="J345"/>
      <c r="K345"/>
      <c r="L345"/>
      <c r="M345"/>
    </row>
    <row r="346" spans="10:13" x14ac:dyDescent="0.25">
      <c r="J346"/>
      <c r="K346"/>
      <c r="L346"/>
      <c r="M346"/>
    </row>
    <row r="347" spans="10:13" x14ac:dyDescent="0.25">
      <c r="J347"/>
      <c r="K347"/>
      <c r="L347"/>
      <c r="M347"/>
    </row>
    <row r="348" spans="10:13" x14ac:dyDescent="0.25">
      <c r="J348"/>
      <c r="K348"/>
      <c r="L348"/>
      <c r="M348"/>
    </row>
    <row r="349" spans="10:13" x14ac:dyDescent="0.25">
      <c r="J349"/>
      <c r="K349"/>
      <c r="L349"/>
      <c r="M349"/>
    </row>
    <row r="350" spans="10:13" x14ac:dyDescent="0.25">
      <c r="J350"/>
      <c r="K350"/>
      <c r="L350"/>
      <c r="M350"/>
    </row>
    <row r="351" spans="10:13" x14ac:dyDescent="0.25">
      <c r="J351"/>
      <c r="K351"/>
      <c r="L351"/>
      <c r="M351"/>
    </row>
    <row r="352" spans="10:13" x14ac:dyDescent="0.25">
      <c r="J352"/>
      <c r="K352"/>
      <c r="L352"/>
      <c r="M352"/>
    </row>
    <row r="353" spans="10:13" x14ac:dyDescent="0.25">
      <c r="J353"/>
      <c r="K353"/>
      <c r="L353"/>
      <c r="M353"/>
    </row>
    <row r="354" spans="10:13" x14ac:dyDescent="0.25">
      <c r="J354"/>
      <c r="K354"/>
      <c r="L354"/>
      <c r="M354"/>
    </row>
    <row r="355" spans="10:13" x14ac:dyDescent="0.25">
      <c r="J355"/>
      <c r="K355"/>
      <c r="L355"/>
      <c r="M355"/>
    </row>
    <row r="356" spans="10:13" x14ac:dyDescent="0.25">
      <c r="J356"/>
      <c r="K356"/>
      <c r="L356"/>
      <c r="M356"/>
    </row>
    <row r="357" spans="10:13" x14ac:dyDescent="0.25">
      <c r="J357"/>
      <c r="K357"/>
      <c r="L357"/>
      <c r="M357"/>
    </row>
    <row r="358" spans="10:13" x14ac:dyDescent="0.25">
      <c r="J358"/>
      <c r="K358"/>
      <c r="L358"/>
      <c r="M358"/>
    </row>
    <row r="359" spans="10:13" x14ac:dyDescent="0.25">
      <c r="J359"/>
      <c r="K359"/>
      <c r="L359"/>
      <c r="M359"/>
    </row>
    <row r="360" spans="10:13" x14ac:dyDescent="0.25">
      <c r="J360"/>
      <c r="K360"/>
      <c r="L360"/>
      <c r="M360"/>
    </row>
    <row r="361" spans="10:13" x14ac:dyDescent="0.25">
      <c r="J361"/>
      <c r="K361"/>
      <c r="L361"/>
      <c r="M361"/>
    </row>
    <row r="362" spans="10:13" x14ac:dyDescent="0.25">
      <c r="J362"/>
      <c r="K362"/>
      <c r="L362"/>
      <c r="M362"/>
    </row>
    <row r="363" spans="10:13" x14ac:dyDescent="0.25">
      <c r="J363"/>
      <c r="K363"/>
      <c r="L363"/>
      <c r="M363"/>
    </row>
    <row r="364" spans="10:13" x14ac:dyDescent="0.25">
      <c r="J364"/>
      <c r="K364"/>
      <c r="L364"/>
      <c r="M364"/>
    </row>
    <row r="365" spans="10:13" x14ac:dyDescent="0.25">
      <c r="J365"/>
      <c r="K365"/>
      <c r="L365"/>
      <c r="M365"/>
    </row>
    <row r="366" spans="10:13" x14ac:dyDescent="0.25">
      <c r="J366"/>
      <c r="K366"/>
      <c r="L366"/>
      <c r="M366"/>
    </row>
    <row r="367" spans="10:13" x14ac:dyDescent="0.25">
      <c r="J367"/>
      <c r="K367"/>
      <c r="L367"/>
      <c r="M367"/>
    </row>
    <row r="368" spans="10:13" x14ac:dyDescent="0.25">
      <c r="J368"/>
      <c r="K368"/>
      <c r="L368"/>
      <c r="M368"/>
    </row>
    <row r="369" spans="10:13" x14ac:dyDescent="0.25">
      <c r="J369"/>
      <c r="K369"/>
      <c r="L369"/>
      <c r="M369"/>
    </row>
    <row r="370" spans="10:13" x14ac:dyDescent="0.25">
      <c r="J370"/>
      <c r="K370"/>
      <c r="L370"/>
      <c r="M370"/>
    </row>
    <row r="371" spans="10:13" x14ac:dyDescent="0.25">
      <c r="J371"/>
      <c r="K371"/>
      <c r="L371"/>
      <c r="M371"/>
    </row>
    <row r="372" spans="10:13" x14ac:dyDescent="0.25">
      <c r="J372"/>
      <c r="K372"/>
      <c r="L372"/>
      <c r="M372"/>
    </row>
    <row r="373" spans="10:13" x14ac:dyDescent="0.25">
      <c r="J373"/>
      <c r="K373"/>
      <c r="L373"/>
      <c r="M373"/>
    </row>
    <row r="374" spans="10:13" x14ac:dyDescent="0.25">
      <c r="J374"/>
      <c r="K374"/>
      <c r="L374"/>
      <c r="M374"/>
    </row>
    <row r="375" spans="10:13" x14ac:dyDescent="0.25">
      <c r="J375"/>
      <c r="K375"/>
      <c r="L375"/>
      <c r="M375"/>
    </row>
    <row r="376" spans="10:13" x14ac:dyDescent="0.25">
      <c r="J376"/>
      <c r="K376"/>
      <c r="L376"/>
      <c r="M376"/>
    </row>
    <row r="377" spans="10:13" x14ac:dyDescent="0.25">
      <c r="J377"/>
      <c r="K377"/>
      <c r="L377"/>
      <c r="M377"/>
    </row>
    <row r="378" spans="10:13" x14ac:dyDescent="0.25">
      <c r="J378"/>
      <c r="K378"/>
      <c r="L378"/>
      <c r="M378"/>
    </row>
    <row r="379" spans="10:13" x14ac:dyDescent="0.25">
      <c r="J379"/>
      <c r="K379"/>
      <c r="L379"/>
      <c r="M379"/>
    </row>
    <row r="380" spans="10:13" x14ac:dyDescent="0.25">
      <c r="J380"/>
      <c r="K380"/>
      <c r="L380"/>
      <c r="M380"/>
    </row>
    <row r="381" spans="10:13" x14ac:dyDescent="0.25">
      <c r="J381"/>
      <c r="K381"/>
      <c r="L381"/>
      <c r="M381"/>
    </row>
    <row r="382" spans="10:13" x14ac:dyDescent="0.25">
      <c r="J382"/>
      <c r="K382"/>
      <c r="L382"/>
      <c r="M382"/>
    </row>
    <row r="383" spans="10:13" x14ac:dyDescent="0.25">
      <c r="J383"/>
      <c r="K383"/>
      <c r="L383"/>
      <c r="M383"/>
    </row>
    <row r="384" spans="10:13" x14ac:dyDescent="0.25">
      <c r="J384"/>
      <c r="K384"/>
      <c r="L384"/>
      <c r="M384"/>
    </row>
    <row r="385" spans="10:13" x14ac:dyDescent="0.25">
      <c r="J385"/>
      <c r="K385"/>
      <c r="L385"/>
      <c r="M385"/>
    </row>
    <row r="386" spans="10:13" x14ac:dyDescent="0.25">
      <c r="J386"/>
      <c r="K386"/>
      <c r="L386"/>
      <c r="M386"/>
    </row>
    <row r="387" spans="10:13" x14ac:dyDescent="0.25">
      <c r="J387"/>
      <c r="K387"/>
      <c r="L387"/>
      <c r="M387"/>
    </row>
    <row r="388" spans="10:13" x14ac:dyDescent="0.25">
      <c r="J388"/>
      <c r="K388"/>
      <c r="L388"/>
      <c r="M388"/>
    </row>
    <row r="389" spans="10:13" x14ac:dyDescent="0.25">
      <c r="J389"/>
      <c r="K389"/>
      <c r="L389"/>
      <c r="M389"/>
    </row>
    <row r="390" spans="10:13" x14ac:dyDescent="0.25">
      <c r="J390"/>
      <c r="K390"/>
      <c r="L390"/>
      <c r="M390"/>
    </row>
    <row r="391" spans="10:13" x14ac:dyDescent="0.25">
      <c r="J391"/>
      <c r="K391"/>
      <c r="L391"/>
      <c r="M391"/>
    </row>
    <row r="392" spans="10:13" x14ac:dyDescent="0.25">
      <c r="J392"/>
      <c r="K392"/>
      <c r="L392"/>
      <c r="M392"/>
    </row>
    <row r="393" spans="10:13" x14ac:dyDescent="0.25">
      <c r="J393"/>
      <c r="K393"/>
      <c r="L393"/>
      <c r="M393"/>
    </row>
    <row r="394" spans="10:13" x14ac:dyDescent="0.25">
      <c r="J394"/>
      <c r="K394"/>
      <c r="L394"/>
      <c r="M394"/>
    </row>
    <row r="395" spans="10:13" x14ac:dyDescent="0.25">
      <c r="J395"/>
      <c r="K395"/>
      <c r="L395"/>
      <c r="M395"/>
    </row>
    <row r="396" spans="10:13" x14ac:dyDescent="0.25">
      <c r="J396"/>
      <c r="K396"/>
      <c r="L396"/>
      <c r="M396"/>
    </row>
    <row r="397" spans="10:13" x14ac:dyDescent="0.25">
      <c r="J397"/>
      <c r="K397"/>
      <c r="L397"/>
      <c r="M397"/>
    </row>
    <row r="398" spans="10:13" x14ac:dyDescent="0.25">
      <c r="J398"/>
      <c r="K398"/>
      <c r="L398"/>
      <c r="M398"/>
    </row>
    <row r="399" spans="10:13" x14ac:dyDescent="0.25">
      <c r="J399"/>
      <c r="K399"/>
      <c r="L399"/>
      <c r="M399"/>
    </row>
    <row r="400" spans="10:13" x14ac:dyDescent="0.25">
      <c r="J400"/>
      <c r="K400"/>
      <c r="L400"/>
      <c r="M400"/>
    </row>
    <row r="401" spans="10:13" x14ac:dyDescent="0.25">
      <c r="J401"/>
      <c r="K401"/>
      <c r="L401"/>
      <c r="M401"/>
    </row>
    <row r="402" spans="10:13" x14ac:dyDescent="0.25">
      <c r="J402"/>
      <c r="K402"/>
      <c r="L402"/>
      <c r="M402"/>
    </row>
    <row r="403" spans="10:13" x14ac:dyDescent="0.25">
      <c r="J403"/>
      <c r="K403"/>
      <c r="L403"/>
      <c r="M403"/>
    </row>
    <row r="404" spans="10:13" x14ac:dyDescent="0.25">
      <c r="J404"/>
      <c r="K404"/>
      <c r="L404"/>
      <c r="M404"/>
    </row>
    <row r="405" spans="10:13" x14ac:dyDescent="0.25">
      <c r="J405"/>
      <c r="K405"/>
      <c r="L405"/>
      <c r="M405"/>
    </row>
    <row r="406" spans="10:13" x14ac:dyDescent="0.25">
      <c r="J406"/>
      <c r="K406"/>
      <c r="L406"/>
      <c r="M406"/>
    </row>
    <row r="407" spans="10:13" x14ac:dyDescent="0.25">
      <c r="J407"/>
      <c r="K407"/>
      <c r="L407"/>
      <c r="M407"/>
    </row>
    <row r="408" spans="10:13" x14ac:dyDescent="0.25">
      <c r="J408"/>
      <c r="K408"/>
      <c r="L408"/>
      <c r="M408"/>
    </row>
    <row r="409" spans="10:13" x14ac:dyDescent="0.25">
      <c r="J409"/>
      <c r="K409"/>
      <c r="L409"/>
      <c r="M409"/>
    </row>
    <row r="410" spans="10:13" x14ac:dyDescent="0.25">
      <c r="J410"/>
      <c r="K410"/>
      <c r="L410"/>
      <c r="M410"/>
    </row>
    <row r="411" spans="10:13" x14ac:dyDescent="0.25">
      <c r="J411"/>
      <c r="K411"/>
      <c r="L411"/>
      <c r="M411"/>
    </row>
    <row r="412" spans="10:13" x14ac:dyDescent="0.25">
      <c r="J412"/>
      <c r="K412"/>
      <c r="L412"/>
      <c r="M412"/>
    </row>
    <row r="413" spans="10:13" x14ac:dyDescent="0.25">
      <c r="J413"/>
      <c r="K413"/>
      <c r="L413"/>
      <c r="M413"/>
    </row>
    <row r="414" spans="10:13" x14ac:dyDescent="0.25">
      <c r="J414"/>
      <c r="K414"/>
      <c r="L414"/>
      <c r="M414"/>
    </row>
    <row r="415" spans="10:13" x14ac:dyDescent="0.25">
      <c r="J415"/>
      <c r="K415"/>
      <c r="L415"/>
      <c r="M415"/>
    </row>
    <row r="416" spans="10:13" x14ac:dyDescent="0.25">
      <c r="J416"/>
      <c r="K416"/>
      <c r="L416"/>
      <c r="M416"/>
    </row>
    <row r="417" spans="10:13" x14ac:dyDescent="0.25">
      <c r="J417"/>
      <c r="K417"/>
      <c r="L417"/>
      <c r="M417"/>
    </row>
    <row r="418" spans="10:13" x14ac:dyDescent="0.25">
      <c r="J418"/>
      <c r="K418"/>
      <c r="L418"/>
      <c r="M418"/>
    </row>
    <row r="419" spans="10:13" x14ac:dyDescent="0.25">
      <c r="J419"/>
      <c r="K419"/>
      <c r="L419"/>
      <c r="M419"/>
    </row>
    <row r="420" spans="10:13" x14ac:dyDescent="0.25">
      <c r="J420"/>
      <c r="K420"/>
      <c r="L420"/>
      <c r="M420"/>
    </row>
    <row r="421" spans="10:13" x14ac:dyDescent="0.25">
      <c r="J421"/>
      <c r="K421"/>
      <c r="L421"/>
      <c r="M421"/>
    </row>
    <row r="422" spans="10:13" x14ac:dyDescent="0.25">
      <c r="J422"/>
      <c r="K422"/>
      <c r="L422"/>
      <c r="M422"/>
    </row>
    <row r="423" spans="10:13" x14ac:dyDescent="0.25">
      <c r="J423"/>
      <c r="K423"/>
      <c r="L423"/>
      <c r="M423"/>
    </row>
    <row r="424" spans="10:13" x14ac:dyDescent="0.25">
      <c r="J424"/>
      <c r="K424"/>
      <c r="L424"/>
      <c r="M424"/>
    </row>
    <row r="425" spans="10:13" x14ac:dyDescent="0.25">
      <c r="J425"/>
      <c r="K425"/>
      <c r="L425"/>
      <c r="M425"/>
    </row>
    <row r="426" spans="10:13" x14ac:dyDescent="0.25">
      <c r="J426"/>
      <c r="K426"/>
      <c r="L426"/>
      <c r="M426"/>
    </row>
    <row r="427" spans="10:13" x14ac:dyDescent="0.25">
      <c r="J427"/>
      <c r="K427"/>
      <c r="L427"/>
      <c r="M427"/>
    </row>
    <row r="428" spans="10:13" x14ac:dyDescent="0.25">
      <c r="J428"/>
      <c r="K428"/>
      <c r="L428"/>
      <c r="M428"/>
    </row>
    <row r="429" spans="10:13" x14ac:dyDescent="0.25">
      <c r="J429"/>
      <c r="K429"/>
      <c r="L429"/>
      <c r="M429"/>
    </row>
    <row r="430" spans="10:13" x14ac:dyDescent="0.25">
      <c r="J430"/>
      <c r="K430"/>
      <c r="L430"/>
      <c r="M430"/>
    </row>
    <row r="431" spans="10:13" x14ac:dyDescent="0.25">
      <c r="J431"/>
      <c r="K431"/>
      <c r="L431"/>
      <c r="M431"/>
    </row>
    <row r="432" spans="10:13" x14ac:dyDescent="0.25">
      <c r="J432"/>
      <c r="K432"/>
      <c r="L432"/>
      <c r="M432"/>
    </row>
    <row r="433" spans="10:13" x14ac:dyDescent="0.25">
      <c r="J433"/>
      <c r="K433"/>
      <c r="L433"/>
      <c r="M433"/>
    </row>
    <row r="434" spans="10:13" x14ac:dyDescent="0.25">
      <c r="J434"/>
      <c r="K434"/>
      <c r="L434"/>
      <c r="M434"/>
    </row>
    <row r="435" spans="10:13" x14ac:dyDescent="0.25">
      <c r="J435"/>
      <c r="K435"/>
      <c r="L435"/>
      <c r="M435"/>
    </row>
    <row r="436" spans="10:13" x14ac:dyDescent="0.25">
      <c r="J436"/>
      <c r="K436"/>
      <c r="L436"/>
      <c r="M436"/>
    </row>
    <row r="437" spans="10:13" x14ac:dyDescent="0.25">
      <c r="J437"/>
      <c r="K437"/>
      <c r="L437"/>
      <c r="M437"/>
    </row>
    <row r="438" spans="10:13" x14ac:dyDescent="0.25">
      <c r="J438"/>
      <c r="K438"/>
      <c r="L438"/>
      <c r="M438"/>
    </row>
    <row r="439" spans="10:13" x14ac:dyDescent="0.25">
      <c r="J439"/>
      <c r="K439"/>
      <c r="L439"/>
      <c r="M439"/>
    </row>
    <row r="440" spans="10:13" x14ac:dyDescent="0.25">
      <c r="J440"/>
      <c r="K440"/>
      <c r="L440"/>
      <c r="M440"/>
    </row>
    <row r="441" spans="10:13" x14ac:dyDescent="0.25">
      <c r="J441"/>
      <c r="K441"/>
      <c r="L441"/>
      <c r="M441"/>
    </row>
    <row r="442" spans="10:13" x14ac:dyDescent="0.25">
      <c r="J442"/>
      <c r="K442"/>
      <c r="L442"/>
      <c r="M442"/>
    </row>
    <row r="443" spans="10:13" x14ac:dyDescent="0.25">
      <c r="J443"/>
      <c r="K443"/>
      <c r="L443"/>
      <c r="M443"/>
    </row>
    <row r="444" spans="10:13" x14ac:dyDescent="0.25">
      <c r="J444"/>
      <c r="K444"/>
      <c r="L444"/>
      <c r="M444"/>
    </row>
    <row r="445" spans="10:13" x14ac:dyDescent="0.25">
      <c r="J445"/>
      <c r="K445"/>
      <c r="L445"/>
      <c r="M445"/>
    </row>
    <row r="446" spans="10:13" x14ac:dyDescent="0.25">
      <c r="J446"/>
      <c r="K446"/>
      <c r="L446"/>
      <c r="M446"/>
    </row>
    <row r="447" spans="10:13" x14ac:dyDescent="0.25">
      <c r="J447"/>
      <c r="K447"/>
      <c r="L447"/>
      <c r="M447"/>
    </row>
    <row r="448" spans="10:13" x14ac:dyDescent="0.25">
      <c r="J448"/>
      <c r="K448"/>
      <c r="L448"/>
      <c r="M448"/>
    </row>
    <row r="449" spans="10:13" x14ac:dyDescent="0.25">
      <c r="J449"/>
      <c r="K449"/>
      <c r="L449"/>
      <c r="M449"/>
    </row>
    <row r="450" spans="10:13" x14ac:dyDescent="0.25">
      <c r="J450"/>
      <c r="K450"/>
      <c r="L450"/>
      <c r="M450"/>
    </row>
    <row r="451" spans="10:13" x14ac:dyDescent="0.25">
      <c r="J451"/>
      <c r="K451"/>
      <c r="L451"/>
      <c r="M451"/>
    </row>
    <row r="452" spans="10:13" x14ac:dyDescent="0.25">
      <c r="J452"/>
      <c r="K452"/>
      <c r="L452"/>
      <c r="M452"/>
    </row>
    <row r="453" spans="10:13" x14ac:dyDescent="0.25">
      <c r="J453"/>
      <c r="K453"/>
      <c r="L453"/>
      <c r="M453"/>
    </row>
    <row r="454" spans="10:13" x14ac:dyDescent="0.25">
      <c r="J454"/>
      <c r="K454"/>
      <c r="L454"/>
      <c r="M454"/>
    </row>
    <row r="455" spans="10:13" x14ac:dyDescent="0.25">
      <c r="J455"/>
      <c r="K455"/>
      <c r="L455"/>
      <c r="M455"/>
    </row>
    <row r="456" spans="10:13" x14ac:dyDescent="0.25">
      <c r="J456"/>
      <c r="K456"/>
      <c r="L456"/>
      <c r="M456"/>
    </row>
    <row r="457" spans="10:13" x14ac:dyDescent="0.25">
      <c r="J457"/>
      <c r="K457"/>
      <c r="L457"/>
      <c r="M457"/>
    </row>
    <row r="458" spans="10:13" x14ac:dyDescent="0.25">
      <c r="J458"/>
      <c r="K458"/>
      <c r="L458"/>
      <c r="M458"/>
    </row>
    <row r="459" spans="10:13" x14ac:dyDescent="0.25">
      <c r="J459"/>
      <c r="K459"/>
      <c r="L459"/>
      <c r="M459"/>
    </row>
    <row r="460" spans="10:13" x14ac:dyDescent="0.25">
      <c r="J460"/>
      <c r="K460"/>
      <c r="L460"/>
      <c r="M460"/>
    </row>
    <row r="461" spans="10:13" x14ac:dyDescent="0.25">
      <c r="J461"/>
      <c r="K461"/>
      <c r="L461"/>
      <c r="M461"/>
    </row>
    <row r="462" spans="10:13" x14ac:dyDescent="0.25">
      <c r="J462"/>
      <c r="K462"/>
      <c r="L462"/>
      <c r="M462"/>
    </row>
    <row r="463" spans="10:13" x14ac:dyDescent="0.25">
      <c r="J463"/>
      <c r="K463"/>
      <c r="L463"/>
      <c r="M463"/>
    </row>
    <row r="464" spans="10:13" x14ac:dyDescent="0.25">
      <c r="J464"/>
      <c r="K464"/>
      <c r="L464"/>
      <c r="M464"/>
    </row>
    <row r="465" spans="10:13" x14ac:dyDescent="0.25">
      <c r="J465"/>
      <c r="K465"/>
      <c r="L465"/>
      <c r="M465"/>
    </row>
    <row r="466" spans="10:13" x14ac:dyDescent="0.25">
      <c r="J466"/>
      <c r="K466"/>
      <c r="L466"/>
      <c r="M466"/>
    </row>
    <row r="467" spans="10:13" x14ac:dyDescent="0.25">
      <c r="J467"/>
      <c r="K467"/>
      <c r="L467"/>
      <c r="M467"/>
    </row>
    <row r="468" spans="10:13" x14ac:dyDescent="0.25">
      <c r="J468"/>
      <c r="K468"/>
      <c r="L468"/>
      <c r="M468"/>
    </row>
    <row r="469" spans="10:13" x14ac:dyDescent="0.25">
      <c r="J469"/>
      <c r="K469"/>
      <c r="L469"/>
      <c r="M469"/>
    </row>
    <row r="470" spans="10:13" x14ac:dyDescent="0.25">
      <c r="J470"/>
      <c r="K470"/>
      <c r="L470"/>
      <c r="M470"/>
    </row>
    <row r="471" spans="10:13" x14ac:dyDescent="0.25">
      <c r="J471"/>
      <c r="K471"/>
      <c r="L471"/>
      <c r="M471"/>
    </row>
    <row r="472" spans="10:13" x14ac:dyDescent="0.25">
      <c r="J472"/>
      <c r="K472"/>
      <c r="L472"/>
      <c r="M472"/>
    </row>
    <row r="473" spans="10:13" x14ac:dyDescent="0.25">
      <c r="J473"/>
      <c r="K473"/>
      <c r="L473"/>
      <c r="M473"/>
    </row>
    <row r="474" spans="10:13" x14ac:dyDescent="0.25">
      <c r="J474"/>
      <c r="K474"/>
      <c r="L474"/>
      <c r="M474"/>
    </row>
    <row r="475" spans="10:13" x14ac:dyDescent="0.25">
      <c r="J475"/>
      <c r="K475"/>
      <c r="L475"/>
      <c r="M475"/>
    </row>
    <row r="476" spans="10:13" x14ac:dyDescent="0.25">
      <c r="J476"/>
      <c r="K476"/>
      <c r="L476"/>
      <c r="M476"/>
    </row>
    <row r="477" spans="10:13" x14ac:dyDescent="0.25">
      <c r="J477"/>
      <c r="K477"/>
      <c r="L477"/>
      <c r="M477"/>
    </row>
    <row r="478" spans="10:13" x14ac:dyDescent="0.25">
      <c r="J478"/>
      <c r="K478"/>
      <c r="L478"/>
      <c r="M478"/>
    </row>
    <row r="479" spans="10:13" x14ac:dyDescent="0.25">
      <c r="J479"/>
      <c r="K479"/>
      <c r="L479"/>
      <c r="M479"/>
    </row>
    <row r="480" spans="10:13" x14ac:dyDescent="0.25">
      <c r="J480"/>
      <c r="K480"/>
      <c r="L480"/>
      <c r="M480"/>
    </row>
    <row r="481" spans="10:13" x14ac:dyDescent="0.25">
      <c r="J481"/>
      <c r="K481"/>
      <c r="L481"/>
      <c r="M481"/>
    </row>
    <row r="482" spans="10:13" x14ac:dyDescent="0.25">
      <c r="J482"/>
      <c r="K482"/>
      <c r="L482"/>
      <c r="M482"/>
    </row>
    <row r="483" spans="10:13" x14ac:dyDescent="0.25">
      <c r="J483"/>
      <c r="K483"/>
      <c r="L483"/>
      <c r="M483"/>
    </row>
    <row r="484" spans="10:13" x14ac:dyDescent="0.25">
      <c r="J484"/>
      <c r="K484"/>
      <c r="L484"/>
      <c r="M484"/>
    </row>
    <row r="485" spans="10:13" x14ac:dyDescent="0.25">
      <c r="J485"/>
      <c r="K485"/>
      <c r="L485"/>
      <c r="M485"/>
    </row>
    <row r="486" spans="10:13" x14ac:dyDescent="0.25">
      <c r="J486"/>
      <c r="K486"/>
      <c r="L486"/>
      <c r="M486"/>
    </row>
    <row r="487" spans="10:13" x14ac:dyDescent="0.25">
      <c r="J487"/>
      <c r="K487"/>
      <c r="L487"/>
      <c r="M487"/>
    </row>
    <row r="488" spans="10:13" x14ac:dyDescent="0.25">
      <c r="J488"/>
      <c r="K488"/>
      <c r="L488"/>
      <c r="M488"/>
    </row>
    <row r="489" spans="10:13" x14ac:dyDescent="0.25">
      <c r="J489"/>
      <c r="K489"/>
      <c r="L489"/>
      <c r="M489"/>
    </row>
    <row r="490" spans="10:13" x14ac:dyDescent="0.25">
      <c r="J490"/>
      <c r="K490"/>
      <c r="L490"/>
      <c r="M490"/>
    </row>
    <row r="491" spans="10:13" x14ac:dyDescent="0.25">
      <c r="J491"/>
      <c r="K491"/>
      <c r="L491"/>
      <c r="M491"/>
    </row>
    <row r="492" spans="10:13" x14ac:dyDescent="0.25">
      <c r="J492"/>
      <c r="K492"/>
      <c r="L492"/>
      <c r="M492"/>
    </row>
    <row r="493" spans="10:13" x14ac:dyDescent="0.25">
      <c r="J493"/>
      <c r="K493"/>
      <c r="L493"/>
      <c r="M493"/>
    </row>
    <row r="494" spans="10:13" x14ac:dyDescent="0.25">
      <c r="J494"/>
      <c r="K494"/>
      <c r="L494"/>
      <c r="M494"/>
    </row>
    <row r="495" spans="10:13" x14ac:dyDescent="0.25">
      <c r="J495"/>
      <c r="K495"/>
      <c r="L495"/>
      <c r="M495"/>
    </row>
    <row r="496" spans="10:13" x14ac:dyDescent="0.25">
      <c r="J496"/>
      <c r="K496"/>
      <c r="L496"/>
      <c r="M496"/>
    </row>
    <row r="497" spans="10:13" x14ac:dyDescent="0.25">
      <c r="J497"/>
      <c r="K497"/>
      <c r="L497"/>
      <c r="M497"/>
    </row>
    <row r="498" spans="10:13" x14ac:dyDescent="0.25">
      <c r="J498"/>
      <c r="K498"/>
      <c r="L498"/>
      <c r="M498"/>
    </row>
    <row r="499" spans="10:13" x14ac:dyDescent="0.25">
      <c r="J499"/>
      <c r="K499"/>
      <c r="L499"/>
      <c r="M499"/>
    </row>
    <row r="500" spans="10:13" x14ac:dyDescent="0.25">
      <c r="J500"/>
      <c r="K500"/>
      <c r="L500"/>
      <c r="M500"/>
    </row>
    <row r="501" spans="10:13" x14ac:dyDescent="0.25">
      <c r="J501"/>
      <c r="K501"/>
      <c r="L501"/>
      <c r="M501"/>
    </row>
    <row r="502" spans="10:13" x14ac:dyDescent="0.25">
      <c r="J502"/>
      <c r="K502"/>
      <c r="L502"/>
      <c r="M502"/>
    </row>
  </sheetData>
  <mergeCells count="1">
    <mergeCell ref="A13:K13"/>
  </mergeCells>
  <pageMargins left="0" right="0" top="0.39370078740157483" bottom="0" header="0.31496062992125984" footer="0.31496062992125984"/>
  <pageSetup scale="85" orientation="landscape"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512"/>
  <sheetViews>
    <sheetView showGridLines="0" zoomScale="78" zoomScaleNormal="78" workbookViewId="0">
      <selection activeCell="R22" sqref="R22"/>
    </sheetView>
  </sheetViews>
  <sheetFormatPr defaultRowHeight="15" x14ac:dyDescent="0.25"/>
  <cols>
    <col min="1" max="1" width="5.5703125" customWidth="1"/>
    <col min="2" max="2" width="14.28515625" style="8" customWidth="1"/>
    <col min="3" max="3" width="9.28515625" customWidth="1"/>
    <col min="4" max="4" width="31.140625" customWidth="1"/>
    <col min="5" max="5" width="22.42578125" customWidth="1"/>
    <col min="6" max="6" width="14.5703125" style="9" customWidth="1"/>
    <col min="7" max="7" width="17.85546875" customWidth="1"/>
    <col min="8" max="8" width="13.140625" customWidth="1"/>
    <col min="9" max="9" width="15.140625" style="11" customWidth="1"/>
    <col min="10" max="10" width="13.42578125" style="11" customWidth="1"/>
    <col min="11" max="11" width="13.28515625" style="11" bestFit="1" customWidth="1"/>
    <col min="12" max="12" width="18.28515625" style="11" customWidth="1"/>
    <col min="13" max="13" width="12.7109375" style="11" customWidth="1"/>
  </cols>
  <sheetData>
    <row r="2" spans="1:24" ht="71.25" customHeight="1" x14ac:dyDescent="0.25">
      <c r="A2" s="252" t="s">
        <v>6</v>
      </c>
      <c r="B2" s="250" t="s">
        <v>0</v>
      </c>
      <c r="C2" s="251" t="s">
        <v>7</v>
      </c>
      <c r="D2" s="252" t="s">
        <v>8</v>
      </c>
      <c r="E2" s="252" t="s">
        <v>9</v>
      </c>
      <c r="F2" s="253" t="s">
        <v>10</v>
      </c>
      <c r="G2" s="252" t="s">
        <v>11</v>
      </c>
      <c r="H2" s="254" t="s">
        <v>138</v>
      </c>
      <c r="I2" s="255" t="s">
        <v>49</v>
      </c>
      <c r="J2" s="256" t="s">
        <v>1</v>
      </c>
      <c r="K2" s="256" t="s">
        <v>40</v>
      </c>
      <c r="L2" s="257" t="s">
        <v>2</v>
      </c>
      <c r="M2" s="258" t="s">
        <v>374</v>
      </c>
    </row>
    <row r="3" spans="1:24" s="10" customFormat="1" x14ac:dyDescent="0.25">
      <c r="A3" s="298">
        <v>1</v>
      </c>
      <c r="B3" s="244">
        <v>44410</v>
      </c>
      <c r="C3" s="78" t="s">
        <v>291</v>
      </c>
      <c r="D3" s="23" t="s">
        <v>511</v>
      </c>
      <c r="E3" s="6" t="s">
        <v>13</v>
      </c>
      <c r="F3" s="101">
        <v>2482500</v>
      </c>
      <c r="G3" s="298" t="s">
        <v>388</v>
      </c>
      <c r="H3" s="319">
        <v>44238</v>
      </c>
      <c r="I3" s="4">
        <f>F3</f>
        <v>2482500</v>
      </c>
      <c r="J3" s="28"/>
      <c r="K3" s="28"/>
      <c r="L3" s="4">
        <f>I3-J3-K3</f>
        <v>2482500</v>
      </c>
      <c r="M3" s="320">
        <v>44252</v>
      </c>
      <c r="N3"/>
      <c r="O3"/>
      <c r="P3"/>
      <c r="Q3"/>
      <c r="R3"/>
      <c r="S3"/>
      <c r="T3"/>
      <c r="U3"/>
      <c r="V3"/>
      <c r="W3"/>
      <c r="X3"/>
    </row>
    <row r="4" spans="1:24" s="10" customFormat="1" x14ac:dyDescent="0.25">
      <c r="A4" s="298">
        <f>A3+1</f>
        <v>2</v>
      </c>
      <c r="B4" s="244">
        <v>44252</v>
      </c>
      <c r="C4" s="78" t="s">
        <v>368</v>
      </c>
      <c r="D4" s="23" t="s">
        <v>820</v>
      </c>
      <c r="E4" s="6" t="s">
        <v>693</v>
      </c>
      <c r="F4" s="101">
        <v>7500000</v>
      </c>
      <c r="G4" s="298" t="s">
        <v>620</v>
      </c>
      <c r="H4" s="319">
        <v>44300</v>
      </c>
      <c r="I4" s="4">
        <f t="shared" ref="I4:I21" si="0">F4</f>
        <v>7500000</v>
      </c>
      <c r="J4" s="28"/>
      <c r="K4" s="28"/>
      <c r="L4" s="4">
        <f>I4-J4-K4</f>
        <v>7500000</v>
      </c>
      <c r="M4" s="320">
        <v>44314</v>
      </c>
      <c r="N4"/>
      <c r="O4"/>
      <c r="P4"/>
      <c r="Q4"/>
      <c r="R4"/>
      <c r="S4"/>
      <c r="T4"/>
      <c r="U4"/>
      <c r="V4"/>
      <c r="W4"/>
      <c r="X4"/>
    </row>
    <row r="5" spans="1:24" s="10" customFormat="1" ht="15.75" x14ac:dyDescent="0.25">
      <c r="A5" s="298">
        <f t="shared" ref="A5:A20" si="1">A4+1</f>
        <v>3</v>
      </c>
      <c r="B5" s="244">
        <v>44252</v>
      </c>
      <c r="C5" s="58" t="s">
        <v>368</v>
      </c>
      <c r="D5" s="23" t="s">
        <v>820</v>
      </c>
      <c r="E5" s="6" t="s">
        <v>13</v>
      </c>
      <c r="F5" s="1137">
        <v>800000</v>
      </c>
      <c r="G5" s="1134" t="s">
        <v>489</v>
      </c>
      <c r="H5" s="1131">
        <v>44280</v>
      </c>
      <c r="I5" s="980">
        <f t="shared" si="0"/>
        <v>800000</v>
      </c>
      <c r="J5" s="990"/>
      <c r="K5" s="990"/>
      <c r="L5" s="990">
        <f>I5-J5-K5</f>
        <v>800000</v>
      </c>
      <c r="M5" s="1128">
        <v>44294</v>
      </c>
      <c r="N5"/>
      <c r="O5"/>
      <c r="P5"/>
      <c r="Q5"/>
      <c r="R5"/>
      <c r="S5"/>
      <c r="T5"/>
      <c r="U5"/>
      <c r="V5"/>
      <c r="W5"/>
      <c r="X5"/>
    </row>
    <row r="6" spans="1:24" s="10" customFormat="1" x14ac:dyDescent="0.25">
      <c r="A6" s="298">
        <f t="shared" si="1"/>
        <v>4</v>
      </c>
      <c r="B6" s="245">
        <v>44254</v>
      </c>
      <c r="C6" s="84" t="s">
        <v>369</v>
      </c>
      <c r="D6" s="23" t="s">
        <v>820</v>
      </c>
      <c r="E6" s="6" t="s">
        <v>371</v>
      </c>
      <c r="F6" s="1138"/>
      <c r="G6" s="1135"/>
      <c r="H6" s="1132"/>
      <c r="I6" s="981"/>
      <c r="J6" s="991"/>
      <c r="K6" s="991"/>
      <c r="L6" s="991"/>
      <c r="M6" s="1129"/>
      <c r="N6"/>
      <c r="O6"/>
      <c r="P6"/>
      <c r="Q6"/>
      <c r="R6"/>
      <c r="S6"/>
      <c r="T6"/>
      <c r="U6"/>
      <c r="V6"/>
      <c r="W6"/>
      <c r="X6"/>
    </row>
    <row r="7" spans="1:24" s="10" customFormat="1" ht="15.75" x14ac:dyDescent="0.25">
      <c r="A7" s="298">
        <f t="shared" si="1"/>
        <v>5</v>
      </c>
      <c r="B7" s="245">
        <v>44254</v>
      </c>
      <c r="C7" s="58" t="s">
        <v>370</v>
      </c>
      <c r="D7" s="23" t="s">
        <v>820</v>
      </c>
      <c r="E7" s="6" t="s">
        <v>28</v>
      </c>
      <c r="F7" s="1139"/>
      <c r="G7" s="1136"/>
      <c r="H7" s="1133"/>
      <c r="I7" s="982"/>
      <c r="J7" s="992"/>
      <c r="K7" s="992"/>
      <c r="L7" s="992"/>
      <c r="M7" s="1130"/>
      <c r="N7"/>
      <c r="O7"/>
      <c r="P7"/>
      <c r="Q7"/>
      <c r="R7"/>
      <c r="S7"/>
      <c r="T7"/>
      <c r="U7"/>
      <c r="V7"/>
      <c r="W7"/>
      <c r="X7"/>
    </row>
    <row r="8" spans="1:24" s="10" customFormat="1" x14ac:dyDescent="0.25">
      <c r="A8" s="298">
        <f t="shared" si="1"/>
        <v>6</v>
      </c>
      <c r="B8" s="245">
        <v>11394</v>
      </c>
      <c r="C8" s="55"/>
      <c r="D8" s="23" t="s">
        <v>820</v>
      </c>
      <c r="E8" s="6" t="s">
        <v>538</v>
      </c>
      <c r="F8" s="101">
        <v>4500000</v>
      </c>
      <c r="G8" s="298" t="s">
        <v>1145</v>
      </c>
      <c r="H8" s="319">
        <v>44399</v>
      </c>
      <c r="I8" s="4">
        <f t="shared" si="0"/>
        <v>4500000</v>
      </c>
      <c r="J8" s="28"/>
      <c r="K8" s="28"/>
      <c r="L8" s="4">
        <f t="shared" ref="L8:L21" si="2">I8-J8-K8</f>
        <v>4500000</v>
      </c>
      <c r="M8" s="320">
        <v>44413</v>
      </c>
      <c r="N8"/>
      <c r="O8"/>
      <c r="P8"/>
      <c r="Q8"/>
      <c r="R8"/>
      <c r="S8"/>
      <c r="T8"/>
      <c r="U8"/>
      <c r="V8"/>
      <c r="W8"/>
      <c r="X8"/>
    </row>
    <row r="9" spans="1:24" s="10" customFormat="1" x14ac:dyDescent="0.25">
      <c r="A9" s="298">
        <f t="shared" si="1"/>
        <v>7</v>
      </c>
      <c r="B9" s="245">
        <v>44270</v>
      </c>
      <c r="C9" s="115" t="s">
        <v>540</v>
      </c>
      <c r="D9" s="23" t="s">
        <v>820</v>
      </c>
      <c r="E9" s="6" t="s">
        <v>13</v>
      </c>
      <c r="F9" s="101">
        <v>300000</v>
      </c>
      <c r="G9" s="298" t="s">
        <v>669</v>
      </c>
      <c r="H9" s="319">
        <v>44313</v>
      </c>
      <c r="I9" s="4">
        <f t="shared" si="0"/>
        <v>300000</v>
      </c>
      <c r="J9" s="28"/>
      <c r="K9" s="28"/>
      <c r="L9" s="4">
        <f t="shared" si="2"/>
        <v>300000</v>
      </c>
      <c r="M9" s="320">
        <v>44297</v>
      </c>
      <c r="N9"/>
      <c r="O9"/>
      <c r="P9"/>
      <c r="Q9"/>
      <c r="R9"/>
      <c r="S9"/>
      <c r="T9"/>
      <c r="U9"/>
      <c r="V9"/>
      <c r="W9"/>
      <c r="X9"/>
    </row>
    <row r="10" spans="1:24" s="10" customFormat="1" x14ac:dyDescent="0.25">
      <c r="A10" s="298">
        <f t="shared" si="1"/>
        <v>8</v>
      </c>
      <c r="B10" s="76">
        <v>44282</v>
      </c>
      <c r="C10" s="115" t="s">
        <v>545</v>
      </c>
      <c r="D10" s="23" t="s">
        <v>820</v>
      </c>
      <c r="E10" s="6" t="s">
        <v>13</v>
      </c>
      <c r="F10" s="101">
        <v>300000</v>
      </c>
      <c r="G10" s="298" t="s">
        <v>669</v>
      </c>
      <c r="H10" s="319">
        <v>44313</v>
      </c>
      <c r="I10" s="4">
        <f t="shared" si="0"/>
        <v>300000</v>
      </c>
      <c r="J10" s="28"/>
      <c r="K10" s="28"/>
      <c r="L10" s="4">
        <f t="shared" si="2"/>
        <v>300000</v>
      </c>
      <c r="M10" s="320">
        <v>44297</v>
      </c>
      <c r="N10"/>
      <c r="O10"/>
      <c r="P10"/>
      <c r="Q10"/>
      <c r="R10"/>
      <c r="S10"/>
      <c r="T10"/>
      <c r="U10"/>
      <c r="V10"/>
      <c r="W10"/>
      <c r="X10"/>
    </row>
    <row r="11" spans="1:24" s="10" customFormat="1" x14ac:dyDescent="0.25">
      <c r="A11" s="298">
        <f t="shared" si="1"/>
        <v>9</v>
      </c>
      <c r="B11" s="245">
        <v>44282</v>
      </c>
      <c r="C11" s="115" t="s">
        <v>546</v>
      </c>
      <c r="D11" s="23" t="s">
        <v>820</v>
      </c>
      <c r="E11" s="6" t="s">
        <v>24</v>
      </c>
      <c r="F11" s="101">
        <v>450000</v>
      </c>
      <c r="G11" s="298" t="s">
        <v>669</v>
      </c>
      <c r="H11" s="319">
        <v>44313</v>
      </c>
      <c r="I11" s="4">
        <f t="shared" si="0"/>
        <v>450000</v>
      </c>
      <c r="J11" s="28"/>
      <c r="K11" s="28"/>
      <c r="L11" s="4">
        <f t="shared" si="2"/>
        <v>450000</v>
      </c>
      <c r="M11" s="320">
        <v>44297</v>
      </c>
      <c r="N11"/>
      <c r="O11"/>
      <c r="P11"/>
      <c r="Q11"/>
      <c r="R11"/>
      <c r="S11"/>
      <c r="T11"/>
      <c r="U11"/>
      <c r="V11"/>
      <c r="W11"/>
      <c r="X11"/>
    </row>
    <row r="12" spans="1:24" s="10" customFormat="1" ht="15.75" x14ac:dyDescent="0.25">
      <c r="A12" s="298">
        <f t="shared" si="1"/>
        <v>10</v>
      </c>
      <c r="B12" s="245">
        <v>44248</v>
      </c>
      <c r="C12" s="58"/>
      <c r="D12" s="23" t="s">
        <v>820</v>
      </c>
      <c r="E12" s="6" t="s">
        <v>694</v>
      </c>
      <c r="F12" s="101">
        <v>22375000</v>
      </c>
      <c r="G12" s="298" t="s">
        <v>620</v>
      </c>
      <c r="H12" s="319">
        <v>44300</v>
      </c>
      <c r="I12" s="4">
        <f t="shared" si="0"/>
        <v>22375000</v>
      </c>
      <c r="J12" s="28"/>
      <c r="K12" s="28"/>
      <c r="L12" s="4">
        <f t="shared" si="2"/>
        <v>22375000</v>
      </c>
      <c r="M12" s="320">
        <v>44314</v>
      </c>
      <c r="N12"/>
      <c r="O12"/>
      <c r="P12"/>
      <c r="Q12"/>
      <c r="R12"/>
      <c r="S12"/>
      <c r="T12"/>
      <c r="U12"/>
      <c r="V12"/>
      <c r="W12"/>
      <c r="X12"/>
    </row>
    <row r="13" spans="1:24" s="10" customFormat="1" ht="15.75" x14ac:dyDescent="0.25">
      <c r="A13" s="298">
        <f t="shared" si="1"/>
        <v>11</v>
      </c>
      <c r="B13" s="245">
        <v>44289</v>
      </c>
      <c r="C13" s="58" t="s">
        <v>635</v>
      </c>
      <c r="D13" s="23" t="s">
        <v>820</v>
      </c>
      <c r="E13" s="6" t="s">
        <v>531</v>
      </c>
      <c r="F13" s="101">
        <v>830000</v>
      </c>
      <c r="G13" s="298" t="s">
        <v>634</v>
      </c>
      <c r="H13" s="319">
        <v>44305</v>
      </c>
      <c r="I13" s="4">
        <f t="shared" si="0"/>
        <v>830000</v>
      </c>
      <c r="J13" s="28"/>
      <c r="K13" s="28"/>
      <c r="L13" s="4">
        <f t="shared" si="2"/>
        <v>830000</v>
      </c>
      <c r="M13" s="320">
        <v>44319</v>
      </c>
      <c r="N13"/>
      <c r="O13"/>
      <c r="P13"/>
      <c r="Q13"/>
      <c r="R13"/>
      <c r="S13"/>
      <c r="T13"/>
      <c r="U13"/>
      <c r="V13"/>
      <c r="W13"/>
      <c r="X13"/>
    </row>
    <row r="14" spans="1:24" s="10" customFormat="1" x14ac:dyDescent="0.25">
      <c r="A14" s="298">
        <f t="shared" si="1"/>
        <v>12</v>
      </c>
      <c r="B14" s="245">
        <v>44298</v>
      </c>
      <c r="C14" s="118"/>
      <c r="D14" s="23" t="s">
        <v>820</v>
      </c>
      <c r="E14" s="6" t="s">
        <v>702</v>
      </c>
      <c r="F14" s="101">
        <v>500000</v>
      </c>
      <c r="G14" s="298" t="s">
        <v>727</v>
      </c>
      <c r="H14" s="319">
        <v>44320</v>
      </c>
      <c r="I14" s="4">
        <f t="shared" si="0"/>
        <v>500000</v>
      </c>
      <c r="J14" s="28"/>
      <c r="K14" s="28"/>
      <c r="L14" s="4">
        <f t="shared" si="2"/>
        <v>500000</v>
      </c>
      <c r="M14" s="320">
        <v>44334</v>
      </c>
      <c r="N14"/>
      <c r="O14"/>
      <c r="P14"/>
      <c r="Q14"/>
      <c r="R14"/>
      <c r="S14"/>
      <c r="T14"/>
      <c r="U14"/>
      <c r="V14"/>
      <c r="W14"/>
      <c r="X14"/>
    </row>
    <row r="15" spans="1:24" s="10" customFormat="1" x14ac:dyDescent="0.25">
      <c r="A15" s="298">
        <f t="shared" si="1"/>
        <v>13</v>
      </c>
      <c r="B15" s="245">
        <v>44323</v>
      </c>
      <c r="C15" s="115" t="s">
        <v>792</v>
      </c>
      <c r="D15" s="23" t="s">
        <v>820</v>
      </c>
      <c r="E15" s="6" t="s">
        <v>793</v>
      </c>
      <c r="F15" s="101">
        <v>1056000</v>
      </c>
      <c r="G15" s="298" t="s">
        <v>791</v>
      </c>
      <c r="H15" s="319">
        <v>44341</v>
      </c>
      <c r="I15" s="4">
        <f t="shared" si="0"/>
        <v>1056000</v>
      </c>
      <c r="J15" s="28"/>
      <c r="K15" s="28"/>
      <c r="L15" s="4">
        <f t="shared" si="2"/>
        <v>1056000</v>
      </c>
      <c r="M15" s="320">
        <v>44355</v>
      </c>
      <c r="N15"/>
      <c r="O15"/>
      <c r="P15"/>
      <c r="Q15"/>
      <c r="R15"/>
      <c r="S15"/>
      <c r="T15"/>
      <c r="U15"/>
      <c r="V15"/>
      <c r="W15"/>
      <c r="X15"/>
    </row>
    <row r="16" spans="1:24" s="10" customFormat="1" ht="15.75" x14ac:dyDescent="0.25">
      <c r="A16" s="298">
        <f t="shared" si="1"/>
        <v>14</v>
      </c>
      <c r="B16" s="76">
        <v>44318</v>
      </c>
      <c r="C16" s="58"/>
      <c r="D16" s="23" t="s">
        <v>820</v>
      </c>
      <c r="E16" s="6" t="s">
        <v>822</v>
      </c>
      <c r="F16" s="101">
        <v>500000</v>
      </c>
      <c r="G16" s="298" t="s">
        <v>1142</v>
      </c>
      <c r="H16" s="247">
        <v>44393</v>
      </c>
      <c r="I16" s="4">
        <f t="shared" si="0"/>
        <v>500000</v>
      </c>
      <c r="J16" s="28"/>
      <c r="K16" s="28"/>
      <c r="L16" s="4">
        <f t="shared" si="2"/>
        <v>500000</v>
      </c>
      <c r="M16" s="320">
        <v>44407</v>
      </c>
      <c r="N16"/>
      <c r="O16"/>
      <c r="P16"/>
      <c r="Q16"/>
      <c r="R16"/>
      <c r="S16"/>
      <c r="T16"/>
      <c r="U16"/>
      <c r="V16"/>
      <c r="W16"/>
      <c r="X16"/>
    </row>
    <row r="17" spans="1:24" s="10" customFormat="1" ht="15.75" x14ac:dyDescent="0.25">
      <c r="A17" s="298">
        <f t="shared" si="1"/>
        <v>15</v>
      </c>
      <c r="B17" s="245">
        <v>44319</v>
      </c>
      <c r="C17" s="58" t="s">
        <v>821</v>
      </c>
      <c r="D17" s="23" t="s">
        <v>820</v>
      </c>
      <c r="E17" s="6" t="s">
        <v>823</v>
      </c>
      <c r="F17" s="101">
        <v>400000</v>
      </c>
      <c r="G17" s="298" t="s">
        <v>1142</v>
      </c>
      <c r="H17" s="247">
        <v>44393</v>
      </c>
      <c r="I17" s="4">
        <f t="shared" si="0"/>
        <v>400000</v>
      </c>
      <c r="J17" s="28"/>
      <c r="K17" s="28"/>
      <c r="L17" s="4">
        <f t="shared" si="2"/>
        <v>400000</v>
      </c>
      <c r="M17" s="320">
        <v>44407</v>
      </c>
      <c r="N17"/>
      <c r="O17"/>
      <c r="P17"/>
      <c r="Q17"/>
      <c r="R17"/>
      <c r="S17"/>
      <c r="T17"/>
      <c r="U17"/>
      <c r="V17"/>
      <c r="W17"/>
      <c r="X17"/>
    </row>
    <row r="18" spans="1:24" s="10" customFormat="1" x14ac:dyDescent="0.25">
      <c r="A18" s="298">
        <f t="shared" si="1"/>
        <v>16</v>
      </c>
      <c r="B18" s="244">
        <v>44323</v>
      </c>
      <c r="C18" s="117" t="s">
        <v>824</v>
      </c>
      <c r="D18" s="23" t="s">
        <v>820</v>
      </c>
      <c r="E18" s="6" t="s">
        <v>826</v>
      </c>
      <c r="F18" s="101">
        <v>400000</v>
      </c>
      <c r="G18" s="298" t="s">
        <v>1142</v>
      </c>
      <c r="H18" s="247">
        <v>44393</v>
      </c>
      <c r="I18" s="4">
        <f t="shared" si="0"/>
        <v>400000</v>
      </c>
      <c r="J18" s="28"/>
      <c r="K18" s="28"/>
      <c r="L18" s="4">
        <f t="shared" si="2"/>
        <v>400000</v>
      </c>
      <c r="M18" s="320">
        <v>44407</v>
      </c>
      <c r="N18"/>
      <c r="O18"/>
      <c r="P18"/>
      <c r="Q18"/>
      <c r="R18"/>
      <c r="S18"/>
      <c r="T18"/>
      <c r="U18"/>
      <c r="V18"/>
      <c r="W18"/>
      <c r="X18"/>
    </row>
    <row r="19" spans="1:24" s="10" customFormat="1" x14ac:dyDescent="0.25">
      <c r="A19" s="298">
        <f t="shared" si="1"/>
        <v>17</v>
      </c>
      <c r="B19" s="76">
        <v>44323</v>
      </c>
      <c r="C19" s="115" t="s">
        <v>825</v>
      </c>
      <c r="D19" s="23" t="s">
        <v>820</v>
      </c>
      <c r="E19" s="6" t="s">
        <v>827</v>
      </c>
      <c r="F19" s="101">
        <v>350000</v>
      </c>
      <c r="G19" s="298" t="s">
        <v>1142</v>
      </c>
      <c r="H19" s="247">
        <v>44393</v>
      </c>
      <c r="I19" s="4">
        <f t="shared" si="0"/>
        <v>350000</v>
      </c>
      <c r="J19" s="28"/>
      <c r="K19" s="28"/>
      <c r="L19" s="4">
        <f t="shared" si="2"/>
        <v>350000</v>
      </c>
      <c r="M19" s="320">
        <v>44407</v>
      </c>
      <c r="N19"/>
      <c r="O19"/>
      <c r="P19"/>
      <c r="Q19"/>
      <c r="R19"/>
      <c r="S19"/>
      <c r="T19"/>
      <c r="U19"/>
      <c r="V19"/>
      <c r="W19"/>
      <c r="X19"/>
    </row>
    <row r="20" spans="1:24" s="10" customFormat="1" ht="15.75" x14ac:dyDescent="0.25">
      <c r="A20" s="298">
        <f t="shared" si="1"/>
        <v>18</v>
      </c>
      <c r="B20" s="76">
        <v>44340</v>
      </c>
      <c r="C20" s="58" t="s">
        <v>833</v>
      </c>
      <c r="D20" s="23" t="s">
        <v>820</v>
      </c>
      <c r="E20" s="6" t="s">
        <v>834</v>
      </c>
      <c r="F20" s="101">
        <v>1200000</v>
      </c>
      <c r="G20" s="298" t="s">
        <v>1142</v>
      </c>
      <c r="H20" s="247">
        <v>44393</v>
      </c>
      <c r="I20" s="4">
        <f t="shared" si="0"/>
        <v>1200000</v>
      </c>
      <c r="J20" s="28"/>
      <c r="K20" s="28"/>
      <c r="L20" s="4">
        <f t="shared" si="2"/>
        <v>1200000</v>
      </c>
      <c r="M20" s="320">
        <v>44407</v>
      </c>
      <c r="N20"/>
      <c r="O20"/>
      <c r="P20"/>
      <c r="Q20"/>
      <c r="R20"/>
      <c r="S20"/>
      <c r="T20"/>
      <c r="U20"/>
      <c r="V20"/>
      <c r="W20"/>
      <c r="X20"/>
    </row>
    <row r="21" spans="1:24" s="10" customFormat="1" x14ac:dyDescent="0.25">
      <c r="A21" s="298">
        <v>19</v>
      </c>
      <c r="B21" s="247">
        <v>44393</v>
      </c>
      <c r="C21" s="199"/>
      <c r="D21" s="23" t="s">
        <v>820</v>
      </c>
      <c r="E21" s="53" t="s">
        <v>1144</v>
      </c>
      <c r="F21" s="101">
        <v>4000000</v>
      </c>
      <c r="G21" s="199" t="s">
        <v>1143</v>
      </c>
      <c r="H21" s="247">
        <v>44393</v>
      </c>
      <c r="I21" s="4">
        <f t="shared" si="0"/>
        <v>4000000</v>
      </c>
      <c r="J21" s="28"/>
      <c r="K21" s="28"/>
      <c r="L21" s="4">
        <f t="shared" si="2"/>
        <v>4000000</v>
      </c>
      <c r="M21" s="320">
        <v>44407</v>
      </c>
      <c r="N21"/>
      <c r="O21"/>
      <c r="P21"/>
      <c r="Q21"/>
      <c r="R21"/>
      <c r="S21"/>
      <c r="T21"/>
      <c r="U21"/>
      <c r="V21"/>
      <c r="W21"/>
      <c r="X21"/>
    </row>
    <row r="22" spans="1:24" s="10" customFormat="1" ht="32.25" customHeight="1" x14ac:dyDescent="0.25">
      <c r="A22" s="966" t="s">
        <v>399</v>
      </c>
      <c r="B22" s="975"/>
      <c r="C22" s="975"/>
      <c r="D22" s="975"/>
      <c r="E22" s="975"/>
      <c r="F22" s="975"/>
      <c r="G22" s="975"/>
      <c r="H22" s="975"/>
      <c r="I22" s="65">
        <f>I3+I4+I5+I8+I9+I10+I11+I12+I13+I14+I15+I16+I17+I18+I19+I20+I21</f>
        <v>47943500</v>
      </c>
      <c r="J22" s="65">
        <f t="shared" ref="J22:K22" si="3">J3+J4+J5+J8+J9+J10+J11+J12+J13+J14+J15+J16+J17+J18+J19+J20+J21</f>
        <v>0</v>
      </c>
      <c r="K22" s="65">
        <f t="shared" si="3"/>
        <v>0</v>
      </c>
      <c r="L22" s="65">
        <f>L3+L4+L5+L8+L9+L10+L11+L12+L13+L14+L15+L16+L17+L18+L19+L20+L21</f>
        <v>47943500</v>
      </c>
      <c r="M22" s="65"/>
      <c r="N22"/>
      <c r="O22"/>
      <c r="P22"/>
      <c r="Q22"/>
      <c r="R22"/>
      <c r="S22"/>
      <c r="T22"/>
      <c r="U22"/>
      <c r="V22"/>
      <c r="W22"/>
      <c r="X22"/>
    </row>
    <row r="23" spans="1:24" x14ac:dyDescent="0.25">
      <c r="A23" s="40"/>
      <c r="B23" s="41"/>
      <c r="C23" s="7"/>
      <c r="D23" s="7"/>
      <c r="E23" s="7"/>
      <c r="F23" s="42"/>
      <c r="G23" s="7"/>
      <c r="H23" s="7"/>
      <c r="I23"/>
      <c r="J23"/>
      <c r="K23"/>
      <c r="L23"/>
      <c r="M23"/>
    </row>
    <row r="24" spans="1:24" x14ac:dyDescent="0.25">
      <c r="A24" s="40"/>
      <c r="B24" s="41"/>
      <c r="C24" s="7"/>
      <c r="D24" s="7"/>
      <c r="E24" s="7"/>
      <c r="F24" s="42"/>
      <c r="G24" s="7"/>
      <c r="H24" s="7"/>
      <c r="I24"/>
      <c r="J24"/>
      <c r="K24"/>
      <c r="L24"/>
      <c r="M24"/>
    </row>
    <row r="25" spans="1:24" x14ac:dyDescent="0.25">
      <c r="A25" s="40"/>
      <c r="B25" s="41"/>
      <c r="C25" s="7"/>
      <c r="D25" s="7"/>
      <c r="E25" s="7"/>
      <c r="F25" s="42"/>
      <c r="G25" s="7"/>
      <c r="H25" s="7"/>
      <c r="I25"/>
      <c r="J25"/>
      <c r="K25"/>
      <c r="L25" s="16"/>
      <c r="M25" s="16"/>
    </row>
    <row r="26" spans="1:24" x14ac:dyDescent="0.25">
      <c r="A26" s="40"/>
      <c r="B26" s="41"/>
      <c r="C26" s="7"/>
      <c r="D26" s="7"/>
      <c r="E26" s="7"/>
      <c r="F26" s="42"/>
      <c r="G26" s="7"/>
      <c r="H26" s="7"/>
      <c r="I26"/>
      <c r="J26"/>
      <c r="K26"/>
      <c r="L26"/>
      <c r="M26"/>
    </row>
    <row r="27" spans="1:24" x14ac:dyDescent="0.25">
      <c r="A27" s="40"/>
      <c r="B27" s="41"/>
      <c r="C27" s="7"/>
      <c r="D27" s="7"/>
      <c r="E27" s="7"/>
      <c r="F27" s="42"/>
      <c r="G27" s="7"/>
      <c r="H27" s="7"/>
      <c r="I27"/>
      <c r="J27"/>
      <c r="K27"/>
      <c r="L27"/>
      <c r="M27"/>
    </row>
    <row r="28" spans="1:24" x14ac:dyDescent="0.25">
      <c r="A28" s="40"/>
      <c r="B28" s="41"/>
      <c r="C28" s="7"/>
      <c r="D28" s="7"/>
      <c r="E28" s="7"/>
      <c r="F28" s="42"/>
      <c r="G28" s="7"/>
      <c r="H28" s="7"/>
      <c r="I28"/>
      <c r="J28"/>
      <c r="K28"/>
      <c r="L28"/>
      <c r="M28"/>
    </row>
    <row r="29" spans="1:24" x14ac:dyDescent="0.25">
      <c r="A29" s="40"/>
      <c r="B29" s="41"/>
      <c r="C29" s="7"/>
      <c r="D29" s="7"/>
      <c r="E29" s="7"/>
      <c r="F29" s="42"/>
      <c r="G29" s="7"/>
      <c r="H29" s="7"/>
      <c r="I29"/>
      <c r="J29"/>
      <c r="K29"/>
      <c r="L29"/>
      <c r="M29"/>
    </row>
    <row r="30" spans="1:24" x14ac:dyDescent="0.25">
      <c r="A30" s="40"/>
      <c r="B30" s="41"/>
      <c r="C30" s="7"/>
      <c r="D30" s="7"/>
      <c r="E30" s="7"/>
      <c r="F30" s="42"/>
      <c r="G30" s="7"/>
      <c r="H30" s="7"/>
      <c r="I30"/>
      <c r="J30"/>
      <c r="K30"/>
      <c r="L30"/>
      <c r="M30"/>
    </row>
    <row r="31" spans="1:24" x14ac:dyDescent="0.25">
      <c r="A31" s="40"/>
      <c r="B31" s="41"/>
      <c r="C31" s="7"/>
      <c r="D31" s="7"/>
      <c r="E31" s="7"/>
      <c r="F31" s="42"/>
      <c r="G31" s="7"/>
      <c r="H31" s="7"/>
      <c r="I31"/>
      <c r="J31"/>
      <c r="K31"/>
      <c r="L31"/>
      <c r="M31"/>
    </row>
    <row r="32" spans="1:24" x14ac:dyDescent="0.25">
      <c r="A32" s="40"/>
      <c r="B32" s="41"/>
      <c r="C32" s="7"/>
      <c r="D32" s="7"/>
      <c r="E32" s="7"/>
      <c r="F32" s="42"/>
      <c r="G32" s="7"/>
      <c r="H32" s="7"/>
      <c r="I32"/>
      <c r="J32"/>
      <c r="K32"/>
      <c r="L32"/>
      <c r="M32"/>
    </row>
    <row r="33" spans="1:13" x14ac:dyDescent="0.25">
      <c r="A33" s="40"/>
      <c r="B33" s="41"/>
      <c r="C33" s="7"/>
      <c r="D33" s="7"/>
      <c r="E33" s="7"/>
      <c r="F33" s="42"/>
      <c r="G33" s="7"/>
      <c r="H33" s="7"/>
      <c r="I33"/>
      <c r="J33"/>
      <c r="K33"/>
      <c r="L33"/>
      <c r="M33"/>
    </row>
    <row r="34" spans="1:13" x14ac:dyDescent="0.25">
      <c r="A34" s="40"/>
      <c r="B34" s="41"/>
      <c r="C34" s="7"/>
      <c r="D34" s="7"/>
      <c r="E34" s="7"/>
      <c r="F34" s="42"/>
      <c r="G34" s="7"/>
      <c r="H34" s="7"/>
      <c r="I34"/>
      <c r="J34"/>
      <c r="K34"/>
      <c r="L34"/>
      <c r="M34"/>
    </row>
    <row r="35" spans="1:13" x14ac:dyDescent="0.25">
      <c r="A35" s="40"/>
      <c r="B35" s="41"/>
      <c r="C35" s="7"/>
      <c r="D35" s="7"/>
      <c r="E35" s="7"/>
      <c r="F35" s="42"/>
      <c r="G35" s="7"/>
      <c r="H35" s="7"/>
      <c r="I35"/>
      <c r="J35"/>
      <c r="K35"/>
      <c r="L35"/>
      <c r="M35"/>
    </row>
    <row r="36" spans="1:13" x14ac:dyDescent="0.25">
      <c r="A36" s="40"/>
      <c r="B36" s="41"/>
      <c r="C36" s="7"/>
      <c r="D36" s="7"/>
      <c r="E36" s="7"/>
      <c r="F36" s="42"/>
      <c r="G36" s="7"/>
      <c r="H36" s="7"/>
      <c r="I36"/>
      <c r="J36"/>
      <c r="K36"/>
      <c r="L36"/>
      <c r="M36"/>
    </row>
    <row r="37" spans="1:13" x14ac:dyDescent="0.25">
      <c r="A37" s="40"/>
      <c r="B37" s="41"/>
      <c r="C37" s="7"/>
      <c r="D37" s="7"/>
      <c r="E37" s="7"/>
      <c r="F37" s="42"/>
      <c r="G37" s="7"/>
      <c r="H37" s="7"/>
      <c r="I37"/>
      <c r="J37"/>
      <c r="K37"/>
      <c r="L37"/>
      <c r="M37"/>
    </row>
    <row r="38" spans="1:13" x14ac:dyDescent="0.25">
      <c r="A38" s="40"/>
      <c r="B38" s="41"/>
      <c r="C38" s="7"/>
      <c r="D38" s="7"/>
      <c r="E38" s="7"/>
      <c r="F38" s="42"/>
      <c r="G38" s="7"/>
      <c r="H38" s="7"/>
      <c r="I38"/>
      <c r="J38"/>
      <c r="K38"/>
      <c r="L38"/>
      <c r="M38"/>
    </row>
    <row r="39" spans="1:13" x14ac:dyDescent="0.25">
      <c r="A39" s="40"/>
      <c r="B39" s="41"/>
      <c r="C39" s="7"/>
      <c r="D39" s="7"/>
      <c r="E39" s="7"/>
      <c r="F39" s="42"/>
      <c r="G39" s="7"/>
      <c r="H39" s="7"/>
      <c r="I39"/>
      <c r="J39"/>
      <c r="K39"/>
      <c r="L39"/>
      <c r="M39"/>
    </row>
    <row r="40" spans="1:13" x14ac:dyDescent="0.25">
      <c r="A40" s="40"/>
      <c r="B40" s="41"/>
      <c r="C40" s="7"/>
      <c r="D40" s="7"/>
      <c r="E40" s="7"/>
      <c r="F40" s="42"/>
      <c r="G40" s="7"/>
      <c r="H40" s="7"/>
      <c r="I40"/>
      <c r="J40"/>
      <c r="K40"/>
      <c r="L40"/>
      <c r="M40"/>
    </row>
    <row r="41" spans="1:13" x14ac:dyDescent="0.25">
      <c r="A41" s="40"/>
      <c r="B41" s="41"/>
      <c r="C41" s="7"/>
      <c r="D41" s="7"/>
      <c r="E41" s="7"/>
      <c r="F41" s="42"/>
      <c r="G41" s="7"/>
      <c r="H41" s="7"/>
      <c r="I41"/>
      <c r="J41"/>
      <c r="K41"/>
      <c r="L41"/>
      <c r="M41"/>
    </row>
    <row r="42" spans="1:13" x14ac:dyDescent="0.25">
      <c r="A42" s="40"/>
      <c r="B42" s="41"/>
      <c r="C42" s="7"/>
      <c r="D42" s="7"/>
      <c r="E42" s="7"/>
      <c r="F42" s="42"/>
      <c r="G42" s="7"/>
      <c r="H42" s="7"/>
      <c r="I42"/>
      <c r="J42"/>
      <c r="K42"/>
      <c r="L42"/>
      <c r="M42"/>
    </row>
    <row r="43" spans="1:13" x14ac:dyDescent="0.25">
      <c r="A43" s="40"/>
      <c r="B43" s="41"/>
      <c r="C43" s="7"/>
      <c r="D43" s="7"/>
      <c r="E43" s="7"/>
      <c r="F43" s="42"/>
      <c r="G43" s="7"/>
      <c r="H43" s="7"/>
      <c r="I43"/>
      <c r="J43"/>
      <c r="K43"/>
      <c r="L43"/>
      <c r="M43"/>
    </row>
    <row r="44" spans="1:13" x14ac:dyDescent="0.25">
      <c r="A44" s="40"/>
      <c r="B44" s="41"/>
      <c r="C44" s="7"/>
      <c r="D44" s="7"/>
      <c r="E44" s="7"/>
      <c r="F44" s="42"/>
      <c r="G44" s="7"/>
      <c r="H44" s="7"/>
      <c r="I44"/>
      <c r="J44"/>
      <c r="K44"/>
      <c r="L44"/>
      <c r="M44"/>
    </row>
    <row r="45" spans="1:13" x14ac:dyDescent="0.25">
      <c r="A45" s="40"/>
      <c r="B45" s="41"/>
      <c r="C45" s="7"/>
      <c r="D45" s="7"/>
      <c r="E45" s="7"/>
      <c r="F45" s="42"/>
      <c r="G45" s="7"/>
      <c r="H45" s="7"/>
      <c r="I45"/>
      <c r="J45"/>
      <c r="K45"/>
      <c r="L45"/>
      <c r="M45"/>
    </row>
    <row r="46" spans="1:13" x14ac:dyDescent="0.25">
      <c r="A46" s="40"/>
      <c r="B46" s="41"/>
      <c r="C46" s="7"/>
      <c r="D46" s="7"/>
      <c r="E46" s="7"/>
      <c r="F46" s="42"/>
      <c r="G46" s="7"/>
      <c r="H46" s="7"/>
      <c r="I46"/>
      <c r="J46"/>
      <c r="K46"/>
      <c r="L46"/>
      <c r="M46"/>
    </row>
    <row r="47" spans="1:13" x14ac:dyDescent="0.25">
      <c r="A47" s="40"/>
      <c r="B47" s="41"/>
      <c r="C47" s="7"/>
      <c r="D47" s="7"/>
      <c r="E47" s="7"/>
      <c r="F47" s="42"/>
      <c r="G47" s="7"/>
      <c r="H47" s="7"/>
      <c r="I47"/>
      <c r="J47"/>
      <c r="K47"/>
      <c r="L47"/>
      <c r="M47"/>
    </row>
    <row r="48" spans="1:13" x14ac:dyDescent="0.25">
      <c r="A48" s="40"/>
      <c r="B48" s="41"/>
      <c r="C48" s="7"/>
      <c r="D48" s="7"/>
      <c r="E48" s="7"/>
      <c r="F48" s="42"/>
      <c r="G48" s="7"/>
      <c r="H48" s="7"/>
      <c r="I48"/>
      <c r="J48"/>
      <c r="K48"/>
      <c r="L48"/>
      <c r="M48"/>
    </row>
    <row r="49" spans="1:13" x14ac:dyDescent="0.25">
      <c r="A49" s="40"/>
      <c r="B49" s="41"/>
      <c r="C49" s="7"/>
      <c r="D49" s="7"/>
      <c r="E49" s="7"/>
      <c r="F49" s="42"/>
      <c r="G49" s="7"/>
      <c r="H49" s="7"/>
      <c r="I49"/>
      <c r="J49"/>
      <c r="K49"/>
      <c r="L49"/>
      <c r="M49"/>
    </row>
    <row r="50" spans="1:13" x14ac:dyDescent="0.25">
      <c r="A50" s="40"/>
      <c r="B50" s="41"/>
      <c r="C50" s="7"/>
      <c r="D50" s="7"/>
      <c r="E50" s="7"/>
      <c r="F50" s="42"/>
      <c r="G50" s="7"/>
      <c r="H50" s="7"/>
      <c r="I50"/>
      <c r="J50"/>
      <c r="K50"/>
      <c r="L50"/>
      <c r="M50"/>
    </row>
    <row r="51" spans="1:13" x14ac:dyDescent="0.25">
      <c r="A51" s="40"/>
      <c r="B51" s="41"/>
      <c r="C51" s="7"/>
      <c r="D51" s="7"/>
      <c r="E51" s="7"/>
      <c r="F51" s="42"/>
      <c r="G51" s="7"/>
      <c r="H51" s="7"/>
      <c r="I51"/>
      <c r="J51"/>
      <c r="K51"/>
      <c r="L51"/>
      <c r="M51"/>
    </row>
    <row r="52" spans="1:13" x14ac:dyDescent="0.25">
      <c r="A52" s="40"/>
      <c r="B52" s="41"/>
      <c r="C52" s="7"/>
      <c r="D52" s="7"/>
      <c r="E52" s="7"/>
      <c r="F52" s="42"/>
      <c r="G52" s="7"/>
      <c r="H52" s="7"/>
      <c r="I52"/>
      <c r="J52"/>
      <c r="K52"/>
      <c r="L52"/>
      <c r="M52"/>
    </row>
    <row r="53" spans="1:13" x14ac:dyDescent="0.25">
      <c r="A53" s="40"/>
      <c r="B53" s="41"/>
      <c r="C53" s="7"/>
      <c r="D53" s="7"/>
      <c r="E53" s="7"/>
      <c r="F53" s="42"/>
      <c r="G53" s="7"/>
      <c r="H53" s="7"/>
      <c r="I53"/>
      <c r="J53"/>
      <c r="K53"/>
      <c r="L53"/>
      <c r="M53"/>
    </row>
    <row r="54" spans="1:13" x14ac:dyDescent="0.25">
      <c r="A54" s="40"/>
      <c r="B54" s="41"/>
      <c r="C54" s="7"/>
      <c r="D54" s="7"/>
      <c r="E54" s="7"/>
      <c r="F54" s="42"/>
      <c r="G54" s="7"/>
      <c r="H54" s="7"/>
      <c r="I54"/>
      <c r="J54"/>
      <c r="K54"/>
      <c r="L54"/>
      <c r="M54"/>
    </row>
    <row r="55" spans="1:13" x14ac:dyDescent="0.25">
      <c r="A55" s="40"/>
      <c r="B55" s="41"/>
      <c r="C55" s="7"/>
      <c r="D55" s="7"/>
      <c r="E55" s="7"/>
      <c r="F55" s="42"/>
      <c r="G55" s="7"/>
      <c r="H55" s="7"/>
      <c r="I55"/>
      <c r="J55"/>
      <c r="K55"/>
      <c r="L55"/>
      <c r="M55"/>
    </row>
    <row r="56" spans="1:13" x14ac:dyDescent="0.25">
      <c r="A56" s="40"/>
      <c r="B56" s="41"/>
      <c r="C56" s="7"/>
      <c r="D56" s="7"/>
      <c r="E56" s="7"/>
      <c r="F56" s="42"/>
      <c r="G56" s="7"/>
      <c r="H56" s="7"/>
      <c r="I56"/>
      <c r="J56"/>
      <c r="K56"/>
      <c r="L56"/>
      <c r="M56"/>
    </row>
    <row r="57" spans="1:13" x14ac:dyDescent="0.25">
      <c r="A57" s="40"/>
      <c r="B57" s="41"/>
      <c r="C57" s="7"/>
      <c r="D57" s="7"/>
      <c r="E57" s="7"/>
      <c r="F57" s="42"/>
      <c r="G57" s="7"/>
      <c r="H57" s="7"/>
      <c r="I57"/>
      <c r="J57"/>
      <c r="K57"/>
      <c r="L57"/>
      <c r="M57"/>
    </row>
    <row r="58" spans="1:13" x14ac:dyDescent="0.25">
      <c r="A58" s="40"/>
      <c r="B58" s="41"/>
      <c r="C58" s="7"/>
      <c r="D58" s="7"/>
      <c r="E58" s="7"/>
      <c r="F58" s="42"/>
      <c r="G58" s="7"/>
      <c r="H58" s="7"/>
      <c r="I58"/>
      <c r="J58"/>
      <c r="K58"/>
      <c r="L58"/>
      <c r="M58"/>
    </row>
    <row r="59" spans="1:13" x14ac:dyDescent="0.25">
      <c r="A59" s="40"/>
      <c r="B59" s="41"/>
      <c r="C59" s="7"/>
      <c r="D59" s="7"/>
      <c r="E59" s="7"/>
      <c r="F59" s="42"/>
      <c r="G59" s="7"/>
      <c r="H59" s="7"/>
      <c r="I59"/>
      <c r="J59"/>
      <c r="K59"/>
      <c r="L59"/>
      <c r="M59"/>
    </row>
    <row r="60" spans="1:13" x14ac:dyDescent="0.25">
      <c r="A60" s="40"/>
      <c r="B60" s="41"/>
      <c r="C60" s="7"/>
      <c r="D60" s="7"/>
      <c r="E60" s="7"/>
      <c r="F60" s="42"/>
      <c r="G60" s="7"/>
      <c r="H60" s="7"/>
      <c r="I60"/>
      <c r="J60"/>
      <c r="K60"/>
      <c r="L60"/>
      <c r="M60"/>
    </row>
    <row r="61" spans="1:13" x14ac:dyDescent="0.25">
      <c r="A61" s="40"/>
      <c r="B61" s="41"/>
      <c r="C61" s="7"/>
      <c r="D61" s="7"/>
      <c r="E61" s="7"/>
      <c r="F61" s="42"/>
      <c r="G61" s="7"/>
      <c r="H61" s="7"/>
      <c r="I61"/>
      <c r="J61"/>
      <c r="K61"/>
      <c r="L61"/>
      <c r="M61"/>
    </row>
    <row r="62" spans="1:13" x14ac:dyDescent="0.25">
      <c r="A62" s="40"/>
      <c r="B62" s="41"/>
      <c r="C62" s="7"/>
      <c r="D62" s="7"/>
      <c r="E62" s="7"/>
      <c r="F62" s="42"/>
      <c r="G62" s="7"/>
      <c r="H62" s="7"/>
      <c r="I62"/>
      <c r="J62"/>
      <c r="K62"/>
      <c r="L62"/>
      <c r="M62"/>
    </row>
    <row r="63" spans="1:13" x14ac:dyDescent="0.25">
      <c r="A63" s="40"/>
      <c r="B63" s="41"/>
      <c r="C63" s="7"/>
      <c r="D63" s="7"/>
      <c r="E63" s="7"/>
      <c r="F63" s="42"/>
      <c r="G63" s="7"/>
      <c r="H63" s="7"/>
      <c r="I63"/>
      <c r="J63"/>
      <c r="K63"/>
      <c r="L63"/>
      <c r="M63"/>
    </row>
    <row r="64" spans="1:13" x14ac:dyDescent="0.25">
      <c r="A64" s="40"/>
      <c r="B64" s="41"/>
      <c r="C64" s="7"/>
      <c r="D64" s="7"/>
      <c r="E64" s="7"/>
      <c r="F64" s="42"/>
      <c r="G64" s="7"/>
      <c r="H64" s="7"/>
      <c r="I64"/>
      <c r="J64"/>
      <c r="K64"/>
      <c r="L64"/>
      <c r="M64"/>
    </row>
    <row r="65" spans="1:13" x14ac:dyDescent="0.25">
      <c r="A65" s="40"/>
      <c r="B65" s="41"/>
      <c r="C65" s="7"/>
      <c r="D65" s="7"/>
      <c r="E65" s="7"/>
      <c r="F65" s="42"/>
      <c r="G65" s="7"/>
      <c r="H65" s="7"/>
      <c r="I65"/>
      <c r="J65"/>
      <c r="K65"/>
      <c r="L65"/>
      <c r="M65"/>
    </row>
    <row r="66" spans="1:13" x14ac:dyDescent="0.25">
      <c r="A66" s="40"/>
      <c r="B66" s="41"/>
      <c r="C66" s="7"/>
      <c r="D66" s="7"/>
      <c r="E66" s="7"/>
      <c r="F66" s="42"/>
      <c r="G66" s="7"/>
      <c r="H66" s="7"/>
      <c r="I66"/>
      <c r="J66"/>
      <c r="K66"/>
      <c r="L66"/>
      <c r="M66"/>
    </row>
    <row r="67" spans="1:13" x14ac:dyDescent="0.25">
      <c r="A67" s="40"/>
      <c r="B67" s="41"/>
      <c r="C67" s="7"/>
      <c r="D67" s="7"/>
      <c r="E67" s="7"/>
      <c r="F67" s="42"/>
      <c r="G67" s="7"/>
      <c r="H67" s="7"/>
      <c r="I67"/>
      <c r="J67"/>
      <c r="K67"/>
      <c r="L67"/>
      <c r="M67"/>
    </row>
    <row r="68" spans="1:13" x14ac:dyDescent="0.25">
      <c r="A68" s="40"/>
      <c r="B68" s="41"/>
      <c r="C68" s="7"/>
      <c r="D68" s="7"/>
      <c r="E68" s="7"/>
      <c r="F68" s="42"/>
      <c r="G68" s="7"/>
      <c r="H68" s="7"/>
      <c r="I68"/>
      <c r="J68"/>
      <c r="K68"/>
      <c r="L68"/>
      <c r="M68"/>
    </row>
    <row r="69" spans="1:13" x14ac:dyDescent="0.25">
      <c r="A69" s="40"/>
      <c r="B69" s="41"/>
      <c r="C69" s="7"/>
      <c r="D69" s="7"/>
      <c r="E69" s="7"/>
      <c r="F69" s="42"/>
      <c r="G69" s="7"/>
      <c r="H69" s="7"/>
      <c r="I69"/>
      <c r="J69"/>
      <c r="K69"/>
      <c r="L69"/>
      <c r="M69"/>
    </row>
    <row r="70" spans="1:13" x14ac:dyDescent="0.25">
      <c r="A70" s="40"/>
      <c r="B70" s="41"/>
      <c r="C70" s="7"/>
      <c r="D70" s="7"/>
      <c r="E70" s="7"/>
      <c r="F70" s="42"/>
      <c r="G70" s="7"/>
      <c r="H70" s="7"/>
      <c r="I70"/>
      <c r="J70"/>
      <c r="K70"/>
      <c r="L70"/>
      <c r="M70"/>
    </row>
    <row r="71" spans="1:13" x14ac:dyDescent="0.25">
      <c r="A71" s="40"/>
      <c r="B71" s="41"/>
      <c r="C71" s="7"/>
      <c r="D71" s="7"/>
      <c r="E71" s="7"/>
      <c r="F71" s="42"/>
      <c r="G71" s="7"/>
      <c r="H71" s="7"/>
      <c r="I71"/>
      <c r="J71"/>
      <c r="K71"/>
      <c r="L71"/>
      <c r="M71"/>
    </row>
    <row r="72" spans="1:13" x14ac:dyDescent="0.25">
      <c r="A72" s="40"/>
      <c r="B72" s="41"/>
      <c r="C72" s="7"/>
      <c r="D72" s="7"/>
      <c r="E72" s="7"/>
      <c r="F72" s="42"/>
      <c r="G72" s="7"/>
      <c r="H72" s="7"/>
      <c r="I72"/>
      <c r="J72"/>
      <c r="K72"/>
      <c r="L72"/>
      <c r="M72"/>
    </row>
    <row r="73" spans="1:13" x14ac:dyDescent="0.25">
      <c r="A73" s="40"/>
      <c r="B73" s="41"/>
      <c r="C73" s="7"/>
      <c r="D73" s="7"/>
      <c r="E73" s="7"/>
      <c r="F73" s="42"/>
      <c r="G73" s="7"/>
      <c r="H73" s="7"/>
      <c r="I73"/>
      <c r="J73"/>
      <c r="K73"/>
      <c r="L73"/>
      <c r="M73"/>
    </row>
    <row r="74" spans="1:13" x14ac:dyDescent="0.25">
      <c r="A74" s="40"/>
      <c r="B74" s="41"/>
      <c r="C74" s="7"/>
      <c r="D74" s="7"/>
      <c r="E74" s="7"/>
      <c r="F74" s="42"/>
      <c r="G74" s="7"/>
      <c r="H74" s="7"/>
      <c r="I74"/>
      <c r="J74"/>
      <c r="K74"/>
      <c r="L74"/>
      <c r="M74"/>
    </row>
    <row r="75" spans="1:13" x14ac:dyDescent="0.25">
      <c r="A75" s="40"/>
      <c r="B75" s="41"/>
      <c r="C75" s="7"/>
      <c r="D75" s="7"/>
      <c r="E75" s="7"/>
      <c r="F75" s="42"/>
      <c r="G75" s="7"/>
      <c r="H75" s="7"/>
      <c r="I75"/>
      <c r="J75"/>
      <c r="K75"/>
      <c r="L75"/>
      <c r="M75"/>
    </row>
    <row r="76" spans="1:13" x14ac:dyDescent="0.25">
      <c r="A76" s="40"/>
      <c r="B76" s="41"/>
      <c r="C76" s="7"/>
      <c r="D76" s="7"/>
      <c r="E76" s="7"/>
      <c r="F76" s="42"/>
      <c r="G76" s="7"/>
      <c r="H76" s="7"/>
      <c r="I76"/>
      <c r="J76"/>
      <c r="K76"/>
      <c r="L76"/>
      <c r="M76"/>
    </row>
    <row r="77" spans="1:13" x14ac:dyDescent="0.25">
      <c r="A77" s="40"/>
      <c r="B77" s="41"/>
      <c r="C77" s="7"/>
      <c r="D77" s="7"/>
      <c r="E77" s="7"/>
      <c r="F77" s="42"/>
      <c r="G77" s="7"/>
      <c r="H77" s="7"/>
      <c r="I77"/>
      <c r="J77"/>
      <c r="K77"/>
      <c r="L77"/>
      <c r="M77"/>
    </row>
    <row r="78" spans="1:13" x14ac:dyDescent="0.25">
      <c r="A78" s="40"/>
      <c r="B78" s="41"/>
      <c r="C78" s="7"/>
      <c r="D78" s="7"/>
      <c r="E78" s="7"/>
      <c r="F78" s="42"/>
      <c r="G78" s="7"/>
      <c r="H78" s="7"/>
      <c r="I78"/>
      <c r="J78"/>
      <c r="K78"/>
      <c r="L78"/>
      <c r="M78"/>
    </row>
    <row r="79" spans="1:13" x14ac:dyDescent="0.25">
      <c r="A79" s="40"/>
      <c r="B79" s="41"/>
      <c r="C79" s="7"/>
      <c r="D79" s="7"/>
      <c r="E79" s="7"/>
      <c r="F79" s="42"/>
      <c r="G79" s="7"/>
      <c r="H79" s="7"/>
      <c r="I79"/>
      <c r="J79"/>
      <c r="K79"/>
      <c r="L79"/>
      <c r="M79"/>
    </row>
    <row r="80" spans="1:13" x14ac:dyDescent="0.25">
      <c r="A80" s="40"/>
      <c r="B80" s="41"/>
      <c r="C80" s="7"/>
      <c r="D80" s="7"/>
      <c r="E80" s="7"/>
      <c r="F80" s="42"/>
      <c r="G80" s="7"/>
      <c r="H80" s="7"/>
      <c r="I80"/>
      <c r="J80"/>
      <c r="K80"/>
      <c r="L80"/>
      <c r="M80"/>
    </row>
    <row r="81" spans="1:13" x14ac:dyDescent="0.25">
      <c r="A81" s="40"/>
      <c r="B81" s="41"/>
      <c r="C81" s="7"/>
      <c r="D81" s="7"/>
      <c r="E81" s="7"/>
      <c r="F81" s="42"/>
      <c r="G81" s="7"/>
      <c r="H81" s="7"/>
      <c r="I81"/>
      <c r="J81"/>
      <c r="K81"/>
      <c r="L81"/>
      <c r="M81"/>
    </row>
    <row r="82" spans="1:13" x14ac:dyDescent="0.25">
      <c r="A82" s="40"/>
      <c r="B82" s="41"/>
      <c r="C82" s="7"/>
      <c r="D82" s="7"/>
      <c r="E82" s="7"/>
      <c r="F82" s="42"/>
      <c r="G82" s="7"/>
      <c r="H82" s="7"/>
      <c r="I82"/>
      <c r="J82"/>
      <c r="K82"/>
      <c r="L82"/>
      <c r="M82"/>
    </row>
    <row r="83" spans="1:13" x14ac:dyDescent="0.25">
      <c r="A83" s="40"/>
      <c r="B83" s="41"/>
      <c r="C83" s="7"/>
      <c r="D83" s="7"/>
      <c r="E83" s="7"/>
      <c r="F83" s="42"/>
      <c r="G83" s="7"/>
      <c r="H83" s="7"/>
      <c r="I83"/>
      <c r="J83"/>
      <c r="K83"/>
      <c r="L83"/>
      <c r="M83"/>
    </row>
    <row r="84" spans="1:13" x14ac:dyDescent="0.25">
      <c r="A84" s="40"/>
      <c r="B84" s="41"/>
      <c r="C84" s="7"/>
      <c r="D84" s="7"/>
      <c r="E84" s="7"/>
      <c r="F84" s="42"/>
      <c r="G84" s="7"/>
      <c r="H84" s="7"/>
      <c r="I84"/>
      <c r="J84"/>
      <c r="K84"/>
      <c r="L84"/>
      <c r="M84"/>
    </row>
    <row r="85" spans="1:13" x14ac:dyDescent="0.25">
      <c r="A85" s="40"/>
      <c r="B85" s="41"/>
      <c r="C85" s="7"/>
      <c r="D85" s="7"/>
      <c r="E85" s="7"/>
      <c r="F85" s="42"/>
      <c r="G85" s="7"/>
      <c r="H85" s="7"/>
      <c r="I85"/>
      <c r="J85"/>
      <c r="K85"/>
      <c r="L85"/>
      <c r="M85"/>
    </row>
    <row r="86" spans="1:13" x14ac:dyDescent="0.25">
      <c r="A86" s="40"/>
      <c r="B86" s="41"/>
      <c r="C86" s="7"/>
      <c r="D86" s="7"/>
      <c r="E86" s="7"/>
      <c r="F86" s="42"/>
      <c r="G86" s="7"/>
      <c r="H86" s="7"/>
      <c r="I86"/>
      <c r="J86"/>
      <c r="K86"/>
      <c r="L86"/>
      <c r="M86"/>
    </row>
    <row r="87" spans="1:13" x14ac:dyDescent="0.25">
      <c r="A87" s="40"/>
      <c r="B87" s="41"/>
      <c r="C87" s="7"/>
      <c r="D87" s="7"/>
      <c r="E87" s="7"/>
      <c r="F87" s="42"/>
      <c r="G87" s="7"/>
      <c r="H87" s="7"/>
      <c r="I87"/>
      <c r="J87"/>
      <c r="K87"/>
      <c r="L87"/>
      <c r="M87"/>
    </row>
    <row r="88" spans="1:13" x14ac:dyDescent="0.25">
      <c r="A88" s="40"/>
      <c r="B88" s="41"/>
      <c r="C88" s="7"/>
      <c r="D88" s="7"/>
      <c r="E88" s="7"/>
      <c r="F88" s="42"/>
      <c r="G88" s="7"/>
      <c r="H88" s="7"/>
      <c r="I88"/>
      <c r="J88"/>
      <c r="K88"/>
      <c r="L88"/>
      <c r="M88"/>
    </row>
    <row r="89" spans="1:13" x14ac:dyDescent="0.25">
      <c r="A89" s="40"/>
      <c r="B89" s="41"/>
      <c r="C89" s="7"/>
      <c r="D89" s="7"/>
      <c r="E89" s="7"/>
      <c r="F89" s="42"/>
      <c r="G89" s="7"/>
      <c r="H89" s="7"/>
      <c r="I89"/>
      <c r="J89"/>
      <c r="K89"/>
      <c r="L89"/>
      <c r="M89"/>
    </row>
    <row r="90" spans="1:13" x14ac:dyDescent="0.25">
      <c r="A90" s="40"/>
      <c r="B90" s="41"/>
      <c r="C90" s="7"/>
      <c r="D90" s="7"/>
      <c r="E90" s="7"/>
      <c r="F90" s="42"/>
      <c r="G90" s="7"/>
      <c r="H90" s="7"/>
      <c r="I90"/>
      <c r="J90"/>
      <c r="K90"/>
      <c r="L90"/>
      <c r="M90"/>
    </row>
    <row r="91" spans="1:13" x14ac:dyDescent="0.25">
      <c r="A91" s="40"/>
      <c r="B91" s="41"/>
      <c r="C91" s="7"/>
      <c r="D91" s="7"/>
      <c r="E91" s="7"/>
      <c r="F91" s="42"/>
      <c r="G91" s="7"/>
      <c r="H91" s="7"/>
      <c r="I91"/>
      <c r="J91"/>
      <c r="K91"/>
      <c r="L91"/>
      <c r="M91"/>
    </row>
    <row r="92" spans="1:13" x14ac:dyDescent="0.25">
      <c r="A92" s="40"/>
      <c r="B92" s="41"/>
      <c r="C92" s="7"/>
      <c r="D92" s="7"/>
      <c r="E92" s="7"/>
      <c r="F92" s="42"/>
      <c r="G92" s="7"/>
      <c r="H92" s="7"/>
      <c r="I92"/>
      <c r="J92"/>
      <c r="K92"/>
      <c r="L92"/>
      <c r="M92"/>
    </row>
    <row r="93" spans="1:13" x14ac:dyDescent="0.25">
      <c r="A93" s="40"/>
      <c r="B93" s="41"/>
      <c r="C93" s="7"/>
      <c r="D93" s="7"/>
      <c r="E93" s="7"/>
      <c r="F93" s="42"/>
      <c r="G93" s="7"/>
      <c r="H93" s="7"/>
      <c r="I93"/>
      <c r="J93"/>
      <c r="K93"/>
      <c r="L93"/>
      <c r="M93"/>
    </row>
    <row r="94" spans="1:13" x14ac:dyDescent="0.25">
      <c r="A94" s="40"/>
      <c r="B94" s="41"/>
      <c r="C94" s="7"/>
      <c r="D94" s="7"/>
      <c r="E94" s="7"/>
      <c r="F94" s="42"/>
      <c r="G94" s="7"/>
      <c r="H94" s="7"/>
      <c r="I94"/>
      <c r="J94"/>
      <c r="K94"/>
      <c r="L94"/>
      <c r="M94"/>
    </row>
    <row r="95" spans="1:13" x14ac:dyDescent="0.25">
      <c r="A95" s="40"/>
      <c r="B95" s="41"/>
      <c r="C95" s="7"/>
      <c r="D95" s="7"/>
      <c r="E95" s="7"/>
      <c r="F95" s="42"/>
      <c r="G95" s="7"/>
      <c r="H95" s="7"/>
      <c r="I95"/>
      <c r="J95"/>
      <c r="K95"/>
      <c r="L95"/>
      <c r="M95"/>
    </row>
    <row r="96" spans="1:13" x14ac:dyDescent="0.25">
      <c r="A96" s="40"/>
      <c r="B96" s="41"/>
      <c r="C96" s="7"/>
      <c r="D96" s="7"/>
      <c r="E96" s="7"/>
      <c r="F96" s="42"/>
      <c r="G96" s="7"/>
      <c r="H96" s="7"/>
      <c r="I96"/>
      <c r="J96"/>
      <c r="K96"/>
      <c r="L96"/>
      <c r="M96"/>
    </row>
    <row r="97" spans="1:13" x14ac:dyDescent="0.25">
      <c r="A97" s="40"/>
      <c r="B97" s="41"/>
      <c r="C97" s="7"/>
      <c r="D97" s="7"/>
      <c r="E97" s="7"/>
      <c r="F97" s="42"/>
      <c r="G97" s="7"/>
      <c r="H97" s="7"/>
      <c r="I97"/>
      <c r="J97"/>
      <c r="K97"/>
      <c r="L97"/>
      <c r="M97"/>
    </row>
    <row r="98" spans="1:13" x14ac:dyDescent="0.25">
      <c r="A98" s="40"/>
      <c r="B98" s="41"/>
      <c r="C98" s="7"/>
      <c r="D98" s="7"/>
      <c r="E98" s="7"/>
      <c r="F98" s="42"/>
      <c r="G98" s="7"/>
      <c r="H98" s="7"/>
      <c r="I98"/>
      <c r="J98"/>
      <c r="K98"/>
      <c r="L98"/>
      <c r="M98"/>
    </row>
    <row r="99" spans="1:13" x14ac:dyDescent="0.25">
      <c r="A99" s="40"/>
      <c r="B99" s="41"/>
      <c r="C99" s="7"/>
      <c r="D99" s="7"/>
      <c r="E99" s="7"/>
      <c r="F99" s="42"/>
      <c r="G99" s="7"/>
      <c r="H99" s="7"/>
      <c r="I99"/>
      <c r="J99"/>
      <c r="K99"/>
      <c r="L99"/>
      <c r="M99"/>
    </row>
    <row r="100" spans="1:13" x14ac:dyDescent="0.25">
      <c r="A100" s="40"/>
      <c r="B100" s="41"/>
      <c r="C100" s="7"/>
      <c r="D100" s="7"/>
      <c r="E100" s="7"/>
      <c r="F100" s="42"/>
      <c r="G100" s="7"/>
      <c r="H100" s="7"/>
      <c r="I100"/>
      <c r="J100"/>
      <c r="K100"/>
      <c r="L100"/>
      <c r="M100"/>
    </row>
    <row r="101" spans="1:13" x14ac:dyDescent="0.25">
      <c r="A101" s="40"/>
      <c r="B101" s="41"/>
      <c r="C101" s="7"/>
      <c r="D101" s="7"/>
      <c r="E101" s="7"/>
      <c r="F101" s="42"/>
      <c r="G101" s="7"/>
      <c r="H101" s="7"/>
      <c r="I101"/>
      <c r="J101"/>
      <c r="K101"/>
      <c r="L101"/>
      <c r="M101"/>
    </row>
    <row r="102" spans="1:13" x14ac:dyDescent="0.25">
      <c r="A102" s="40"/>
      <c r="B102" s="41"/>
      <c r="C102" s="7"/>
      <c r="D102" s="7"/>
      <c r="E102" s="7"/>
      <c r="F102" s="42"/>
      <c r="G102" s="7"/>
      <c r="H102" s="7"/>
      <c r="I102"/>
      <c r="J102"/>
      <c r="K102"/>
      <c r="L102"/>
      <c r="M102"/>
    </row>
    <row r="103" spans="1:13" x14ac:dyDescent="0.25">
      <c r="A103" s="40"/>
      <c r="B103" s="41"/>
      <c r="C103" s="7"/>
      <c r="D103" s="7"/>
      <c r="E103" s="7"/>
      <c r="F103" s="42"/>
      <c r="G103" s="7"/>
      <c r="H103" s="7"/>
      <c r="I103"/>
      <c r="J103"/>
      <c r="K103"/>
      <c r="L103"/>
      <c r="M103"/>
    </row>
    <row r="104" spans="1:13" x14ac:dyDescent="0.25">
      <c r="A104" s="40"/>
      <c r="B104" s="41"/>
      <c r="C104" s="7"/>
      <c r="D104" s="7"/>
      <c r="E104" s="7"/>
      <c r="F104" s="42"/>
      <c r="G104" s="7"/>
      <c r="H104" s="7"/>
      <c r="I104"/>
      <c r="J104"/>
      <c r="K104"/>
      <c r="L104"/>
      <c r="M104"/>
    </row>
    <row r="105" spans="1:13" x14ac:dyDescent="0.25">
      <c r="C105" t="s">
        <v>42</v>
      </c>
      <c r="E105" s="17" t="e">
        <f>SUM(#REF!)</f>
        <v>#REF!</v>
      </c>
      <c r="I105"/>
      <c r="J105"/>
      <c r="K105"/>
      <c r="L105"/>
      <c r="M105"/>
    </row>
    <row r="106" spans="1:13" x14ac:dyDescent="0.25">
      <c r="I106"/>
      <c r="J106"/>
      <c r="K106"/>
      <c r="L106"/>
      <c r="M106"/>
    </row>
    <row r="107" spans="1:13" x14ac:dyDescent="0.25">
      <c r="I107"/>
      <c r="J107"/>
      <c r="K107"/>
      <c r="L107"/>
      <c r="M107"/>
    </row>
    <row r="108" spans="1:13" x14ac:dyDescent="0.25">
      <c r="C108" t="s">
        <v>36</v>
      </c>
      <c r="F108" s="9">
        <f>SUM(F3:F22)</f>
        <v>47943500</v>
      </c>
      <c r="I108"/>
      <c r="J108" s="16"/>
      <c r="K108" s="16"/>
      <c r="L108"/>
      <c r="M108"/>
    </row>
    <row r="109" spans="1:13" x14ac:dyDescent="0.25">
      <c r="C109" t="s">
        <v>37</v>
      </c>
      <c r="F109" s="15">
        <f>[2]Phapros!H379</f>
        <v>299675900</v>
      </c>
      <c r="I109"/>
      <c r="J109"/>
      <c r="K109"/>
      <c r="L109"/>
      <c r="M109"/>
    </row>
    <row r="110" spans="1:13" x14ac:dyDescent="0.25">
      <c r="D110" t="s">
        <v>43</v>
      </c>
      <c r="F110" s="14">
        <f>F108+F109</f>
        <v>347619400</v>
      </c>
      <c r="I110"/>
      <c r="J110"/>
      <c r="K110"/>
      <c r="L110"/>
      <c r="M110"/>
    </row>
    <row r="111" spans="1:13" ht="11.25" customHeight="1" x14ac:dyDescent="0.25">
      <c r="F111" s="14"/>
      <c r="I111"/>
      <c r="J111"/>
      <c r="K111"/>
      <c r="L111"/>
      <c r="M111"/>
    </row>
    <row r="112" spans="1:13" x14ac:dyDescent="0.25">
      <c r="C112" t="s">
        <v>38</v>
      </c>
      <c r="I112"/>
      <c r="J112"/>
      <c r="K112"/>
      <c r="L112"/>
      <c r="M112"/>
    </row>
    <row r="113" spans="3:13" x14ac:dyDescent="0.25">
      <c r="C113" t="s">
        <v>44</v>
      </c>
      <c r="E113" s="9">
        <v>220186527</v>
      </c>
      <c r="I113"/>
      <c r="J113"/>
      <c r="K113"/>
      <c r="L113"/>
      <c r="M113"/>
    </row>
    <row r="114" spans="3:13" x14ac:dyDescent="0.25">
      <c r="C114" t="s">
        <v>45</v>
      </c>
      <c r="E114" s="15">
        <v>452400140</v>
      </c>
      <c r="I114"/>
      <c r="J114"/>
      <c r="K114"/>
      <c r="L114"/>
      <c r="M114"/>
    </row>
    <row r="115" spans="3:13" ht="15.75" x14ac:dyDescent="0.25">
      <c r="C115" t="s">
        <v>46</v>
      </c>
      <c r="F115" s="18">
        <f>E113+E114</f>
        <v>672586667</v>
      </c>
      <c r="I115"/>
      <c r="J115"/>
      <c r="K115"/>
      <c r="L115"/>
      <c r="M115"/>
    </row>
    <row r="116" spans="3:13" ht="15.75" x14ac:dyDescent="0.25">
      <c r="D116" s="1" t="s">
        <v>39</v>
      </c>
      <c r="F116" s="9">
        <f>F110-F115</f>
        <v>-324967267</v>
      </c>
      <c r="I116"/>
      <c r="J116"/>
      <c r="K116"/>
      <c r="L116"/>
      <c r="M116"/>
    </row>
    <row r="117" spans="3:13" x14ac:dyDescent="0.25">
      <c r="I117"/>
      <c r="J117"/>
      <c r="K117"/>
      <c r="L117"/>
      <c r="M117"/>
    </row>
    <row r="118" spans="3:13" x14ac:dyDescent="0.25">
      <c r="I118"/>
      <c r="J118"/>
      <c r="K118"/>
      <c r="L118"/>
      <c r="M118"/>
    </row>
    <row r="119" spans="3:13" x14ac:dyDescent="0.25">
      <c r="I119"/>
      <c r="J119"/>
      <c r="K119"/>
      <c r="L119"/>
      <c r="M119"/>
    </row>
    <row r="120" spans="3:13" x14ac:dyDescent="0.25">
      <c r="I120"/>
      <c r="J120" s="19"/>
      <c r="K120" s="19"/>
      <c r="L120"/>
      <c r="M120"/>
    </row>
    <row r="121" spans="3:13" x14ac:dyDescent="0.25">
      <c r="I121"/>
      <c r="J121" s="19"/>
      <c r="K121" s="19"/>
      <c r="L121"/>
      <c r="M121"/>
    </row>
    <row r="122" spans="3:13" x14ac:dyDescent="0.25">
      <c r="I122"/>
      <c r="J122" s="7"/>
      <c r="K122" s="7"/>
      <c r="L122"/>
      <c r="M122"/>
    </row>
    <row r="123" spans="3:13" x14ac:dyDescent="0.25">
      <c r="I123"/>
      <c r="J123" s="19"/>
      <c r="K123" s="19"/>
      <c r="L123"/>
      <c r="M123"/>
    </row>
    <row r="124" spans="3:13" x14ac:dyDescent="0.25">
      <c r="I124"/>
      <c r="J124" s="19"/>
      <c r="K124" s="19"/>
      <c r="L124"/>
      <c r="M124"/>
    </row>
    <row r="125" spans="3:13" x14ac:dyDescent="0.25">
      <c r="I125"/>
      <c r="J125" s="7"/>
      <c r="K125" s="7"/>
      <c r="L125"/>
      <c r="M125"/>
    </row>
    <row r="126" spans="3:13" x14ac:dyDescent="0.25">
      <c r="I126"/>
      <c r="J126" s="19"/>
      <c r="K126" s="19"/>
      <c r="L126"/>
      <c r="M126"/>
    </row>
    <row r="127" spans="3:13" x14ac:dyDescent="0.25">
      <c r="I127"/>
      <c r="J127" s="19"/>
      <c r="K127" s="19"/>
      <c r="L127"/>
      <c r="M127"/>
    </row>
    <row r="128" spans="3:13" x14ac:dyDescent="0.25">
      <c r="I128"/>
      <c r="J128" s="7"/>
      <c r="K128" s="7"/>
      <c r="L128"/>
      <c r="M128"/>
    </row>
    <row r="129" spans="9:13" x14ac:dyDescent="0.25">
      <c r="I129"/>
      <c r="J129"/>
      <c r="K129"/>
      <c r="L129"/>
      <c r="M129"/>
    </row>
    <row r="130" spans="9:13" x14ac:dyDescent="0.25">
      <c r="I130"/>
      <c r="J130"/>
      <c r="K130"/>
      <c r="L130"/>
      <c r="M130"/>
    </row>
    <row r="131" spans="9:13" x14ac:dyDescent="0.25">
      <c r="I131"/>
      <c r="J131"/>
      <c r="K131"/>
      <c r="L131"/>
      <c r="M131"/>
    </row>
    <row r="132" spans="9:13" x14ac:dyDescent="0.25">
      <c r="I132"/>
      <c r="J132"/>
      <c r="K132"/>
      <c r="L132"/>
      <c r="M132"/>
    </row>
    <row r="133" spans="9:13" x14ac:dyDescent="0.25">
      <c r="I133"/>
      <c r="J133"/>
      <c r="K133"/>
      <c r="L133"/>
      <c r="M133"/>
    </row>
    <row r="134" spans="9:13" x14ac:dyDescent="0.25">
      <c r="I134"/>
      <c r="J134"/>
      <c r="K134"/>
      <c r="L134"/>
      <c r="M134"/>
    </row>
    <row r="135" spans="9:13" x14ac:dyDescent="0.25">
      <c r="I135"/>
      <c r="J135"/>
      <c r="K135"/>
      <c r="L135"/>
      <c r="M135"/>
    </row>
    <row r="136" spans="9:13" x14ac:dyDescent="0.25">
      <c r="I136"/>
      <c r="J136"/>
      <c r="K136"/>
      <c r="L136"/>
      <c r="M136"/>
    </row>
    <row r="137" spans="9:13" x14ac:dyDescent="0.25">
      <c r="I137"/>
      <c r="J137"/>
      <c r="K137"/>
      <c r="L137"/>
      <c r="M137"/>
    </row>
    <row r="138" spans="9:13" x14ac:dyDescent="0.25">
      <c r="I138"/>
      <c r="J138"/>
      <c r="K138"/>
      <c r="L138"/>
      <c r="M138"/>
    </row>
    <row r="139" spans="9:13" x14ac:dyDescent="0.25">
      <c r="I139"/>
      <c r="J139"/>
      <c r="K139"/>
      <c r="L139"/>
      <c r="M139"/>
    </row>
    <row r="140" spans="9:13" x14ac:dyDescent="0.25">
      <c r="I140"/>
      <c r="J140"/>
      <c r="K140"/>
      <c r="L140"/>
      <c r="M140"/>
    </row>
    <row r="141" spans="9:13" x14ac:dyDescent="0.25">
      <c r="I141"/>
      <c r="J141"/>
      <c r="K141"/>
      <c r="L141"/>
      <c r="M141"/>
    </row>
    <row r="142" spans="9:13" x14ac:dyDescent="0.25">
      <c r="I142"/>
      <c r="J142"/>
      <c r="K142"/>
      <c r="L142"/>
      <c r="M142"/>
    </row>
    <row r="143" spans="9:13" x14ac:dyDescent="0.25">
      <c r="I143"/>
      <c r="J143"/>
      <c r="K143"/>
      <c r="L143"/>
      <c r="M143"/>
    </row>
    <row r="144" spans="9:13" x14ac:dyDescent="0.25">
      <c r="I144"/>
      <c r="J144"/>
      <c r="K144"/>
      <c r="L144"/>
      <c r="M144"/>
    </row>
    <row r="145" spans="9:13" x14ac:dyDescent="0.25">
      <c r="I145"/>
      <c r="J145"/>
      <c r="K145"/>
      <c r="L145"/>
      <c r="M145"/>
    </row>
    <row r="146" spans="9:13" x14ac:dyDescent="0.25">
      <c r="I146"/>
      <c r="J146"/>
      <c r="K146"/>
      <c r="L146"/>
      <c r="M146"/>
    </row>
    <row r="147" spans="9:13" x14ac:dyDescent="0.25">
      <c r="I147"/>
      <c r="J147"/>
      <c r="K147"/>
      <c r="L147"/>
      <c r="M147"/>
    </row>
    <row r="148" spans="9:13" x14ac:dyDescent="0.25">
      <c r="I148"/>
      <c r="J148"/>
      <c r="K148"/>
      <c r="L148"/>
      <c r="M148"/>
    </row>
    <row r="149" spans="9:13" x14ac:dyDescent="0.25">
      <c r="I149"/>
      <c r="J149"/>
      <c r="K149"/>
      <c r="L149"/>
      <c r="M149"/>
    </row>
    <row r="150" spans="9:13" x14ac:dyDescent="0.25">
      <c r="I150"/>
      <c r="J150"/>
      <c r="K150"/>
      <c r="L150"/>
      <c r="M150"/>
    </row>
    <row r="151" spans="9:13" x14ac:dyDescent="0.25">
      <c r="I151"/>
      <c r="J151"/>
      <c r="K151"/>
      <c r="L151"/>
      <c r="M151"/>
    </row>
    <row r="152" spans="9:13" x14ac:dyDescent="0.25">
      <c r="I152"/>
      <c r="J152"/>
      <c r="K152"/>
      <c r="L152"/>
      <c r="M152"/>
    </row>
    <row r="153" spans="9:13" x14ac:dyDescent="0.25">
      <c r="I153"/>
      <c r="J153"/>
      <c r="K153"/>
      <c r="L153"/>
      <c r="M153"/>
    </row>
    <row r="154" spans="9:13" x14ac:dyDescent="0.25">
      <c r="I154"/>
      <c r="J154"/>
      <c r="K154"/>
      <c r="L154"/>
      <c r="M154"/>
    </row>
    <row r="155" spans="9:13" x14ac:dyDescent="0.25">
      <c r="I155"/>
      <c r="J155"/>
      <c r="K155"/>
      <c r="L155"/>
      <c r="M155"/>
    </row>
    <row r="156" spans="9:13" x14ac:dyDescent="0.25">
      <c r="I156"/>
      <c r="J156"/>
      <c r="K156"/>
      <c r="L156"/>
      <c r="M156"/>
    </row>
    <row r="157" spans="9:13" x14ac:dyDescent="0.25">
      <c r="I157"/>
      <c r="J157"/>
      <c r="K157"/>
      <c r="L157"/>
      <c r="M157"/>
    </row>
    <row r="158" spans="9:13" x14ac:dyDescent="0.25">
      <c r="I158"/>
      <c r="J158"/>
      <c r="K158"/>
      <c r="L158"/>
      <c r="M158"/>
    </row>
    <row r="159" spans="9:13" x14ac:dyDescent="0.25">
      <c r="I159"/>
      <c r="J159"/>
      <c r="K159"/>
      <c r="L159"/>
      <c r="M159"/>
    </row>
    <row r="160" spans="9:13" x14ac:dyDescent="0.25">
      <c r="I160"/>
      <c r="J160"/>
      <c r="K160"/>
      <c r="L160"/>
      <c r="M160"/>
    </row>
    <row r="161" spans="9:13" x14ac:dyDescent="0.25">
      <c r="I161"/>
      <c r="J161"/>
      <c r="K161"/>
      <c r="L161"/>
      <c r="M161"/>
    </row>
    <row r="162" spans="9:13" x14ac:dyDescent="0.25">
      <c r="I162"/>
      <c r="J162"/>
      <c r="K162"/>
      <c r="L162"/>
      <c r="M162"/>
    </row>
    <row r="163" spans="9:13" x14ac:dyDescent="0.25">
      <c r="I163"/>
      <c r="J163"/>
      <c r="K163"/>
      <c r="L163"/>
      <c r="M163"/>
    </row>
    <row r="164" spans="9:13" x14ac:dyDescent="0.25">
      <c r="I164"/>
      <c r="J164"/>
      <c r="K164"/>
      <c r="L164"/>
      <c r="M164"/>
    </row>
    <row r="165" spans="9:13" x14ac:dyDescent="0.25">
      <c r="I165"/>
      <c r="J165"/>
      <c r="K165"/>
      <c r="L165"/>
      <c r="M165"/>
    </row>
    <row r="166" spans="9:13" x14ac:dyDescent="0.25">
      <c r="I166"/>
      <c r="J166"/>
      <c r="K166"/>
      <c r="L166"/>
      <c r="M166"/>
    </row>
    <row r="167" spans="9:13" x14ac:dyDescent="0.25">
      <c r="I167"/>
      <c r="J167"/>
      <c r="K167"/>
      <c r="L167"/>
      <c r="M167"/>
    </row>
    <row r="168" spans="9:13" x14ac:dyDescent="0.25">
      <c r="I168"/>
      <c r="J168"/>
      <c r="K168"/>
      <c r="L168"/>
      <c r="M168"/>
    </row>
    <row r="169" spans="9:13" x14ac:dyDescent="0.25">
      <c r="I169"/>
      <c r="J169"/>
      <c r="K169"/>
      <c r="L169"/>
      <c r="M169"/>
    </row>
    <row r="170" spans="9:13" x14ac:dyDescent="0.25">
      <c r="I170"/>
      <c r="J170"/>
      <c r="K170"/>
      <c r="L170"/>
      <c r="M170"/>
    </row>
    <row r="171" spans="9:13" x14ac:dyDescent="0.25">
      <c r="I171"/>
      <c r="J171"/>
      <c r="K171"/>
      <c r="L171"/>
      <c r="M171"/>
    </row>
    <row r="172" spans="9:13" x14ac:dyDescent="0.25">
      <c r="I172"/>
      <c r="J172"/>
      <c r="K172"/>
      <c r="L172"/>
      <c r="M172"/>
    </row>
    <row r="173" spans="9:13" x14ac:dyDescent="0.25">
      <c r="I173"/>
      <c r="J173"/>
      <c r="K173"/>
      <c r="L173"/>
      <c r="M173"/>
    </row>
    <row r="174" spans="9:13" x14ac:dyDescent="0.25">
      <c r="I174"/>
      <c r="J174"/>
      <c r="K174"/>
      <c r="L174"/>
      <c r="M174"/>
    </row>
    <row r="175" spans="9:13" x14ac:dyDescent="0.25">
      <c r="I175"/>
      <c r="J175"/>
      <c r="K175"/>
      <c r="L175"/>
      <c r="M175"/>
    </row>
    <row r="176" spans="9:13" x14ac:dyDescent="0.25">
      <c r="I176"/>
      <c r="J176"/>
      <c r="K176"/>
      <c r="L176"/>
      <c r="M176"/>
    </row>
    <row r="177" spans="9:13" x14ac:dyDescent="0.25">
      <c r="I177"/>
      <c r="J177"/>
      <c r="K177"/>
      <c r="L177"/>
      <c r="M177"/>
    </row>
    <row r="178" spans="9:13" x14ac:dyDescent="0.25">
      <c r="I178"/>
      <c r="J178"/>
      <c r="K178"/>
      <c r="L178"/>
      <c r="M178"/>
    </row>
    <row r="179" spans="9:13" x14ac:dyDescent="0.25">
      <c r="I179"/>
      <c r="J179"/>
      <c r="K179"/>
      <c r="L179"/>
      <c r="M179"/>
    </row>
    <row r="180" spans="9:13" x14ac:dyDescent="0.25">
      <c r="I180"/>
      <c r="J180"/>
      <c r="K180"/>
      <c r="L180"/>
      <c r="M180"/>
    </row>
    <row r="181" spans="9:13" x14ac:dyDescent="0.25">
      <c r="I181"/>
      <c r="J181"/>
      <c r="K181"/>
      <c r="L181"/>
      <c r="M181"/>
    </row>
    <row r="182" spans="9:13" x14ac:dyDescent="0.25">
      <c r="I182"/>
      <c r="J182"/>
      <c r="K182"/>
      <c r="L182"/>
      <c r="M182"/>
    </row>
    <row r="183" spans="9:13" x14ac:dyDescent="0.25">
      <c r="I183"/>
      <c r="J183"/>
      <c r="K183"/>
      <c r="L183"/>
      <c r="M183"/>
    </row>
    <row r="184" spans="9:13" x14ac:dyDescent="0.25">
      <c r="I184"/>
      <c r="J184"/>
      <c r="K184"/>
      <c r="L184"/>
      <c r="M184"/>
    </row>
    <row r="185" spans="9:13" x14ac:dyDescent="0.25">
      <c r="I185"/>
      <c r="J185"/>
      <c r="K185"/>
      <c r="L185"/>
      <c r="M185"/>
    </row>
    <row r="186" spans="9:13" x14ac:dyDescent="0.25">
      <c r="I186"/>
      <c r="J186"/>
      <c r="K186"/>
      <c r="L186"/>
      <c r="M186"/>
    </row>
    <row r="187" spans="9:13" x14ac:dyDescent="0.25">
      <c r="I187"/>
      <c r="J187"/>
      <c r="K187"/>
      <c r="L187"/>
      <c r="M187"/>
    </row>
    <row r="188" spans="9:13" x14ac:dyDescent="0.25">
      <c r="I188"/>
      <c r="J188"/>
      <c r="K188"/>
      <c r="L188"/>
      <c r="M188"/>
    </row>
    <row r="189" spans="9:13" x14ac:dyDescent="0.25">
      <c r="I189"/>
      <c r="J189"/>
      <c r="K189"/>
      <c r="L189"/>
      <c r="M189"/>
    </row>
    <row r="190" spans="9:13" x14ac:dyDescent="0.25">
      <c r="I190"/>
      <c r="J190"/>
      <c r="K190"/>
      <c r="L190"/>
      <c r="M190"/>
    </row>
    <row r="191" spans="9:13" x14ac:dyDescent="0.25">
      <c r="I191"/>
      <c r="J191"/>
      <c r="K191"/>
      <c r="L191"/>
      <c r="M191"/>
    </row>
    <row r="192" spans="9:13" x14ac:dyDescent="0.25">
      <c r="I192"/>
      <c r="J192"/>
      <c r="K192"/>
      <c r="L192"/>
      <c r="M192"/>
    </row>
    <row r="193" spans="9:13" x14ac:dyDescent="0.25">
      <c r="I193"/>
      <c r="J193"/>
      <c r="K193"/>
      <c r="L193"/>
      <c r="M193"/>
    </row>
    <row r="194" spans="9:13" x14ac:dyDescent="0.25">
      <c r="I194"/>
      <c r="J194"/>
      <c r="K194"/>
      <c r="L194"/>
      <c r="M194"/>
    </row>
    <row r="195" spans="9:13" x14ac:dyDescent="0.25">
      <c r="I195"/>
      <c r="J195"/>
      <c r="K195"/>
      <c r="L195"/>
      <c r="M195"/>
    </row>
    <row r="196" spans="9:13" x14ac:dyDescent="0.25">
      <c r="I196"/>
      <c r="J196"/>
      <c r="K196"/>
      <c r="L196"/>
      <c r="M196"/>
    </row>
    <row r="197" spans="9:13" x14ac:dyDescent="0.25">
      <c r="I197"/>
      <c r="J197"/>
      <c r="K197"/>
      <c r="L197"/>
      <c r="M197"/>
    </row>
    <row r="198" spans="9:13" x14ac:dyDescent="0.25">
      <c r="I198"/>
      <c r="J198"/>
      <c r="K198"/>
      <c r="L198"/>
      <c r="M198"/>
    </row>
    <row r="199" spans="9:13" x14ac:dyDescent="0.25">
      <c r="I199"/>
      <c r="J199"/>
      <c r="K199"/>
      <c r="L199"/>
      <c r="M199"/>
    </row>
    <row r="200" spans="9:13" x14ac:dyDescent="0.25">
      <c r="I200"/>
      <c r="J200"/>
      <c r="K200"/>
      <c r="L200"/>
      <c r="M200"/>
    </row>
    <row r="201" spans="9:13" x14ac:dyDescent="0.25">
      <c r="I201"/>
      <c r="J201"/>
      <c r="K201"/>
      <c r="L201"/>
      <c r="M201"/>
    </row>
    <row r="202" spans="9:13" x14ac:dyDescent="0.25">
      <c r="I202"/>
      <c r="J202"/>
      <c r="K202"/>
      <c r="L202"/>
      <c r="M202"/>
    </row>
    <row r="203" spans="9:13" x14ac:dyDescent="0.25">
      <c r="I203"/>
      <c r="J203"/>
      <c r="K203"/>
      <c r="L203"/>
      <c r="M203"/>
    </row>
    <row r="204" spans="9:13" x14ac:dyDescent="0.25">
      <c r="I204"/>
      <c r="J204"/>
      <c r="K204"/>
      <c r="L204"/>
      <c r="M204"/>
    </row>
    <row r="205" spans="9:13" x14ac:dyDescent="0.25">
      <c r="I205"/>
      <c r="J205"/>
      <c r="K205"/>
      <c r="L205"/>
      <c r="M205"/>
    </row>
    <row r="206" spans="9:13" x14ac:dyDescent="0.25">
      <c r="I206"/>
      <c r="J206"/>
      <c r="K206"/>
      <c r="L206"/>
      <c r="M206"/>
    </row>
    <row r="207" spans="9:13" x14ac:dyDescent="0.25">
      <c r="I207"/>
      <c r="J207"/>
      <c r="K207"/>
      <c r="L207"/>
      <c r="M207"/>
    </row>
    <row r="208" spans="9:13" x14ac:dyDescent="0.25">
      <c r="I208"/>
      <c r="J208"/>
      <c r="K208"/>
      <c r="L208"/>
      <c r="M208"/>
    </row>
    <row r="209" spans="9:13" x14ac:dyDescent="0.25">
      <c r="I209"/>
      <c r="J209"/>
      <c r="K209"/>
      <c r="L209"/>
      <c r="M209"/>
    </row>
    <row r="210" spans="9:13" x14ac:dyDescent="0.25">
      <c r="I210"/>
      <c r="J210"/>
      <c r="K210"/>
      <c r="L210"/>
      <c r="M210"/>
    </row>
    <row r="211" spans="9:13" x14ac:dyDescent="0.25">
      <c r="I211"/>
      <c r="J211"/>
      <c r="K211"/>
      <c r="L211"/>
      <c r="M211"/>
    </row>
    <row r="212" spans="9:13" x14ac:dyDescent="0.25">
      <c r="I212"/>
      <c r="J212"/>
      <c r="K212"/>
      <c r="L212"/>
      <c r="M212"/>
    </row>
    <row r="213" spans="9:13" x14ac:dyDescent="0.25">
      <c r="I213"/>
      <c r="J213"/>
      <c r="K213"/>
      <c r="L213"/>
      <c r="M213"/>
    </row>
    <row r="214" spans="9:13" x14ac:dyDescent="0.25">
      <c r="I214"/>
      <c r="J214"/>
      <c r="K214"/>
      <c r="L214"/>
      <c r="M214"/>
    </row>
    <row r="215" spans="9:13" x14ac:dyDescent="0.25">
      <c r="I215"/>
      <c r="J215"/>
      <c r="K215"/>
      <c r="L215"/>
      <c r="M215"/>
    </row>
    <row r="216" spans="9:13" x14ac:dyDescent="0.25">
      <c r="I216"/>
      <c r="J216"/>
      <c r="K216"/>
      <c r="L216"/>
      <c r="M216"/>
    </row>
    <row r="217" spans="9:13" x14ac:dyDescent="0.25">
      <c r="I217"/>
      <c r="J217"/>
      <c r="K217"/>
      <c r="L217"/>
      <c r="M217"/>
    </row>
    <row r="218" spans="9:13" x14ac:dyDescent="0.25">
      <c r="I218"/>
      <c r="J218"/>
      <c r="K218"/>
      <c r="L218"/>
      <c r="M218"/>
    </row>
    <row r="219" spans="9:13" x14ac:dyDescent="0.25">
      <c r="I219"/>
      <c r="J219"/>
      <c r="K219"/>
      <c r="L219"/>
      <c r="M219"/>
    </row>
    <row r="220" spans="9:13" x14ac:dyDescent="0.25">
      <c r="I220"/>
      <c r="J220"/>
      <c r="K220"/>
      <c r="L220"/>
      <c r="M220"/>
    </row>
    <row r="221" spans="9:13" x14ac:dyDescent="0.25">
      <c r="I221"/>
      <c r="J221"/>
      <c r="K221"/>
      <c r="L221"/>
      <c r="M221"/>
    </row>
    <row r="222" spans="9:13" x14ac:dyDescent="0.25">
      <c r="I222"/>
      <c r="J222"/>
      <c r="K222"/>
      <c r="L222"/>
      <c r="M222"/>
    </row>
    <row r="223" spans="9:13" x14ac:dyDescent="0.25">
      <c r="I223"/>
      <c r="J223"/>
      <c r="K223"/>
      <c r="L223"/>
      <c r="M223"/>
    </row>
    <row r="224" spans="9:13" x14ac:dyDescent="0.25">
      <c r="I224"/>
      <c r="J224"/>
      <c r="K224"/>
      <c r="L224"/>
      <c r="M224"/>
    </row>
    <row r="225" spans="9:13" x14ac:dyDescent="0.25">
      <c r="I225"/>
      <c r="J225"/>
      <c r="K225"/>
      <c r="L225"/>
      <c r="M225"/>
    </row>
    <row r="226" spans="9:13" x14ac:dyDescent="0.25">
      <c r="I226"/>
      <c r="J226"/>
      <c r="K226"/>
      <c r="L226"/>
      <c r="M226"/>
    </row>
    <row r="227" spans="9:13" x14ac:dyDescent="0.25">
      <c r="I227"/>
      <c r="J227"/>
      <c r="K227"/>
      <c r="L227"/>
      <c r="M227"/>
    </row>
    <row r="228" spans="9:13" x14ac:dyDescent="0.25">
      <c r="I228"/>
      <c r="J228"/>
      <c r="K228"/>
      <c r="L228"/>
      <c r="M228"/>
    </row>
    <row r="229" spans="9:13" x14ac:dyDescent="0.25">
      <c r="I229"/>
      <c r="J229"/>
      <c r="K229"/>
      <c r="L229"/>
      <c r="M229"/>
    </row>
    <row r="230" spans="9:13" x14ac:dyDescent="0.25">
      <c r="I230"/>
      <c r="J230"/>
      <c r="K230"/>
      <c r="L230"/>
      <c r="M230"/>
    </row>
    <row r="231" spans="9:13" x14ac:dyDescent="0.25">
      <c r="I231"/>
      <c r="J231"/>
      <c r="K231"/>
      <c r="L231"/>
      <c r="M231"/>
    </row>
    <row r="232" spans="9:13" x14ac:dyDescent="0.25">
      <c r="I232"/>
      <c r="J232"/>
      <c r="K232"/>
      <c r="L232"/>
      <c r="M232"/>
    </row>
    <row r="233" spans="9:13" x14ac:dyDescent="0.25">
      <c r="I233"/>
      <c r="J233"/>
      <c r="K233"/>
      <c r="L233"/>
      <c r="M233"/>
    </row>
    <row r="234" spans="9:13" x14ac:dyDescent="0.25">
      <c r="I234"/>
      <c r="J234"/>
      <c r="K234"/>
      <c r="L234"/>
      <c r="M234"/>
    </row>
    <row r="235" spans="9:13" x14ac:dyDescent="0.25">
      <c r="I235"/>
      <c r="J235"/>
      <c r="K235"/>
      <c r="L235"/>
      <c r="M235"/>
    </row>
    <row r="236" spans="9:13" x14ac:dyDescent="0.25">
      <c r="I236"/>
      <c r="J236"/>
      <c r="K236"/>
      <c r="L236"/>
      <c r="M236"/>
    </row>
    <row r="237" spans="9:13" x14ac:dyDescent="0.25">
      <c r="I237"/>
      <c r="J237"/>
      <c r="K237"/>
      <c r="L237"/>
      <c r="M237"/>
    </row>
    <row r="238" spans="9:13" x14ac:dyDescent="0.25">
      <c r="I238"/>
      <c r="J238"/>
      <c r="K238"/>
      <c r="L238"/>
      <c r="M238"/>
    </row>
    <row r="239" spans="9:13" x14ac:dyDescent="0.25">
      <c r="I239"/>
      <c r="J239"/>
      <c r="K239"/>
      <c r="L239"/>
      <c r="M239"/>
    </row>
    <row r="240" spans="9:13" x14ac:dyDescent="0.25">
      <c r="I240"/>
      <c r="J240"/>
      <c r="K240"/>
      <c r="L240"/>
      <c r="M240"/>
    </row>
    <row r="241" spans="9:13" x14ac:dyDescent="0.25">
      <c r="I241"/>
      <c r="J241"/>
      <c r="K241"/>
      <c r="L241"/>
      <c r="M241"/>
    </row>
    <row r="242" spans="9:13" x14ac:dyDescent="0.25">
      <c r="I242"/>
      <c r="J242"/>
      <c r="K242"/>
      <c r="L242"/>
      <c r="M242"/>
    </row>
    <row r="243" spans="9:13" x14ac:dyDescent="0.25">
      <c r="I243"/>
      <c r="J243"/>
      <c r="K243"/>
      <c r="L243"/>
      <c r="M243"/>
    </row>
    <row r="244" spans="9:13" x14ac:dyDescent="0.25">
      <c r="I244"/>
      <c r="J244"/>
      <c r="K244"/>
      <c r="L244"/>
      <c r="M244"/>
    </row>
    <row r="245" spans="9:13" x14ac:dyDescent="0.25">
      <c r="I245"/>
      <c r="J245"/>
      <c r="K245"/>
      <c r="L245"/>
      <c r="M245"/>
    </row>
    <row r="246" spans="9:13" x14ac:dyDescent="0.25">
      <c r="I246"/>
      <c r="J246"/>
      <c r="K246"/>
      <c r="L246"/>
      <c r="M246"/>
    </row>
    <row r="247" spans="9:13" x14ac:dyDescent="0.25">
      <c r="I247"/>
      <c r="J247"/>
      <c r="K247"/>
      <c r="L247"/>
      <c r="M247"/>
    </row>
    <row r="248" spans="9:13" x14ac:dyDescent="0.25">
      <c r="I248"/>
      <c r="J248"/>
      <c r="K248"/>
      <c r="L248"/>
      <c r="M248"/>
    </row>
    <row r="249" spans="9:13" x14ac:dyDescent="0.25">
      <c r="I249"/>
      <c r="J249"/>
      <c r="K249"/>
      <c r="L249"/>
      <c r="M249"/>
    </row>
    <row r="250" spans="9:13" x14ac:dyDescent="0.25">
      <c r="I250"/>
      <c r="J250"/>
      <c r="K250"/>
      <c r="L250"/>
      <c r="M250"/>
    </row>
    <row r="251" spans="9:13" x14ac:dyDescent="0.25">
      <c r="I251"/>
      <c r="J251"/>
      <c r="K251"/>
      <c r="L251"/>
      <c r="M251"/>
    </row>
    <row r="252" spans="9:13" x14ac:dyDescent="0.25">
      <c r="I252"/>
      <c r="J252"/>
      <c r="K252"/>
      <c r="L252"/>
      <c r="M252"/>
    </row>
    <row r="253" spans="9:13" x14ac:dyDescent="0.25">
      <c r="I253"/>
      <c r="J253"/>
      <c r="K253"/>
      <c r="L253"/>
      <c r="M253"/>
    </row>
    <row r="254" spans="9:13" x14ac:dyDescent="0.25">
      <c r="I254"/>
      <c r="J254"/>
      <c r="K254"/>
      <c r="L254"/>
      <c r="M254"/>
    </row>
    <row r="255" spans="9:13" x14ac:dyDescent="0.25">
      <c r="I255"/>
      <c r="J255"/>
      <c r="K255"/>
      <c r="L255"/>
      <c r="M255"/>
    </row>
    <row r="256" spans="9:13" x14ac:dyDescent="0.25">
      <c r="I256"/>
      <c r="J256"/>
      <c r="K256"/>
      <c r="L256"/>
      <c r="M256"/>
    </row>
    <row r="257" spans="9:13" x14ac:dyDescent="0.25">
      <c r="I257"/>
      <c r="J257"/>
      <c r="K257"/>
      <c r="L257"/>
      <c r="M257"/>
    </row>
    <row r="258" spans="9:13" x14ac:dyDescent="0.25">
      <c r="I258"/>
      <c r="J258"/>
      <c r="K258"/>
      <c r="L258"/>
      <c r="M258"/>
    </row>
    <row r="259" spans="9:13" x14ac:dyDescent="0.25">
      <c r="I259"/>
      <c r="J259"/>
      <c r="K259"/>
      <c r="L259"/>
      <c r="M259"/>
    </row>
    <row r="260" spans="9:13" x14ac:dyDescent="0.25">
      <c r="I260"/>
      <c r="J260"/>
      <c r="K260"/>
      <c r="L260"/>
      <c r="M260"/>
    </row>
    <row r="261" spans="9:13" x14ac:dyDescent="0.25">
      <c r="I261"/>
      <c r="J261"/>
      <c r="K261"/>
      <c r="L261"/>
      <c r="M261"/>
    </row>
    <row r="262" spans="9:13" x14ac:dyDescent="0.25">
      <c r="I262"/>
      <c r="J262"/>
      <c r="K262"/>
      <c r="L262"/>
      <c r="M262"/>
    </row>
    <row r="263" spans="9:13" x14ac:dyDescent="0.25">
      <c r="I263"/>
      <c r="J263"/>
      <c r="K263"/>
      <c r="L263"/>
      <c r="M263"/>
    </row>
    <row r="264" spans="9:13" x14ac:dyDescent="0.25">
      <c r="I264"/>
      <c r="J264"/>
      <c r="K264"/>
      <c r="L264"/>
      <c r="M264"/>
    </row>
    <row r="265" spans="9:13" x14ac:dyDescent="0.25">
      <c r="I265"/>
      <c r="J265"/>
      <c r="K265"/>
      <c r="L265"/>
      <c r="M265"/>
    </row>
    <row r="266" spans="9:13" x14ac:dyDescent="0.25">
      <c r="I266"/>
      <c r="J266"/>
      <c r="K266"/>
      <c r="L266"/>
      <c r="M266"/>
    </row>
    <row r="267" spans="9:13" x14ac:dyDescent="0.25">
      <c r="I267"/>
      <c r="J267"/>
      <c r="K267"/>
      <c r="L267"/>
      <c r="M267"/>
    </row>
    <row r="268" spans="9:13" x14ac:dyDescent="0.25">
      <c r="I268"/>
      <c r="J268"/>
      <c r="K268"/>
      <c r="L268"/>
      <c r="M268"/>
    </row>
    <row r="269" spans="9:13" x14ac:dyDescent="0.25">
      <c r="I269"/>
      <c r="J269"/>
      <c r="K269"/>
      <c r="L269"/>
      <c r="M269"/>
    </row>
    <row r="270" spans="9:13" x14ac:dyDescent="0.25">
      <c r="I270"/>
      <c r="J270"/>
      <c r="K270"/>
      <c r="L270"/>
      <c r="M270"/>
    </row>
    <row r="271" spans="9:13" x14ac:dyDescent="0.25">
      <c r="I271"/>
      <c r="J271"/>
      <c r="K271"/>
      <c r="L271"/>
      <c r="M271"/>
    </row>
    <row r="272" spans="9:13" x14ac:dyDescent="0.25">
      <c r="I272"/>
      <c r="J272"/>
      <c r="K272"/>
      <c r="L272"/>
      <c r="M272"/>
    </row>
    <row r="273" spans="9:13" x14ac:dyDescent="0.25">
      <c r="I273"/>
      <c r="J273"/>
      <c r="K273"/>
      <c r="L273"/>
      <c r="M273"/>
    </row>
    <row r="274" spans="9:13" x14ac:dyDescent="0.25">
      <c r="I274"/>
      <c r="J274"/>
      <c r="K274"/>
      <c r="L274"/>
      <c r="M274"/>
    </row>
    <row r="275" spans="9:13" x14ac:dyDescent="0.25">
      <c r="I275"/>
      <c r="J275"/>
      <c r="K275"/>
      <c r="L275"/>
      <c r="M275"/>
    </row>
    <row r="276" spans="9:13" x14ac:dyDescent="0.25">
      <c r="I276"/>
      <c r="J276"/>
      <c r="K276"/>
      <c r="L276"/>
      <c r="M276"/>
    </row>
    <row r="277" spans="9:13" x14ac:dyDescent="0.25">
      <c r="I277"/>
      <c r="J277"/>
      <c r="K277"/>
      <c r="L277"/>
      <c r="M277"/>
    </row>
    <row r="278" spans="9:13" x14ac:dyDescent="0.25">
      <c r="I278"/>
      <c r="J278"/>
      <c r="K278"/>
      <c r="L278"/>
      <c r="M278"/>
    </row>
    <row r="279" spans="9:13" x14ac:dyDescent="0.25">
      <c r="I279"/>
      <c r="J279"/>
      <c r="K279"/>
      <c r="L279"/>
      <c r="M279"/>
    </row>
    <row r="280" spans="9:13" x14ac:dyDescent="0.25">
      <c r="I280"/>
      <c r="J280"/>
      <c r="K280"/>
      <c r="L280"/>
      <c r="M280"/>
    </row>
    <row r="281" spans="9:13" x14ac:dyDescent="0.25">
      <c r="I281"/>
      <c r="J281"/>
      <c r="K281"/>
      <c r="L281"/>
      <c r="M281"/>
    </row>
    <row r="282" spans="9:13" x14ac:dyDescent="0.25">
      <c r="I282"/>
      <c r="J282"/>
      <c r="K282"/>
      <c r="L282"/>
      <c r="M282"/>
    </row>
    <row r="283" spans="9:13" x14ac:dyDescent="0.25">
      <c r="I283"/>
      <c r="J283"/>
      <c r="K283"/>
      <c r="L283"/>
      <c r="M283"/>
    </row>
    <row r="284" spans="9:13" x14ac:dyDescent="0.25">
      <c r="I284"/>
      <c r="J284"/>
      <c r="K284"/>
      <c r="L284"/>
      <c r="M284"/>
    </row>
    <row r="285" spans="9:13" x14ac:dyDescent="0.25">
      <c r="I285"/>
      <c r="J285"/>
      <c r="K285"/>
      <c r="L285"/>
      <c r="M285"/>
    </row>
    <row r="286" spans="9:13" x14ac:dyDescent="0.25">
      <c r="I286"/>
      <c r="J286"/>
      <c r="K286"/>
      <c r="L286"/>
      <c r="M286"/>
    </row>
    <row r="287" spans="9:13" x14ac:dyDescent="0.25">
      <c r="I287"/>
      <c r="J287"/>
      <c r="K287"/>
      <c r="L287"/>
      <c r="M287"/>
    </row>
    <row r="288" spans="9:13" x14ac:dyDescent="0.25">
      <c r="I288"/>
      <c r="J288"/>
      <c r="K288"/>
      <c r="L288"/>
      <c r="M288"/>
    </row>
    <row r="289" spans="9:13" x14ac:dyDescent="0.25">
      <c r="I289"/>
      <c r="J289"/>
      <c r="K289"/>
      <c r="L289"/>
      <c r="M289"/>
    </row>
    <row r="290" spans="9:13" x14ac:dyDescent="0.25">
      <c r="I290"/>
      <c r="J290"/>
      <c r="K290"/>
      <c r="L290"/>
      <c r="M290"/>
    </row>
    <row r="291" spans="9:13" x14ac:dyDescent="0.25">
      <c r="I291"/>
      <c r="J291"/>
      <c r="K291"/>
      <c r="L291"/>
      <c r="M291"/>
    </row>
    <row r="292" spans="9:13" x14ac:dyDescent="0.25">
      <c r="I292"/>
      <c r="J292"/>
      <c r="K292"/>
      <c r="L292"/>
      <c r="M292"/>
    </row>
    <row r="293" spans="9:13" x14ac:dyDescent="0.25">
      <c r="I293"/>
      <c r="J293"/>
      <c r="K293"/>
      <c r="L293"/>
      <c r="M293"/>
    </row>
    <row r="294" spans="9:13" x14ac:dyDescent="0.25">
      <c r="I294"/>
      <c r="J294"/>
      <c r="K294"/>
      <c r="L294"/>
      <c r="M294"/>
    </row>
    <row r="295" spans="9:13" x14ac:dyDescent="0.25">
      <c r="I295"/>
      <c r="J295"/>
      <c r="K295"/>
      <c r="L295"/>
      <c r="M295"/>
    </row>
    <row r="296" spans="9:13" x14ac:dyDescent="0.25">
      <c r="I296"/>
      <c r="J296"/>
      <c r="K296"/>
      <c r="L296"/>
      <c r="M296"/>
    </row>
    <row r="297" spans="9:13" x14ac:dyDescent="0.25">
      <c r="I297"/>
      <c r="J297"/>
      <c r="K297"/>
      <c r="L297"/>
      <c r="M297"/>
    </row>
    <row r="298" spans="9:13" x14ac:dyDescent="0.25">
      <c r="I298"/>
      <c r="J298"/>
      <c r="K298"/>
      <c r="L298"/>
      <c r="M298"/>
    </row>
    <row r="299" spans="9:13" x14ac:dyDescent="0.25">
      <c r="I299"/>
      <c r="J299"/>
      <c r="K299"/>
      <c r="L299"/>
      <c r="M299"/>
    </row>
    <row r="300" spans="9:13" x14ac:dyDescent="0.25">
      <c r="I300"/>
      <c r="J300"/>
      <c r="K300"/>
      <c r="L300"/>
      <c r="M300"/>
    </row>
    <row r="301" spans="9:13" x14ac:dyDescent="0.25">
      <c r="I301"/>
      <c r="J301"/>
      <c r="K301"/>
      <c r="L301"/>
      <c r="M301"/>
    </row>
    <row r="302" spans="9:13" x14ac:dyDescent="0.25">
      <c r="I302"/>
      <c r="J302"/>
      <c r="K302"/>
      <c r="L302"/>
      <c r="M302"/>
    </row>
    <row r="303" spans="9:13" x14ac:dyDescent="0.25">
      <c r="I303"/>
      <c r="J303"/>
      <c r="K303"/>
      <c r="L303"/>
      <c r="M303"/>
    </row>
    <row r="304" spans="9:13" x14ac:dyDescent="0.25">
      <c r="I304"/>
      <c r="J304"/>
      <c r="K304"/>
      <c r="L304"/>
      <c r="M304"/>
    </row>
    <row r="305" spans="9:13" x14ac:dyDescent="0.25">
      <c r="I305"/>
      <c r="J305"/>
      <c r="K305"/>
      <c r="L305"/>
      <c r="M305"/>
    </row>
    <row r="306" spans="9:13" x14ac:dyDescent="0.25">
      <c r="I306"/>
      <c r="J306"/>
      <c r="K306"/>
      <c r="L306"/>
      <c r="M306"/>
    </row>
    <row r="307" spans="9:13" x14ac:dyDescent="0.25">
      <c r="I307"/>
      <c r="J307"/>
      <c r="K307"/>
      <c r="L307"/>
      <c r="M307"/>
    </row>
    <row r="308" spans="9:13" x14ac:dyDescent="0.25">
      <c r="I308"/>
      <c r="J308"/>
      <c r="K308"/>
      <c r="L308"/>
      <c r="M308"/>
    </row>
    <row r="309" spans="9:13" x14ac:dyDescent="0.25">
      <c r="I309"/>
      <c r="J309"/>
      <c r="K309"/>
      <c r="L309"/>
      <c r="M309"/>
    </row>
    <row r="310" spans="9:13" x14ac:dyDescent="0.25">
      <c r="I310"/>
      <c r="J310"/>
      <c r="K310"/>
      <c r="L310"/>
      <c r="M310"/>
    </row>
    <row r="311" spans="9:13" x14ac:dyDescent="0.25">
      <c r="I311"/>
      <c r="J311"/>
      <c r="K311"/>
      <c r="L311"/>
      <c r="M311"/>
    </row>
    <row r="312" spans="9:13" x14ac:dyDescent="0.25">
      <c r="I312"/>
      <c r="J312"/>
      <c r="K312"/>
      <c r="L312"/>
      <c r="M312"/>
    </row>
    <row r="313" spans="9:13" x14ac:dyDescent="0.25">
      <c r="I313"/>
      <c r="J313"/>
      <c r="K313"/>
      <c r="L313"/>
      <c r="M313"/>
    </row>
    <row r="314" spans="9:13" x14ac:dyDescent="0.25">
      <c r="I314"/>
      <c r="J314"/>
      <c r="K314"/>
      <c r="L314"/>
      <c r="M314"/>
    </row>
    <row r="315" spans="9:13" x14ac:dyDescent="0.25">
      <c r="I315"/>
      <c r="J315"/>
      <c r="K315"/>
      <c r="L315"/>
      <c r="M315"/>
    </row>
    <row r="316" spans="9:13" x14ac:dyDescent="0.25">
      <c r="I316"/>
      <c r="J316"/>
      <c r="K316"/>
      <c r="L316"/>
      <c r="M316"/>
    </row>
    <row r="317" spans="9:13" x14ac:dyDescent="0.25">
      <c r="I317"/>
      <c r="J317"/>
      <c r="K317"/>
      <c r="L317"/>
      <c r="M317"/>
    </row>
    <row r="318" spans="9:13" x14ac:dyDescent="0.25">
      <c r="I318"/>
      <c r="J318"/>
      <c r="K318"/>
      <c r="L318"/>
      <c r="M318"/>
    </row>
    <row r="319" spans="9:13" x14ac:dyDescent="0.25">
      <c r="I319"/>
      <c r="J319"/>
      <c r="K319"/>
      <c r="L319"/>
      <c r="M319"/>
    </row>
    <row r="320" spans="9:13" x14ac:dyDescent="0.25">
      <c r="I320"/>
      <c r="J320"/>
      <c r="K320"/>
      <c r="L320"/>
      <c r="M320"/>
    </row>
    <row r="321" spans="9:13" x14ac:dyDescent="0.25">
      <c r="I321"/>
      <c r="J321"/>
      <c r="K321"/>
      <c r="L321"/>
      <c r="M321"/>
    </row>
    <row r="322" spans="9:13" x14ac:dyDescent="0.25">
      <c r="I322"/>
      <c r="J322"/>
      <c r="K322"/>
      <c r="L322"/>
      <c r="M322"/>
    </row>
    <row r="323" spans="9:13" x14ac:dyDescent="0.25">
      <c r="I323"/>
      <c r="J323"/>
      <c r="K323"/>
      <c r="L323"/>
      <c r="M323"/>
    </row>
    <row r="324" spans="9:13" x14ac:dyDescent="0.25">
      <c r="I324"/>
      <c r="J324"/>
      <c r="K324"/>
      <c r="L324"/>
      <c r="M324"/>
    </row>
    <row r="325" spans="9:13" x14ac:dyDescent="0.25">
      <c r="I325"/>
      <c r="J325"/>
      <c r="K325"/>
      <c r="L325"/>
      <c r="M325"/>
    </row>
    <row r="326" spans="9:13" x14ac:dyDescent="0.25">
      <c r="I326"/>
      <c r="J326"/>
      <c r="K326"/>
      <c r="L326"/>
      <c r="M326"/>
    </row>
    <row r="327" spans="9:13" x14ac:dyDescent="0.25">
      <c r="I327"/>
      <c r="J327"/>
      <c r="K327"/>
      <c r="L327"/>
      <c r="M327"/>
    </row>
    <row r="328" spans="9:13" x14ac:dyDescent="0.25">
      <c r="I328"/>
      <c r="J328"/>
      <c r="K328"/>
      <c r="L328"/>
      <c r="M328"/>
    </row>
    <row r="329" spans="9:13" x14ac:dyDescent="0.25">
      <c r="I329"/>
      <c r="J329"/>
      <c r="K329"/>
      <c r="L329"/>
      <c r="M329"/>
    </row>
    <row r="330" spans="9:13" x14ac:dyDescent="0.25">
      <c r="I330"/>
      <c r="J330"/>
      <c r="K330"/>
      <c r="L330"/>
      <c r="M330"/>
    </row>
    <row r="331" spans="9:13" x14ac:dyDescent="0.25">
      <c r="I331"/>
      <c r="J331"/>
      <c r="K331"/>
      <c r="L331"/>
      <c r="M331"/>
    </row>
    <row r="332" spans="9:13" x14ac:dyDescent="0.25">
      <c r="I332"/>
      <c r="J332"/>
      <c r="K332"/>
      <c r="L332"/>
      <c r="M332"/>
    </row>
    <row r="333" spans="9:13" x14ac:dyDescent="0.25">
      <c r="I333"/>
      <c r="J333"/>
      <c r="K333"/>
      <c r="L333"/>
      <c r="M333"/>
    </row>
    <row r="334" spans="9:13" x14ac:dyDescent="0.25">
      <c r="I334"/>
      <c r="J334"/>
      <c r="K334"/>
      <c r="L334"/>
      <c r="M334"/>
    </row>
    <row r="335" spans="9:13" x14ac:dyDescent="0.25">
      <c r="I335"/>
      <c r="J335"/>
      <c r="K335"/>
      <c r="L335"/>
      <c r="M335"/>
    </row>
    <row r="336" spans="9:13" x14ac:dyDescent="0.25">
      <c r="I336"/>
      <c r="J336"/>
      <c r="K336"/>
      <c r="L336"/>
      <c r="M336"/>
    </row>
    <row r="337" spans="9:13" x14ac:dyDescent="0.25">
      <c r="I337"/>
      <c r="J337"/>
      <c r="K337"/>
      <c r="L337"/>
      <c r="M337"/>
    </row>
    <row r="338" spans="9:13" x14ac:dyDescent="0.25">
      <c r="I338"/>
      <c r="J338"/>
      <c r="K338"/>
      <c r="L338"/>
      <c r="M338"/>
    </row>
    <row r="339" spans="9:13" x14ac:dyDescent="0.25">
      <c r="I339"/>
      <c r="J339"/>
      <c r="K339"/>
      <c r="L339"/>
      <c r="M339"/>
    </row>
    <row r="340" spans="9:13" x14ac:dyDescent="0.25">
      <c r="I340"/>
      <c r="J340"/>
      <c r="K340"/>
      <c r="L340"/>
      <c r="M340"/>
    </row>
    <row r="341" spans="9:13" x14ac:dyDescent="0.25">
      <c r="I341"/>
      <c r="J341"/>
      <c r="K341"/>
      <c r="L341"/>
      <c r="M341"/>
    </row>
    <row r="342" spans="9:13" x14ac:dyDescent="0.25">
      <c r="I342"/>
      <c r="J342"/>
      <c r="K342"/>
      <c r="L342"/>
      <c r="M342"/>
    </row>
    <row r="343" spans="9:13" x14ac:dyDescent="0.25">
      <c r="I343"/>
      <c r="J343"/>
      <c r="K343"/>
      <c r="L343"/>
      <c r="M343"/>
    </row>
    <row r="344" spans="9:13" x14ac:dyDescent="0.25">
      <c r="I344"/>
      <c r="J344"/>
      <c r="K344"/>
      <c r="L344"/>
      <c r="M344"/>
    </row>
    <row r="345" spans="9:13" x14ac:dyDescent="0.25">
      <c r="I345"/>
      <c r="J345"/>
      <c r="K345"/>
      <c r="L345"/>
      <c r="M345"/>
    </row>
    <row r="346" spans="9:13" x14ac:dyDescent="0.25">
      <c r="I346"/>
      <c r="J346"/>
      <c r="K346"/>
      <c r="L346"/>
      <c r="M346"/>
    </row>
    <row r="347" spans="9:13" x14ac:dyDescent="0.25">
      <c r="I347"/>
      <c r="J347"/>
      <c r="K347"/>
      <c r="L347"/>
      <c r="M347"/>
    </row>
    <row r="348" spans="9:13" x14ac:dyDescent="0.25">
      <c r="I348"/>
      <c r="J348"/>
      <c r="K348"/>
      <c r="L348"/>
      <c r="M348"/>
    </row>
    <row r="349" spans="9:13" x14ac:dyDescent="0.25">
      <c r="I349"/>
      <c r="J349"/>
      <c r="K349"/>
      <c r="L349"/>
      <c r="M349"/>
    </row>
    <row r="350" spans="9:13" x14ac:dyDescent="0.25">
      <c r="I350"/>
      <c r="J350"/>
      <c r="K350"/>
      <c r="L350"/>
      <c r="M350"/>
    </row>
    <row r="351" spans="9:13" x14ac:dyDescent="0.25">
      <c r="I351"/>
      <c r="J351"/>
      <c r="K351"/>
      <c r="L351"/>
      <c r="M351"/>
    </row>
    <row r="352" spans="9:13" x14ac:dyDescent="0.25">
      <c r="I352"/>
      <c r="J352"/>
      <c r="K352"/>
      <c r="L352"/>
      <c r="M352"/>
    </row>
    <row r="353" spans="9:13" x14ac:dyDescent="0.25">
      <c r="I353"/>
      <c r="J353"/>
      <c r="K353"/>
      <c r="L353"/>
      <c r="M353"/>
    </row>
    <row r="354" spans="9:13" x14ac:dyDescent="0.25">
      <c r="I354"/>
      <c r="J354"/>
      <c r="K354"/>
      <c r="L354"/>
      <c r="M354"/>
    </row>
    <row r="355" spans="9:13" x14ac:dyDescent="0.25">
      <c r="I355"/>
      <c r="J355"/>
      <c r="K355"/>
      <c r="L355"/>
      <c r="M355"/>
    </row>
    <row r="356" spans="9:13" x14ac:dyDescent="0.25">
      <c r="I356"/>
      <c r="J356"/>
      <c r="K356"/>
      <c r="L356"/>
      <c r="M356"/>
    </row>
    <row r="357" spans="9:13" x14ac:dyDescent="0.25">
      <c r="I357"/>
      <c r="J357"/>
      <c r="K357"/>
      <c r="L357"/>
      <c r="M357"/>
    </row>
    <row r="358" spans="9:13" x14ac:dyDescent="0.25">
      <c r="I358"/>
      <c r="J358"/>
      <c r="K358"/>
      <c r="L358"/>
      <c r="M358"/>
    </row>
    <row r="359" spans="9:13" x14ac:dyDescent="0.25">
      <c r="I359"/>
      <c r="J359"/>
      <c r="K359"/>
      <c r="L359"/>
      <c r="M359"/>
    </row>
    <row r="360" spans="9:13" x14ac:dyDescent="0.25">
      <c r="I360"/>
      <c r="J360"/>
      <c r="K360"/>
      <c r="L360"/>
      <c r="M360"/>
    </row>
    <row r="361" spans="9:13" x14ac:dyDescent="0.25">
      <c r="I361"/>
      <c r="J361"/>
      <c r="K361"/>
      <c r="L361"/>
      <c r="M361"/>
    </row>
    <row r="362" spans="9:13" x14ac:dyDescent="0.25">
      <c r="I362"/>
      <c r="J362"/>
      <c r="K362"/>
      <c r="L362"/>
      <c r="M362"/>
    </row>
    <row r="363" spans="9:13" x14ac:dyDescent="0.25">
      <c r="I363"/>
      <c r="J363"/>
      <c r="K363"/>
      <c r="L363"/>
      <c r="M363"/>
    </row>
    <row r="364" spans="9:13" x14ac:dyDescent="0.25">
      <c r="I364"/>
      <c r="J364"/>
      <c r="K364"/>
      <c r="L364"/>
      <c r="M364"/>
    </row>
    <row r="365" spans="9:13" x14ac:dyDescent="0.25">
      <c r="I365"/>
      <c r="J365"/>
      <c r="K365"/>
      <c r="L365"/>
      <c r="M365"/>
    </row>
    <row r="366" spans="9:13" x14ac:dyDescent="0.25">
      <c r="I366"/>
      <c r="J366"/>
      <c r="K366"/>
      <c r="L366"/>
      <c r="M366"/>
    </row>
    <row r="367" spans="9:13" x14ac:dyDescent="0.25">
      <c r="I367"/>
      <c r="J367"/>
      <c r="K367"/>
      <c r="L367"/>
      <c r="M367"/>
    </row>
    <row r="368" spans="9:13" x14ac:dyDescent="0.25">
      <c r="I368"/>
      <c r="J368"/>
      <c r="K368"/>
      <c r="L368"/>
      <c r="M368"/>
    </row>
    <row r="369" spans="9:13" x14ac:dyDescent="0.25">
      <c r="I369"/>
      <c r="J369"/>
      <c r="K369"/>
      <c r="L369"/>
      <c r="M369"/>
    </row>
    <row r="370" spans="9:13" x14ac:dyDescent="0.25">
      <c r="I370"/>
      <c r="J370"/>
      <c r="K370"/>
      <c r="L370"/>
      <c r="M370"/>
    </row>
    <row r="371" spans="9:13" x14ac:dyDescent="0.25">
      <c r="I371"/>
      <c r="J371"/>
      <c r="K371"/>
      <c r="L371"/>
      <c r="M371"/>
    </row>
    <row r="372" spans="9:13" x14ac:dyDescent="0.25">
      <c r="I372"/>
      <c r="J372"/>
      <c r="K372"/>
      <c r="L372"/>
      <c r="M372"/>
    </row>
    <row r="373" spans="9:13" x14ac:dyDescent="0.25">
      <c r="I373"/>
      <c r="J373"/>
      <c r="K373"/>
      <c r="L373"/>
      <c r="M373"/>
    </row>
    <row r="374" spans="9:13" x14ac:dyDescent="0.25">
      <c r="I374"/>
      <c r="J374"/>
      <c r="K374"/>
      <c r="L374"/>
      <c r="M374"/>
    </row>
    <row r="375" spans="9:13" x14ac:dyDescent="0.25">
      <c r="I375"/>
      <c r="J375"/>
      <c r="K375"/>
      <c r="L375"/>
      <c r="M375"/>
    </row>
    <row r="376" spans="9:13" x14ac:dyDescent="0.25">
      <c r="I376"/>
      <c r="J376"/>
      <c r="K376"/>
      <c r="L376"/>
      <c r="M376"/>
    </row>
    <row r="377" spans="9:13" x14ac:dyDescent="0.25">
      <c r="I377"/>
      <c r="J377"/>
      <c r="K377"/>
      <c r="L377"/>
      <c r="M377"/>
    </row>
    <row r="378" spans="9:13" x14ac:dyDescent="0.25">
      <c r="I378"/>
      <c r="J378"/>
      <c r="K378"/>
      <c r="L378"/>
      <c r="M378"/>
    </row>
    <row r="379" spans="9:13" x14ac:dyDescent="0.25">
      <c r="I379"/>
      <c r="J379"/>
      <c r="K379"/>
      <c r="L379"/>
      <c r="M379"/>
    </row>
    <row r="380" spans="9:13" x14ac:dyDescent="0.25">
      <c r="I380"/>
      <c r="J380"/>
      <c r="K380"/>
      <c r="L380"/>
      <c r="M380"/>
    </row>
    <row r="381" spans="9:13" x14ac:dyDescent="0.25">
      <c r="I381"/>
      <c r="J381"/>
      <c r="K381"/>
      <c r="L381"/>
      <c r="M381"/>
    </row>
    <row r="382" spans="9:13" x14ac:dyDescent="0.25">
      <c r="I382"/>
      <c r="J382"/>
      <c r="K382"/>
      <c r="L382"/>
      <c r="M382"/>
    </row>
    <row r="383" spans="9:13" x14ac:dyDescent="0.25">
      <c r="I383"/>
      <c r="J383"/>
      <c r="K383"/>
      <c r="L383"/>
      <c r="M383"/>
    </row>
    <row r="384" spans="9:13" x14ac:dyDescent="0.25">
      <c r="I384"/>
      <c r="J384"/>
      <c r="K384"/>
      <c r="L384"/>
      <c r="M384"/>
    </row>
    <row r="385" spans="9:13" x14ac:dyDescent="0.25">
      <c r="I385"/>
      <c r="J385"/>
      <c r="K385"/>
      <c r="L385"/>
      <c r="M385"/>
    </row>
    <row r="386" spans="9:13" x14ac:dyDescent="0.25">
      <c r="I386"/>
      <c r="J386"/>
      <c r="K386"/>
      <c r="L386"/>
      <c r="M386"/>
    </row>
    <row r="387" spans="9:13" x14ac:dyDescent="0.25">
      <c r="I387"/>
      <c r="J387"/>
      <c r="K387"/>
      <c r="L387"/>
      <c r="M387"/>
    </row>
    <row r="388" spans="9:13" x14ac:dyDescent="0.25">
      <c r="I388"/>
      <c r="J388"/>
      <c r="K388"/>
      <c r="L388"/>
      <c r="M388"/>
    </row>
    <row r="389" spans="9:13" x14ac:dyDescent="0.25">
      <c r="I389"/>
      <c r="J389"/>
      <c r="K389"/>
      <c r="L389"/>
      <c r="M389"/>
    </row>
    <row r="390" spans="9:13" x14ac:dyDescent="0.25">
      <c r="I390"/>
      <c r="J390"/>
      <c r="K390"/>
      <c r="L390"/>
      <c r="M390"/>
    </row>
    <row r="391" spans="9:13" x14ac:dyDescent="0.25">
      <c r="I391"/>
      <c r="J391"/>
      <c r="K391"/>
      <c r="L391"/>
      <c r="M391"/>
    </row>
    <row r="392" spans="9:13" x14ac:dyDescent="0.25">
      <c r="I392"/>
      <c r="J392"/>
      <c r="K392"/>
      <c r="L392"/>
      <c r="M392"/>
    </row>
    <row r="393" spans="9:13" x14ac:dyDescent="0.25">
      <c r="I393"/>
      <c r="J393"/>
      <c r="K393"/>
      <c r="L393"/>
      <c r="M393"/>
    </row>
    <row r="394" spans="9:13" x14ac:dyDescent="0.25">
      <c r="I394"/>
      <c r="J394"/>
      <c r="K394"/>
      <c r="L394"/>
      <c r="M394"/>
    </row>
    <row r="395" spans="9:13" x14ac:dyDescent="0.25">
      <c r="I395"/>
      <c r="J395"/>
      <c r="K395"/>
      <c r="L395"/>
      <c r="M395"/>
    </row>
    <row r="396" spans="9:13" x14ac:dyDescent="0.25">
      <c r="I396"/>
      <c r="J396"/>
      <c r="K396"/>
      <c r="L396"/>
      <c r="M396"/>
    </row>
    <row r="397" spans="9:13" x14ac:dyDescent="0.25">
      <c r="I397"/>
      <c r="J397"/>
      <c r="K397"/>
      <c r="L397"/>
      <c r="M397"/>
    </row>
    <row r="398" spans="9:13" x14ac:dyDescent="0.25">
      <c r="I398"/>
      <c r="J398"/>
      <c r="K398"/>
      <c r="L398"/>
      <c r="M398"/>
    </row>
    <row r="399" spans="9:13" x14ac:dyDescent="0.25">
      <c r="I399"/>
      <c r="J399"/>
      <c r="K399"/>
      <c r="L399"/>
      <c r="M399"/>
    </row>
    <row r="400" spans="9:13" x14ac:dyDescent="0.25">
      <c r="I400"/>
      <c r="J400"/>
      <c r="K400"/>
      <c r="L400"/>
      <c r="M400"/>
    </row>
    <row r="401" spans="9:13" x14ac:dyDescent="0.25">
      <c r="I401"/>
      <c r="J401"/>
      <c r="K401"/>
      <c r="L401"/>
      <c r="M401"/>
    </row>
    <row r="402" spans="9:13" x14ac:dyDescent="0.25">
      <c r="I402"/>
      <c r="J402"/>
      <c r="K402"/>
      <c r="L402"/>
      <c r="M402"/>
    </row>
    <row r="403" spans="9:13" x14ac:dyDescent="0.25">
      <c r="I403"/>
      <c r="J403"/>
      <c r="K403"/>
      <c r="L403"/>
      <c r="M403"/>
    </row>
    <row r="404" spans="9:13" x14ac:dyDescent="0.25">
      <c r="I404"/>
      <c r="J404"/>
      <c r="K404"/>
      <c r="L404"/>
      <c r="M404"/>
    </row>
    <row r="405" spans="9:13" x14ac:dyDescent="0.25">
      <c r="I405"/>
      <c r="J405"/>
      <c r="K405"/>
      <c r="L405"/>
      <c r="M405"/>
    </row>
    <row r="406" spans="9:13" x14ac:dyDescent="0.25">
      <c r="I406"/>
      <c r="J406"/>
      <c r="K406"/>
      <c r="L406"/>
      <c r="M406"/>
    </row>
    <row r="407" spans="9:13" x14ac:dyDescent="0.25">
      <c r="I407"/>
      <c r="J407"/>
      <c r="K407"/>
      <c r="L407"/>
      <c r="M407"/>
    </row>
    <row r="408" spans="9:13" x14ac:dyDescent="0.25">
      <c r="I408"/>
      <c r="J408"/>
      <c r="K408"/>
      <c r="L408"/>
      <c r="M408"/>
    </row>
    <row r="409" spans="9:13" x14ac:dyDescent="0.25">
      <c r="I409"/>
      <c r="J409"/>
      <c r="K409"/>
      <c r="L409"/>
      <c r="M409"/>
    </row>
    <row r="410" spans="9:13" x14ac:dyDescent="0.25">
      <c r="I410"/>
      <c r="J410"/>
      <c r="K410"/>
      <c r="L410"/>
      <c r="M410"/>
    </row>
    <row r="411" spans="9:13" x14ac:dyDescent="0.25">
      <c r="I411"/>
      <c r="J411"/>
      <c r="K411"/>
      <c r="L411"/>
      <c r="M411"/>
    </row>
    <row r="412" spans="9:13" x14ac:dyDescent="0.25">
      <c r="I412"/>
      <c r="J412"/>
      <c r="K412"/>
      <c r="L412"/>
      <c r="M412"/>
    </row>
    <row r="413" spans="9:13" x14ac:dyDescent="0.25">
      <c r="I413"/>
      <c r="J413"/>
      <c r="K413"/>
      <c r="L413"/>
      <c r="M413"/>
    </row>
    <row r="414" spans="9:13" x14ac:dyDescent="0.25">
      <c r="I414"/>
      <c r="J414"/>
      <c r="K414"/>
      <c r="L414"/>
      <c r="M414"/>
    </row>
    <row r="415" spans="9:13" x14ac:dyDescent="0.25">
      <c r="I415"/>
      <c r="J415"/>
      <c r="K415"/>
      <c r="L415"/>
      <c r="M415"/>
    </row>
    <row r="416" spans="9:13" x14ac:dyDescent="0.25">
      <c r="I416"/>
      <c r="J416"/>
      <c r="K416"/>
      <c r="L416"/>
      <c r="M416"/>
    </row>
    <row r="417" spans="9:13" x14ac:dyDescent="0.25">
      <c r="I417"/>
      <c r="J417"/>
      <c r="K417"/>
      <c r="L417"/>
      <c r="M417"/>
    </row>
    <row r="418" spans="9:13" x14ac:dyDescent="0.25">
      <c r="I418"/>
      <c r="J418"/>
      <c r="K418"/>
      <c r="L418"/>
      <c r="M418"/>
    </row>
    <row r="419" spans="9:13" x14ac:dyDescent="0.25">
      <c r="I419"/>
      <c r="J419"/>
      <c r="K419"/>
      <c r="L419"/>
      <c r="M419"/>
    </row>
    <row r="420" spans="9:13" x14ac:dyDescent="0.25">
      <c r="I420"/>
      <c r="J420"/>
      <c r="K420"/>
      <c r="L420"/>
      <c r="M420"/>
    </row>
    <row r="421" spans="9:13" x14ac:dyDescent="0.25">
      <c r="I421"/>
      <c r="J421"/>
      <c r="K421"/>
      <c r="L421"/>
      <c r="M421"/>
    </row>
    <row r="422" spans="9:13" x14ac:dyDescent="0.25">
      <c r="I422"/>
      <c r="J422"/>
      <c r="K422"/>
      <c r="L422"/>
      <c r="M422"/>
    </row>
    <row r="423" spans="9:13" x14ac:dyDescent="0.25">
      <c r="I423"/>
      <c r="J423"/>
      <c r="K423"/>
      <c r="L423"/>
      <c r="M423"/>
    </row>
    <row r="424" spans="9:13" x14ac:dyDescent="0.25">
      <c r="I424"/>
      <c r="J424"/>
      <c r="K424"/>
      <c r="L424"/>
      <c r="M424"/>
    </row>
    <row r="425" spans="9:13" x14ac:dyDescent="0.25">
      <c r="I425"/>
      <c r="J425"/>
      <c r="K425"/>
      <c r="L425"/>
      <c r="M425"/>
    </row>
    <row r="426" spans="9:13" x14ac:dyDescent="0.25">
      <c r="I426"/>
      <c r="J426"/>
      <c r="K426"/>
      <c r="L426"/>
      <c r="M426"/>
    </row>
    <row r="427" spans="9:13" x14ac:dyDescent="0.25">
      <c r="I427"/>
      <c r="J427"/>
      <c r="K427"/>
      <c r="L427"/>
      <c r="M427"/>
    </row>
    <row r="428" spans="9:13" x14ac:dyDescent="0.25">
      <c r="I428"/>
      <c r="J428"/>
      <c r="K428"/>
      <c r="L428"/>
      <c r="M428"/>
    </row>
    <row r="429" spans="9:13" x14ac:dyDescent="0.25">
      <c r="I429"/>
      <c r="J429"/>
      <c r="K429"/>
      <c r="L429"/>
      <c r="M429"/>
    </row>
    <row r="430" spans="9:13" x14ac:dyDescent="0.25">
      <c r="I430"/>
      <c r="J430"/>
      <c r="K430"/>
      <c r="L430"/>
      <c r="M430"/>
    </row>
    <row r="431" spans="9:13" x14ac:dyDescent="0.25">
      <c r="I431"/>
      <c r="J431"/>
      <c r="K431"/>
      <c r="L431"/>
      <c r="M431"/>
    </row>
    <row r="432" spans="9:13" x14ac:dyDescent="0.25">
      <c r="I432"/>
      <c r="J432"/>
      <c r="K432"/>
      <c r="L432"/>
      <c r="M432"/>
    </row>
    <row r="433" spans="9:13" x14ac:dyDescent="0.25">
      <c r="I433"/>
      <c r="J433"/>
      <c r="K433"/>
      <c r="L433"/>
      <c r="M433"/>
    </row>
    <row r="434" spans="9:13" x14ac:dyDescent="0.25">
      <c r="I434"/>
      <c r="J434"/>
      <c r="K434"/>
      <c r="L434"/>
      <c r="M434"/>
    </row>
    <row r="435" spans="9:13" x14ac:dyDescent="0.25">
      <c r="I435"/>
      <c r="J435"/>
      <c r="K435"/>
      <c r="L435"/>
      <c r="M435"/>
    </row>
    <row r="436" spans="9:13" x14ac:dyDescent="0.25">
      <c r="I436"/>
      <c r="J436"/>
      <c r="K436"/>
      <c r="L436"/>
      <c r="M436"/>
    </row>
    <row r="437" spans="9:13" x14ac:dyDescent="0.25">
      <c r="I437"/>
      <c r="J437"/>
      <c r="K437"/>
      <c r="L437"/>
      <c r="M437"/>
    </row>
    <row r="438" spans="9:13" x14ac:dyDescent="0.25">
      <c r="I438"/>
      <c r="J438"/>
      <c r="K438"/>
      <c r="L438"/>
      <c r="M438"/>
    </row>
    <row r="439" spans="9:13" x14ac:dyDescent="0.25">
      <c r="I439"/>
      <c r="J439"/>
      <c r="K439"/>
      <c r="L439"/>
      <c r="M439"/>
    </row>
    <row r="440" spans="9:13" x14ac:dyDescent="0.25">
      <c r="I440"/>
      <c r="J440"/>
      <c r="K440"/>
      <c r="L440"/>
      <c r="M440"/>
    </row>
    <row r="441" spans="9:13" x14ac:dyDescent="0.25">
      <c r="I441"/>
      <c r="J441"/>
      <c r="K441"/>
      <c r="L441"/>
      <c r="M441"/>
    </row>
    <row r="442" spans="9:13" x14ac:dyDescent="0.25">
      <c r="I442"/>
      <c r="J442"/>
      <c r="K442"/>
      <c r="L442"/>
      <c r="M442"/>
    </row>
    <row r="443" spans="9:13" x14ac:dyDescent="0.25">
      <c r="I443"/>
      <c r="J443"/>
      <c r="K443"/>
      <c r="L443"/>
      <c r="M443"/>
    </row>
    <row r="444" spans="9:13" x14ac:dyDescent="0.25">
      <c r="I444"/>
      <c r="J444"/>
      <c r="K444"/>
      <c r="L444"/>
      <c r="M444"/>
    </row>
    <row r="445" spans="9:13" x14ac:dyDescent="0.25">
      <c r="I445"/>
      <c r="J445"/>
      <c r="K445"/>
      <c r="L445"/>
      <c r="M445"/>
    </row>
    <row r="446" spans="9:13" x14ac:dyDescent="0.25">
      <c r="I446"/>
      <c r="J446"/>
      <c r="K446"/>
      <c r="L446"/>
      <c r="M446"/>
    </row>
    <row r="447" spans="9:13" x14ac:dyDescent="0.25">
      <c r="I447"/>
      <c r="J447"/>
      <c r="K447"/>
      <c r="L447"/>
      <c r="M447"/>
    </row>
    <row r="448" spans="9:13" x14ac:dyDescent="0.25">
      <c r="I448"/>
      <c r="J448"/>
      <c r="K448"/>
      <c r="L448"/>
      <c r="M448"/>
    </row>
    <row r="449" spans="9:13" x14ac:dyDescent="0.25">
      <c r="I449"/>
      <c r="J449"/>
      <c r="K449"/>
      <c r="L449"/>
      <c r="M449"/>
    </row>
    <row r="450" spans="9:13" x14ac:dyDescent="0.25">
      <c r="I450"/>
      <c r="J450"/>
      <c r="K450"/>
      <c r="L450"/>
      <c r="M450"/>
    </row>
    <row r="451" spans="9:13" x14ac:dyDescent="0.25">
      <c r="I451"/>
      <c r="J451"/>
      <c r="K451"/>
      <c r="L451"/>
      <c r="M451"/>
    </row>
    <row r="452" spans="9:13" x14ac:dyDescent="0.25">
      <c r="I452"/>
      <c r="J452"/>
      <c r="K452"/>
      <c r="L452"/>
      <c r="M452"/>
    </row>
    <row r="453" spans="9:13" x14ac:dyDescent="0.25">
      <c r="I453"/>
      <c r="J453"/>
      <c r="K453"/>
      <c r="L453"/>
      <c r="M453"/>
    </row>
    <row r="454" spans="9:13" x14ac:dyDescent="0.25">
      <c r="I454"/>
      <c r="J454"/>
      <c r="K454"/>
      <c r="L454"/>
      <c r="M454"/>
    </row>
    <row r="455" spans="9:13" x14ac:dyDescent="0.25">
      <c r="I455"/>
      <c r="J455"/>
      <c r="K455"/>
      <c r="L455"/>
      <c r="M455"/>
    </row>
    <row r="456" spans="9:13" x14ac:dyDescent="0.25">
      <c r="I456"/>
      <c r="J456"/>
      <c r="K456"/>
      <c r="L456"/>
      <c r="M456"/>
    </row>
    <row r="457" spans="9:13" x14ac:dyDescent="0.25">
      <c r="I457"/>
      <c r="J457"/>
      <c r="K457"/>
      <c r="L457"/>
      <c r="M457"/>
    </row>
    <row r="458" spans="9:13" x14ac:dyDescent="0.25">
      <c r="I458"/>
      <c r="J458"/>
      <c r="K458"/>
      <c r="L458"/>
      <c r="M458"/>
    </row>
    <row r="459" spans="9:13" x14ac:dyDescent="0.25">
      <c r="I459"/>
      <c r="J459"/>
      <c r="K459"/>
      <c r="L459"/>
      <c r="M459"/>
    </row>
    <row r="460" spans="9:13" x14ac:dyDescent="0.25">
      <c r="I460"/>
      <c r="J460"/>
      <c r="K460"/>
      <c r="L460"/>
      <c r="M460"/>
    </row>
    <row r="461" spans="9:13" x14ac:dyDescent="0.25">
      <c r="I461"/>
      <c r="J461"/>
      <c r="K461"/>
      <c r="L461"/>
      <c r="M461"/>
    </row>
    <row r="462" spans="9:13" x14ac:dyDescent="0.25">
      <c r="I462"/>
      <c r="J462"/>
      <c r="K462"/>
      <c r="L462"/>
      <c r="M462"/>
    </row>
    <row r="463" spans="9:13" x14ac:dyDescent="0.25">
      <c r="I463"/>
      <c r="J463"/>
      <c r="K463"/>
      <c r="L463"/>
      <c r="M463"/>
    </row>
    <row r="464" spans="9:13" x14ac:dyDescent="0.25">
      <c r="I464"/>
      <c r="J464"/>
      <c r="K464"/>
      <c r="L464"/>
      <c r="M464"/>
    </row>
    <row r="465" spans="9:13" x14ac:dyDescent="0.25">
      <c r="I465"/>
      <c r="J465"/>
      <c r="K465"/>
      <c r="L465"/>
      <c r="M465"/>
    </row>
    <row r="466" spans="9:13" x14ac:dyDescent="0.25">
      <c r="I466"/>
      <c r="J466"/>
      <c r="K466"/>
      <c r="L466"/>
      <c r="M466"/>
    </row>
    <row r="467" spans="9:13" x14ac:dyDescent="0.25">
      <c r="I467"/>
      <c r="J467"/>
      <c r="K467"/>
      <c r="L467"/>
      <c r="M467"/>
    </row>
    <row r="468" spans="9:13" x14ac:dyDescent="0.25">
      <c r="I468"/>
      <c r="J468"/>
      <c r="K468"/>
      <c r="L468"/>
      <c r="M468"/>
    </row>
    <row r="469" spans="9:13" x14ac:dyDescent="0.25">
      <c r="I469"/>
      <c r="J469"/>
      <c r="K469"/>
      <c r="L469"/>
      <c r="M469"/>
    </row>
    <row r="470" spans="9:13" x14ac:dyDescent="0.25">
      <c r="I470"/>
      <c r="J470"/>
      <c r="K470"/>
      <c r="L470"/>
      <c r="M470"/>
    </row>
    <row r="471" spans="9:13" x14ac:dyDescent="0.25">
      <c r="I471"/>
      <c r="J471"/>
      <c r="K471"/>
      <c r="L471"/>
      <c r="M471"/>
    </row>
    <row r="472" spans="9:13" x14ac:dyDescent="0.25">
      <c r="I472"/>
      <c r="J472"/>
      <c r="K472"/>
      <c r="L472"/>
      <c r="M472"/>
    </row>
    <row r="473" spans="9:13" x14ac:dyDescent="0.25">
      <c r="I473"/>
      <c r="J473"/>
      <c r="K473"/>
      <c r="L473"/>
      <c r="M473"/>
    </row>
    <row r="474" spans="9:13" x14ac:dyDescent="0.25">
      <c r="I474"/>
      <c r="J474"/>
      <c r="K474"/>
      <c r="L474"/>
      <c r="M474"/>
    </row>
    <row r="475" spans="9:13" x14ac:dyDescent="0.25">
      <c r="I475"/>
      <c r="J475"/>
      <c r="K475"/>
      <c r="L475"/>
      <c r="M475"/>
    </row>
    <row r="476" spans="9:13" x14ac:dyDescent="0.25">
      <c r="I476"/>
      <c r="J476"/>
      <c r="K476"/>
      <c r="L476"/>
      <c r="M476"/>
    </row>
    <row r="477" spans="9:13" x14ac:dyDescent="0.25">
      <c r="I477"/>
      <c r="J477"/>
      <c r="K477"/>
      <c r="L477"/>
      <c r="M477"/>
    </row>
    <row r="478" spans="9:13" x14ac:dyDescent="0.25">
      <c r="I478"/>
      <c r="J478"/>
      <c r="K478"/>
      <c r="L478"/>
      <c r="M478"/>
    </row>
    <row r="479" spans="9:13" x14ac:dyDescent="0.25">
      <c r="I479"/>
      <c r="J479"/>
      <c r="K479"/>
      <c r="L479"/>
      <c r="M479"/>
    </row>
    <row r="480" spans="9:13" x14ac:dyDescent="0.25">
      <c r="I480"/>
      <c r="J480"/>
      <c r="K480"/>
      <c r="L480"/>
      <c r="M480"/>
    </row>
    <row r="481" spans="9:13" x14ac:dyDescent="0.25">
      <c r="I481"/>
      <c r="J481"/>
      <c r="K481"/>
      <c r="L481"/>
      <c r="M481"/>
    </row>
    <row r="482" spans="9:13" x14ac:dyDescent="0.25">
      <c r="I482"/>
      <c r="J482"/>
      <c r="K482"/>
      <c r="L482"/>
      <c r="M482"/>
    </row>
    <row r="483" spans="9:13" x14ac:dyDescent="0.25">
      <c r="I483"/>
      <c r="J483"/>
      <c r="K483"/>
      <c r="L483"/>
      <c r="M483"/>
    </row>
    <row r="484" spans="9:13" x14ac:dyDescent="0.25">
      <c r="I484"/>
      <c r="J484"/>
      <c r="K484"/>
      <c r="L484"/>
      <c r="M484"/>
    </row>
    <row r="485" spans="9:13" x14ac:dyDescent="0.25">
      <c r="I485"/>
      <c r="J485"/>
      <c r="K485"/>
      <c r="L485"/>
      <c r="M485"/>
    </row>
    <row r="486" spans="9:13" x14ac:dyDescent="0.25">
      <c r="I486"/>
      <c r="J486"/>
      <c r="K486"/>
      <c r="L486"/>
      <c r="M486"/>
    </row>
    <row r="487" spans="9:13" x14ac:dyDescent="0.25">
      <c r="I487"/>
      <c r="J487"/>
      <c r="K487"/>
      <c r="L487"/>
      <c r="M487"/>
    </row>
    <row r="488" spans="9:13" x14ac:dyDescent="0.25">
      <c r="I488"/>
      <c r="J488"/>
      <c r="K488"/>
      <c r="L488"/>
      <c r="M488"/>
    </row>
    <row r="489" spans="9:13" x14ac:dyDescent="0.25">
      <c r="I489"/>
      <c r="J489"/>
      <c r="K489"/>
      <c r="L489"/>
      <c r="M489"/>
    </row>
    <row r="490" spans="9:13" x14ac:dyDescent="0.25">
      <c r="I490"/>
      <c r="J490"/>
      <c r="K490"/>
      <c r="L490"/>
      <c r="M490"/>
    </row>
    <row r="491" spans="9:13" x14ac:dyDescent="0.25">
      <c r="I491"/>
      <c r="J491"/>
      <c r="K491"/>
      <c r="L491"/>
      <c r="M491"/>
    </row>
    <row r="492" spans="9:13" x14ac:dyDescent="0.25">
      <c r="I492"/>
      <c r="J492"/>
      <c r="K492"/>
      <c r="L492"/>
      <c r="M492"/>
    </row>
    <row r="493" spans="9:13" x14ac:dyDescent="0.25">
      <c r="I493"/>
      <c r="J493"/>
      <c r="K493"/>
      <c r="L493"/>
      <c r="M493"/>
    </row>
    <row r="494" spans="9:13" x14ac:dyDescent="0.25">
      <c r="I494"/>
      <c r="J494"/>
      <c r="K494"/>
      <c r="L494"/>
      <c r="M494"/>
    </row>
    <row r="495" spans="9:13" x14ac:dyDescent="0.25">
      <c r="I495"/>
      <c r="J495"/>
      <c r="K495"/>
      <c r="L495"/>
      <c r="M495"/>
    </row>
    <row r="496" spans="9:13" x14ac:dyDescent="0.25">
      <c r="I496"/>
      <c r="J496"/>
      <c r="K496"/>
      <c r="L496"/>
      <c r="M496"/>
    </row>
    <row r="497" spans="9:13" x14ac:dyDescent="0.25">
      <c r="I497"/>
      <c r="J497"/>
      <c r="K497"/>
      <c r="L497"/>
      <c r="M497"/>
    </row>
    <row r="498" spans="9:13" x14ac:dyDescent="0.25">
      <c r="I498"/>
      <c r="J498"/>
      <c r="K498"/>
      <c r="L498"/>
      <c r="M498"/>
    </row>
    <row r="499" spans="9:13" x14ac:dyDescent="0.25">
      <c r="I499"/>
      <c r="J499"/>
      <c r="K499"/>
      <c r="L499"/>
      <c r="M499"/>
    </row>
    <row r="500" spans="9:13" x14ac:dyDescent="0.25">
      <c r="I500"/>
      <c r="J500"/>
      <c r="K500"/>
      <c r="L500"/>
      <c r="M500"/>
    </row>
    <row r="501" spans="9:13" x14ac:dyDescent="0.25">
      <c r="I501"/>
      <c r="J501"/>
      <c r="K501"/>
      <c r="L501"/>
      <c r="M501"/>
    </row>
    <row r="502" spans="9:13" x14ac:dyDescent="0.25">
      <c r="I502"/>
      <c r="J502"/>
      <c r="K502"/>
      <c r="L502"/>
      <c r="M502"/>
    </row>
    <row r="503" spans="9:13" x14ac:dyDescent="0.25">
      <c r="I503"/>
      <c r="J503"/>
      <c r="K503"/>
      <c r="L503"/>
      <c r="M503"/>
    </row>
    <row r="504" spans="9:13" x14ac:dyDescent="0.25">
      <c r="I504"/>
      <c r="J504"/>
      <c r="K504"/>
      <c r="L504"/>
      <c r="M504"/>
    </row>
    <row r="505" spans="9:13" x14ac:dyDescent="0.25">
      <c r="I505"/>
      <c r="J505"/>
      <c r="K505"/>
      <c r="L505"/>
      <c r="M505"/>
    </row>
    <row r="506" spans="9:13" x14ac:dyDescent="0.25">
      <c r="I506"/>
      <c r="J506"/>
      <c r="K506"/>
      <c r="L506"/>
      <c r="M506"/>
    </row>
    <row r="507" spans="9:13" x14ac:dyDescent="0.25">
      <c r="I507"/>
      <c r="J507"/>
      <c r="K507"/>
      <c r="L507"/>
      <c r="M507"/>
    </row>
    <row r="508" spans="9:13" x14ac:dyDescent="0.25">
      <c r="I508"/>
      <c r="J508"/>
      <c r="K508"/>
      <c r="L508"/>
      <c r="M508"/>
    </row>
    <row r="509" spans="9:13" x14ac:dyDescent="0.25">
      <c r="I509"/>
      <c r="J509"/>
      <c r="K509"/>
      <c r="L509"/>
      <c r="M509"/>
    </row>
    <row r="510" spans="9:13" x14ac:dyDescent="0.25">
      <c r="I510"/>
      <c r="J510"/>
      <c r="K510"/>
      <c r="L510"/>
      <c r="M510"/>
    </row>
    <row r="511" spans="9:13" x14ac:dyDescent="0.25">
      <c r="I511"/>
      <c r="J511"/>
      <c r="K511"/>
      <c r="L511"/>
      <c r="M511"/>
    </row>
    <row r="512" spans="9:13" x14ac:dyDescent="0.25">
      <c r="I512"/>
      <c r="J512"/>
      <c r="K512"/>
      <c r="L512"/>
      <c r="M512"/>
    </row>
  </sheetData>
  <autoFilter ref="A2:M20"/>
  <mergeCells count="9">
    <mergeCell ref="J5:J7"/>
    <mergeCell ref="M5:M7"/>
    <mergeCell ref="A22:H22"/>
    <mergeCell ref="H5:H7"/>
    <mergeCell ref="G5:G7"/>
    <mergeCell ref="F5:F7"/>
    <mergeCell ref="I5:I7"/>
    <mergeCell ref="L5:L7"/>
    <mergeCell ref="K5:K7"/>
  </mergeCells>
  <printOptions horizontalCentered="1"/>
  <pageMargins left="0" right="0" top="0.39370078740157483" bottom="0" header="0.31496062992125984" footer="0.31496062992125984"/>
  <pageSetup paperSize="9" scale="55" orientation="landscape"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9"/>
  <sheetViews>
    <sheetView workbookViewId="0">
      <selection activeCell="J14" sqref="J14"/>
    </sheetView>
  </sheetViews>
  <sheetFormatPr defaultRowHeight="15" x14ac:dyDescent="0.25"/>
  <sheetData>
    <row r="1" spans="1:4" x14ac:dyDescent="0.25">
      <c r="A1" s="23" t="s">
        <v>215</v>
      </c>
    </row>
    <row r="2" spans="1:4" x14ac:dyDescent="0.25">
      <c r="B2" s="128" t="s">
        <v>389</v>
      </c>
      <c r="D2">
        <v>800000</v>
      </c>
    </row>
    <row r="3" spans="1:4" x14ac:dyDescent="0.25">
      <c r="B3" s="33" t="s">
        <v>325</v>
      </c>
      <c r="D3">
        <v>6000000</v>
      </c>
    </row>
    <row r="4" spans="1:4" x14ac:dyDescent="0.25">
      <c r="B4" t="s">
        <v>225</v>
      </c>
      <c r="D4">
        <v>1000000</v>
      </c>
    </row>
    <row r="5" spans="1:4" x14ac:dyDescent="0.25">
      <c r="B5" t="s">
        <v>646</v>
      </c>
      <c r="D5">
        <v>600000</v>
      </c>
    </row>
    <row r="6" spans="1:4" x14ac:dyDescent="0.25">
      <c r="B6" t="s">
        <v>536</v>
      </c>
      <c r="D6">
        <v>750000</v>
      </c>
    </row>
    <row r="7" spans="1:4" x14ac:dyDescent="0.25">
      <c r="B7" t="s">
        <v>639</v>
      </c>
      <c r="D7">
        <v>850000</v>
      </c>
    </row>
    <row r="8" spans="1:4" x14ac:dyDescent="0.25">
      <c r="B8" t="s">
        <v>680</v>
      </c>
      <c r="D8">
        <v>1100000</v>
      </c>
    </row>
    <row r="9" spans="1:4" x14ac:dyDescent="0.25">
      <c r="B9" t="s">
        <v>718</v>
      </c>
      <c r="C9">
        <v>3150000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2:P441"/>
  <sheetViews>
    <sheetView showGridLines="0" zoomScale="81" zoomScaleNormal="81" workbookViewId="0">
      <selection activeCell="F17" sqref="F17"/>
    </sheetView>
  </sheetViews>
  <sheetFormatPr defaultRowHeight="15" x14ac:dyDescent="0.25"/>
  <cols>
    <col min="1" max="1" width="4.5703125" customWidth="1"/>
    <col min="2" max="2" width="14.28515625" style="8" customWidth="1"/>
    <col min="3" max="3" width="10.7109375" customWidth="1"/>
    <col min="4" max="4" width="26.5703125" customWidth="1"/>
    <col min="5" max="5" width="18" customWidth="1"/>
    <col min="6" max="6" width="14.5703125" style="9" customWidth="1"/>
    <col min="7" max="7" width="17.85546875" customWidth="1"/>
    <col min="8" max="8" width="13.140625" customWidth="1"/>
    <col min="9" max="9" width="15.28515625" style="11" customWidth="1"/>
    <col min="10" max="10" width="11" style="11" customWidth="1"/>
    <col min="11" max="11" width="10.5703125" style="11" customWidth="1"/>
    <col min="12" max="12" width="12.7109375" style="11" bestFit="1" customWidth="1"/>
    <col min="13" max="13" width="14.42578125" style="11" customWidth="1"/>
    <col min="14" max="14" width="12.7109375" style="11" customWidth="1"/>
    <col min="15" max="15" width="11.5703125" bestFit="1" customWidth="1"/>
    <col min="16" max="16" width="14.140625" customWidth="1"/>
  </cols>
  <sheetData>
    <row r="2" spans="1:16" ht="57" customHeight="1" x14ac:dyDescent="0.25">
      <c r="A2" s="215" t="s">
        <v>6</v>
      </c>
      <c r="B2" s="219" t="s">
        <v>0</v>
      </c>
      <c r="C2" s="215" t="s">
        <v>7</v>
      </c>
      <c r="D2" s="215" t="s">
        <v>8</v>
      </c>
      <c r="E2" s="215" t="s">
        <v>9</v>
      </c>
      <c r="F2" s="220" t="s">
        <v>10</v>
      </c>
      <c r="G2" s="215" t="s">
        <v>11</v>
      </c>
      <c r="H2" s="216" t="s">
        <v>138</v>
      </c>
      <c r="I2" s="217" t="s">
        <v>49</v>
      </c>
      <c r="J2" s="218" t="s">
        <v>185</v>
      </c>
      <c r="K2" s="218" t="s">
        <v>548</v>
      </c>
      <c r="L2" s="218" t="s">
        <v>40</v>
      </c>
      <c r="M2" s="234" t="s">
        <v>2</v>
      </c>
      <c r="N2" s="233" t="s">
        <v>374</v>
      </c>
      <c r="O2" s="235" t="s">
        <v>815</v>
      </c>
      <c r="P2" s="236" t="s">
        <v>816</v>
      </c>
    </row>
    <row r="3" spans="1:16" ht="21" customHeight="1" x14ac:dyDescent="0.25">
      <c r="A3" s="193">
        <v>1</v>
      </c>
      <c r="B3" s="194">
        <v>44117</v>
      </c>
      <c r="C3" s="58"/>
      <c r="D3" s="227" t="s">
        <v>5</v>
      </c>
      <c r="E3" s="230" t="s">
        <v>142</v>
      </c>
      <c r="F3" s="214">
        <v>2300000</v>
      </c>
      <c r="G3" s="133" t="s">
        <v>72</v>
      </c>
      <c r="H3" s="79">
        <v>44119</v>
      </c>
      <c r="I3" s="191">
        <f>F3</f>
        <v>2300000</v>
      </c>
      <c r="J3" s="237"/>
      <c r="K3" s="237">
        <v>46000</v>
      </c>
      <c r="L3" s="237">
        <f>I3-K3+J3</f>
        <v>2254000</v>
      </c>
      <c r="M3" s="237">
        <f>I3-K3-L3+J3</f>
        <v>0</v>
      </c>
      <c r="N3" s="241">
        <v>44153</v>
      </c>
      <c r="O3" s="89">
        <v>44245</v>
      </c>
      <c r="P3" s="237">
        <f>O3-N3</f>
        <v>92</v>
      </c>
    </row>
    <row r="4" spans="1:16" ht="21" customHeight="1" x14ac:dyDescent="0.25">
      <c r="A4" s="193">
        <f>A3+1</f>
        <v>2</v>
      </c>
      <c r="B4" s="194">
        <v>44119</v>
      </c>
      <c r="C4" s="58"/>
      <c r="D4" s="228" t="s">
        <v>71</v>
      </c>
      <c r="E4" s="230" t="s">
        <v>143</v>
      </c>
      <c r="F4" s="214">
        <v>800000</v>
      </c>
      <c r="G4" s="133" t="s">
        <v>74</v>
      </c>
      <c r="H4" s="79">
        <v>44125</v>
      </c>
      <c r="I4" s="191">
        <f t="shared" ref="I4:I13" si="0">F4</f>
        <v>800000</v>
      </c>
      <c r="J4" s="237"/>
      <c r="K4" s="237">
        <v>16000</v>
      </c>
      <c r="L4" s="237">
        <f t="shared" ref="L4:L13" si="1">I4-K4+J4</f>
        <v>784000</v>
      </c>
      <c r="M4" s="237">
        <f t="shared" ref="M4:M13" si="2">I4-K4-L4+J4</f>
        <v>0</v>
      </c>
      <c r="N4" s="241">
        <v>44159</v>
      </c>
      <c r="O4" s="89">
        <v>44193</v>
      </c>
      <c r="P4" s="237">
        <f t="shared" ref="P4:P13" si="3">O4-N4</f>
        <v>34</v>
      </c>
    </row>
    <row r="5" spans="1:16" ht="21" customHeight="1" x14ac:dyDescent="0.25">
      <c r="A5" s="193">
        <f t="shared" ref="A5:A13" si="4">A4+1</f>
        <v>3</v>
      </c>
      <c r="B5" s="194">
        <v>44124</v>
      </c>
      <c r="C5" s="58"/>
      <c r="D5" s="228" t="s">
        <v>5</v>
      </c>
      <c r="E5" s="230" t="s">
        <v>144</v>
      </c>
      <c r="F5" s="214">
        <v>2300000</v>
      </c>
      <c r="G5" s="133" t="s">
        <v>76</v>
      </c>
      <c r="H5" s="79">
        <v>44125</v>
      </c>
      <c r="I5" s="191">
        <f t="shared" si="0"/>
        <v>2300000</v>
      </c>
      <c r="J5" s="237"/>
      <c r="K5" s="237">
        <v>46000</v>
      </c>
      <c r="L5" s="237">
        <f t="shared" si="1"/>
        <v>2254000</v>
      </c>
      <c r="M5" s="237">
        <f t="shared" si="2"/>
        <v>0</v>
      </c>
      <c r="N5" s="241">
        <v>44159</v>
      </c>
      <c r="O5" s="89">
        <v>44245</v>
      </c>
      <c r="P5" s="237">
        <f t="shared" si="3"/>
        <v>86</v>
      </c>
    </row>
    <row r="6" spans="1:16" ht="21" customHeight="1" x14ac:dyDescent="0.25">
      <c r="A6" s="193">
        <f t="shared" si="4"/>
        <v>4</v>
      </c>
      <c r="B6" s="194">
        <v>44131</v>
      </c>
      <c r="C6" s="58"/>
      <c r="D6" s="228" t="s">
        <v>71</v>
      </c>
      <c r="E6" s="230" t="s">
        <v>13</v>
      </c>
      <c r="F6" s="214">
        <v>13000000</v>
      </c>
      <c r="G6" s="133" t="s">
        <v>79</v>
      </c>
      <c r="H6" s="79">
        <v>44146</v>
      </c>
      <c r="I6" s="191">
        <f t="shared" si="0"/>
        <v>13000000</v>
      </c>
      <c r="J6" s="237"/>
      <c r="K6" s="237">
        <v>260000</v>
      </c>
      <c r="L6" s="237">
        <f t="shared" si="1"/>
        <v>12740000</v>
      </c>
      <c r="M6" s="237">
        <f t="shared" si="2"/>
        <v>0</v>
      </c>
      <c r="N6" s="241">
        <v>44179</v>
      </c>
      <c r="O6" s="89">
        <v>44245</v>
      </c>
      <c r="P6" s="237">
        <f t="shared" si="3"/>
        <v>66</v>
      </c>
    </row>
    <row r="7" spans="1:16" ht="21" customHeight="1" x14ac:dyDescent="0.25">
      <c r="A7" s="193">
        <f t="shared" si="4"/>
        <v>5</v>
      </c>
      <c r="B7" s="194">
        <v>44166</v>
      </c>
      <c r="C7" s="58"/>
      <c r="D7" s="228" t="s">
        <v>71</v>
      </c>
      <c r="E7" s="230" t="s">
        <v>28</v>
      </c>
      <c r="F7" s="214">
        <v>1200000</v>
      </c>
      <c r="G7" s="133" t="s">
        <v>91</v>
      </c>
      <c r="H7" s="79">
        <v>44166</v>
      </c>
      <c r="I7" s="191">
        <f t="shared" si="0"/>
        <v>1200000</v>
      </c>
      <c r="J7" s="237"/>
      <c r="K7" s="237">
        <v>24000</v>
      </c>
      <c r="L7" s="237">
        <f t="shared" si="1"/>
        <v>1176000</v>
      </c>
      <c r="M7" s="237">
        <f t="shared" si="2"/>
        <v>0</v>
      </c>
      <c r="N7" s="241">
        <v>44199</v>
      </c>
      <c r="O7" s="89">
        <v>44245</v>
      </c>
      <c r="P7" s="237">
        <f t="shared" si="3"/>
        <v>46</v>
      </c>
    </row>
    <row r="8" spans="1:16" ht="21" customHeight="1" x14ac:dyDescent="0.25">
      <c r="A8" s="193">
        <f t="shared" si="4"/>
        <v>6</v>
      </c>
      <c r="B8" s="194">
        <v>44108</v>
      </c>
      <c r="C8" s="58">
        <v>401351</v>
      </c>
      <c r="D8" s="228" t="s">
        <v>5</v>
      </c>
      <c r="E8" s="230" t="s">
        <v>34</v>
      </c>
      <c r="F8" s="214">
        <v>18000000</v>
      </c>
      <c r="G8" s="133" t="s">
        <v>95</v>
      </c>
      <c r="H8" s="79">
        <v>44162</v>
      </c>
      <c r="I8" s="191">
        <f t="shared" si="0"/>
        <v>18000000</v>
      </c>
      <c r="J8" s="237"/>
      <c r="K8" s="237">
        <v>360000</v>
      </c>
      <c r="L8" s="237">
        <f t="shared" si="1"/>
        <v>17640000</v>
      </c>
      <c r="M8" s="237">
        <f t="shared" si="2"/>
        <v>0</v>
      </c>
      <c r="N8" s="241">
        <v>44199</v>
      </c>
      <c r="O8" s="89">
        <v>44245</v>
      </c>
      <c r="P8" s="237">
        <f t="shared" si="3"/>
        <v>46</v>
      </c>
    </row>
    <row r="9" spans="1:16" ht="21" customHeight="1" x14ac:dyDescent="0.25">
      <c r="A9" s="193">
        <f t="shared" si="4"/>
        <v>7</v>
      </c>
      <c r="B9" s="194">
        <v>44138</v>
      </c>
      <c r="C9" s="58">
        <v>401357</v>
      </c>
      <c r="D9" s="228" t="s">
        <v>71</v>
      </c>
      <c r="E9" s="230" t="s">
        <v>168</v>
      </c>
      <c r="F9" s="214">
        <v>4500000</v>
      </c>
      <c r="G9" s="133" t="s">
        <v>97</v>
      </c>
      <c r="H9" s="79">
        <v>44166</v>
      </c>
      <c r="I9" s="191">
        <f t="shared" si="0"/>
        <v>4500000</v>
      </c>
      <c r="J9" s="237"/>
      <c r="K9" s="237">
        <v>90000</v>
      </c>
      <c r="L9" s="237">
        <f t="shared" si="1"/>
        <v>4410000</v>
      </c>
      <c r="M9" s="237">
        <f t="shared" si="2"/>
        <v>0</v>
      </c>
      <c r="N9" s="241">
        <v>44199</v>
      </c>
      <c r="O9" s="89">
        <v>44245</v>
      </c>
      <c r="P9" s="237">
        <f t="shared" si="3"/>
        <v>46</v>
      </c>
    </row>
    <row r="10" spans="1:16" ht="21" customHeight="1" x14ac:dyDescent="0.25">
      <c r="A10" s="193">
        <f t="shared" si="4"/>
        <v>8</v>
      </c>
      <c r="B10" s="194">
        <v>44159</v>
      </c>
      <c r="C10" s="58">
        <v>44159</v>
      </c>
      <c r="D10" s="228" t="s">
        <v>71</v>
      </c>
      <c r="E10" s="230" t="s">
        <v>169</v>
      </c>
      <c r="F10" s="214">
        <v>10000000</v>
      </c>
      <c r="G10" s="133" t="s">
        <v>108</v>
      </c>
      <c r="H10" s="79">
        <v>44168</v>
      </c>
      <c r="I10" s="191">
        <f t="shared" si="0"/>
        <v>10000000</v>
      </c>
      <c r="J10" s="237"/>
      <c r="K10" s="237">
        <v>200000</v>
      </c>
      <c r="L10" s="237">
        <f t="shared" si="1"/>
        <v>9800000</v>
      </c>
      <c r="M10" s="237">
        <f t="shared" si="2"/>
        <v>0</v>
      </c>
      <c r="N10" s="241">
        <v>44201</v>
      </c>
      <c r="O10" s="89">
        <v>44245</v>
      </c>
      <c r="P10" s="237">
        <f t="shared" si="3"/>
        <v>44</v>
      </c>
    </row>
    <row r="11" spans="1:16" ht="21" customHeight="1" x14ac:dyDescent="0.25">
      <c r="A11" s="193">
        <f t="shared" si="4"/>
        <v>9</v>
      </c>
      <c r="B11" s="194">
        <v>44169</v>
      </c>
      <c r="C11" s="58">
        <v>400079</v>
      </c>
      <c r="D11" s="228" t="s">
        <v>5</v>
      </c>
      <c r="E11" s="230" t="s">
        <v>183</v>
      </c>
      <c r="F11" s="214">
        <v>20500000</v>
      </c>
      <c r="G11" s="133" t="s">
        <v>116</v>
      </c>
      <c r="H11" s="79">
        <v>44186</v>
      </c>
      <c r="I11" s="191">
        <f t="shared" si="0"/>
        <v>20500000</v>
      </c>
      <c r="J11" s="237"/>
      <c r="K11" s="237">
        <v>410000</v>
      </c>
      <c r="L11" s="237">
        <f t="shared" si="1"/>
        <v>20090000</v>
      </c>
      <c r="M11" s="237">
        <f t="shared" si="2"/>
        <v>0</v>
      </c>
      <c r="N11" s="241">
        <v>44219</v>
      </c>
      <c r="O11" s="89">
        <v>44291</v>
      </c>
      <c r="P11" s="237">
        <f t="shared" si="3"/>
        <v>72</v>
      </c>
    </row>
    <row r="12" spans="1:16" ht="21" customHeight="1" x14ac:dyDescent="0.25">
      <c r="A12" s="193">
        <f t="shared" si="4"/>
        <v>10</v>
      </c>
      <c r="B12" s="194">
        <v>44169</v>
      </c>
      <c r="C12" s="212"/>
      <c r="D12" s="229" t="s">
        <v>117</v>
      </c>
      <c r="E12" s="229" t="s">
        <v>186</v>
      </c>
      <c r="F12" s="231">
        <v>8500000</v>
      </c>
      <c r="G12" s="193" t="s">
        <v>184</v>
      </c>
      <c r="H12" s="232">
        <v>44226</v>
      </c>
      <c r="I12" s="191">
        <f t="shared" si="0"/>
        <v>8500000</v>
      </c>
      <c r="J12" s="237">
        <v>85000</v>
      </c>
      <c r="K12" s="237">
        <v>170000</v>
      </c>
      <c r="L12" s="237">
        <f t="shared" si="1"/>
        <v>8415000</v>
      </c>
      <c r="M12" s="237">
        <f t="shared" si="2"/>
        <v>0</v>
      </c>
      <c r="N12" s="241">
        <v>44228</v>
      </c>
      <c r="O12" s="89">
        <v>44307</v>
      </c>
      <c r="P12" s="237">
        <f t="shared" si="3"/>
        <v>79</v>
      </c>
    </row>
    <row r="13" spans="1:16" ht="21" customHeight="1" x14ac:dyDescent="0.25">
      <c r="A13" s="193">
        <f t="shared" si="4"/>
        <v>11</v>
      </c>
      <c r="B13" s="194">
        <v>44179</v>
      </c>
      <c r="C13" s="212"/>
      <c r="D13" s="229" t="s">
        <v>71</v>
      </c>
      <c r="E13" s="229" t="s">
        <v>190</v>
      </c>
      <c r="F13" s="231">
        <v>3600000</v>
      </c>
      <c r="G13" s="193" t="s">
        <v>120</v>
      </c>
      <c r="H13" s="232">
        <v>44180</v>
      </c>
      <c r="I13" s="191">
        <f t="shared" si="0"/>
        <v>3600000</v>
      </c>
      <c r="J13" s="237"/>
      <c r="K13" s="237">
        <v>72000</v>
      </c>
      <c r="L13" s="237">
        <f t="shared" si="1"/>
        <v>3528000</v>
      </c>
      <c r="M13" s="237">
        <f t="shared" si="2"/>
        <v>0</v>
      </c>
      <c r="N13" s="241">
        <v>44213</v>
      </c>
      <c r="O13" s="89">
        <v>44245</v>
      </c>
      <c r="P13" s="237">
        <f t="shared" si="3"/>
        <v>32</v>
      </c>
    </row>
    <row r="14" spans="1:16" ht="38.25" customHeight="1" x14ac:dyDescent="0.25">
      <c r="A14" s="950" t="s">
        <v>788</v>
      </c>
      <c r="B14" s="951"/>
      <c r="C14" s="951"/>
      <c r="D14" s="951"/>
      <c r="E14" s="951"/>
      <c r="F14" s="951"/>
      <c r="G14" s="951"/>
      <c r="H14" s="952"/>
      <c r="I14" s="240">
        <f>SUM(I3:I13)</f>
        <v>84700000</v>
      </c>
      <c r="J14" s="239"/>
      <c r="K14" s="239"/>
      <c r="L14" s="239"/>
      <c r="M14" s="239"/>
      <c r="N14" s="239"/>
      <c r="O14" s="239"/>
      <c r="P14" s="239"/>
    </row>
    <row r="15" spans="1:16" x14ac:dyDescent="0.25">
      <c r="I15"/>
      <c r="J15"/>
      <c r="K15"/>
      <c r="L15"/>
      <c r="M15"/>
      <c r="N15"/>
    </row>
    <row r="16" spans="1:16" x14ac:dyDescent="0.25">
      <c r="I16"/>
      <c r="J16"/>
      <c r="K16"/>
      <c r="L16"/>
      <c r="M16"/>
      <c r="N16"/>
    </row>
    <row r="17" spans="9:14" x14ac:dyDescent="0.25">
      <c r="I17"/>
      <c r="J17"/>
      <c r="K17"/>
      <c r="L17"/>
      <c r="M17"/>
      <c r="N17"/>
    </row>
    <row r="18" spans="9:14" x14ac:dyDescent="0.25">
      <c r="I18"/>
      <c r="J18"/>
      <c r="K18"/>
      <c r="L18"/>
      <c r="M18"/>
      <c r="N18"/>
    </row>
    <row r="19" spans="9:14" x14ac:dyDescent="0.25">
      <c r="I19"/>
      <c r="J19"/>
      <c r="K19"/>
      <c r="L19"/>
      <c r="M19"/>
      <c r="N19"/>
    </row>
    <row r="20" spans="9:14" x14ac:dyDescent="0.25">
      <c r="I20"/>
      <c r="J20"/>
      <c r="K20"/>
      <c r="L20"/>
      <c r="M20"/>
      <c r="N20"/>
    </row>
    <row r="21" spans="9:14" x14ac:dyDescent="0.25">
      <c r="I21"/>
      <c r="J21"/>
      <c r="K21"/>
      <c r="L21"/>
      <c r="M21"/>
      <c r="N21"/>
    </row>
    <row r="22" spans="9:14" x14ac:dyDescent="0.25">
      <c r="I22"/>
      <c r="J22"/>
      <c r="K22"/>
      <c r="L22"/>
      <c r="M22"/>
      <c r="N22"/>
    </row>
    <row r="23" spans="9:14" x14ac:dyDescent="0.25">
      <c r="I23"/>
      <c r="J23"/>
      <c r="K23"/>
      <c r="L23"/>
      <c r="M23"/>
      <c r="N23"/>
    </row>
    <row r="24" spans="9:14" x14ac:dyDescent="0.25">
      <c r="I24"/>
      <c r="J24"/>
      <c r="K24"/>
      <c r="L24"/>
      <c r="M24"/>
      <c r="N24"/>
    </row>
    <row r="25" spans="9:14" x14ac:dyDescent="0.25">
      <c r="I25"/>
      <c r="J25"/>
      <c r="K25"/>
      <c r="L25"/>
      <c r="M25"/>
      <c r="N25"/>
    </row>
    <row r="26" spans="9:14" x14ac:dyDescent="0.25">
      <c r="I26"/>
      <c r="J26"/>
      <c r="K26"/>
      <c r="L26"/>
      <c r="M26"/>
      <c r="N26"/>
    </row>
    <row r="27" spans="9:14" x14ac:dyDescent="0.25">
      <c r="I27"/>
      <c r="J27"/>
      <c r="K27"/>
      <c r="L27"/>
      <c r="M27"/>
      <c r="N27"/>
    </row>
    <row r="28" spans="9:14" x14ac:dyDescent="0.25">
      <c r="I28"/>
      <c r="J28"/>
      <c r="K28"/>
      <c r="L28"/>
      <c r="M28"/>
      <c r="N28"/>
    </row>
    <row r="29" spans="9:14" x14ac:dyDescent="0.25">
      <c r="I29"/>
      <c r="J29"/>
      <c r="K29"/>
      <c r="L29"/>
      <c r="M29"/>
      <c r="N29"/>
    </row>
    <row r="30" spans="9:14" x14ac:dyDescent="0.25">
      <c r="I30"/>
      <c r="J30"/>
      <c r="K30"/>
      <c r="L30"/>
      <c r="M30"/>
      <c r="N30"/>
    </row>
    <row r="31" spans="9:14" x14ac:dyDescent="0.25">
      <c r="I31"/>
      <c r="J31"/>
      <c r="K31"/>
      <c r="L31"/>
      <c r="M31"/>
      <c r="N31"/>
    </row>
    <row r="32" spans="9:14" x14ac:dyDescent="0.25">
      <c r="I32"/>
      <c r="J32"/>
      <c r="K32"/>
      <c r="L32"/>
      <c r="M32"/>
      <c r="N32"/>
    </row>
    <row r="33" spans="9:14" x14ac:dyDescent="0.25">
      <c r="I33"/>
      <c r="J33"/>
      <c r="K33"/>
      <c r="L33"/>
      <c r="M33"/>
      <c r="N33"/>
    </row>
    <row r="34" spans="9:14" x14ac:dyDescent="0.25">
      <c r="I34"/>
      <c r="J34"/>
      <c r="K34"/>
      <c r="L34"/>
      <c r="M34"/>
      <c r="N34"/>
    </row>
    <row r="35" spans="9:14" x14ac:dyDescent="0.25">
      <c r="I35"/>
      <c r="J35"/>
      <c r="K35"/>
      <c r="L35"/>
      <c r="M35"/>
      <c r="N35"/>
    </row>
    <row r="36" spans="9:14" x14ac:dyDescent="0.25">
      <c r="I36"/>
      <c r="J36"/>
      <c r="K36"/>
      <c r="L36"/>
      <c r="M36"/>
      <c r="N36"/>
    </row>
    <row r="37" spans="9:14" x14ac:dyDescent="0.25">
      <c r="I37"/>
      <c r="J37" s="16"/>
      <c r="K37" s="16"/>
      <c r="L37" s="16"/>
      <c r="M37"/>
      <c r="N37"/>
    </row>
    <row r="38" spans="9:14" x14ac:dyDescent="0.25">
      <c r="I38"/>
      <c r="J38"/>
      <c r="K38"/>
      <c r="L38"/>
      <c r="M38"/>
      <c r="N38"/>
    </row>
    <row r="39" spans="9:14" x14ac:dyDescent="0.25">
      <c r="I39"/>
      <c r="J39"/>
      <c r="K39"/>
      <c r="L39"/>
      <c r="M39"/>
      <c r="N39"/>
    </row>
    <row r="40" spans="9:14" x14ac:dyDescent="0.25">
      <c r="I40"/>
      <c r="J40"/>
      <c r="K40"/>
      <c r="L40"/>
      <c r="M40"/>
      <c r="N40"/>
    </row>
    <row r="41" spans="9:14" x14ac:dyDescent="0.25">
      <c r="I41"/>
      <c r="J41"/>
      <c r="K41"/>
      <c r="L41"/>
      <c r="M41"/>
      <c r="N41"/>
    </row>
    <row r="42" spans="9:14" x14ac:dyDescent="0.25">
      <c r="I42"/>
      <c r="J42"/>
      <c r="K42"/>
      <c r="L42"/>
      <c r="M42"/>
      <c r="N42"/>
    </row>
    <row r="43" spans="9:14" x14ac:dyDescent="0.25">
      <c r="I43"/>
      <c r="J43"/>
      <c r="K43"/>
      <c r="L43"/>
      <c r="M43"/>
      <c r="N43"/>
    </row>
    <row r="44" spans="9:14" x14ac:dyDescent="0.25">
      <c r="I44"/>
      <c r="J44"/>
      <c r="K44"/>
      <c r="L44"/>
      <c r="M44"/>
      <c r="N44"/>
    </row>
    <row r="45" spans="9:14" x14ac:dyDescent="0.25">
      <c r="I45"/>
      <c r="J45"/>
      <c r="K45"/>
      <c r="L45"/>
      <c r="M45"/>
      <c r="N45"/>
    </row>
    <row r="46" spans="9:14" x14ac:dyDescent="0.25">
      <c r="I46"/>
      <c r="J46"/>
      <c r="K46"/>
      <c r="L46"/>
      <c r="M46"/>
      <c r="N46"/>
    </row>
    <row r="47" spans="9:14" x14ac:dyDescent="0.25">
      <c r="I47"/>
      <c r="J47"/>
      <c r="K47"/>
      <c r="L47"/>
      <c r="M47"/>
      <c r="N47"/>
    </row>
    <row r="48" spans="9:14" x14ac:dyDescent="0.25">
      <c r="I48"/>
      <c r="J48"/>
      <c r="K48"/>
      <c r="L48"/>
      <c r="M48"/>
      <c r="N48"/>
    </row>
    <row r="49" spans="9:14" x14ac:dyDescent="0.25">
      <c r="I49"/>
      <c r="J49" s="19"/>
      <c r="K49" s="19"/>
      <c r="L49" s="19"/>
      <c r="M49"/>
      <c r="N49"/>
    </row>
    <row r="50" spans="9:14" x14ac:dyDescent="0.25">
      <c r="I50"/>
      <c r="J50" s="19"/>
      <c r="K50" s="19"/>
      <c r="L50" s="19"/>
      <c r="M50"/>
      <c r="N50"/>
    </row>
    <row r="51" spans="9:14" x14ac:dyDescent="0.25">
      <c r="I51"/>
      <c r="J51" s="7"/>
      <c r="K51" s="7"/>
      <c r="L51" s="7"/>
      <c r="M51"/>
      <c r="N51"/>
    </row>
    <row r="52" spans="9:14" x14ac:dyDescent="0.25">
      <c r="I52"/>
      <c r="J52" s="19"/>
      <c r="K52" s="19"/>
      <c r="L52" s="19"/>
      <c r="M52"/>
      <c r="N52"/>
    </row>
    <row r="53" spans="9:14" x14ac:dyDescent="0.25">
      <c r="I53"/>
      <c r="J53" s="19"/>
      <c r="K53" s="19"/>
      <c r="L53" s="19"/>
      <c r="M53"/>
      <c r="N53"/>
    </row>
    <row r="54" spans="9:14" x14ac:dyDescent="0.25">
      <c r="I54"/>
      <c r="J54" s="7"/>
      <c r="K54" s="7"/>
      <c r="L54" s="7"/>
      <c r="M54"/>
      <c r="N54"/>
    </row>
    <row r="55" spans="9:14" x14ac:dyDescent="0.25">
      <c r="I55"/>
      <c r="J55" s="19"/>
      <c r="K55" s="19"/>
      <c r="L55" s="19"/>
      <c r="M55"/>
      <c r="N55"/>
    </row>
    <row r="56" spans="9:14" x14ac:dyDescent="0.25">
      <c r="I56"/>
      <c r="J56" s="19"/>
      <c r="K56" s="19"/>
      <c r="L56" s="19"/>
      <c r="M56"/>
      <c r="N56"/>
    </row>
    <row r="57" spans="9:14" x14ac:dyDescent="0.25">
      <c r="I57"/>
      <c r="J57" s="7"/>
      <c r="K57" s="7"/>
      <c r="L57" s="7"/>
      <c r="M57"/>
      <c r="N57"/>
    </row>
    <row r="58" spans="9:14" x14ac:dyDescent="0.25">
      <c r="I58"/>
      <c r="J58"/>
      <c r="K58"/>
      <c r="L58"/>
      <c r="M58"/>
      <c r="N58"/>
    </row>
    <row r="59" spans="9:14" x14ac:dyDescent="0.25">
      <c r="I59"/>
      <c r="J59"/>
      <c r="K59"/>
      <c r="L59"/>
      <c r="M59"/>
      <c r="N59"/>
    </row>
    <row r="60" spans="9:14" x14ac:dyDescent="0.25">
      <c r="I60"/>
      <c r="J60"/>
      <c r="K60"/>
      <c r="L60"/>
      <c r="M60"/>
      <c r="N60"/>
    </row>
    <row r="61" spans="9:14" x14ac:dyDescent="0.25">
      <c r="I61"/>
      <c r="J61"/>
      <c r="K61"/>
      <c r="L61"/>
      <c r="M61"/>
      <c r="N61"/>
    </row>
    <row r="62" spans="9:14" x14ac:dyDescent="0.25">
      <c r="I62"/>
      <c r="J62"/>
      <c r="K62"/>
      <c r="L62"/>
      <c r="M62"/>
      <c r="N62"/>
    </row>
    <row r="63" spans="9:14" x14ac:dyDescent="0.25">
      <c r="I63"/>
      <c r="J63"/>
      <c r="K63"/>
      <c r="L63"/>
      <c r="M63"/>
      <c r="N63"/>
    </row>
    <row r="64" spans="9:14" x14ac:dyDescent="0.25">
      <c r="I64"/>
      <c r="J64"/>
      <c r="K64"/>
      <c r="L64"/>
      <c r="M64"/>
      <c r="N64"/>
    </row>
    <row r="65" spans="9:14" x14ac:dyDescent="0.25">
      <c r="I65"/>
      <c r="J65"/>
      <c r="K65"/>
      <c r="L65"/>
      <c r="M65"/>
      <c r="N65"/>
    </row>
    <row r="66" spans="9:14" x14ac:dyDescent="0.25">
      <c r="I66"/>
      <c r="J66"/>
      <c r="K66"/>
      <c r="L66"/>
      <c r="M66"/>
      <c r="N66"/>
    </row>
    <row r="67" spans="9:14" x14ac:dyDescent="0.25">
      <c r="I67"/>
      <c r="J67"/>
      <c r="K67"/>
      <c r="L67"/>
      <c r="M67"/>
      <c r="N67"/>
    </row>
    <row r="68" spans="9:14" x14ac:dyDescent="0.25">
      <c r="I68"/>
      <c r="J68"/>
      <c r="K68"/>
      <c r="L68"/>
      <c r="M68"/>
      <c r="N68"/>
    </row>
    <row r="69" spans="9:14" x14ac:dyDescent="0.25">
      <c r="I69"/>
      <c r="J69"/>
      <c r="K69"/>
      <c r="L69"/>
      <c r="M69"/>
      <c r="N69"/>
    </row>
    <row r="70" spans="9:14" x14ac:dyDescent="0.25">
      <c r="I70"/>
      <c r="J70"/>
      <c r="K70"/>
      <c r="L70"/>
      <c r="M70"/>
      <c r="N70"/>
    </row>
    <row r="71" spans="9:14" x14ac:dyDescent="0.25">
      <c r="I71"/>
      <c r="J71"/>
      <c r="K71"/>
      <c r="L71"/>
      <c r="M71"/>
      <c r="N71"/>
    </row>
    <row r="72" spans="9:14" x14ac:dyDescent="0.25">
      <c r="I72"/>
      <c r="J72"/>
      <c r="K72"/>
      <c r="L72"/>
      <c r="M72"/>
      <c r="N72"/>
    </row>
    <row r="73" spans="9:14" x14ac:dyDescent="0.25">
      <c r="I73"/>
      <c r="J73"/>
      <c r="K73"/>
      <c r="L73"/>
      <c r="M73"/>
      <c r="N73"/>
    </row>
    <row r="74" spans="9:14" x14ac:dyDescent="0.25">
      <c r="I74"/>
      <c r="J74"/>
      <c r="K74"/>
      <c r="L74"/>
      <c r="M74"/>
      <c r="N74"/>
    </row>
    <row r="75" spans="9:14" x14ac:dyDescent="0.25">
      <c r="I75"/>
      <c r="J75"/>
      <c r="K75"/>
      <c r="L75"/>
      <c r="M75"/>
      <c r="N75"/>
    </row>
    <row r="76" spans="9:14" x14ac:dyDescent="0.25">
      <c r="I76"/>
      <c r="J76"/>
      <c r="K76"/>
      <c r="L76"/>
      <c r="M76"/>
      <c r="N76"/>
    </row>
    <row r="77" spans="9:14" x14ac:dyDescent="0.25">
      <c r="I77"/>
      <c r="J77"/>
      <c r="K77"/>
      <c r="L77"/>
      <c r="M77"/>
      <c r="N77"/>
    </row>
    <row r="78" spans="9:14" x14ac:dyDescent="0.25">
      <c r="I78"/>
      <c r="J78"/>
      <c r="K78"/>
      <c r="L78"/>
      <c r="M78"/>
      <c r="N78"/>
    </row>
    <row r="79" spans="9:14" x14ac:dyDescent="0.25">
      <c r="I79"/>
      <c r="J79"/>
      <c r="K79"/>
      <c r="L79"/>
      <c r="M79"/>
      <c r="N79"/>
    </row>
    <row r="80" spans="9:14" x14ac:dyDescent="0.25">
      <c r="I80"/>
      <c r="J80"/>
      <c r="K80"/>
      <c r="L80"/>
      <c r="M80"/>
      <c r="N80"/>
    </row>
    <row r="81" spans="9:14" x14ac:dyDescent="0.25">
      <c r="I81"/>
      <c r="J81"/>
      <c r="K81"/>
      <c r="L81"/>
      <c r="M81"/>
      <c r="N81"/>
    </row>
    <row r="82" spans="9:14" x14ac:dyDescent="0.25">
      <c r="I82"/>
      <c r="J82"/>
      <c r="K82"/>
      <c r="L82"/>
      <c r="M82"/>
      <c r="N82"/>
    </row>
    <row r="83" spans="9:14" x14ac:dyDescent="0.25">
      <c r="I83"/>
      <c r="J83"/>
      <c r="K83"/>
      <c r="L83"/>
      <c r="M83"/>
      <c r="N83"/>
    </row>
    <row r="84" spans="9:14" x14ac:dyDescent="0.25">
      <c r="I84"/>
      <c r="J84"/>
      <c r="K84"/>
      <c r="L84"/>
      <c r="M84"/>
      <c r="N84"/>
    </row>
    <row r="85" spans="9:14" x14ac:dyDescent="0.25">
      <c r="I85"/>
      <c r="J85"/>
      <c r="K85"/>
      <c r="L85"/>
      <c r="M85"/>
      <c r="N85"/>
    </row>
    <row r="86" spans="9:14" x14ac:dyDescent="0.25">
      <c r="I86"/>
      <c r="J86"/>
      <c r="K86"/>
      <c r="L86"/>
      <c r="M86"/>
      <c r="N86"/>
    </row>
    <row r="87" spans="9:14" x14ac:dyDescent="0.25">
      <c r="I87"/>
      <c r="J87"/>
      <c r="K87"/>
      <c r="L87"/>
      <c r="M87"/>
      <c r="N87"/>
    </row>
    <row r="88" spans="9:14" x14ac:dyDescent="0.25">
      <c r="I88"/>
      <c r="J88"/>
      <c r="K88"/>
      <c r="L88"/>
      <c r="M88"/>
      <c r="N88"/>
    </row>
    <row r="89" spans="9:14" x14ac:dyDescent="0.25">
      <c r="I89"/>
      <c r="J89"/>
      <c r="K89"/>
      <c r="L89"/>
      <c r="M89"/>
      <c r="N89"/>
    </row>
    <row r="90" spans="9:14" x14ac:dyDescent="0.25">
      <c r="I90"/>
      <c r="J90"/>
      <c r="K90"/>
      <c r="L90"/>
      <c r="M90"/>
      <c r="N90"/>
    </row>
    <row r="91" spans="9:14" x14ac:dyDescent="0.25">
      <c r="I91"/>
      <c r="J91"/>
      <c r="K91"/>
      <c r="L91"/>
      <c r="M91"/>
      <c r="N91"/>
    </row>
    <row r="92" spans="9:14" x14ac:dyDescent="0.25">
      <c r="I92"/>
      <c r="J92"/>
      <c r="K92"/>
      <c r="L92"/>
      <c r="M92"/>
      <c r="N92"/>
    </row>
    <row r="93" spans="9:14" x14ac:dyDescent="0.25">
      <c r="I93"/>
      <c r="J93"/>
      <c r="K93"/>
      <c r="L93"/>
      <c r="M93"/>
      <c r="N93"/>
    </row>
    <row r="94" spans="9:14" x14ac:dyDescent="0.25">
      <c r="I94"/>
      <c r="J94"/>
      <c r="K94"/>
      <c r="L94"/>
      <c r="M94"/>
      <c r="N94"/>
    </row>
    <row r="95" spans="9:14" x14ac:dyDescent="0.25">
      <c r="I95"/>
      <c r="J95"/>
      <c r="K95"/>
      <c r="L95"/>
      <c r="M95"/>
      <c r="N95"/>
    </row>
    <row r="96" spans="9:14" x14ac:dyDescent="0.25">
      <c r="I96"/>
      <c r="J96"/>
      <c r="K96"/>
      <c r="L96"/>
      <c r="M96"/>
      <c r="N96"/>
    </row>
    <row r="97" spans="9:14" x14ac:dyDescent="0.25">
      <c r="I97"/>
      <c r="J97"/>
      <c r="K97"/>
      <c r="L97"/>
      <c r="M97"/>
      <c r="N97"/>
    </row>
    <row r="98" spans="9:14" x14ac:dyDescent="0.25">
      <c r="I98"/>
      <c r="J98"/>
      <c r="K98"/>
      <c r="L98"/>
      <c r="M98"/>
      <c r="N98"/>
    </row>
    <row r="99" spans="9:14" x14ac:dyDescent="0.25">
      <c r="I99"/>
      <c r="J99"/>
      <c r="K99"/>
      <c r="L99"/>
      <c r="M99"/>
      <c r="N99"/>
    </row>
    <row r="100" spans="9:14" x14ac:dyDescent="0.25">
      <c r="I100"/>
      <c r="J100"/>
      <c r="K100"/>
      <c r="L100"/>
      <c r="M100"/>
      <c r="N100"/>
    </row>
    <row r="101" spans="9:14" x14ac:dyDescent="0.25">
      <c r="I101"/>
      <c r="J101"/>
      <c r="K101"/>
      <c r="L101"/>
      <c r="M101"/>
      <c r="N101"/>
    </row>
    <row r="102" spans="9:14" x14ac:dyDescent="0.25">
      <c r="I102"/>
      <c r="J102"/>
      <c r="K102"/>
      <c r="L102"/>
      <c r="M102"/>
      <c r="N102"/>
    </row>
    <row r="103" spans="9:14" x14ac:dyDescent="0.25">
      <c r="I103"/>
      <c r="J103"/>
      <c r="K103"/>
      <c r="L103"/>
      <c r="M103"/>
      <c r="N103"/>
    </row>
    <row r="104" spans="9:14" x14ac:dyDescent="0.25">
      <c r="I104"/>
      <c r="J104"/>
      <c r="K104"/>
      <c r="L104"/>
      <c r="M104"/>
      <c r="N104"/>
    </row>
    <row r="105" spans="9:14" x14ac:dyDescent="0.25">
      <c r="I105"/>
      <c r="J105"/>
      <c r="K105"/>
      <c r="L105"/>
      <c r="M105"/>
      <c r="N105"/>
    </row>
    <row r="106" spans="9:14" x14ac:dyDescent="0.25">
      <c r="I106"/>
      <c r="J106"/>
      <c r="K106"/>
      <c r="L106"/>
      <c r="M106"/>
      <c r="N106"/>
    </row>
    <row r="107" spans="9:14" x14ac:dyDescent="0.25">
      <c r="I107"/>
      <c r="J107"/>
      <c r="K107"/>
      <c r="L107"/>
      <c r="M107"/>
      <c r="N107"/>
    </row>
    <row r="108" spans="9:14" x14ac:dyDescent="0.25">
      <c r="I108"/>
      <c r="J108"/>
      <c r="K108"/>
      <c r="L108"/>
      <c r="M108"/>
      <c r="N108"/>
    </row>
    <row r="109" spans="9:14" x14ac:dyDescent="0.25">
      <c r="I109"/>
      <c r="J109"/>
      <c r="K109"/>
      <c r="L109"/>
      <c r="M109"/>
      <c r="N109"/>
    </row>
    <row r="110" spans="9:14" x14ac:dyDescent="0.25">
      <c r="I110"/>
      <c r="J110"/>
      <c r="K110"/>
      <c r="L110"/>
      <c r="M110"/>
      <c r="N110"/>
    </row>
    <row r="111" spans="9:14" x14ac:dyDescent="0.25">
      <c r="I111"/>
      <c r="J111"/>
      <c r="K111"/>
      <c r="L111"/>
      <c r="M111"/>
      <c r="N111"/>
    </row>
    <row r="112" spans="9:14" x14ac:dyDescent="0.25">
      <c r="I112"/>
      <c r="J112"/>
      <c r="K112"/>
      <c r="L112"/>
      <c r="M112"/>
      <c r="N112"/>
    </row>
    <row r="113" spans="9:14" x14ac:dyDescent="0.25">
      <c r="I113"/>
      <c r="J113"/>
      <c r="K113"/>
      <c r="L113"/>
      <c r="M113"/>
      <c r="N113"/>
    </row>
    <row r="114" spans="9:14" x14ac:dyDescent="0.25">
      <c r="I114"/>
      <c r="J114"/>
      <c r="K114"/>
      <c r="L114"/>
      <c r="M114"/>
      <c r="N114"/>
    </row>
    <row r="115" spans="9:14" x14ac:dyDescent="0.25">
      <c r="I115"/>
      <c r="J115"/>
      <c r="K115"/>
      <c r="L115"/>
      <c r="M115"/>
      <c r="N115"/>
    </row>
    <row r="116" spans="9:14" x14ac:dyDescent="0.25">
      <c r="I116"/>
      <c r="J116"/>
      <c r="K116"/>
      <c r="L116"/>
      <c r="M116"/>
      <c r="N116"/>
    </row>
    <row r="117" spans="9:14" x14ac:dyDescent="0.25">
      <c r="I117"/>
      <c r="J117"/>
      <c r="K117"/>
      <c r="L117"/>
      <c r="M117"/>
      <c r="N117"/>
    </row>
    <row r="118" spans="9:14" x14ac:dyDescent="0.25">
      <c r="I118"/>
      <c r="J118"/>
      <c r="K118"/>
      <c r="L118"/>
      <c r="M118"/>
      <c r="N118"/>
    </row>
    <row r="119" spans="9:14" x14ac:dyDescent="0.25">
      <c r="I119"/>
      <c r="J119"/>
      <c r="K119"/>
      <c r="L119"/>
      <c r="M119"/>
      <c r="N119"/>
    </row>
    <row r="120" spans="9:14" x14ac:dyDescent="0.25">
      <c r="I120"/>
      <c r="J120"/>
      <c r="K120"/>
      <c r="L120"/>
      <c r="M120"/>
      <c r="N120"/>
    </row>
    <row r="121" spans="9:14" x14ac:dyDescent="0.25">
      <c r="I121"/>
      <c r="J121"/>
      <c r="K121"/>
      <c r="L121"/>
      <c r="M121"/>
      <c r="N121"/>
    </row>
    <row r="122" spans="9:14" x14ac:dyDescent="0.25">
      <c r="I122"/>
      <c r="J122"/>
      <c r="K122"/>
      <c r="L122"/>
      <c r="M122"/>
      <c r="N122"/>
    </row>
    <row r="123" spans="9:14" x14ac:dyDescent="0.25">
      <c r="I123"/>
      <c r="J123"/>
      <c r="K123"/>
      <c r="L123"/>
      <c r="M123"/>
      <c r="N123"/>
    </row>
    <row r="124" spans="9:14" x14ac:dyDescent="0.25">
      <c r="I124"/>
      <c r="J124"/>
      <c r="K124"/>
      <c r="L124"/>
      <c r="M124"/>
      <c r="N124"/>
    </row>
    <row r="125" spans="9:14" x14ac:dyDescent="0.25">
      <c r="I125"/>
      <c r="J125"/>
      <c r="K125"/>
      <c r="L125"/>
      <c r="M125"/>
      <c r="N125"/>
    </row>
    <row r="126" spans="9:14" x14ac:dyDescent="0.25">
      <c r="I126"/>
      <c r="J126"/>
      <c r="K126"/>
      <c r="L126"/>
      <c r="M126"/>
      <c r="N126"/>
    </row>
    <row r="127" spans="9:14" x14ac:dyDescent="0.25">
      <c r="I127"/>
      <c r="J127"/>
      <c r="K127"/>
      <c r="L127"/>
      <c r="M127"/>
      <c r="N127"/>
    </row>
    <row r="128" spans="9:14" x14ac:dyDescent="0.25">
      <c r="I128"/>
      <c r="J128"/>
      <c r="K128"/>
      <c r="L128"/>
      <c r="M128"/>
      <c r="N128"/>
    </row>
    <row r="129" spans="9:14" x14ac:dyDescent="0.25">
      <c r="I129"/>
      <c r="J129"/>
      <c r="K129"/>
      <c r="L129"/>
      <c r="M129"/>
      <c r="N129"/>
    </row>
    <row r="130" spans="9:14" x14ac:dyDescent="0.25">
      <c r="I130"/>
      <c r="J130"/>
      <c r="K130"/>
      <c r="L130"/>
      <c r="M130"/>
      <c r="N130"/>
    </row>
    <row r="131" spans="9:14" x14ac:dyDescent="0.25">
      <c r="I131"/>
      <c r="J131"/>
      <c r="K131"/>
      <c r="L131"/>
      <c r="M131"/>
      <c r="N131"/>
    </row>
    <row r="132" spans="9:14" x14ac:dyDescent="0.25">
      <c r="I132"/>
      <c r="J132"/>
      <c r="K132"/>
      <c r="L132"/>
      <c r="M132"/>
      <c r="N132"/>
    </row>
    <row r="133" spans="9:14" x14ac:dyDescent="0.25">
      <c r="I133"/>
      <c r="J133"/>
      <c r="K133"/>
      <c r="L133"/>
      <c r="M133"/>
      <c r="N133"/>
    </row>
    <row r="134" spans="9:14" x14ac:dyDescent="0.25">
      <c r="I134"/>
      <c r="J134"/>
      <c r="K134"/>
      <c r="L134"/>
      <c r="M134"/>
      <c r="N134"/>
    </row>
    <row r="135" spans="9:14" x14ac:dyDescent="0.25">
      <c r="I135"/>
      <c r="J135"/>
      <c r="K135"/>
      <c r="L135"/>
      <c r="M135"/>
      <c r="N135"/>
    </row>
    <row r="136" spans="9:14" x14ac:dyDescent="0.25">
      <c r="I136"/>
      <c r="J136"/>
      <c r="K136"/>
      <c r="L136"/>
      <c r="M136"/>
      <c r="N136"/>
    </row>
    <row r="137" spans="9:14" x14ac:dyDescent="0.25">
      <c r="I137"/>
      <c r="J137"/>
      <c r="K137"/>
      <c r="L137"/>
      <c r="M137"/>
      <c r="N137"/>
    </row>
    <row r="138" spans="9:14" x14ac:dyDescent="0.25">
      <c r="I138"/>
      <c r="J138"/>
      <c r="K138"/>
      <c r="L138"/>
      <c r="M138"/>
      <c r="N138"/>
    </row>
    <row r="139" spans="9:14" x14ac:dyDescent="0.25">
      <c r="I139"/>
      <c r="J139"/>
      <c r="K139"/>
      <c r="L139"/>
      <c r="M139"/>
      <c r="N139"/>
    </row>
    <row r="140" spans="9:14" x14ac:dyDescent="0.25">
      <c r="I140"/>
      <c r="J140"/>
      <c r="K140"/>
      <c r="L140"/>
      <c r="M140"/>
      <c r="N140"/>
    </row>
    <row r="141" spans="9:14" x14ac:dyDescent="0.25">
      <c r="I141"/>
      <c r="J141"/>
      <c r="K141"/>
      <c r="L141"/>
      <c r="M141"/>
      <c r="N141"/>
    </row>
    <row r="142" spans="9:14" x14ac:dyDescent="0.25">
      <c r="I142"/>
      <c r="J142"/>
      <c r="K142"/>
      <c r="L142"/>
      <c r="M142"/>
      <c r="N142"/>
    </row>
    <row r="143" spans="9:14" x14ac:dyDescent="0.25">
      <c r="I143"/>
      <c r="J143"/>
      <c r="K143"/>
      <c r="L143"/>
      <c r="M143"/>
      <c r="N143"/>
    </row>
    <row r="144" spans="9:14" x14ac:dyDescent="0.25">
      <c r="I144"/>
      <c r="J144"/>
      <c r="K144"/>
      <c r="L144"/>
      <c r="M144"/>
      <c r="N144"/>
    </row>
    <row r="145" spans="9:14" x14ac:dyDescent="0.25">
      <c r="I145"/>
      <c r="J145"/>
      <c r="K145"/>
      <c r="L145"/>
      <c r="M145"/>
      <c r="N145"/>
    </row>
    <row r="146" spans="9:14" x14ac:dyDescent="0.25">
      <c r="I146"/>
      <c r="J146"/>
      <c r="K146"/>
      <c r="L146"/>
      <c r="M146"/>
      <c r="N146"/>
    </row>
    <row r="147" spans="9:14" x14ac:dyDescent="0.25">
      <c r="I147"/>
      <c r="J147"/>
      <c r="K147"/>
      <c r="L147"/>
      <c r="M147"/>
      <c r="N147"/>
    </row>
    <row r="148" spans="9:14" x14ac:dyDescent="0.25">
      <c r="I148"/>
      <c r="J148"/>
      <c r="K148"/>
      <c r="L148"/>
      <c r="M148"/>
      <c r="N148"/>
    </row>
    <row r="149" spans="9:14" x14ac:dyDescent="0.25">
      <c r="I149"/>
      <c r="J149"/>
      <c r="K149"/>
      <c r="L149"/>
      <c r="M149"/>
      <c r="N149"/>
    </row>
    <row r="150" spans="9:14" x14ac:dyDescent="0.25">
      <c r="I150"/>
      <c r="J150"/>
      <c r="K150"/>
      <c r="L150"/>
      <c r="M150"/>
      <c r="N150"/>
    </row>
    <row r="151" spans="9:14" x14ac:dyDescent="0.25">
      <c r="I151"/>
      <c r="J151"/>
      <c r="K151"/>
      <c r="L151"/>
      <c r="M151"/>
      <c r="N151"/>
    </row>
    <row r="152" spans="9:14" x14ac:dyDescent="0.25">
      <c r="I152"/>
      <c r="J152"/>
      <c r="K152"/>
      <c r="L152"/>
      <c r="M152"/>
      <c r="N152"/>
    </row>
    <row r="153" spans="9:14" x14ac:dyDescent="0.25">
      <c r="I153"/>
      <c r="J153"/>
      <c r="K153"/>
      <c r="L153"/>
      <c r="M153"/>
      <c r="N153"/>
    </row>
    <row r="154" spans="9:14" x14ac:dyDescent="0.25">
      <c r="I154"/>
      <c r="J154"/>
      <c r="K154"/>
      <c r="L154"/>
      <c r="M154"/>
      <c r="N154"/>
    </row>
    <row r="155" spans="9:14" x14ac:dyDescent="0.25">
      <c r="I155"/>
      <c r="J155"/>
      <c r="K155"/>
      <c r="L155"/>
      <c r="M155"/>
      <c r="N155"/>
    </row>
    <row r="156" spans="9:14" x14ac:dyDescent="0.25">
      <c r="I156"/>
      <c r="J156"/>
      <c r="K156"/>
      <c r="L156"/>
      <c r="M156"/>
      <c r="N156"/>
    </row>
    <row r="157" spans="9:14" x14ac:dyDescent="0.25">
      <c r="I157"/>
      <c r="J157"/>
      <c r="K157"/>
      <c r="L157"/>
      <c r="M157"/>
      <c r="N157"/>
    </row>
    <row r="158" spans="9:14" x14ac:dyDescent="0.25">
      <c r="I158"/>
      <c r="J158"/>
      <c r="K158"/>
      <c r="L158"/>
      <c r="M158"/>
      <c r="N158"/>
    </row>
    <row r="159" spans="9:14" x14ac:dyDescent="0.25">
      <c r="I159"/>
      <c r="J159"/>
      <c r="K159"/>
      <c r="L159"/>
      <c r="M159"/>
      <c r="N159"/>
    </row>
    <row r="160" spans="9:14" x14ac:dyDescent="0.25">
      <c r="I160"/>
      <c r="J160"/>
      <c r="K160"/>
      <c r="L160"/>
      <c r="M160"/>
      <c r="N160"/>
    </row>
    <row r="161" spans="9:14" x14ac:dyDescent="0.25">
      <c r="I161"/>
      <c r="J161"/>
      <c r="K161"/>
      <c r="L161"/>
      <c r="M161"/>
      <c r="N161"/>
    </row>
    <row r="162" spans="9:14" x14ac:dyDescent="0.25">
      <c r="I162"/>
      <c r="J162"/>
      <c r="K162"/>
      <c r="L162"/>
      <c r="M162"/>
      <c r="N162"/>
    </row>
    <row r="163" spans="9:14" x14ac:dyDescent="0.25">
      <c r="I163"/>
      <c r="J163"/>
      <c r="K163"/>
      <c r="L163"/>
      <c r="M163"/>
      <c r="N163"/>
    </row>
    <row r="164" spans="9:14" x14ac:dyDescent="0.25">
      <c r="I164"/>
      <c r="J164"/>
      <c r="K164"/>
      <c r="L164"/>
      <c r="M164"/>
      <c r="N164"/>
    </row>
    <row r="165" spans="9:14" x14ac:dyDescent="0.25">
      <c r="I165"/>
      <c r="J165"/>
      <c r="K165"/>
      <c r="L165"/>
      <c r="M165"/>
      <c r="N165"/>
    </row>
    <row r="166" spans="9:14" x14ac:dyDescent="0.25">
      <c r="I166"/>
      <c r="J166"/>
      <c r="K166"/>
      <c r="L166"/>
      <c r="M166"/>
      <c r="N166"/>
    </row>
    <row r="167" spans="9:14" x14ac:dyDescent="0.25">
      <c r="I167"/>
      <c r="J167"/>
      <c r="K167"/>
      <c r="L167"/>
      <c r="M167"/>
      <c r="N167"/>
    </row>
    <row r="168" spans="9:14" x14ac:dyDescent="0.25">
      <c r="I168"/>
      <c r="J168"/>
      <c r="K168"/>
      <c r="L168"/>
      <c r="M168"/>
      <c r="N168"/>
    </row>
    <row r="169" spans="9:14" x14ac:dyDescent="0.25">
      <c r="I169"/>
      <c r="J169"/>
      <c r="K169"/>
      <c r="L169"/>
      <c r="M169"/>
      <c r="N169"/>
    </row>
    <row r="170" spans="9:14" x14ac:dyDescent="0.25">
      <c r="I170"/>
      <c r="J170"/>
      <c r="K170"/>
      <c r="L170"/>
      <c r="M170"/>
      <c r="N170"/>
    </row>
    <row r="171" spans="9:14" x14ac:dyDescent="0.25">
      <c r="I171"/>
      <c r="J171"/>
      <c r="K171"/>
      <c r="L171"/>
      <c r="M171"/>
      <c r="N171"/>
    </row>
    <row r="172" spans="9:14" x14ac:dyDescent="0.25">
      <c r="I172"/>
      <c r="J172"/>
      <c r="K172"/>
      <c r="L172"/>
      <c r="M172"/>
      <c r="N172"/>
    </row>
    <row r="173" spans="9:14" x14ac:dyDescent="0.25">
      <c r="I173"/>
      <c r="J173"/>
      <c r="K173"/>
      <c r="L173"/>
      <c r="M173"/>
      <c r="N173"/>
    </row>
    <row r="174" spans="9:14" x14ac:dyDescent="0.25">
      <c r="I174"/>
      <c r="J174"/>
      <c r="K174"/>
      <c r="L174"/>
      <c r="M174"/>
      <c r="N174"/>
    </row>
    <row r="175" spans="9:14" x14ac:dyDescent="0.25">
      <c r="I175"/>
      <c r="J175"/>
      <c r="K175"/>
      <c r="L175"/>
      <c r="M175"/>
      <c r="N175"/>
    </row>
    <row r="176" spans="9:14" x14ac:dyDescent="0.25">
      <c r="I176"/>
      <c r="J176"/>
      <c r="K176"/>
      <c r="L176"/>
      <c r="M176"/>
      <c r="N176"/>
    </row>
    <row r="177" spans="9:14" x14ac:dyDescent="0.25">
      <c r="I177"/>
      <c r="J177"/>
      <c r="K177"/>
      <c r="L177"/>
      <c r="M177"/>
      <c r="N177"/>
    </row>
    <row r="178" spans="9:14" x14ac:dyDescent="0.25">
      <c r="I178"/>
      <c r="J178"/>
      <c r="K178"/>
      <c r="L178"/>
      <c r="M178"/>
      <c r="N178"/>
    </row>
    <row r="179" spans="9:14" x14ac:dyDescent="0.25">
      <c r="I179"/>
      <c r="J179"/>
      <c r="K179"/>
      <c r="L179"/>
      <c r="M179"/>
      <c r="N179"/>
    </row>
    <row r="180" spans="9:14" x14ac:dyDescent="0.25">
      <c r="I180"/>
      <c r="J180"/>
      <c r="K180"/>
      <c r="L180"/>
      <c r="M180"/>
      <c r="N180"/>
    </row>
    <row r="181" spans="9:14" x14ac:dyDescent="0.25">
      <c r="I181"/>
      <c r="J181"/>
      <c r="K181"/>
      <c r="L181"/>
      <c r="M181"/>
      <c r="N181"/>
    </row>
    <row r="182" spans="9:14" x14ac:dyDescent="0.25">
      <c r="I182"/>
      <c r="J182"/>
      <c r="K182"/>
      <c r="L182"/>
      <c r="M182"/>
      <c r="N182"/>
    </row>
    <row r="183" spans="9:14" x14ac:dyDescent="0.25">
      <c r="I183"/>
      <c r="J183"/>
      <c r="K183"/>
      <c r="L183"/>
      <c r="M183"/>
      <c r="N183"/>
    </row>
    <row r="184" spans="9:14" x14ac:dyDescent="0.25">
      <c r="I184"/>
      <c r="J184"/>
      <c r="K184"/>
      <c r="L184"/>
      <c r="M184"/>
      <c r="N184"/>
    </row>
    <row r="185" spans="9:14" x14ac:dyDescent="0.25">
      <c r="I185"/>
      <c r="J185"/>
      <c r="K185"/>
      <c r="L185"/>
      <c r="M185"/>
      <c r="N185"/>
    </row>
    <row r="186" spans="9:14" x14ac:dyDescent="0.25">
      <c r="I186"/>
      <c r="J186"/>
      <c r="K186"/>
      <c r="L186"/>
      <c r="M186"/>
      <c r="N186"/>
    </row>
    <row r="187" spans="9:14" x14ac:dyDescent="0.25">
      <c r="I187"/>
      <c r="J187"/>
      <c r="K187"/>
      <c r="L187"/>
      <c r="M187"/>
      <c r="N187"/>
    </row>
    <row r="188" spans="9:14" x14ac:dyDescent="0.25">
      <c r="I188"/>
      <c r="J188"/>
      <c r="K188"/>
      <c r="L188"/>
      <c r="M188"/>
      <c r="N188"/>
    </row>
    <row r="189" spans="9:14" x14ac:dyDescent="0.25">
      <c r="I189"/>
      <c r="J189"/>
      <c r="K189"/>
      <c r="L189"/>
      <c r="M189"/>
      <c r="N189"/>
    </row>
    <row r="190" spans="9:14" x14ac:dyDescent="0.25">
      <c r="I190"/>
      <c r="J190"/>
      <c r="K190"/>
      <c r="L190"/>
      <c r="M190"/>
      <c r="N190"/>
    </row>
    <row r="191" spans="9:14" x14ac:dyDescent="0.25">
      <c r="I191"/>
      <c r="J191"/>
      <c r="K191"/>
      <c r="L191"/>
      <c r="M191"/>
      <c r="N191"/>
    </row>
    <row r="192" spans="9:14" x14ac:dyDescent="0.25">
      <c r="I192"/>
      <c r="J192"/>
      <c r="K192"/>
      <c r="L192"/>
      <c r="M192"/>
      <c r="N192"/>
    </row>
    <row r="193" spans="9:14" x14ac:dyDescent="0.25">
      <c r="I193"/>
      <c r="J193"/>
      <c r="K193"/>
      <c r="L193"/>
      <c r="M193"/>
      <c r="N193"/>
    </row>
    <row r="194" spans="9:14" x14ac:dyDescent="0.25">
      <c r="I194"/>
      <c r="J194"/>
      <c r="K194"/>
      <c r="L194"/>
      <c r="M194"/>
      <c r="N194"/>
    </row>
    <row r="195" spans="9:14" x14ac:dyDescent="0.25">
      <c r="I195"/>
      <c r="J195"/>
      <c r="K195"/>
      <c r="L195"/>
      <c r="M195"/>
      <c r="N195"/>
    </row>
    <row r="196" spans="9:14" x14ac:dyDescent="0.25">
      <c r="I196"/>
      <c r="J196"/>
      <c r="K196"/>
      <c r="L196"/>
      <c r="M196"/>
      <c r="N196"/>
    </row>
    <row r="197" spans="9:14" x14ac:dyDescent="0.25">
      <c r="I197"/>
      <c r="J197"/>
      <c r="K197"/>
      <c r="L197"/>
      <c r="M197"/>
      <c r="N197"/>
    </row>
    <row r="198" spans="9:14" x14ac:dyDescent="0.25">
      <c r="I198"/>
      <c r="J198"/>
      <c r="K198"/>
      <c r="L198"/>
      <c r="M198"/>
      <c r="N198"/>
    </row>
    <row r="199" spans="9:14" x14ac:dyDescent="0.25">
      <c r="I199"/>
      <c r="J199"/>
      <c r="K199"/>
      <c r="L199"/>
      <c r="M199"/>
      <c r="N199"/>
    </row>
    <row r="200" spans="9:14" x14ac:dyDescent="0.25">
      <c r="I200"/>
      <c r="J200"/>
      <c r="K200"/>
      <c r="L200"/>
      <c r="M200"/>
      <c r="N200"/>
    </row>
    <row r="201" spans="9:14" x14ac:dyDescent="0.25">
      <c r="I201"/>
      <c r="J201"/>
      <c r="K201"/>
      <c r="L201"/>
      <c r="M201"/>
      <c r="N201"/>
    </row>
    <row r="202" spans="9:14" x14ac:dyDescent="0.25">
      <c r="I202"/>
      <c r="J202"/>
      <c r="K202"/>
      <c r="L202"/>
      <c r="M202"/>
      <c r="N202"/>
    </row>
    <row r="203" spans="9:14" x14ac:dyDescent="0.25">
      <c r="I203"/>
      <c r="J203"/>
      <c r="K203"/>
      <c r="L203"/>
      <c r="M203"/>
      <c r="N203"/>
    </row>
    <row r="204" spans="9:14" x14ac:dyDescent="0.25">
      <c r="I204"/>
      <c r="J204"/>
      <c r="K204"/>
      <c r="L204"/>
      <c r="M204"/>
      <c r="N204"/>
    </row>
    <row r="205" spans="9:14" x14ac:dyDescent="0.25">
      <c r="I205"/>
      <c r="J205"/>
      <c r="K205"/>
      <c r="L205"/>
      <c r="M205"/>
      <c r="N205"/>
    </row>
    <row r="206" spans="9:14" x14ac:dyDescent="0.25">
      <c r="I206"/>
      <c r="J206"/>
      <c r="K206"/>
      <c r="L206"/>
      <c r="M206"/>
      <c r="N206"/>
    </row>
    <row r="207" spans="9:14" x14ac:dyDescent="0.25">
      <c r="I207"/>
      <c r="J207"/>
      <c r="K207"/>
      <c r="L207"/>
      <c r="M207"/>
      <c r="N207"/>
    </row>
    <row r="208" spans="9:14" x14ac:dyDescent="0.25">
      <c r="I208"/>
      <c r="J208"/>
      <c r="K208"/>
      <c r="L208"/>
      <c r="M208"/>
      <c r="N208"/>
    </row>
    <row r="209" spans="9:14" x14ac:dyDescent="0.25">
      <c r="I209"/>
      <c r="J209"/>
      <c r="K209"/>
      <c r="L209"/>
      <c r="M209"/>
      <c r="N209"/>
    </row>
    <row r="210" spans="9:14" x14ac:dyDescent="0.25">
      <c r="I210"/>
      <c r="J210"/>
      <c r="K210"/>
      <c r="L210"/>
      <c r="M210"/>
      <c r="N210"/>
    </row>
    <row r="211" spans="9:14" x14ac:dyDescent="0.25">
      <c r="I211"/>
      <c r="J211"/>
      <c r="K211"/>
      <c r="L211"/>
      <c r="M211"/>
      <c r="N211"/>
    </row>
    <row r="212" spans="9:14" x14ac:dyDescent="0.25">
      <c r="I212"/>
      <c r="J212"/>
      <c r="K212"/>
      <c r="L212"/>
      <c r="M212"/>
      <c r="N212"/>
    </row>
    <row r="213" spans="9:14" x14ac:dyDescent="0.25">
      <c r="I213"/>
      <c r="J213"/>
      <c r="K213"/>
      <c r="L213"/>
      <c r="M213"/>
      <c r="N213"/>
    </row>
    <row r="214" spans="9:14" x14ac:dyDescent="0.25">
      <c r="I214"/>
      <c r="J214"/>
      <c r="K214"/>
      <c r="L214"/>
      <c r="M214"/>
      <c r="N214"/>
    </row>
    <row r="215" spans="9:14" x14ac:dyDescent="0.25">
      <c r="I215"/>
      <c r="J215"/>
      <c r="K215"/>
      <c r="L215"/>
      <c r="M215"/>
      <c r="N215"/>
    </row>
    <row r="216" spans="9:14" x14ac:dyDescent="0.25">
      <c r="I216"/>
      <c r="J216"/>
      <c r="K216"/>
      <c r="L216"/>
      <c r="M216"/>
      <c r="N216"/>
    </row>
    <row r="217" spans="9:14" x14ac:dyDescent="0.25">
      <c r="I217"/>
      <c r="J217"/>
      <c r="K217"/>
      <c r="L217"/>
      <c r="M217"/>
      <c r="N217"/>
    </row>
    <row r="218" spans="9:14" x14ac:dyDescent="0.25">
      <c r="I218"/>
      <c r="J218"/>
      <c r="K218"/>
      <c r="L218"/>
      <c r="M218"/>
      <c r="N218"/>
    </row>
    <row r="219" spans="9:14" x14ac:dyDescent="0.25">
      <c r="I219"/>
      <c r="J219"/>
      <c r="K219"/>
      <c r="L219"/>
      <c r="M219"/>
      <c r="N219"/>
    </row>
    <row r="220" spans="9:14" x14ac:dyDescent="0.25">
      <c r="I220"/>
      <c r="J220"/>
      <c r="K220"/>
      <c r="L220"/>
      <c r="M220"/>
      <c r="N220"/>
    </row>
    <row r="221" spans="9:14" x14ac:dyDescent="0.25">
      <c r="I221"/>
      <c r="J221"/>
      <c r="K221"/>
      <c r="L221"/>
      <c r="M221"/>
      <c r="N221"/>
    </row>
    <row r="222" spans="9:14" x14ac:dyDescent="0.25">
      <c r="I222"/>
      <c r="J222"/>
      <c r="K222"/>
      <c r="L222"/>
      <c r="M222"/>
      <c r="N222"/>
    </row>
    <row r="223" spans="9:14" x14ac:dyDescent="0.25">
      <c r="I223"/>
      <c r="J223"/>
      <c r="K223"/>
      <c r="L223"/>
      <c r="M223"/>
      <c r="N223"/>
    </row>
    <row r="224" spans="9:14" x14ac:dyDescent="0.25">
      <c r="I224"/>
      <c r="J224"/>
      <c r="K224"/>
      <c r="L224"/>
      <c r="M224"/>
      <c r="N224"/>
    </row>
    <row r="225" spans="9:14" x14ac:dyDescent="0.25">
      <c r="I225"/>
      <c r="J225"/>
      <c r="K225"/>
      <c r="L225"/>
      <c r="M225"/>
      <c r="N225"/>
    </row>
    <row r="226" spans="9:14" x14ac:dyDescent="0.25">
      <c r="I226"/>
      <c r="J226"/>
      <c r="K226"/>
      <c r="L226"/>
      <c r="M226"/>
      <c r="N226"/>
    </row>
    <row r="227" spans="9:14" x14ac:dyDescent="0.25">
      <c r="I227"/>
      <c r="J227"/>
      <c r="K227"/>
      <c r="L227"/>
      <c r="M227"/>
      <c r="N227"/>
    </row>
    <row r="228" spans="9:14" x14ac:dyDescent="0.25">
      <c r="I228"/>
      <c r="J228"/>
      <c r="K228"/>
      <c r="L228"/>
      <c r="M228"/>
      <c r="N228"/>
    </row>
    <row r="229" spans="9:14" x14ac:dyDescent="0.25">
      <c r="I229"/>
      <c r="J229"/>
      <c r="K229"/>
      <c r="L229"/>
      <c r="M229"/>
      <c r="N229"/>
    </row>
    <row r="230" spans="9:14" x14ac:dyDescent="0.25">
      <c r="I230"/>
      <c r="J230"/>
      <c r="K230"/>
      <c r="L230"/>
      <c r="M230"/>
      <c r="N230"/>
    </row>
    <row r="231" spans="9:14" x14ac:dyDescent="0.25">
      <c r="I231"/>
      <c r="J231"/>
      <c r="K231"/>
      <c r="L231"/>
      <c r="M231"/>
      <c r="N231"/>
    </row>
    <row r="232" spans="9:14" x14ac:dyDescent="0.25">
      <c r="I232"/>
      <c r="J232"/>
      <c r="K232"/>
      <c r="L232"/>
      <c r="M232"/>
      <c r="N232"/>
    </row>
    <row r="233" spans="9:14" x14ac:dyDescent="0.25">
      <c r="I233"/>
      <c r="J233"/>
      <c r="K233"/>
      <c r="L233"/>
      <c r="M233"/>
      <c r="N233"/>
    </row>
    <row r="234" spans="9:14" x14ac:dyDescent="0.25">
      <c r="I234"/>
      <c r="J234"/>
      <c r="K234"/>
      <c r="L234"/>
      <c r="M234"/>
      <c r="N234"/>
    </row>
    <row r="235" spans="9:14" x14ac:dyDescent="0.25">
      <c r="I235"/>
      <c r="J235"/>
      <c r="K235"/>
      <c r="L235"/>
      <c r="M235"/>
      <c r="N235"/>
    </row>
    <row r="236" spans="9:14" x14ac:dyDescent="0.25">
      <c r="I236"/>
      <c r="J236"/>
      <c r="K236"/>
      <c r="L236"/>
      <c r="M236"/>
      <c r="N236"/>
    </row>
    <row r="237" spans="9:14" x14ac:dyDescent="0.25">
      <c r="I237"/>
      <c r="J237"/>
      <c r="K237"/>
      <c r="L237"/>
      <c r="M237"/>
      <c r="N237"/>
    </row>
    <row r="238" spans="9:14" x14ac:dyDescent="0.25">
      <c r="I238"/>
      <c r="J238"/>
      <c r="K238"/>
      <c r="L238"/>
      <c r="M238"/>
      <c r="N238"/>
    </row>
    <row r="239" spans="9:14" x14ac:dyDescent="0.25">
      <c r="I239"/>
      <c r="J239"/>
      <c r="K239"/>
      <c r="L239"/>
      <c r="M239"/>
      <c r="N239"/>
    </row>
    <row r="240" spans="9:14" x14ac:dyDescent="0.25">
      <c r="I240"/>
      <c r="J240"/>
      <c r="K240"/>
      <c r="L240"/>
      <c r="M240"/>
      <c r="N240"/>
    </row>
    <row r="241" spans="9:14" x14ac:dyDescent="0.25">
      <c r="I241"/>
      <c r="J241"/>
      <c r="K241"/>
      <c r="L241"/>
      <c r="M241"/>
      <c r="N241"/>
    </row>
    <row r="242" spans="9:14" x14ac:dyDescent="0.25">
      <c r="I242"/>
      <c r="J242"/>
      <c r="K242"/>
      <c r="L242"/>
      <c r="M242"/>
      <c r="N242"/>
    </row>
    <row r="243" spans="9:14" x14ac:dyDescent="0.25">
      <c r="I243"/>
      <c r="J243"/>
      <c r="K243"/>
      <c r="L243"/>
      <c r="M243"/>
      <c r="N243"/>
    </row>
    <row r="244" spans="9:14" x14ac:dyDescent="0.25">
      <c r="I244"/>
      <c r="J244"/>
      <c r="K244"/>
      <c r="L244"/>
      <c r="M244"/>
      <c r="N244"/>
    </row>
    <row r="245" spans="9:14" x14ac:dyDescent="0.25">
      <c r="I245"/>
      <c r="J245"/>
      <c r="K245"/>
      <c r="L245"/>
      <c r="M245"/>
      <c r="N245"/>
    </row>
    <row r="246" spans="9:14" x14ac:dyDescent="0.25">
      <c r="I246"/>
      <c r="J246"/>
      <c r="K246"/>
      <c r="L246"/>
      <c r="M246"/>
      <c r="N246"/>
    </row>
    <row r="247" spans="9:14" x14ac:dyDescent="0.25">
      <c r="I247"/>
      <c r="J247"/>
      <c r="K247"/>
      <c r="L247"/>
      <c r="M247"/>
      <c r="N247"/>
    </row>
    <row r="248" spans="9:14" x14ac:dyDescent="0.25">
      <c r="I248"/>
      <c r="J248"/>
      <c r="K248"/>
      <c r="L248"/>
      <c r="M248"/>
      <c r="N248"/>
    </row>
    <row r="249" spans="9:14" x14ac:dyDescent="0.25">
      <c r="I249"/>
      <c r="J249"/>
      <c r="K249"/>
      <c r="L249"/>
      <c r="M249"/>
      <c r="N249"/>
    </row>
    <row r="250" spans="9:14" x14ac:dyDescent="0.25">
      <c r="I250"/>
      <c r="J250"/>
      <c r="K250"/>
      <c r="L250"/>
      <c r="M250"/>
      <c r="N250"/>
    </row>
    <row r="251" spans="9:14" x14ac:dyDescent="0.25">
      <c r="I251"/>
      <c r="J251"/>
      <c r="K251"/>
      <c r="L251"/>
      <c r="M251"/>
      <c r="N251"/>
    </row>
    <row r="252" spans="9:14" x14ac:dyDescent="0.25">
      <c r="I252"/>
      <c r="J252"/>
      <c r="K252"/>
      <c r="L252"/>
      <c r="M252"/>
      <c r="N252"/>
    </row>
    <row r="253" spans="9:14" x14ac:dyDescent="0.25">
      <c r="I253"/>
      <c r="J253"/>
      <c r="K253"/>
      <c r="L253"/>
      <c r="M253"/>
      <c r="N253"/>
    </row>
    <row r="254" spans="9:14" x14ac:dyDescent="0.25">
      <c r="I254"/>
      <c r="J254"/>
      <c r="K254"/>
      <c r="L254"/>
      <c r="M254"/>
      <c r="N254"/>
    </row>
    <row r="255" spans="9:14" x14ac:dyDescent="0.25">
      <c r="I255"/>
      <c r="J255"/>
      <c r="K255"/>
      <c r="L255"/>
      <c r="M255"/>
      <c r="N255"/>
    </row>
    <row r="256" spans="9:14" x14ac:dyDescent="0.25">
      <c r="I256"/>
      <c r="J256"/>
      <c r="K256"/>
      <c r="L256"/>
      <c r="M256"/>
      <c r="N256"/>
    </row>
    <row r="257" spans="9:14" x14ac:dyDescent="0.25">
      <c r="I257"/>
      <c r="J257"/>
      <c r="K257"/>
      <c r="L257"/>
      <c r="M257"/>
      <c r="N257"/>
    </row>
    <row r="258" spans="9:14" x14ac:dyDescent="0.25">
      <c r="I258"/>
      <c r="J258"/>
      <c r="K258"/>
      <c r="L258"/>
      <c r="M258"/>
      <c r="N258"/>
    </row>
    <row r="259" spans="9:14" x14ac:dyDescent="0.25">
      <c r="I259"/>
      <c r="J259"/>
      <c r="K259"/>
      <c r="L259"/>
      <c r="M259"/>
      <c r="N259"/>
    </row>
    <row r="260" spans="9:14" x14ac:dyDescent="0.25">
      <c r="I260"/>
      <c r="J260"/>
      <c r="K260"/>
      <c r="L260"/>
      <c r="M260"/>
      <c r="N260"/>
    </row>
    <row r="261" spans="9:14" x14ac:dyDescent="0.25">
      <c r="I261"/>
      <c r="J261"/>
      <c r="K261"/>
      <c r="L261"/>
      <c r="M261"/>
      <c r="N261"/>
    </row>
    <row r="262" spans="9:14" x14ac:dyDescent="0.25">
      <c r="I262"/>
      <c r="J262"/>
      <c r="K262"/>
      <c r="L262"/>
      <c r="M262"/>
      <c r="N262"/>
    </row>
    <row r="263" spans="9:14" x14ac:dyDescent="0.25">
      <c r="I263"/>
      <c r="J263"/>
      <c r="K263"/>
      <c r="L263"/>
      <c r="M263"/>
      <c r="N263"/>
    </row>
    <row r="264" spans="9:14" x14ac:dyDescent="0.25">
      <c r="I264"/>
      <c r="J264"/>
      <c r="K264"/>
      <c r="L264"/>
      <c r="M264"/>
      <c r="N264"/>
    </row>
    <row r="265" spans="9:14" x14ac:dyDescent="0.25">
      <c r="I265"/>
      <c r="J265"/>
      <c r="K265"/>
      <c r="L265"/>
      <c r="M265"/>
      <c r="N265"/>
    </row>
    <row r="266" spans="9:14" x14ac:dyDescent="0.25">
      <c r="I266"/>
      <c r="J266"/>
      <c r="K266"/>
      <c r="L266"/>
      <c r="M266"/>
      <c r="N266"/>
    </row>
    <row r="267" spans="9:14" x14ac:dyDescent="0.25">
      <c r="I267"/>
      <c r="J267"/>
      <c r="K267"/>
      <c r="L267"/>
      <c r="M267"/>
      <c r="N267"/>
    </row>
    <row r="268" spans="9:14" x14ac:dyDescent="0.25">
      <c r="I268"/>
      <c r="J268"/>
      <c r="K268"/>
      <c r="L268"/>
      <c r="M268"/>
      <c r="N268"/>
    </row>
    <row r="269" spans="9:14" x14ac:dyDescent="0.25">
      <c r="I269"/>
      <c r="J269"/>
      <c r="K269"/>
      <c r="L269"/>
      <c r="M269"/>
      <c r="N269"/>
    </row>
    <row r="270" spans="9:14" x14ac:dyDescent="0.25">
      <c r="I270"/>
      <c r="J270"/>
      <c r="K270"/>
      <c r="L270"/>
      <c r="M270"/>
      <c r="N270"/>
    </row>
    <row r="271" spans="9:14" x14ac:dyDescent="0.25">
      <c r="I271"/>
      <c r="J271"/>
      <c r="K271"/>
      <c r="L271"/>
      <c r="M271"/>
      <c r="N271"/>
    </row>
    <row r="272" spans="9:14" x14ac:dyDescent="0.25">
      <c r="I272"/>
      <c r="J272"/>
      <c r="K272"/>
      <c r="L272"/>
      <c r="M272"/>
      <c r="N272"/>
    </row>
    <row r="273" spans="9:14" x14ac:dyDescent="0.25">
      <c r="I273"/>
      <c r="J273"/>
      <c r="K273"/>
      <c r="L273"/>
      <c r="M273"/>
      <c r="N273"/>
    </row>
    <row r="274" spans="9:14" x14ac:dyDescent="0.25">
      <c r="I274"/>
      <c r="J274"/>
      <c r="K274"/>
      <c r="L274"/>
      <c r="M274"/>
      <c r="N274"/>
    </row>
    <row r="275" spans="9:14" x14ac:dyDescent="0.25">
      <c r="I275"/>
      <c r="J275"/>
      <c r="K275"/>
      <c r="L275"/>
      <c r="M275"/>
      <c r="N275"/>
    </row>
    <row r="276" spans="9:14" x14ac:dyDescent="0.25">
      <c r="I276"/>
      <c r="J276"/>
      <c r="K276"/>
      <c r="L276"/>
      <c r="M276"/>
      <c r="N276"/>
    </row>
    <row r="277" spans="9:14" x14ac:dyDescent="0.25">
      <c r="I277"/>
      <c r="J277"/>
      <c r="K277"/>
      <c r="L277"/>
      <c r="M277"/>
      <c r="N277"/>
    </row>
    <row r="278" spans="9:14" x14ac:dyDescent="0.25">
      <c r="I278"/>
      <c r="J278"/>
      <c r="K278"/>
      <c r="L278"/>
      <c r="M278"/>
      <c r="N278"/>
    </row>
    <row r="279" spans="9:14" x14ac:dyDescent="0.25">
      <c r="I279"/>
      <c r="J279"/>
      <c r="K279"/>
      <c r="L279"/>
      <c r="M279"/>
      <c r="N279"/>
    </row>
    <row r="280" spans="9:14" x14ac:dyDescent="0.25">
      <c r="I280"/>
      <c r="J280"/>
      <c r="K280"/>
      <c r="L280"/>
      <c r="M280"/>
      <c r="N280"/>
    </row>
    <row r="281" spans="9:14" x14ac:dyDescent="0.25">
      <c r="I281"/>
      <c r="J281"/>
      <c r="K281"/>
      <c r="L281"/>
      <c r="M281"/>
      <c r="N281"/>
    </row>
    <row r="282" spans="9:14" x14ac:dyDescent="0.25">
      <c r="I282"/>
      <c r="J282"/>
      <c r="K282"/>
      <c r="L282"/>
      <c r="M282"/>
      <c r="N282"/>
    </row>
    <row r="283" spans="9:14" x14ac:dyDescent="0.25">
      <c r="I283"/>
      <c r="J283"/>
      <c r="K283"/>
      <c r="L283"/>
      <c r="M283"/>
      <c r="N283"/>
    </row>
    <row r="284" spans="9:14" x14ac:dyDescent="0.25">
      <c r="I284"/>
      <c r="J284"/>
      <c r="K284"/>
      <c r="L284"/>
      <c r="M284"/>
      <c r="N284"/>
    </row>
    <row r="285" spans="9:14" x14ac:dyDescent="0.25">
      <c r="I285"/>
      <c r="J285"/>
      <c r="K285"/>
      <c r="L285"/>
      <c r="M285"/>
      <c r="N285"/>
    </row>
    <row r="286" spans="9:14" x14ac:dyDescent="0.25">
      <c r="I286"/>
      <c r="J286"/>
      <c r="K286"/>
      <c r="L286"/>
      <c r="M286"/>
      <c r="N286"/>
    </row>
    <row r="287" spans="9:14" x14ac:dyDescent="0.25">
      <c r="I287"/>
      <c r="J287"/>
      <c r="K287"/>
      <c r="L287"/>
      <c r="M287"/>
      <c r="N287"/>
    </row>
    <row r="288" spans="9:14" x14ac:dyDescent="0.25">
      <c r="I288"/>
      <c r="J288"/>
      <c r="K288"/>
      <c r="L288"/>
      <c r="M288"/>
      <c r="N288"/>
    </row>
    <row r="289" spans="9:14" x14ac:dyDescent="0.25">
      <c r="I289"/>
      <c r="J289"/>
      <c r="K289"/>
      <c r="L289"/>
      <c r="M289"/>
      <c r="N289"/>
    </row>
    <row r="290" spans="9:14" x14ac:dyDescent="0.25">
      <c r="I290"/>
      <c r="J290"/>
      <c r="K290"/>
      <c r="L290"/>
      <c r="M290"/>
      <c r="N290"/>
    </row>
    <row r="291" spans="9:14" x14ac:dyDescent="0.25">
      <c r="I291"/>
      <c r="J291"/>
      <c r="K291"/>
      <c r="L291"/>
      <c r="M291"/>
      <c r="N291"/>
    </row>
    <row r="292" spans="9:14" x14ac:dyDescent="0.25">
      <c r="I292"/>
      <c r="J292"/>
      <c r="K292"/>
      <c r="L292"/>
      <c r="M292"/>
      <c r="N292"/>
    </row>
    <row r="293" spans="9:14" x14ac:dyDescent="0.25">
      <c r="I293"/>
      <c r="J293"/>
      <c r="K293"/>
      <c r="L293"/>
      <c r="M293"/>
      <c r="N293"/>
    </row>
    <row r="294" spans="9:14" x14ac:dyDescent="0.25">
      <c r="I294"/>
      <c r="J294"/>
      <c r="K294"/>
      <c r="L294"/>
      <c r="M294"/>
      <c r="N294"/>
    </row>
    <row r="295" spans="9:14" x14ac:dyDescent="0.25">
      <c r="I295"/>
      <c r="J295"/>
      <c r="K295"/>
      <c r="L295"/>
      <c r="M295"/>
      <c r="N295"/>
    </row>
    <row r="296" spans="9:14" x14ac:dyDescent="0.25">
      <c r="I296"/>
      <c r="J296"/>
      <c r="K296"/>
      <c r="L296"/>
      <c r="M296"/>
      <c r="N296"/>
    </row>
    <row r="297" spans="9:14" x14ac:dyDescent="0.25">
      <c r="I297"/>
      <c r="J297"/>
      <c r="K297"/>
      <c r="L297"/>
      <c r="M297"/>
      <c r="N297"/>
    </row>
    <row r="298" spans="9:14" x14ac:dyDescent="0.25">
      <c r="I298"/>
      <c r="J298"/>
      <c r="K298"/>
      <c r="L298"/>
      <c r="M298"/>
      <c r="N298"/>
    </row>
    <row r="299" spans="9:14" x14ac:dyDescent="0.25">
      <c r="I299"/>
      <c r="J299"/>
      <c r="K299"/>
      <c r="L299"/>
      <c r="M299"/>
      <c r="N299"/>
    </row>
    <row r="300" spans="9:14" x14ac:dyDescent="0.25">
      <c r="I300"/>
      <c r="J300"/>
      <c r="K300"/>
      <c r="L300"/>
      <c r="M300"/>
      <c r="N300"/>
    </row>
    <row r="301" spans="9:14" x14ac:dyDescent="0.25">
      <c r="I301"/>
      <c r="J301"/>
      <c r="K301"/>
      <c r="L301"/>
      <c r="M301"/>
      <c r="N301"/>
    </row>
    <row r="302" spans="9:14" x14ac:dyDescent="0.25">
      <c r="I302"/>
      <c r="J302"/>
      <c r="K302"/>
      <c r="L302"/>
      <c r="M302"/>
      <c r="N302"/>
    </row>
    <row r="303" spans="9:14" x14ac:dyDescent="0.25">
      <c r="I303"/>
      <c r="J303"/>
      <c r="K303"/>
      <c r="L303"/>
      <c r="M303"/>
      <c r="N303"/>
    </row>
    <row r="304" spans="9:14" x14ac:dyDescent="0.25">
      <c r="I304"/>
      <c r="J304"/>
      <c r="K304"/>
      <c r="L304"/>
      <c r="M304"/>
      <c r="N304"/>
    </row>
    <row r="305" spans="9:14" x14ac:dyDescent="0.25">
      <c r="I305"/>
      <c r="J305"/>
      <c r="K305"/>
      <c r="L305"/>
      <c r="M305"/>
      <c r="N305"/>
    </row>
    <row r="306" spans="9:14" x14ac:dyDescent="0.25">
      <c r="I306"/>
      <c r="J306"/>
      <c r="K306"/>
      <c r="L306"/>
      <c r="M306"/>
      <c r="N306"/>
    </row>
    <row r="307" spans="9:14" x14ac:dyDescent="0.25">
      <c r="I307"/>
      <c r="J307"/>
      <c r="K307"/>
      <c r="L307"/>
      <c r="M307"/>
      <c r="N307"/>
    </row>
    <row r="308" spans="9:14" x14ac:dyDescent="0.25">
      <c r="I308"/>
      <c r="J308"/>
      <c r="K308"/>
      <c r="L308"/>
      <c r="M308"/>
      <c r="N308"/>
    </row>
    <row r="309" spans="9:14" x14ac:dyDescent="0.25">
      <c r="I309"/>
      <c r="J309"/>
      <c r="K309"/>
      <c r="L309"/>
      <c r="M309"/>
      <c r="N309"/>
    </row>
    <row r="310" spans="9:14" x14ac:dyDescent="0.25">
      <c r="I310"/>
      <c r="J310"/>
      <c r="K310"/>
      <c r="L310"/>
      <c r="M310"/>
      <c r="N310"/>
    </row>
    <row r="311" spans="9:14" x14ac:dyDescent="0.25">
      <c r="I311"/>
      <c r="J311"/>
      <c r="K311"/>
      <c r="L311"/>
      <c r="M311"/>
      <c r="N311"/>
    </row>
    <row r="312" spans="9:14" x14ac:dyDescent="0.25">
      <c r="I312"/>
      <c r="J312"/>
      <c r="K312"/>
      <c r="L312"/>
      <c r="M312"/>
      <c r="N312"/>
    </row>
    <row r="313" spans="9:14" x14ac:dyDescent="0.25">
      <c r="I313"/>
      <c r="J313"/>
      <c r="K313"/>
      <c r="L313"/>
      <c r="M313"/>
      <c r="N313"/>
    </row>
    <row r="314" spans="9:14" x14ac:dyDescent="0.25">
      <c r="I314"/>
      <c r="J314"/>
      <c r="K314"/>
      <c r="L314"/>
      <c r="M314"/>
      <c r="N314"/>
    </row>
    <row r="315" spans="9:14" x14ac:dyDescent="0.25">
      <c r="I315"/>
      <c r="J315"/>
      <c r="K315"/>
      <c r="L315"/>
      <c r="M315"/>
      <c r="N315"/>
    </row>
    <row r="316" spans="9:14" x14ac:dyDescent="0.25">
      <c r="I316"/>
      <c r="J316"/>
      <c r="K316"/>
      <c r="L316"/>
      <c r="M316"/>
      <c r="N316"/>
    </row>
    <row r="317" spans="9:14" x14ac:dyDescent="0.25">
      <c r="I317"/>
      <c r="J317"/>
      <c r="K317"/>
      <c r="L317"/>
      <c r="M317"/>
      <c r="N317"/>
    </row>
    <row r="318" spans="9:14" x14ac:dyDescent="0.25">
      <c r="I318"/>
      <c r="J318"/>
      <c r="K318"/>
      <c r="L318"/>
      <c r="M318"/>
      <c r="N318"/>
    </row>
    <row r="319" spans="9:14" x14ac:dyDescent="0.25">
      <c r="I319"/>
      <c r="J319"/>
      <c r="K319"/>
      <c r="L319"/>
      <c r="M319"/>
      <c r="N319"/>
    </row>
    <row r="320" spans="9:14" x14ac:dyDescent="0.25">
      <c r="I320"/>
      <c r="J320"/>
      <c r="K320"/>
      <c r="L320"/>
      <c r="M320"/>
      <c r="N320"/>
    </row>
    <row r="321" spans="9:14" x14ac:dyDescent="0.25">
      <c r="I321"/>
      <c r="J321"/>
      <c r="K321"/>
      <c r="L321"/>
      <c r="M321"/>
      <c r="N321"/>
    </row>
    <row r="322" spans="9:14" x14ac:dyDescent="0.25">
      <c r="I322"/>
      <c r="J322"/>
      <c r="K322"/>
      <c r="L322"/>
      <c r="M322"/>
      <c r="N322"/>
    </row>
    <row r="323" spans="9:14" x14ac:dyDescent="0.25">
      <c r="I323"/>
      <c r="J323"/>
      <c r="K323"/>
      <c r="L323"/>
      <c r="M323"/>
      <c r="N323"/>
    </row>
    <row r="324" spans="9:14" x14ac:dyDescent="0.25">
      <c r="I324"/>
      <c r="J324"/>
      <c r="K324"/>
      <c r="L324"/>
      <c r="M324"/>
      <c r="N324"/>
    </row>
    <row r="325" spans="9:14" x14ac:dyDescent="0.25">
      <c r="I325"/>
      <c r="J325"/>
      <c r="K325"/>
      <c r="L325"/>
      <c r="M325"/>
      <c r="N325"/>
    </row>
    <row r="326" spans="9:14" x14ac:dyDescent="0.25">
      <c r="I326"/>
      <c r="J326"/>
      <c r="K326"/>
      <c r="L326"/>
      <c r="M326"/>
      <c r="N326"/>
    </row>
    <row r="327" spans="9:14" x14ac:dyDescent="0.25">
      <c r="I327"/>
      <c r="J327"/>
      <c r="K327"/>
      <c r="L327"/>
      <c r="M327"/>
      <c r="N327"/>
    </row>
    <row r="328" spans="9:14" x14ac:dyDescent="0.25">
      <c r="I328"/>
      <c r="J328"/>
      <c r="K328"/>
      <c r="L328"/>
      <c r="M328"/>
      <c r="N328"/>
    </row>
    <row r="329" spans="9:14" x14ac:dyDescent="0.25">
      <c r="I329"/>
      <c r="J329"/>
      <c r="K329"/>
      <c r="L329"/>
      <c r="M329"/>
      <c r="N329"/>
    </row>
    <row r="330" spans="9:14" x14ac:dyDescent="0.25">
      <c r="I330"/>
      <c r="J330"/>
      <c r="K330"/>
      <c r="L330"/>
      <c r="M330"/>
      <c r="N330"/>
    </row>
    <row r="331" spans="9:14" x14ac:dyDescent="0.25">
      <c r="I331"/>
      <c r="J331"/>
      <c r="K331"/>
      <c r="L331"/>
      <c r="M331"/>
      <c r="N331"/>
    </row>
    <row r="332" spans="9:14" x14ac:dyDescent="0.25">
      <c r="I332"/>
      <c r="J332"/>
      <c r="K332"/>
      <c r="L332"/>
      <c r="M332"/>
      <c r="N332"/>
    </row>
    <row r="333" spans="9:14" x14ac:dyDescent="0.25">
      <c r="I333"/>
      <c r="J333"/>
      <c r="K333"/>
      <c r="L333"/>
      <c r="M333"/>
      <c r="N333"/>
    </row>
    <row r="334" spans="9:14" x14ac:dyDescent="0.25">
      <c r="I334"/>
      <c r="J334"/>
      <c r="K334"/>
      <c r="L334"/>
      <c r="M334"/>
      <c r="N334"/>
    </row>
    <row r="335" spans="9:14" x14ac:dyDescent="0.25">
      <c r="I335"/>
      <c r="J335"/>
      <c r="K335"/>
      <c r="L335"/>
      <c r="M335"/>
      <c r="N335"/>
    </row>
    <row r="336" spans="9:14" x14ac:dyDescent="0.25">
      <c r="I336"/>
      <c r="J336"/>
      <c r="K336"/>
      <c r="L336"/>
      <c r="M336"/>
      <c r="N336"/>
    </row>
    <row r="337" spans="9:14" x14ac:dyDescent="0.25">
      <c r="I337"/>
      <c r="J337"/>
      <c r="K337"/>
      <c r="L337"/>
      <c r="M337"/>
      <c r="N337"/>
    </row>
    <row r="338" spans="9:14" x14ac:dyDescent="0.25">
      <c r="I338"/>
      <c r="J338"/>
      <c r="K338"/>
      <c r="L338"/>
      <c r="M338"/>
      <c r="N338"/>
    </row>
    <row r="339" spans="9:14" x14ac:dyDescent="0.25">
      <c r="I339"/>
      <c r="J339"/>
      <c r="K339"/>
      <c r="L339"/>
      <c r="M339"/>
      <c r="N339"/>
    </row>
    <row r="340" spans="9:14" x14ac:dyDescent="0.25">
      <c r="I340"/>
      <c r="J340"/>
      <c r="K340"/>
      <c r="L340"/>
      <c r="M340"/>
      <c r="N340"/>
    </row>
    <row r="341" spans="9:14" x14ac:dyDescent="0.25">
      <c r="I341"/>
      <c r="J341"/>
      <c r="K341"/>
      <c r="L341"/>
      <c r="M341"/>
      <c r="N341"/>
    </row>
    <row r="342" spans="9:14" x14ac:dyDescent="0.25">
      <c r="I342"/>
      <c r="J342"/>
      <c r="K342"/>
      <c r="L342"/>
      <c r="M342"/>
      <c r="N342"/>
    </row>
    <row r="343" spans="9:14" x14ac:dyDescent="0.25">
      <c r="I343"/>
      <c r="J343"/>
      <c r="K343"/>
      <c r="L343"/>
      <c r="M343"/>
      <c r="N343"/>
    </row>
    <row r="344" spans="9:14" x14ac:dyDescent="0.25">
      <c r="I344"/>
      <c r="J344"/>
      <c r="K344"/>
      <c r="L344"/>
      <c r="M344"/>
      <c r="N344"/>
    </row>
    <row r="345" spans="9:14" x14ac:dyDescent="0.25">
      <c r="I345"/>
      <c r="J345"/>
      <c r="K345"/>
      <c r="L345"/>
      <c r="M345"/>
      <c r="N345"/>
    </row>
    <row r="346" spans="9:14" x14ac:dyDescent="0.25">
      <c r="I346"/>
      <c r="J346"/>
      <c r="K346"/>
      <c r="L346"/>
      <c r="M346"/>
      <c r="N346"/>
    </row>
    <row r="347" spans="9:14" x14ac:dyDescent="0.25">
      <c r="I347"/>
      <c r="J347"/>
      <c r="K347"/>
      <c r="L347"/>
      <c r="M347"/>
      <c r="N347"/>
    </row>
    <row r="348" spans="9:14" x14ac:dyDescent="0.25">
      <c r="I348"/>
      <c r="J348"/>
      <c r="K348"/>
      <c r="L348"/>
      <c r="M348"/>
      <c r="N348"/>
    </row>
    <row r="349" spans="9:14" x14ac:dyDescent="0.25">
      <c r="I349"/>
      <c r="J349"/>
      <c r="K349"/>
      <c r="L349"/>
      <c r="M349"/>
      <c r="N349"/>
    </row>
    <row r="350" spans="9:14" x14ac:dyDescent="0.25">
      <c r="I350"/>
      <c r="J350"/>
      <c r="K350"/>
      <c r="L350"/>
      <c r="M350"/>
      <c r="N350"/>
    </row>
    <row r="351" spans="9:14" x14ac:dyDescent="0.25">
      <c r="I351"/>
      <c r="J351"/>
      <c r="K351"/>
      <c r="L351"/>
      <c r="M351"/>
      <c r="N351"/>
    </row>
    <row r="352" spans="9:14" x14ac:dyDescent="0.25">
      <c r="I352"/>
      <c r="J352"/>
      <c r="K352"/>
      <c r="L352"/>
      <c r="M352"/>
      <c r="N352"/>
    </row>
    <row r="353" spans="9:14" x14ac:dyDescent="0.25">
      <c r="I353"/>
      <c r="J353"/>
      <c r="K353"/>
      <c r="L353"/>
      <c r="M353"/>
      <c r="N353"/>
    </row>
    <row r="354" spans="9:14" x14ac:dyDescent="0.25">
      <c r="I354"/>
      <c r="J354"/>
      <c r="K354"/>
      <c r="L354"/>
      <c r="M354"/>
      <c r="N354"/>
    </row>
    <row r="355" spans="9:14" x14ac:dyDescent="0.25">
      <c r="I355"/>
      <c r="J355"/>
      <c r="K355"/>
      <c r="L355"/>
      <c r="M355"/>
      <c r="N355"/>
    </row>
    <row r="356" spans="9:14" x14ac:dyDescent="0.25">
      <c r="I356"/>
      <c r="J356"/>
      <c r="K356"/>
      <c r="L356"/>
      <c r="M356"/>
      <c r="N356"/>
    </row>
    <row r="357" spans="9:14" x14ac:dyDescent="0.25">
      <c r="I357"/>
      <c r="J357"/>
      <c r="K357"/>
      <c r="L357"/>
      <c r="M357"/>
      <c r="N357"/>
    </row>
    <row r="358" spans="9:14" x14ac:dyDescent="0.25">
      <c r="I358"/>
      <c r="J358"/>
      <c r="K358"/>
      <c r="L358"/>
      <c r="M358"/>
      <c r="N358"/>
    </row>
    <row r="359" spans="9:14" x14ac:dyDescent="0.25">
      <c r="I359"/>
      <c r="J359"/>
      <c r="K359"/>
      <c r="L359"/>
      <c r="M359"/>
      <c r="N359"/>
    </row>
    <row r="360" spans="9:14" x14ac:dyDescent="0.25">
      <c r="I360"/>
      <c r="J360"/>
      <c r="K360"/>
      <c r="L360"/>
      <c r="M360"/>
      <c r="N360"/>
    </row>
    <row r="361" spans="9:14" x14ac:dyDescent="0.25">
      <c r="I361"/>
      <c r="J361"/>
      <c r="K361"/>
      <c r="L361"/>
      <c r="M361"/>
      <c r="N361"/>
    </row>
    <row r="362" spans="9:14" x14ac:dyDescent="0.25">
      <c r="I362"/>
      <c r="J362"/>
      <c r="K362"/>
      <c r="L362"/>
      <c r="M362"/>
      <c r="N362"/>
    </row>
    <row r="363" spans="9:14" x14ac:dyDescent="0.25">
      <c r="I363"/>
      <c r="J363"/>
      <c r="K363"/>
      <c r="L363"/>
      <c r="M363"/>
      <c r="N363"/>
    </row>
    <row r="364" spans="9:14" x14ac:dyDescent="0.25">
      <c r="I364"/>
      <c r="J364"/>
      <c r="K364"/>
      <c r="L364"/>
      <c r="M364"/>
      <c r="N364"/>
    </row>
    <row r="365" spans="9:14" x14ac:dyDescent="0.25">
      <c r="I365"/>
      <c r="J365"/>
      <c r="K365"/>
      <c r="L365"/>
      <c r="M365"/>
      <c r="N365"/>
    </row>
    <row r="366" spans="9:14" x14ac:dyDescent="0.25">
      <c r="I366"/>
      <c r="J366"/>
      <c r="K366"/>
      <c r="L366"/>
      <c r="M366"/>
      <c r="N366"/>
    </row>
    <row r="367" spans="9:14" x14ac:dyDescent="0.25">
      <c r="I367"/>
      <c r="J367"/>
      <c r="K367"/>
      <c r="L367"/>
      <c r="M367"/>
      <c r="N367"/>
    </row>
    <row r="368" spans="9:14" x14ac:dyDescent="0.25">
      <c r="I368"/>
      <c r="J368"/>
      <c r="K368"/>
      <c r="L368"/>
      <c r="M368"/>
      <c r="N368"/>
    </row>
    <row r="369" spans="9:14" x14ac:dyDescent="0.25">
      <c r="I369"/>
      <c r="J369"/>
      <c r="K369"/>
      <c r="L369"/>
      <c r="M369"/>
      <c r="N369"/>
    </row>
    <row r="370" spans="9:14" x14ac:dyDescent="0.25">
      <c r="I370"/>
      <c r="J370"/>
      <c r="K370"/>
      <c r="L370"/>
      <c r="M370"/>
      <c r="N370"/>
    </row>
    <row r="371" spans="9:14" x14ac:dyDescent="0.25">
      <c r="I371"/>
      <c r="J371"/>
      <c r="K371"/>
      <c r="L371"/>
      <c r="M371"/>
      <c r="N371"/>
    </row>
    <row r="372" spans="9:14" x14ac:dyDescent="0.25">
      <c r="I372"/>
      <c r="J372"/>
      <c r="K372"/>
      <c r="L372"/>
      <c r="M372"/>
      <c r="N372"/>
    </row>
    <row r="373" spans="9:14" x14ac:dyDescent="0.25">
      <c r="I373"/>
      <c r="J373"/>
      <c r="K373"/>
      <c r="L373"/>
      <c r="M373"/>
      <c r="N373"/>
    </row>
    <row r="374" spans="9:14" x14ac:dyDescent="0.25">
      <c r="I374"/>
      <c r="J374"/>
      <c r="K374"/>
      <c r="L374"/>
      <c r="M374"/>
      <c r="N374"/>
    </row>
    <row r="375" spans="9:14" x14ac:dyDescent="0.25">
      <c r="I375"/>
      <c r="J375"/>
      <c r="K375"/>
      <c r="L375"/>
      <c r="M375"/>
      <c r="N375"/>
    </row>
    <row r="376" spans="9:14" x14ac:dyDescent="0.25">
      <c r="I376"/>
      <c r="J376"/>
      <c r="K376"/>
      <c r="L376"/>
      <c r="M376"/>
      <c r="N376"/>
    </row>
    <row r="377" spans="9:14" x14ac:dyDescent="0.25">
      <c r="I377"/>
      <c r="J377"/>
      <c r="K377"/>
      <c r="L377"/>
      <c r="M377"/>
      <c r="N377"/>
    </row>
    <row r="378" spans="9:14" x14ac:dyDescent="0.25">
      <c r="I378"/>
      <c r="J378"/>
      <c r="K378"/>
      <c r="L378"/>
      <c r="M378"/>
      <c r="N378"/>
    </row>
    <row r="379" spans="9:14" x14ac:dyDescent="0.25">
      <c r="I379"/>
      <c r="J379"/>
      <c r="K379"/>
      <c r="L379"/>
      <c r="M379"/>
      <c r="N379"/>
    </row>
    <row r="380" spans="9:14" x14ac:dyDescent="0.25">
      <c r="I380"/>
      <c r="J380"/>
      <c r="K380"/>
      <c r="L380"/>
      <c r="M380"/>
      <c r="N380"/>
    </row>
    <row r="381" spans="9:14" x14ac:dyDescent="0.25">
      <c r="I381"/>
      <c r="J381"/>
      <c r="K381"/>
      <c r="L381"/>
      <c r="M381"/>
      <c r="N381"/>
    </row>
    <row r="382" spans="9:14" x14ac:dyDescent="0.25">
      <c r="I382"/>
      <c r="J382"/>
      <c r="K382"/>
      <c r="L382"/>
      <c r="M382"/>
      <c r="N382"/>
    </row>
    <row r="383" spans="9:14" x14ac:dyDescent="0.25">
      <c r="I383"/>
      <c r="J383"/>
      <c r="K383"/>
      <c r="L383"/>
      <c r="M383"/>
      <c r="N383"/>
    </row>
    <row r="384" spans="9:14" x14ac:dyDescent="0.25">
      <c r="I384"/>
      <c r="J384"/>
      <c r="K384"/>
      <c r="L384"/>
      <c r="M384"/>
      <c r="N384"/>
    </row>
    <row r="385" spans="10:14" x14ac:dyDescent="0.25">
      <c r="J385"/>
      <c r="K385"/>
      <c r="L385"/>
      <c r="M385"/>
      <c r="N385"/>
    </row>
    <row r="386" spans="10:14" x14ac:dyDescent="0.25">
      <c r="J386"/>
      <c r="K386"/>
      <c r="L386"/>
      <c r="M386"/>
      <c r="N386"/>
    </row>
    <row r="387" spans="10:14" x14ac:dyDescent="0.25">
      <c r="J387"/>
      <c r="K387"/>
      <c r="L387"/>
      <c r="M387"/>
      <c r="N387"/>
    </row>
    <row r="388" spans="10:14" x14ac:dyDescent="0.25">
      <c r="J388"/>
      <c r="K388"/>
      <c r="L388"/>
      <c r="M388"/>
      <c r="N388"/>
    </row>
    <row r="389" spans="10:14" x14ac:dyDescent="0.25">
      <c r="J389"/>
      <c r="K389"/>
      <c r="L389"/>
      <c r="M389"/>
      <c r="N389"/>
    </row>
    <row r="390" spans="10:14" x14ac:dyDescent="0.25">
      <c r="J390"/>
      <c r="K390"/>
      <c r="L390"/>
      <c r="M390"/>
      <c r="N390"/>
    </row>
    <row r="391" spans="10:14" x14ac:dyDescent="0.25">
      <c r="J391"/>
      <c r="K391"/>
      <c r="L391"/>
      <c r="M391"/>
      <c r="N391"/>
    </row>
    <row r="392" spans="10:14" x14ac:dyDescent="0.25">
      <c r="J392"/>
      <c r="K392"/>
      <c r="L392"/>
      <c r="M392"/>
      <c r="N392"/>
    </row>
    <row r="393" spans="10:14" x14ac:dyDescent="0.25">
      <c r="J393"/>
      <c r="K393"/>
      <c r="L393"/>
      <c r="M393"/>
      <c r="N393"/>
    </row>
    <row r="394" spans="10:14" x14ac:dyDescent="0.25">
      <c r="J394"/>
      <c r="K394"/>
      <c r="L394"/>
      <c r="M394"/>
      <c r="N394"/>
    </row>
    <row r="395" spans="10:14" x14ac:dyDescent="0.25">
      <c r="J395"/>
      <c r="K395"/>
      <c r="L395"/>
      <c r="M395"/>
      <c r="N395"/>
    </row>
    <row r="396" spans="10:14" x14ac:dyDescent="0.25">
      <c r="J396"/>
      <c r="K396"/>
      <c r="L396"/>
      <c r="M396"/>
      <c r="N396"/>
    </row>
    <row r="397" spans="10:14" x14ac:dyDescent="0.25">
      <c r="J397"/>
      <c r="K397"/>
      <c r="L397"/>
      <c r="M397"/>
      <c r="N397"/>
    </row>
    <row r="398" spans="10:14" x14ac:dyDescent="0.25">
      <c r="J398"/>
      <c r="K398"/>
      <c r="L398"/>
      <c r="M398"/>
      <c r="N398"/>
    </row>
    <row r="399" spans="10:14" x14ac:dyDescent="0.25">
      <c r="J399"/>
      <c r="K399"/>
      <c r="L399"/>
      <c r="M399"/>
      <c r="N399"/>
    </row>
    <row r="400" spans="10:14" x14ac:dyDescent="0.25">
      <c r="J400"/>
      <c r="K400"/>
      <c r="L400"/>
      <c r="M400"/>
      <c r="N400"/>
    </row>
    <row r="401" spans="10:14" x14ac:dyDescent="0.25">
      <c r="J401"/>
      <c r="K401"/>
      <c r="L401"/>
      <c r="M401"/>
      <c r="N401"/>
    </row>
    <row r="402" spans="10:14" x14ac:dyDescent="0.25">
      <c r="J402"/>
      <c r="K402"/>
      <c r="L402"/>
      <c r="M402"/>
      <c r="N402"/>
    </row>
    <row r="403" spans="10:14" x14ac:dyDescent="0.25">
      <c r="J403"/>
      <c r="K403"/>
      <c r="L403"/>
      <c r="M403"/>
      <c r="N403"/>
    </row>
    <row r="404" spans="10:14" x14ac:dyDescent="0.25">
      <c r="J404"/>
      <c r="K404"/>
      <c r="L404"/>
      <c r="M404"/>
      <c r="N404"/>
    </row>
    <row r="405" spans="10:14" x14ac:dyDescent="0.25">
      <c r="J405"/>
      <c r="K405"/>
      <c r="L405"/>
      <c r="M405"/>
      <c r="N405"/>
    </row>
    <row r="406" spans="10:14" x14ac:dyDescent="0.25">
      <c r="J406"/>
      <c r="K406"/>
      <c r="L406"/>
      <c r="M406"/>
      <c r="N406"/>
    </row>
    <row r="407" spans="10:14" x14ac:dyDescent="0.25">
      <c r="J407"/>
      <c r="K407"/>
      <c r="L407"/>
      <c r="M407"/>
      <c r="N407"/>
    </row>
    <row r="408" spans="10:14" x14ac:dyDescent="0.25">
      <c r="J408"/>
      <c r="K408"/>
      <c r="L408"/>
      <c r="M408"/>
      <c r="N408"/>
    </row>
    <row r="409" spans="10:14" x14ac:dyDescent="0.25">
      <c r="J409"/>
      <c r="K409"/>
      <c r="L409"/>
      <c r="M409"/>
      <c r="N409"/>
    </row>
    <row r="410" spans="10:14" x14ac:dyDescent="0.25">
      <c r="J410"/>
      <c r="K410"/>
      <c r="L410"/>
      <c r="M410"/>
      <c r="N410"/>
    </row>
    <row r="411" spans="10:14" x14ac:dyDescent="0.25">
      <c r="J411"/>
      <c r="K411"/>
      <c r="L411"/>
      <c r="M411"/>
      <c r="N411"/>
    </row>
    <row r="412" spans="10:14" x14ac:dyDescent="0.25">
      <c r="J412"/>
      <c r="K412"/>
      <c r="L412"/>
      <c r="M412"/>
      <c r="N412"/>
    </row>
    <row r="413" spans="10:14" x14ac:dyDescent="0.25">
      <c r="J413"/>
      <c r="K413"/>
      <c r="L413"/>
      <c r="M413"/>
      <c r="N413"/>
    </row>
    <row r="414" spans="10:14" x14ac:dyDescent="0.25">
      <c r="J414"/>
      <c r="K414"/>
      <c r="L414"/>
      <c r="M414"/>
      <c r="N414"/>
    </row>
    <row r="415" spans="10:14" x14ac:dyDescent="0.25">
      <c r="J415"/>
      <c r="K415"/>
      <c r="L415"/>
      <c r="M415"/>
      <c r="N415"/>
    </row>
    <row r="416" spans="10:14" x14ac:dyDescent="0.25">
      <c r="J416"/>
      <c r="K416"/>
      <c r="L416"/>
      <c r="M416"/>
      <c r="N416"/>
    </row>
    <row r="417" spans="10:14" x14ac:dyDescent="0.25">
      <c r="J417"/>
      <c r="K417"/>
      <c r="L417"/>
      <c r="M417"/>
      <c r="N417"/>
    </row>
    <row r="418" spans="10:14" x14ac:dyDescent="0.25">
      <c r="J418"/>
      <c r="K418"/>
      <c r="L418"/>
      <c r="M418"/>
      <c r="N418"/>
    </row>
    <row r="419" spans="10:14" x14ac:dyDescent="0.25">
      <c r="J419"/>
      <c r="K419"/>
      <c r="L419"/>
      <c r="M419"/>
      <c r="N419"/>
    </row>
    <row r="420" spans="10:14" x14ac:dyDescent="0.25">
      <c r="J420"/>
      <c r="K420"/>
      <c r="L420"/>
      <c r="M420"/>
      <c r="N420"/>
    </row>
    <row r="421" spans="10:14" x14ac:dyDescent="0.25">
      <c r="J421"/>
      <c r="K421"/>
      <c r="L421"/>
      <c r="M421"/>
      <c r="N421"/>
    </row>
    <row r="422" spans="10:14" x14ac:dyDescent="0.25">
      <c r="J422"/>
      <c r="K422"/>
      <c r="L422"/>
      <c r="M422"/>
      <c r="N422"/>
    </row>
    <row r="423" spans="10:14" x14ac:dyDescent="0.25">
      <c r="J423"/>
      <c r="K423"/>
      <c r="L423"/>
      <c r="M423"/>
      <c r="N423"/>
    </row>
    <row r="424" spans="10:14" x14ac:dyDescent="0.25">
      <c r="J424"/>
      <c r="K424"/>
      <c r="L424"/>
      <c r="M424"/>
      <c r="N424"/>
    </row>
    <row r="425" spans="10:14" x14ac:dyDescent="0.25">
      <c r="J425"/>
      <c r="K425"/>
      <c r="L425"/>
      <c r="M425"/>
      <c r="N425"/>
    </row>
    <row r="426" spans="10:14" x14ac:dyDescent="0.25">
      <c r="J426"/>
      <c r="K426"/>
      <c r="L426"/>
      <c r="M426"/>
      <c r="N426"/>
    </row>
    <row r="427" spans="10:14" x14ac:dyDescent="0.25">
      <c r="J427"/>
      <c r="K427"/>
      <c r="L427"/>
      <c r="M427"/>
      <c r="N427"/>
    </row>
    <row r="428" spans="10:14" x14ac:dyDescent="0.25">
      <c r="J428"/>
      <c r="K428"/>
      <c r="L428"/>
      <c r="M428"/>
      <c r="N428"/>
    </row>
    <row r="429" spans="10:14" x14ac:dyDescent="0.25">
      <c r="J429"/>
      <c r="K429"/>
      <c r="L429"/>
      <c r="M429"/>
      <c r="N429"/>
    </row>
    <row r="430" spans="10:14" x14ac:dyDescent="0.25">
      <c r="J430"/>
      <c r="K430"/>
      <c r="L430"/>
      <c r="M430"/>
      <c r="N430"/>
    </row>
    <row r="431" spans="10:14" x14ac:dyDescent="0.25">
      <c r="J431"/>
      <c r="K431"/>
      <c r="L431"/>
      <c r="M431"/>
      <c r="N431"/>
    </row>
    <row r="432" spans="10:14" x14ac:dyDescent="0.25">
      <c r="J432"/>
      <c r="K432"/>
      <c r="L432"/>
      <c r="M432"/>
      <c r="N432"/>
    </row>
    <row r="433" spans="10:14" x14ac:dyDescent="0.25">
      <c r="J433"/>
      <c r="K433"/>
      <c r="L433"/>
      <c r="M433"/>
      <c r="N433"/>
    </row>
    <row r="434" spans="10:14" x14ac:dyDescent="0.25">
      <c r="J434"/>
      <c r="K434"/>
      <c r="L434"/>
      <c r="M434"/>
      <c r="N434"/>
    </row>
    <row r="435" spans="10:14" x14ac:dyDescent="0.25">
      <c r="J435"/>
      <c r="K435"/>
      <c r="L435"/>
      <c r="M435"/>
      <c r="N435"/>
    </row>
    <row r="436" spans="10:14" x14ac:dyDescent="0.25">
      <c r="J436"/>
      <c r="K436"/>
      <c r="L436"/>
      <c r="M436"/>
      <c r="N436"/>
    </row>
    <row r="437" spans="10:14" x14ac:dyDescent="0.25">
      <c r="J437"/>
      <c r="K437"/>
      <c r="L437"/>
      <c r="M437"/>
      <c r="N437"/>
    </row>
    <row r="438" spans="10:14" x14ac:dyDescent="0.25">
      <c r="J438"/>
      <c r="K438"/>
      <c r="L438"/>
      <c r="M438"/>
      <c r="N438"/>
    </row>
    <row r="439" spans="10:14" x14ac:dyDescent="0.25">
      <c r="J439"/>
      <c r="K439"/>
      <c r="L439"/>
      <c r="M439"/>
      <c r="N439"/>
    </row>
    <row r="440" spans="10:14" x14ac:dyDescent="0.25">
      <c r="J440"/>
      <c r="K440"/>
      <c r="L440"/>
      <c r="M440"/>
      <c r="N440"/>
    </row>
    <row r="441" spans="10:14" x14ac:dyDescent="0.25">
      <c r="J441"/>
      <c r="K441"/>
      <c r="L441"/>
      <c r="M441"/>
      <c r="N441"/>
    </row>
  </sheetData>
  <mergeCells count="1">
    <mergeCell ref="A14:H14"/>
  </mergeCells>
  <pageMargins left="0" right="0" top="0.39370078740157483" bottom="0" header="0.31496062992125984" footer="0.31496062992125984"/>
  <pageSetup paperSize="9" scale="65" orientation="landscape" horizontalDpi="4294967293" verticalDpi="0"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1" sqref="J21"/>
    </sheetView>
  </sheetViews>
  <sheetFormatPr defaultRowHeight="15" x14ac:dyDescent="0.25"/>
  <sheetData/>
  <pageMargins left="0.7" right="0.7" top="0.75" bottom="0.75" header="0.3" footer="0.3"/>
  <pageSetup paperSize="9" orientation="portrait" horizontalDpi="4294967293" verticalDpi="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workbookViewId="0">
      <selection activeCell="I15" sqref="I15"/>
    </sheetView>
  </sheetViews>
  <sheetFormatPr defaultRowHeight="15" x14ac:dyDescent="0.25"/>
  <cols>
    <col min="4" max="4" width="13.28515625" bestFit="1" customWidth="1"/>
    <col min="6" max="6" width="13.28515625" bestFit="1" customWidth="1"/>
    <col min="7" max="7" width="11.28515625" customWidth="1"/>
    <col min="8" max="8" width="12" customWidth="1"/>
    <col min="10" max="10" width="13.28515625" bestFit="1" customWidth="1"/>
  </cols>
  <sheetData>
    <row r="1" spans="2:8" x14ac:dyDescent="0.25">
      <c r="B1" t="s">
        <v>1702</v>
      </c>
    </row>
    <row r="4" spans="2:8" x14ac:dyDescent="0.25">
      <c r="B4" t="s">
        <v>1703</v>
      </c>
      <c r="G4" s="131">
        <v>9000000</v>
      </c>
    </row>
    <row r="5" spans="2:8" x14ac:dyDescent="0.25">
      <c r="B5" t="s">
        <v>1704</v>
      </c>
      <c r="G5" s="358">
        <v>3500000</v>
      </c>
    </row>
    <row r="6" spans="2:8" x14ac:dyDescent="0.25">
      <c r="G6" s="131">
        <f>G4+G5</f>
        <v>12500000</v>
      </c>
    </row>
    <row r="7" spans="2:8" x14ac:dyDescent="0.25">
      <c r="B7" t="s">
        <v>1705</v>
      </c>
      <c r="G7" s="358">
        <v>6000000</v>
      </c>
    </row>
    <row r="8" spans="2:8" x14ac:dyDescent="0.25">
      <c r="B8" t="s">
        <v>1706</v>
      </c>
      <c r="G8" s="359">
        <f>G6-G7</f>
        <v>6500000</v>
      </c>
      <c r="H8" t="s">
        <v>1707</v>
      </c>
    </row>
    <row r="11" spans="2:8" x14ac:dyDescent="0.25">
      <c r="B11" t="s">
        <v>1708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PiuGlobal 20</vt:lpstr>
      <vt:lpstr>PiuGlobal 21</vt:lpstr>
      <vt:lpstr>PiuGlobal 22</vt:lpstr>
      <vt:lpstr>rekap tm</vt:lpstr>
      <vt:lpstr>Adwyawinsa (2)</vt:lpstr>
      <vt:lpstr>Tibeka_Biaya Lain2</vt:lpstr>
      <vt:lpstr>Tibeka_Biaya Pengiriman</vt:lpstr>
      <vt:lpstr>Ibu ENi</vt:lpstr>
      <vt:lpstr>rekap pemakaian pa imam</vt:lpstr>
      <vt:lpstr>Piutang Ari tirta</vt:lpstr>
      <vt:lpstr>Perhitungan DN</vt:lpstr>
      <vt:lpstr>Sriboga Marugame</vt:lpstr>
      <vt:lpstr>Fastindo</vt:lpstr>
      <vt:lpstr>Sicepat</vt:lpstr>
      <vt:lpstr>Mega Duta</vt:lpstr>
      <vt:lpstr>Poslog</vt:lpstr>
      <vt:lpstr>Grantika</vt:lpstr>
      <vt:lpstr>PCS</vt:lpstr>
      <vt:lpstr>Sheet1</vt:lpstr>
      <vt:lpstr>Adwyawinsa</vt:lpstr>
      <vt:lpstr>Sheet2</vt:lpstr>
      <vt:lpstr>Sheet3</vt:lpstr>
      <vt:lpstr>'Ibu ENi'!Print_Area</vt:lpstr>
      <vt:lpstr>'Perhitungan DN'!Print_Area</vt:lpstr>
      <vt:lpstr>'PiuGlobal 20'!Print_Area</vt:lpstr>
      <vt:lpstr>'rekap tm'!Print_Area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PCI</cp:lastModifiedBy>
  <cp:lastPrinted>2022-03-22T04:15:10Z</cp:lastPrinted>
  <dcterms:created xsi:type="dcterms:W3CDTF">2020-06-10T07:25:47Z</dcterms:created>
  <dcterms:modified xsi:type="dcterms:W3CDTF">2022-04-23T08:13:29Z</dcterms:modified>
</cp:coreProperties>
</file>