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DE\2021\INVOICE\Performa\Sicepat\"/>
    </mc:Choice>
  </mc:AlternateContent>
  <bookViews>
    <workbookView xWindow="0" yWindow="0" windowWidth="20490" windowHeight="7320" tabRatio="821" firstSheet="1" activeTab="7"/>
  </bookViews>
  <sheets>
    <sheet name="002_Sicepat_Batam" sheetId="2" r:id="rId1"/>
    <sheet name="BKI032210025189" sheetId="1" r:id="rId2"/>
    <sheet name="BKI032210025254" sheetId="4" r:id="rId3"/>
    <sheet name="BKI032210025353" sheetId="5" r:id="rId4"/>
    <sheet name="BKI032210025437" sheetId="6" r:id="rId5"/>
    <sheet name="BKI032210025593" sheetId="7" r:id="rId6"/>
    <sheet name="BKI032210025486" sheetId="11" r:id="rId7"/>
    <sheet name="BKI032210025627" sheetId="12" r:id="rId8"/>
    <sheet name="BKI032210026047" sheetId="13" r:id="rId9"/>
    <sheet name="BKI032210026195" sheetId="14" r:id="rId10"/>
    <sheet name="BKI032210026377" sheetId="15" r:id="rId11"/>
  </sheets>
  <definedNames>
    <definedName name="_xlnm.Print_Titles" localSheetId="0">'002_Sicepat_Batam'!$2:$17</definedName>
    <definedName name="_xlnm.Print_Titles" localSheetId="3">BKI032210025353!$2:$2</definedName>
    <definedName name="_xlnm.Print_Titles" localSheetId="4">BKI032210025437!$2:$2</definedName>
  </definedNames>
  <calcPr calcId="162913"/>
</workbook>
</file>

<file path=xl/calcChain.xml><?xml version="1.0" encoding="utf-8"?>
<calcChain xmlns="http://schemas.openxmlformats.org/spreadsheetml/2006/main">
  <c r="O30" i="6" l="1"/>
  <c r="O20" i="7"/>
  <c r="J28" i="2" l="1"/>
  <c r="J27" i="2"/>
  <c r="J26" i="2"/>
  <c r="J25" i="2"/>
  <c r="N30" i="6"/>
  <c r="A19" i="2"/>
  <c r="A20" i="2" s="1"/>
  <c r="A21" i="2" s="1"/>
  <c r="A22" i="2" s="1"/>
  <c r="A23" i="2" s="1"/>
  <c r="A24" i="2" s="1"/>
  <c r="A25" i="2" s="1"/>
  <c r="A26" i="2" s="1"/>
  <c r="A27" i="2" s="1"/>
  <c r="J23" i="2"/>
  <c r="J22" i="2"/>
  <c r="J21" i="2"/>
  <c r="N19" i="4"/>
  <c r="N17" i="15" l="1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3" i="15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3" i="14"/>
  <c r="N28" i="14"/>
  <c r="P4" i="13"/>
  <c r="P5" i="13"/>
  <c r="P6" i="13"/>
  <c r="P7" i="13"/>
  <c r="P8" i="13"/>
  <c r="P9" i="13"/>
  <c r="P10" i="13"/>
  <c r="P11" i="13"/>
  <c r="P12" i="13"/>
  <c r="P3" i="13"/>
  <c r="N13" i="13"/>
  <c r="N17" i="12"/>
  <c r="P10" i="12"/>
  <c r="P11" i="12"/>
  <c r="P12" i="12"/>
  <c r="P13" i="12"/>
  <c r="P14" i="12"/>
  <c r="P15" i="12"/>
  <c r="P16" i="12"/>
  <c r="P4" i="12"/>
  <c r="P5" i="12"/>
  <c r="P6" i="12"/>
  <c r="P7" i="12"/>
  <c r="P8" i="12"/>
  <c r="P9" i="12"/>
  <c r="P3" i="12"/>
  <c r="N12" i="11"/>
  <c r="P4" i="11"/>
  <c r="P5" i="11"/>
  <c r="P6" i="11"/>
  <c r="P7" i="11"/>
  <c r="P8" i="11"/>
  <c r="P9" i="11"/>
  <c r="P10" i="11"/>
  <c r="P11" i="11"/>
  <c r="P3" i="11"/>
  <c r="N20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3" i="7"/>
  <c r="P3" i="6"/>
  <c r="N31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" i="5"/>
  <c r="N11" i="1"/>
  <c r="O17" i="15" l="1"/>
  <c r="P18" i="15" s="1"/>
  <c r="P21" i="15" s="1"/>
  <c r="O28" i="14"/>
  <c r="P29" i="14" s="1"/>
  <c r="P32" i="14" s="1"/>
  <c r="O13" i="13"/>
  <c r="P14" i="13" s="1"/>
  <c r="P17" i="13" s="1"/>
  <c r="O12" i="11"/>
  <c r="P13" i="11" s="1"/>
  <c r="P16" i="11" s="1"/>
  <c r="O31" i="5"/>
  <c r="P32" i="5" s="1"/>
  <c r="P35" i="5" s="1"/>
  <c r="P21" i="7"/>
  <c r="P24" i="7" s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3" i="4"/>
  <c r="P3" i="1"/>
  <c r="P4" i="1"/>
  <c r="P5" i="1"/>
  <c r="P6" i="1"/>
  <c r="P7" i="1"/>
  <c r="P8" i="1"/>
  <c r="P9" i="1"/>
  <c r="P10" i="1"/>
  <c r="M3" i="14"/>
  <c r="M4" i="14"/>
  <c r="M5" i="14"/>
  <c r="M6" i="14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12" i="13"/>
  <c r="M11" i="13"/>
  <c r="M10" i="13"/>
  <c r="M9" i="13"/>
  <c r="M8" i="13"/>
  <c r="M7" i="13"/>
  <c r="M6" i="13"/>
  <c r="M5" i="13"/>
  <c r="M4" i="13"/>
  <c r="M3" i="13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11" i="11"/>
  <c r="M10" i="11"/>
  <c r="M9" i="11"/>
  <c r="M8" i="11"/>
  <c r="M7" i="11"/>
  <c r="M6" i="11"/>
  <c r="M5" i="11"/>
  <c r="M4" i="11"/>
  <c r="M3" i="11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P29" i="6"/>
  <c r="M29" i="6"/>
  <c r="P28" i="6"/>
  <c r="M28" i="6"/>
  <c r="P27" i="6"/>
  <c r="M27" i="6"/>
  <c r="P26" i="6"/>
  <c r="M26" i="6"/>
  <c r="P25" i="6"/>
  <c r="M25" i="6"/>
  <c r="P24" i="6"/>
  <c r="M24" i="6"/>
  <c r="P23" i="6"/>
  <c r="M23" i="6"/>
  <c r="P22" i="6"/>
  <c r="M22" i="6"/>
  <c r="P21" i="6"/>
  <c r="M21" i="6"/>
  <c r="P20" i="6"/>
  <c r="M20" i="6"/>
  <c r="P19" i="6"/>
  <c r="M19" i="6"/>
  <c r="P18" i="6"/>
  <c r="M18" i="6"/>
  <c r="P17" i="6"/>
  <c r="M17" i="6"/>
  <c r="P16" i="6"/>
  <c r="M16" i="6"/>
  <c r="P15" i="6"/>
  <c r="M15" i="6"/>
  <c r="P14" i="6"/>
  <c r="M14" i="6"/>
  <c r="P13" i="6"/>
  <c r="M13" i="6"/>
  <c r="P12" i="6"/>
  <c r="M12" i="6"/>
  <c r="P11" i="6"/>
  <c r="M11" i="6"/>
  <c r="P10" i="6"/>
  <c r="M10" i="6"/>
  <c r="P9" i="6"/>
  <c r="M9" i="6"/>
  <c r="P8" i="6"/>
  <c r="M8" i="6"/>
  <c r="P7" i="6"/>
  <c r="M7" i="6"/>
  <c r="P6" i="6"/>
  <c r="M6" i="6"/>
  <c r="P5" i="6"/>
  <c r="M5" i="6"/>
  <c r="P4" i="6"/>
  <c r="M4" i="6"/>
  <c r="M3" i="6"/>
  <c r="M30" i="6" s="1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I44" i="2"/>
  <c r="I31" i="2"/>
  <c r="I30" i="2"/>
  <c r="I33" i="2" s="1"/>
  <c r="J24" i="2"/>
  <c r="J20" i="2"/>
  <c r="J19" i="2"/>
  <c r="J18" i="2"/>
  <c r="M19" i="4" l="1"/>
  <c r="J30" i="2"/>
  <c r="J33" i="2" s="1"/>
  <c r="M17" i="15"/>
  <c r="M28" i="14"/>
  <c r="M13" i="13"/>
  <c r="M17" i="12"/>
  <c r="O17" i="12"/>
  <c r="P18" i="12" s="1"/>
  <c r="P21" i="12" s="1"/>
  <c r="M20" i="7"/>
  <c r="M12" i="11"/>
  <c r="M31" i="5"/>
  <c r="O19" i="4"/>
  <c r="P31" i="6"/>
  <c r="P34" i="6" s="1"/>
  <c r="O11" i="1"/>
  <c r="P12" i="1" l="1"/>
  <c r="P15" i="1" s="1"/>
  <c r="P20" i="4"/>
  <c r="P23" i="4" s="1"/>
  <c r="M10" i="1"/>
  <c r="M9" i="1"/>
  <c r="M8" i="1"/>
  <c r="M7" i="1"/>
  <c r="M6" i="1"/>
  <c r="M5" i="1"/>
  <c r="M4" i="1"/>
  <c r="M3" i="1"/>
  <c r="M11" i="1" l="1"/>
</calcChain>
</file>

<file path=xl/sharedStrings.xml><?xml version="1.0" encoding="utf-8"?>
<sst xmlns="http://schemas.openxmlformats.org/spreadsheetml/2006/main" count="1176" uniqueCount="269">
  <si>
    <t>NOMOR</t>
  </si>
  <si>
    <t>TUJUAN</t>
  </si>
  <si>
    <t>KETERANGAN</t>
  </si>
  <si>
    <t>DMP BTH</t>
  </si>
  <si>
    <t>KAPAL</t>
  </si>
  <si>
    <t>KM. SATRIA</t>
  </si>
  <si>
    <t>Pick Up</t>
  </si>
  <si>
    <t>ETD Kapal</t>
  </si>
  <si>
    <t>11 Juli 2021</t>
  </si>
  <si>
    <t>GSK210706UTL709</t>
  </si>
  <si>
    <t>GSK210707LTZ948</t>
  </si>
  <si>
    <t>GSK210705PEH476</t>
  </si>
  <si>
    <t>GSK210707JYZ046</t>
  </si>
  <si>
    <t>GSK210707HVQ749</t>
  </si>
  <si>
    <t>GSK210707EUN465</t>
  </si>
  <si>
    <t>GSK210707IBE027</t>
  </si>
  <si>
    <t>GSK210707IRV270</t>
  </si>
  <si>
    <t>PEMBULATAN</t>
  </si>
  <si>
    <t>GSK210708BIR982</t>
  </si>
  <si>
    <t>GSK210708WPJ734</t>
  </si>
  <si>
    <t>GSK210708RBJ493</t>
  </si>
  <si>
    <t>GSK210708OFL245</t>
  </si>
  <si>
    <t>GSK210708EYL391</t>
  </si>
  <si>
    <t>GSK210708UOT041</t>
  </si>
  <si>
    <t>GSK210708BIR584</t>
  </si>
  <si>
    <t>GSK210708ZWY271</t>
  </si>
  <si>
    <t>GSK210708VKJ290</t>
  </si>
  <si>
    <t>GSK210708JMD195</t>
  </si>
  <si>
    <t>GSK210708XFE624</t>
  </si>
  <si>
    <t>GSK210708KQZ381</t>
  </si>
  <si>
    <t>GSK210708XJZ179</t>
  </si>
  <si>
    <t>GSK210708WSP273</t>
  </si>
  <si>
    <t>GSK210708CZW542</t>
  </si>
  <si>
    <t>GSK210707UAG367</t>
  </si>
  <si>
    <t>GSK210707XSZ468</t>
  </si>
  <si>
    <t>GSK210707WBK673</t>
  </si>
  <si>
    <t>GSK210708RNQ974</t>
  </si>
  <si>
    <t>GSK210708KQU502</t>
  </si>
  <si>
    <t>GSK210708QKV539</t>
  </si>
  <si>
    <t>GSK210708TOC081</t>
  </si>
  <si>
    <t>GSK210708WOX903</t>
  </si>
  <si>
    <t>GSK210708XOC980</t>
  </si>
  <si>
    <t>GSK210709MAB346</t>
  </si>
  <si>
    <t>GSK210709YFA709</t>
  </si>
  <si>
    <t>GSK210709EHU104</t>
  </si>
  <si>
    <t>GSK210709JKB350</t>
  </si>
  <si>
    <t>GSK210709QRU716</t>
  </si>
  <si>
    <t>GSK210709THC457</t>
  </si>
  <si>
    <t>GSK210709RMD950</t>
  </si>
  <si>
    <t>GSK210709VHP078</t>
  </si>
  <si>
    <t>GSK210709RFH810</t>
  </si>
  <si>
    <t>GSK210709CLJ763</t>
  </si>
  <si>
    <t>GSK210709AMV928</t>
  </si>
  <si>
    <t>GSK210709JZG693</t>
  </si>
  <si>
    <t>GSK210709XMN438</t>
  </si>
  <si>
    <t>GSK210709QYO724</t>
  </si>
  <si>
    <t>GSK210709GJI865</t>
  </si>
  <si>
    <t>GSK210709JQS103</t>
  </si>
  <si>
    <t>GSK210709TIZ921</t>
  </si>
  <si>
    <t>GSK210709UEZ769</t>
  </si>
  <si>
    <t>GSK210709MJW827</t>
  </si>
  <si>
    <t>GSK210709LRN041</t>
  </si>
  <si>
    <t>GSK210710TYU148</t>
  </si>
  <si>
    <t>GSK210710LES195</t>
  </si>
  <si>
    <t>GSK210709XBT765</t>
  </si>
  <si>
    <t>GSK210709WQL895</t>
  </si>
  <si>
    <t>GSK210709FGM714</t>
  </si>
  <si>
    <t>GSK210709FIS056</t>
  </si>
  <si>
    <t>GSK210709NPV162</t>
  </si>
  <si>
    <t>GSK210709WLT123</t>
  </si>
  <si>
    <t>GSK210710AOT648</t>
  </si>
  <si>
    <t>GSK210710VQL426</t>
  </si>
  <si>
    <t>GSK210710VHU390</t>
  </si>
  <si>
    <t>GSK210710YJC015</t>
  </si>
  <si>
    <t>GSK210710SDI723</t>
  </si>
  <si>
    <t>GSK210710AOJ327</t>
  </si>
  <si>
    <t>GSK210710JYS074</t>
  </si>
  <si>
    <t>GSK210710MBK541</t>
  </si>
  <si>
    <t>GSK210710KDF796</t>
  </si>
  <si>
    <t>GSK210710WAF954</t>
  </si>
  <si>
    <t>GSK210710QDM894</t>
  </si>
  <si>
    <t>GSK210710RCG245</t>
  </si>
  <si>
    <t>GSK210710HYX082</t>
  </si>
  <si>
    <t>GSK210710KAZ438</t>
  </si>
  <si>
    <t>GSK210710RZN178</t>
  </si>
  <si>
    <t>GSK210710IWB257</t>
  </si>
  <si>
    <t>GSK210710TDY357</t>
  </si>
  <si>
    <t>GSK210710INU953</t>
  </si>
  <si>
    <t>GSK210711RFX138</t>
  </si>
  <si>
    <t>GSK210709PEY963</t>
  </si>
  <si>
    <t>GSK210709XYG561</t>
  </si>
  <si>
    <t>GSK210710KUF147</t>
  </si>
  <si>
    <t>GSK210710LHY019</t>
  </si>
  <si>
    <t>GSK210710JNA842</t>
  </si>
  <si>
    <t>GSK210710JUB875</t>
  </si>
  <si>
    <t>GSK210711SNQ961</t>
  </si>
  <si>
    <t>GSK210711DFI103</t>
  </si>
  <si>
    <t>GSK210711LGQ043</t>
  </si>
  <si>
    <t>GSK210711WHS263</t>
  </si>
  <si>
    <t>GSK210711CPU164</t>
  </si>
  <si>
    <t>GSK210711NOL475</t>
  </si>
  <si>
    <t>GSK210711YGH236</t>
  </si>
  <si>
    <t>GSK210711XIY857</t>
  </si>
  <si>
    <t>GSK210711AHB768</t>
  </si>
  <si>
    <t>GSK210711KBH975</t>
  </si>
  <si>
    <t>GSK210712DET604</t>
  </si>
  <si>
    <t>GSK210711KUE870</t>
  </si>
  <si>
    <t>GSK210711BWT942</t>
  </si>
  <si>
    <t>GSK210712FKE072</t>
  </si>
  <si>
    <t>GSK210712FGR879</t>
  </si>
  <si>
    <t>GSK210712XBM315</t>
  </si>
  <si>
    <t>GSK210712HCU315</t>
  </si>
  <si>
    <t>GSK210712STP934</t>
  </si>
  <si>
    <t>GSK210712XPF713</t>
  </si>
  <si>
    <t>GSK210712BYI978</t>
  </si>
  <si>
    <t>GSK210713EKH345</t>
  </si>
  <si>
    <t>GSK210713ISX958</t>
  </si>
  <si>
    <t>GSK210713UYV014</t>
  </si>
  <si>
    <t>GSK210713LEZ689</t>
  </si>
  <si>
    <t>GSK210713BSW802</t>
  </si>
  <si>
    <t>GSK210713VYP139</t>
  </si>
  <si>
    <t>GSK210713GIP532</t>
  </si>
  <si>
    <t>GSK210713BXY457</t>
  </si>
  <si>
    <t>GSK210713SBX308</t>
  </si>
  <si>
    <t>GSK210713UJK306</t>
  </si>
  <si>
    <t>GSK210713YAT895</t>
  </si>
  <si>
    <t>GSK210713TWP965</t>
  </si>
  <si>
    <t>GSK210713RQX160</t>
  </si>
  <si>
    <t>Surat Muatan Darat</t>
  </si>
  <si>
    <t>DMD/2107/07/IELN3059</t>
  </si>
  <si>
    <t>DMD/2107/07/AMZT9543</t>
  </si>
  <si>
    <t>DMD/2107/08/CZXG2185</t>
  </si>
  <si>
    <t>DMD/2107/08/EZYS4928</t>
  </si>
  <si>
    <t>DMD/2107/08/QNVB4102</t>
  </si>
  <si>
    <t>DMD/2107/08/WONP8125</t>
  </si>
  <si>
    <t>DMD/2107/09/QUSV4269</t>
  </si>
  <si>
    <t>DMD/2107/09/SQPL2594</t>
  </si>
  <si>
    <t>DMD/2107/09/TRBD5901</t>
  </si>
  <si>
    <t>DMD/2107/10/GOAE4637</t>
  </si>
  <si>
    <t>DMD/2107/10/MEAQ7192</t>
  </si>
  <si>
    <t>DMD/2107/11/VAIH2836</t>
  </si>
  <si>
    <t>DMD/2107/11/AVFS1903</t>
  </si>
  <si>
    <t>DMD/2107/12/AOEV7361</t>
  </si>
  <si>
    <t>DMD/2107/12/STQB2681</t>
  </si>
  <si>
    <t>DMD/2107/13/MRVY1309</t>
  </si>
  <si>
    <t>DMD/2107/14/UBVS6213</t>
  </si>
  <si>
    <t>GSK210714VBT286</t>
  </si>
  <si>
    <t>16 Juli 2021</t>
  </si>
  <si>
    <t>KMP. KELUD</t>
  </si>
  <si>
    <t>DMD/2107/14/HJRQ9617</t>
  </si>
  <si>
    <t>GSK210714LQX413</t>
  </si>
  <si>
    <t>GSK210714KUM436</t>
  </si>
  <si>
    <t>GSK210714JQL528</t>
  </si>
  <si>
    <t>GSK210714URB805</t>
  </si>
  <si>
    <t>GSK210714GFV025</t>
  </si>
  <si>
    <t>GSK210714GNX215</t>
  </si>
  <si>
    <t>GSK210714JKL462</t>
  </si>
  <si>
    <t>GSK210714AQY721</t>
  </si>
  <si>
    <t>GSK210714KNT983</t>
  </si>
  <si>
    <t>DMD/2107/15/HEOT0583</t>
  </si>
  <si>
    <t>DMD/2107/15/AJRK4685</t>
  </si>
  <si>
    <t>DMD/2107/15/CGXJ8519</t>
  </si>
  <si>
    <t>GSK210714IEZ504</t>
  </si>
  <si>
    <t>GSK210715DZQ375</t>
  </si>
  <si>
    <t>GSK210715DRM549</t>
  </si>
  <si>
    <t>GSK210715TEV408</t>
  </si>
  <si>
    <t>GSK210714IHD086</t>
  </si>
  <si>
    <t>GSK210715MGH162</t>
  </si>
  <si>
    <t>GSK210712AWO058</t>
  </si>
  <si>
    <t>GSK210713AEW038</t>
  </si>
  <si>
    <t>GSK210713ULS597</t>
  </si>
  <si>
    <t>GSK210713FKR253</t>
  </si>
  <si>
    <t>GSK210713AUQ270</t>
  </si>
  <si>
    <t>GSK210714FCY086</t>
  </si>
  <si>
    <t>GSK210714UWX509</t>
  </si>
  <si>
    <t>GSK210715VHR438</t>
  </si>
  <si>
    <t>GSK210715BAI594</t>
  </si>
  <si>
    <t>GSK210715WZB685</t>
  </si>
  <si>
    <t>GSK210715ACH385</t>
  </si>
  <si>
    <t>GSK210715WGH742</t>
  </si>
  <si>
    <t>GSK210715YUB491</t>
  </si>
  <si>
    <t>GSK210715USW679</t>
  </si>
  <si>
    <t>GSK210715BHY530</t>
  </si>
  <si>
    <t>GSK210715ZTY519</t>
  </si>
  <si>
    <t>GSK210715WOG619</t>
  </si>
  <si>
    <t>GSK210715CHN186</t>
  </si>
  <si>
    <t>GSK210715NPS631</t>
  </si>
  <si>
    <t>DMD/2107/16/XJLQ7605</t>
  </si>
  <si>
    <t>GSK210716DRZ246</t>
  </si>
  <si>
    <t>DMD/2107/16/QMFV6279</t>
  </si>
  <si>
    <t>GSK210716KSJ853</t>
  </si>
  <si>
    <t>GSK210716HUW178</t>
  </si>
  <si>
    <t>GSK210716HKW460</t>
  </si>
  <si>
    <t>GSK210716AHJ170</t>
  </si>
  <si>
    <t>GSK210716ZYL301</t>
  </si>
  <si>
    <t>GSK210716JWE109</t>
  </si>
  <si>
    <t>GSK210716IDF158</t>
  </si>
  <si>
    <t>GSK210716OQE825</t>
  </si>
  <si>
    <t>GSK210716PHJ254</t>
  </si>
  <si>
    <t>GSK210716HIG495</t>
  </si>
  <si>
    <t>GSK210716AUG152</t>
  </si>
  <si>
    <t>GSK210716LVU670</t>
  </si>
  <si>
    <t>GSK210716VBK247</t>
  </si>
  <si>
    <t>17/7/2021 14:30 POD by Zulfani</t>
  </si>
  <si>
    <t>18/07/2021 15:20 POD by Aprizal</t>
  </si>
  <si>
    <t>GSK210706BXP507</t>
  </si>
  <si>
    <t xml:space="preserve"> 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</si>
  <si>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</si>
  <si>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</si>
  <si>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</si>
  <si>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</si>
  <si>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</si>
  <si>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</si>
  <si>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</si>
  <si>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</si>
  <si>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</si>
  <si>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</si>
  <si>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</si>
  <si>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</si>
  <si>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</si>
  <si>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</si>
  <si>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</si>
  <si>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</si>
  <si>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</si>
  <si>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</si>
  <si>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</si>
  <si>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</si>
  <si>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</si>
  <si>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</si>
  <si>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</si>
  <si>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</si>
  <si>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</si>
  <si>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SICEPAT EXPRESBATAMORCHARD         (SORTATION)</t>
  </si>
  <si>
    <t>BATAM KOTA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</si>
  <si>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</si>
  <si>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</si>
  <si>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</si>
  <si>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</si>
  <si>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</si>
  <si>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</si>
  <si>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</si>
  <si>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</si>
  <si>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</si>
  <si>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</si>
  <si>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</si>
  <si>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</si>
  <si>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</si>
  <si>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</si>
  <si>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</si>
  <si>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</si>
  <si>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BKI032210025189</t>
  </si>
  <si>
    <t>BKI032210025254</t>
  </si>
  <si>
    <t>BKI032210025353</t>
  </si>
  <si>
    <t>BKI032210025437</t>
  </si>
  <si>
    <t>BKI032210025593</t>
  </si>
  <si>
    <t>BKI032210025486</t>
  </si>
  <si>
    <t>BKI032210025627</t>
  </si>
  <si>
    <t>BKI032210026047</t>
  </si>
  <si>
    <t>BKI032210026195</t>
  </si>
  <si>
    <t>BKI032210026377</t>
  </si>
  <si>
    <t>AWB PCI</t>
  </si>
  <si>
    <t>ACT KG</t>
  </si>
  <si>
    <t>KG VOLUME</t>
  </si>
  <si>
    <t>RATE (Rp/KG)</t>
  </si>
  <si>
    <t>AMOUNT (Rp)</t>
  </si>
  <si>
    <t>KG
VOLUME</t>
  </si>
  <si>
    <t xml:space="preserve"> 002/PCI/K1/VII/21</t>
  </si>
  <si>
    <t xml:space="preserve"> 23 Juli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</si>
  <si>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Satu Juta Tujuh Ratus Tujuh Puluh Lima Ribu Enam 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</si>
</sst>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15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6" fontId="2" fillId="0" borderId="0" xfId="0" applyNumberFormat="1" applyFont="1" applyAlignment="1">
      <alignment horizontal="left" vertical="center"/>
    </xf>
    <xf numFmtId="166" fontId="2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6" fontId="3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167" fontId="12" fillId="0" borderId="0" xfId="3" applyNumberFormat="1" applyFont="1"/>
    <xf numFmtId="0" fontId="13" fillId="0" borderId="0" xfId="0" applyFont="1"/>
    <xf numFmtId="0" fontId="12" fillId="0" borderId="5" xfId="0" applyFont="1" applyBorder="1"/>
    <xf numFmtId="167" fontId="12" fillId="0" borderId="5" xfId="3" applyNumberFormat="1" applyFont="1" applyBorder="1"/>
    <xf numFmtId="167" fontId="12" fillId="0" borderId="0" xfId="3" applyNumberFormat="1" applyFont="1" applyAlignment="1">
      <alignment horizontal="center"/>
    </xf>
    <xf numFmtId="0" fontId="15" fillId="0" borderId="0" xfId="0" applyFont="1"/>
    <xf numFmtId="168" fontId="12" fillId="0" borderId="0" xfId="0" quotePrefix="1" applyNumberFormat="1" applyFont="1"/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15" fontId="12" fillId="4" borderId="1" xfId="0" quotePrefix="1" applyNumberFormat="1" applyFont="1" applyFill="1" applyBorder="1" applyAlignment="1">
      <alignment horizontal="center" vertical="center"/>
    </xf>
    <xf numFmtId="15" fontId="12" fillId="4" borderId="1" xfId="0" quotePrefix="1" applyNumberFormat="1" applyFont="1" applyFill="1" applyBorder="1" applyAlignment="1">
      <alignment horizontal="center" vertical="center" wrapText="1"/>
    </xf>
    <xf numFmtId="167" fontId="12" fillId="4" borderId="1" xfId="3" applyNumberFormat="1" applyFont="1" applyFill="1" applyBorder="1" applyAlignment="1">
      <alignment horizontal="center" vertical="center" wrapText="1"/>
    </xf>
    <xf numFmtId="0" fontId="12" fillId="4" borderId="4" xfId="3" applyNumberFormat="1" applyFont="1" applyFill="1" applyBorder="1" applyAlignment="1">
      <alignment horizontal="center" vertical="center" wrapText="1"/>
    </xf>
    <xf numFmtId="0" fontId="12" fillId="4" borderId="1" xfId="3" applyNumberFormat="1" applyFont="1" applyFill="1" applyBorder="1" applyAlignment="1">
      <alignment horizontal="center" vertical="center" wrapText="1"/>
    </xf>
    <xf numFmtId="167" fontId="12" fillId="0" borderId="17" xfId="3" applyNumberFormat="1" applyFont="1" applyBorder="1" applyAlignment="1">
      <alignment horizontal="center" vertical="center"/>
    </xf>
    <xf numFmtId="164" fontId="12" fillId="0" borderId="2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7" fontId="12" fillId="0" borderId="0" xfId="3" applyNumberFormat="1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167" fontId="11" fillId="0" borderId="0" xfId="3" applyNumberFormat="1" applyFont="1" applyAlignment="1">
      <alignment horizontal="left" vertical="center"/>
    </xf>
    <xf numFmtId="164" fontId="12" fillId="0" borderId="0" xfId="0" applyNumberFormat="1" applyFont="1"/>
    <xf numFmtId="167" fontId="11" fillId="0" borderId="5" xfId="3" applyNumberFormat="1" applyFont="1" applyBorder="1"/>
    <xf numFmtId="169" fontId="12" fillId="0" borderId="5" xfId="0" applyNumberFormat="1" applyFont="1" applyBorder="1" applyAlignment="1">
      <alignment horizontal="center" vertical="center"/>
    </xf>
    <xf numFmtId="167" fontId="11" fillId="0" borderId="0" xfId="3" applyNumberFormat="1" applyFont="1"/>
    <xf numFmtId="169" fontId="11" fillId="0" borderId="0" xfId="0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1" fillId="0" borderId="0" xfId="0" applyFont="1" applyBorder="1"/>
    <xf numFmtId="0" fontId="12" fillId="0" borderId="0" xfId="0" applyFont="1" applyBorder="1"/>
    <xf numFmtId="0" fontId="18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8" fillId="0" borderId="0" xfId="0" quotePrefix="1" applyFont="1" applyAlignment="1">
      <alignment horizontal="left"/>
    </xf>
    <xf numFmtId="0" fontId="11" fillId="0" borderId="0" xfId="0" quotePrefix="1" applyFont="1" applyBorder="1" applyAlignment="1">
      <alignment horizontal="left"/>
    </xf>
    <xf numFmtId="0" fontId="11" fillId="0" borderId="0" xfId="0" quotePrefix="1" applyFont="1" applyAlignment="1">
      <alignment horizontal="left"/>
    </xf>
    <xf numFmtId="0" fontId="12" fillId="0" borderId="0" xfId="0" applyFont="1" applyAlignment="1">
      <alignment horizontal="right"/>
    </xf>
    <xf numFmtId="166" fontId="10" fillId="0" borderId="0" xfId="0" applyNumberFormat="1" applyFont="1"/>
    <xf numFmtId="166" fontId="19" fillId="0" borderId="0" xfId="0" applyNumberFormat="1" applyFont="1"/>
    <xf numFmtId="0" fontId="19" fillId="0" borderId="0" xfId="0" applyFont="1"/>
    <xf numFmtId="0" fontId="2" fillId="0" borderId="22" xfId="0" applyFont="1" applyBorder="1" applyAlignment="1">
      <alignment vertical="center" wrapText="1"/>
    </xf>
    <xf numFmtId="164" fontId="6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/>
    <xf numFmtId="0" fontId="5" fillId="2" borderId="2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167" fontId="1" fillId="0" borderId="1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4" fontId="4" fillId="0" borderId="1" xfId="2" applyFont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167" fontId="6" fillId="0" borderId="1" xfId="1" applyNumberFormat="1" applyFont="1" applyBorder="1" applyAlignment="1">
      <alignment vertical="center"/>
    </xf>
    <xf numFmtId="167" fontId="6" fillId="0" borderId="0" xfId="0" applyNumberFormat="1" applyFont="1" applyAlignment="1">
      <alignment horizontal="center" vertical="center"/>
    </xf>
    <xf numFmtId="167" fontId="6" fillId="0" borderId="26" xfId="0" applyNumberFormat="1" applyFont="1" applyBorder="1" applyAlignment="1">
      <alignment horizontal="center" vertical="center"/>
    </xf>
    <xf numFmtId="165" fontId="6" fillId="0" borderId="0" xfId="1" applyFont="1" applyAlignment="1">
      <alignment horizontal="center" vertical="center"/>
    </xf>
    <xf numFmtId="167" fontId="6" fillId="0" borderId="0" xfId="1" applyNumberFormat="1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166" fontId="19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7" fontId="6" fillId="0" borderId="0" xfId="1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64" fontId="4" fillId="0" borderId="1" xfId="2" applyFont="1" applyBorder="1" applyAlignment="1">
      <alignment horizontal="center" vertical="center" wrapText="1"/>
    </xf>
    <xf numFmtId="167" fontId="4" fillId="0" borderId="1" xfId="1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167" fontId="6" fillId="0" borderId="1" xfId="1" applyNumberFormat="1" applyFont="1" applyBorder="1" applyAlignment="1">
      <alignment vertical="center" wrapText="1"/>
    </xf>
    <xf numFmtId="166" fontId="19" fillId="0" borderId="0" xfId="0" applyNumberFormat="1" applyFont="1" applyAlignment="1">
      <alignment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0" fillId="0" borderId="0" xfId="0" applyNumberFormat="1" applyFont="1" applyAlignment="1">
      <alignment vertical="center" wrapText="1"/>
    </xf>
    <xf numFmtId="167" fontId="6" fillId="0" borderId="26" xfId="1" applyNumberFormat="1" applyFont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6" fontId="8" fillId="0" borderId="1" xfId="0" applyNumberFormat="1" applyFont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67" fontId="9" fillId="0" borderId="1" xfId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6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7" fontId="12" fillId="0" borderId="15" xfId="3" applyNumberFormat="1" applyFont="1" applyBorder="1" applyAlignment="1">
      <alignment horizontal="center" vertical="center"/>
    </xf>
    <xf numFmtId="167" fontId="12" fillId="0" borderId="16" xfId="3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67" fontId="6" fillId="0" borderId="15" xfId="1" applyNumberFormat="1" applyFont="1" applyBorder="1" applyAlignment="1">
      <alignment horizontal="center" vertical="center"/>
    </xf>
    <xf numFmtId="167" fontId="6" fillId="0" borderId="16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50</xdr:row>
      <xdr:rowOff>95250</xdr:rowOff>
    </xdr:from>
    <xdr:to>
      <xdr:col>17</xdr:col>
      <xdr:colOff>221316</xdr:colOff>
      <xdr:row>55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9400" y="112014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38</xdr:row>
      <xdr:rowOff>133350</xdr:rowOff>
    </xdr:from>
    <xdr:to>
      <xdr:col>15</xdr:col>
      <xdr:colOff>552450</xdr:colOff>
      <xdr:row>43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77350" y="87915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43</xdr:row>
      <xdr:rowOff>191804</xdr:rowOff>
    </xdr:from>
    <xdr:to>
      <xdr:col>10</xdr:col>
      <xdr:colOff>190500</xdr:colOff>
      <xdr:row>50</xdr:row>
      <xdr:rowOff>38099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98501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C2:N10" totalsRowShown="0" headerRowDxfId="167" dataDxfId="165" headerRowBorderDxfId="166">
  <tableColumns count="12">
    <tableColumn id="1" name="NOMOR" dataDxfId="164" dataCellStyle="Normal"/>
    <tableColumn id="3" name="TUJUAN" dataDxfId="163" dataCellStyle="Normal"/>
    <tableColumn id="16" name="Pick Up" dataDxfId="162"/>
    <tableColumn id="14" name="KAPAL" dataDxfId="161"/>
    <tableColumn id="15" name="ETD Kapal" dataDxfId="160"/>
    <tableColumn id="10" name="KETERANGAN" dataDxfId="159" dataCellStyle="Normal"/>
    <tableColumn id="5" name="P" dataDxfId="158" dataCellStyle="Normal"/>
    <tableColumn id="6" name="L" dataDxfId="157" dataCellStyle="Normal"/>
    <tableColumn id="7" name="T" dataDxfId="156" dataCellStyle="Normal"/>
    <tableColumn id="4" name="ACT KG" dataDxfId="155" dataCellStyle="Normal"/>
    <tableColumn id="8" name="KG VOLUME" dataDxfId="154" dataCellStyle="Normal">
      <calculatedColumnFormula>Table2[[#This Row],[P]]*Table2[[#This Row],[L]]*Table2[[#This Row],[T]]</calculatedColumnFormula>
    </tableColumn>
    <tableColumn id="19" name="PEMBULATAN" dataDxfId="153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67891011" displayName="Table224567891011" ref="C2:N16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_x000a_VOLUME" dataDxfId="19" dataCellStyle="Normal">
      <calculatedColumnFormula>Table224567891011[[#This Row],[P]]*Table224567891011[[#This Row],[L]]*Table224567891011[[#This Row],[T]]</calculatedColumnFormula>
    </tableColumn>
    <tableColumn id="19" name="PEMBULATAN" dataDxfId="1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C2:N18" totalsRowShown="0" headerRowDxfId="152" dataDxfId="150" headerRowBorderDxfId="151">
  <tableColumns count="12">
    <tableColumn id="1" name="NOMOR" dataDxfId="149" dataCellStyle="Normal"/>
    <tableColumn id="3" name="TUJUAN" dataDxfId="148" dataCellStyle="Normal"/>
    <tableColumn id="16" name="Pick Up" dataDxfId="147"/>
    <tableColumn id="14" name="KAPAL" dataDxfId="146"/>
    <tableColumn id="15" name="ETD Kapal" dataDxfId="145"/>
    <tableColumn id="10" name="KETERANGAN" dataDxfId="144" dataCellStyle="Normal"/>
    <tableColumn id="5" name="P" dataDxfId="143" dataCellStyle="Normal"/>
    <tableColumn id="6" name="L" dataDxfId="142" dataCellStyle="Normal"/>
    <tableColumn id="7" name="T" dataDxfId="141" dataCellStyle="Normal"/>
    <tableColumn id="4" name="ACT KG" dataDxfId="140" dataCellStyle="Normal"/>
    <tableColumn id="8" name="KG VOLUME" dataDxfId="139" dataCellStyle="Normal">
      <calculatedColumnFormula>Table22[[#This Row],[P]]*Table22[[#This Row],[L]]*Table22[[#This Row],[T]]</calculatedColumnFormula>
    </tableColumn>
    <tableColumn id="19" name="PEMBULATAN" dataDxfId="13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" displayName="Table224" ref="C2:N30" totalsRowShown="0" headerRowDxfId="137" dataDxfId="135" headerRowBorderDxfId="136">
  <tableColumns count="12">
    <tableColumn id="1" name="NOMOR" dataDxfId="134" dataCellStyle="Normal"/>
    <tableColumn id="3" name="TUJUAN" dataDxfId="133" dataCellStyle="Normal"/>
    <tableColumn id="16" name="Pick Up" dataDxfId="132"/>
    <tableColumn id="14" name="KAPAL" dataDxfId="131"/>
    <tableColumn id="15" name="ETD Kapal" dataDxfId="130"/>
    <tableColumn id="10" name="KETERANGAN" dataDxfId="129" dataCellStyle="Normal"/>
    <tableColumn id="5" name="P" dataDxfId="128" dataCellStyle="Normal"/>
    <tableColumn id="6" name="L" dataDxfId="127" dataCellStyle="Normal"/>
    <tableColumn id="7" name="T" dataDxfId="126" dataCellStyle="Normal"/>
    <tableColumn id="4" name="ACT KG" dataDxfId="125" dataCellStyle="Normal"/>
    <tableColumn id="8" name="KG_x000a_VOLUME" dataDxfId="124" dataCellStyle="Normal">
      <calculatedColumnFormula>Table224[[#This Row],[P]]*Table224[[#This Row],[L]]*Table224[[#This Row],[T]]</calculatedColumnFormula>
    </tableColumn>
    <tableColumn id="19" name="PEMBULATAN" dataDxfId="12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" displayName="Table2245" ref="C2:N29" totalsRowShown="0" headerRowDxfId="122" dataDxfId="120" headerRowBorderDxfId="121">
  <tableColumns count="12">
    <tableColumn id="1" name="NOMOR" dataDxfId="119" dataCellStyle="Normal"/>
    <tableColumn id="3" name="TUJUAN" dataDxfId="118" dataCellStyle="Normal"/>
    <tableColumn id="16" name="Pick Up" dataDxfId="117"/>
    <tableColumn id="14" name="KAPAL" dataDxfId="116"/>
    <tableColumn id="15" name="ETD Kapal" dataDxfId="115"/>
    <tableColumn id="10" name="KETERANGAN" dataDxfId="114" dataCellStyle="Normal"/>
    <tableColumn id="5" name="P" dataDxfId="113" dataCellStyle="Normal"/>
    <tableColumn id="6" name="L" dataDxfId="112" dataCellStyle="Normal"/>
    <tableColumn id="7" name="T" dataDxfId="111" dataCellStyle="Normal"/>
    <tableColumn id="4" name="ACT KG" dataDxfId="110" dataCellStyle="Normal"/>
    <tableColumn id="8" name="KG_x000a_VOLUME" dataDxfId="109" dataCellStyle="Normal">
      <calculatedColumnFormula>Table2245[[#This Row],[P]]*Table2245[[#This Row],[L]]*Table2245[[#This Row],[T]]</calculatedColumnFormula>
    </tableColumn>
    <tableColumn id="19" name="PEMBULATAN" dataDxfId="108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6" displayName="Table22456" ref="C2:N19" totalsRowShown="0" headerRowDxfId="107" dataDxfId="105" headerRowBorderDxfId="106">
  <tableColumns count="12">
    <tableColumn id="1" name="NOMOR" dataDxfId="104" dataCellStyle="Normal"/>
    <tableColumn id="3" name="TUJUAN" dataDxfId="103" dataCellStyle="Normal"/>
    <tableColumn id="16" name="Pick Up" dataDxfId="102"/>
    <tableColumn id="14" name="KAPAL" dataDxfId="101"/>
    <tableColumn id="15" name="ETD Kapal" dataDxfId="100"/>
    <tableColumn id="10" name="KETERANGAN" dataDxfId="99" dataCellStyle="Normal"/>
    <tableColumn id="5" name="P" dataDxfId="98" dataCellStyle="Normal"/>
    <tableColumn id="6" name="L" dataDxfId="97" dataCellStyle="Normal"/>
    <tableColumn id="7" name="T" dataDxfId="96" dataCellStyle="Normal"/>
    <tableColumn id="4" name="ACT KG" dataDxfId="95" dataCellStyle="Normal"/>
    <tableColumn id="8" name="KG_x000a_VOLUME" dataDxfId="94" dataCellStyle="Normal">
      <calculatedColumnFormula>Table22456[[#This Row],[P]]*Table22456[[#This Row],[L]]*Table22456[[#This Row],[T]]</calculatedColumnFormula>
    </tableColumn>
    <tableColumn id="19" name="PEMBULATAN" dataDxfId="93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67" displayName="Table224567" ref="C2:N11" totalsRowShown="0" headerRowDxfId="92" dataDxfId="90" headerRowBorderDxfId="91">
  <tableColumns count="12">
    <tableColumn id="1" name="NOMOR" dataDxfId="89" dataCellStyle="Normal"/>
    <tableColumn id="3" name="TUJUAN" dataDxfId="88" dataCellStyle="Normal"/>
    <tableColumn id="16" name="Pick Up" dataDxfId="87"/>
    <tableColumn id="14" name="KAPAL" dataDxfId="86"/>
    <tableColumn id="15" name="ETD Kapal" dataDxfId="85"/>
    <tableColumn id="10" name="KETERANGAN" dataDxfId="84" dataCellStyle="Normal"/>
    <tableColumn id="5" name="P" dataDxfId="83" dataCellStyle="Normal"/>
    <tableColumn id="6" name="L" dataDxfId="82" dataCellStyle="Normal"/>
    <tableColumn id="7" name="T" dataDxfId="81" dataCellStyle="Normal"/>
    <tableColumn id="4" name="ACT KG" dataDxfId="80" dataCellStyle="Normal"/>
    <tableColumn id="8" name="KG_x000a_VOLUME" dataDxfId="79" dataCellStyle="Normal">
      <calculatedColumnFormula>Table224567[[#This Row],[P]]*Table224567[[#This Row],[L]]*Table224567[[#This Row],[T]]</calculatedColumnFormula>
    </tableColumn>
    <tableColumn id="19" name="PEMBULATAN" dataDxfId="78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678" displayName="Table2245678" ref="C2:N16" totalsRowShown="0" headerRowDxfId="77" dataDxfId="75" headerRowBorderDxfId="76">
  <tableColumns count="12">
    <tableColumn id="1" name="NOMOR" dataDxfId="74" dataCellStyle="Normal"/>
    <tableColumn id="3" name="TUJUAN" dataDxfId="73" dataCellStyle="Normal"/>
    <tableColumn id="16" name="Pick Up" dataDxfId="72"/>
    <tableColumn id="14" name="KAPAL" dataDxfId="71"/>
    <tableColumn id="15" name="ETD Kapal" dataDxfId="70"/>
    <tableColumn id="10" name="KETERANGAN" dataDxfId="69" dataCellStyle="Normal"/>
    <tableColumn id="5" name="P" dataDxfId="68" dataCellStyle="Normal"/>
    <tableColumn id="6" name="L" dataDxfId="67" dataCellStyle="Normal"/>
    <tableColumn id="7" name="T" dataDxfId="66" dataCellStyle="Normal"/>
    <tableColumn id="4" name="ACT KG" dataDxfId="65" dataCellStyle="Normal"/>
    <tableColumn id="8" name="KG_x000a_VOLUME" dataDxfId="64" dataCellStyle="Normal">
      <calculatedColumnFormula>Table2245678[[#This Row],[P]]*Table2245678[[#This Row],[L]]*Table2245678[[#This Row],[T]]</calculatedColumnFormula>
    </tableColumn>
    <tableColumn id="19" name="PEMBULATAN" dataDxfId="63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6789" displayName="Table22456789" ref="C2:N12" totalsRowShown="0" headerRowDxfId="62" dataDxfId="60" headerRowBorderDxfId="61">
  <tableColumns count="12">
    <tableColumn id="1" name="NOMOR" dataDxfId="59" dataCellStyle="Normal"/>
    <tableColumn id="3" name="TUJUAN" dataDxfId="58" dataCellStyle="Normal"/>
    <tableColumn id="16" name="Pick Up" dataDxfId="57"/>
    <tableColumn id="14" name="KAPAL" dataDxfId="56"/>
    <tableColumn id="15" name="ETD Kapal" dataDxfId="55"/>
    <tableColumn id="10" name="KETERANGAN" dataDxfId="54" dataCellStyle="Normal"/>
    <tableColumn id="5" name="P" dataDxfId="53" dataCellStyle="Normal"/>
    <tableColumn id="6" name="L" dataDxfId="52" dataCellStyle="Normal"/>
    <tableColumn id="7" name="T" dataDxfId="51" dataCellStyle="Normal"/>
    <tableColumn id="4" name="ACT KG" dataDxfId="50" dataCellStyle="Normal"/>
    <tableColumn id="8" name="KG_x000a_VOLUME" dataDxfId="49" dataCellStyle="Normal">
      <calculatedColumnFormula>Table22456789[[#This Row],[P]]*Table22456789[[#This Row],[L]]*Table22456789[[#This Row],[T]]</calculatedColumnFormula>
    </tableColumn>
    <tableColumn id="19" name="PEMBULATAN" dataDxfId="48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678910" displayName="Table2245678910" ref="C2:N27" totalsRowShown="0" headerRowDxfId="47" dataDxfId="45" headerRowBorderDxfId="46">
  <tableColumns count="12">
    <tableColumn id="1" name="NOMOR" dataDxfId="44" dataCellStyle="Normal"/>
    <tableColumn id="3" name="TUJUAN" dataDxfId="43" dataCellStyle="Normal"/>
    <tableColumn id="16" name="Pick Up" dataDxfId="42"/>
    <tableColumn id="14" name="KAPAL" dataDxfId="41"/>
    <tableColumn id="15" name="ETD Kapal" dataDxfId="40"/>
    <tableColumn id="10" name="KETERANGAN" dataDxfId="39" dataCellStyle="Normal"/>
    <tableColumn id="5" name="P" dataDxfId="38" dataCellStyle="Normal"/>
    <tableColumn id="6" name="L" dataDxfId="37" dataCellStyle="Normal"/>
    <tableColumn id="7" name="T" dataDxfId="36" dataCellStyle="Normal"/>
    <tableColumn id="4" name="ACT KG" dataDxfId="35" dataCellStyle="Normal"/>
    <tableColumn id="8" name="KG_x000a_VOLUME" dataDxfId="34" dataCellStyle="Normal">
      <calculatedColumnFormula>Table2245678910[[#This Row],[P]]*Table2245678910[[#This Row],[L]]*Table2245678910[[#This Row],[T]]</calculatedColumnFormula>
    </tableColumn>
    <tableColumn id="19" name="PEMBULATAN" dataDxfId="3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topLeftCell="A4" workbookViewId="0">
      <selection activeCell="N17" sqref="N17"/>
    </sheetView>
  </sheetViews>
  <sheetFormatPr defaultRowHeight="15.75" x14ac:dyDescent="0.25"/>
  <cols>
    <col min="1" max="1" width="6.42578125" style="22" customWidth="1"/>
    <col min="2" max="2" width="11.5703125" style="22" customWidth="1"/>
    <col min="3" max="3" width="10" style="22" customWidth="1"/>
    <col min="4" max="4" width="29.140625" style="22" customWidth="1"/>
    <col min="5" max="5" width="13.85546875" style="22" customWidth="1"/>
    <col min="6" max="6" width="6.85546875" style="22" bestFit="1" customWidth="1"/>
    <col min="7" max="7" width="5.28515625" style="22" customWidth="1"/>
    <col min="8" max="8" width="14.140625" style="23" bestFit="1" customWidth="1"/>
    <col min="9" max="9" width="1.5703125" style="23" customWidth="1"/>
    <col min="10" max="10" width="18.140625" style="22" customWidth="1"/>
    <col min="11" max="16384" width="9.140625" style="22"/>
  </cols>
  <sheetData>
    <row r="2" spans="1:10" x14ac:dyDescent="0.25">
      <c r="A2" s="21" t="s">
        <v>207</v>
      </c>
    </row>
    <row r="3" spans="1:10" x14ac:dyDescent="0.25">
      <c r="A3" s="24" t="s">
        <v>208</v>
      </c>
    </row>
    <row r="4" spans="1:10" x14ac:dyDescent="0.25">
      <c r="A4" s="24" t="s">
        <v>209</v>
      </c>
    </row>
    <row r="5" spans="1:10" x14ac:dyDescent="0.25">
      <c r="A5" s="24" t="s">
        <v>210</v>
      </c>
    </row>
    <row r="6" spans="1:10" x14ac:dyDescent="0.25">
      <c r="A6" s="24" t="s">
        <v>211</v>
      </c>
    </row>
    <row r="7" spans="1:10" x14ac:dyDescent="0.25">
      <c r="A7" s="24" t="s">
        <v>212</v>
      </c>
    </row>
    <row r="9" spans="1:10" ht="16.5" thickBot="1" x14ac:dyDescent="0.3">
      <c r="A9" s="25"/>
      <c r="B9" s="25"/>
      <c r="C9" s="25"/>
      <c r="D9" s="25"/>
      <c r="E9" s="25"/>
      <c r="F9" s="25"/>
      <c r="G9" s="25"/>
      <c r="H9" s="26"/>
      <c r="I9" s="26"/>
      <c r="J9" s="25"/>
    </row>
    <row r="10" spans="1:10" ht="23.25" customHeight="1" thickBot="1" x14ac:dyDescent="0.3">
      <c r="A10" s="133" t="s">
        <v>213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2" spans="1:10" x14ac:dyDescent="0.25">
      <c r="A12" s="22" t="s">
        <v>214</v>
      </c>
      <c r="B12" s="22" t="s">
        <v>215</v>
      </c>
      <c r="H12" s="23" t="s">
        <v>216</v>
      </c>
      <c r="I12" s="27" t="s">
        <v>217</v>
      </c>
      <c r="J12" s="28" t="s">
        <v>266</v>
      </c>
    </row>
    <row r="13" spans="1:10" x14ac:dyDescent="0.25">
      <c r="H13" s="23" t="s">
        <v>218</v>
      </c>
      <c r="I13" s="27" t="s">
        <v>217</v>
      </c>
      <c r="J13" s="29" t="s">
        <v>267</v>
      </c>
    </row>
    <row r="14" spans="1:10" x14ac:dyDescent="0.25">
      <c r="H14" s="23" t="s">
        <v>219</v>
      </c>
      <c r="I14" s="27" t="s">
        <v>217</v>
      </c>
      <c r="J14" s="22" t="s">
        <v>220</v>
      </c>
    </row>
    <row r="15" spans="1:10" x14ac:dyDescent="0.25">
      <c r="A15" s="22" t="s">
        <v>221</v>
      </c>
      <c r="B15" s="28" t="s">
        <v>222</v>
      </c>
      <c r="C15" s="28"/>
      <c r="I15" s="27"/>
    </row>
    <row r="16" spans="1:10" ht="16.5" thickBot="1" x14ac:dyDescent="0.3"/>
    <row r="17" spans="1:18" ht="26.25" customHeight="1" x14ac:dyDescent="0.25">
      <c r="A17" s="30" t="s">
        <v>223</v>
      </c>
      <c r="B17" s="31" t="s">
        <v>224</v>
      </c>
      <c r="C17" s="31" t="s">
        <v>225</v>
      </c>
      <c r="D17" s="31" t="s">
        <v>226</v>
      </c>
      <c r="E17" s="31" t="s">
        <v>227</v>
      </c>
      <c r="F17" s="32" t="s">
        <v>228</v>
      </c>
      <c r="G17" s="32" t="s">
        <v>229</v>
      </c>
      <c r="H17" s="136" t="s">
        <v>230</v>
      </c>
      <c r="I17" s="137"/>
      <c r="J17" s="33" t="s">
        <v>231</v>
      </c>
    </row>
    <row r="18" spans="1:18" ht="61.5" customHeight="1" x14ac:dyDescent="0.25">
      <c r="A18" s="34">
        <v>1</v>
      </c>
      <c r="B18" s="35">
        <v>44384</v>
      </c>
      <c r="C18" s="36" t="s">
        <v>250</v>
      </c>
      <c r="D18" s="37" t="s">
        <v>232</v>
      </c>
      <c r="E18" s="37" t="s">
        <v>233</v>
      </c>
      <c r="F18" s="38">
        <v>8</v>
      </c>
      <c r="G18" s="39">
        <v>93</v>
      </c>
      <c r="H18" s="131">
        <v>7000</v>
      </c>
      <c r="I18" s="132"/>
      <c r="J18" s="40">
        <f>G18*H18</f>
        <v>651000</v>
      </c>
      <c r="L18"/>
    </row>
    <row r="19" spans="1:18" ht="61.5" customHeight="1" x14ac:dyDescent="0.25">
      <c r="A19" s="34">
        <f>A18+1</f>
        <v>2</v>
      </c>
      <c r="B19" s="35">
        <v>44385</v>
      </c>
      <c r="C19" s="36" t="s">
        <v>251</v>
      </c>
      <c r="D19" s="37" t="s">
        <v>232</v>
      </c>
      <c r="E19" s="37" t="s">
        <v>233</v>
      </c>
      <c r="F19" s="38">
        <v>16</v>
      </c>
      <c r="G19" s="38">
        <v>248</v>
      </c>
      <c r="H19" s="131">
        <v>7000</v>
      </c>
      <c r="I19" s="132"/>
      <c r="J19" s="40">
        <f>G19*H19</f>
        <v>1736000</v>
      </c>
      <c r="L19"/>
    </row>
    <row r="20" spans="1:18" ht="61.5" customHeight="1" x14ac:dyDescent="0.25">
      <c r="A20" s="34">
        <f t="shared" ref="A20:A27" si="0">A19+1</f>
        <v>3</v>
      </c>
      <c r="B20" s="35">
        <v>44386</v>
      </c>
      <c r="C20" s="36" t="s">
        <v>252</v>
      </c>
      <c r="D20" s="37" t="s">
        <v>232</v>
      </c>
      <c r="E20" s="37" t="s">
        <v>233</v>
      </c>
      <c r="F20" s="38">
        <v>28</v>
      </c>
      <c r="G20" s="39">
        <v>475</v>
      </c>
      <c r="H20" s="131">
        <v>7000</v>
      </c>
      <c r="I20" s="132"/>
      <c r="J20" s="40">
        <f t="shared" ref="J20:J24" si="1">G20*H20</f>
        <v>3325000</v>
      </c>
      <c r="L20"/>
    </row>
    <row r="21" spans="1:18" ht="61.5" customHeight="1" x14ac:dyDescent="0.25">
      <c r="A21" s="34">
        <f t="shared" si="0"/>
        <v>4</v>
      </c>
      <c r="B21" s="35">
        <v>44387</v>
      </c>
      <c r="C21" s="36" t="s">
        <v>253</v>
      </c>
      <c r="D21" s="37" t="s">
        <v>232</v>
      </c>
      <c r="E21" s="37" t="s">
        <v>233</v>
      </c>
      <c r="F21" s="38">
        <v>27</v>
      </c>
      <c r="G21" s="39">
        <v>586</v>
      </c>
      <c r="H21" s="131">
        <v>7000</v>
      </c>
      <c r="I21" s="132"/>
      <c r="J21" s="40">
        <f t="shared" ref="J21:J23" si="2">G21*H21</f>
        <v>4102000</v>
      </c>
      <c r="L21"/>
    </row>
    <row r="22" spans="1:18" ht="61.5" customHeight="1" x14ac:dyDescent="0.25">
      <c r="A22" s="34">
        <f t="shared" si="0"/>
        <v>5</v>
      </c>
      <c r="B22" s="35">
        <v>44388</v>
      </c>
      <c r="C22" s="36" t="s">
        <v>254</v>
      </c>
      <c r="D22" s="37" t="s">
        <v>232</v>
      </c>
      <c r="E22" s="37" t="s">
        <v>233</v>
      </c>
      <c r="F22" s="38">
        <v>17</v>
      </c>
      <c r="G22" s="39">
        <v>359</v>
      </c>
      <c r="H22" s="131">
        <v>7000</v>
      </c>
      <c r="I22" s="132"/>
      <c r="J22" s="40">
        <f t="shared" si="2"/>
        <v>2513000</v>
      </c>
      <c r="L22"/>
    </row>
    <row r="23" spans="1:18" ht="61.5" customHeight="1" x14ac:dyDescent="0.25">
      <c r="A23" s="34">
        <f t="shared" si="0"/>
        <v>6</v>
      </c>
      <c r="B23" s="35">
        <v>44389</v>
      </c>
      <c r="C23" s="36" t="s">
        <v>255</v>
      </c>
      <c r="D23" s="37" t="s">
        <v>232</v>
      </c>
      <c r="E23" s="37" t="s">
        <v>233</v>
      </c>
      <c r="F23" s="38">
        <v>9</v>
      </c>
      <c r="G23" s="39">
        <v>209</v>
      </c>
      <c r="H23" s="131">
        <v>7000</v>
      </c>
      <c r="I23" s="132"/>
      <c r="J23" s="40">
        <f t="shared" si="2"/>
        <v>1463000</v>
      </c>
      <c r="L23"/>
    </row>
    <row r="24" spans="1:18" ht="61.5" customHeight="1" x14ac:dyDescent="0.25">
      <c r="A24" s="34">
        <f t="shared" si="0"/>
        <v>7</v>
      </c>
      <c r="B24" s="35">
        <v>44390</v>
      </c>
      <c r="C24" s="36" t="s">
        <v>256</v>
      </c>
      <c r="D24" s="37" t="s">
        <v>232</v>
      </c>
      <c r="E24" s="37" t="s">
        <v>233</v>
      </c>
      <c r="F24" s="38">
        <v>14</v>
      </c>
      <c r="G24" s="39">
        <v>212</v>
      </c>
      <c r="H24" s="131">
        <v>7000</v>
      </c>
      <c r="I24" s="132"/>
      <c r="J24" s="40">
        <f t="shared" si="1"/>
        <v>1484000</v>
      </c>
      <c r="L24"/>
    </row>
    <row r="25" spans="1:18" ht="61.5" customHeight="1" x14ac:dyDescent="0.25">
      <c r="A25" s="34">
        <f t="shared" si="0"/>
        <v>8</v>
      </c>
      <c r="B25" s="35">
        <v>44391</v>
      </c>
      <c r="C25" s="36" t="s">
        <v>257</v>
      </c>
      <c r="D25" s="37" t="s">
        <v>232</v>
      </c>
      <c r="E25" s="37" t="s">
        <v>233</v>
      </c>
      <c r="F25" s="38">
        <v>10</v>
      </c>
      <c r="G25" s="39">
        <v>167</v>
      </c>
      <c r="H25" s="131">
        <v>7000</v>
      </c>
      <c r="I25" s="132"/>
      <c r="J25" s="40">
        <f t="shared" ref="J25:J27" si="3">G25*H25</f>
        <v>1169000</v>
      </c>
      <c r="L25"/>
    </row>
    <row r="26" spans="1:18" ht="55.5" customHeight="1" x14ac:dyDescent="0.25">
      <c r="A26" s="34">
        <f t="shared" si="0"/>
        <v>9</v>
      </c>
      <c r="B26" s="35">
        <v>44392</v>
      </c>
      <c r="C26" s="36" t="s">
        <v>258</v>
      </c>
      <c r="D26" s="37" t="s">
        <v>232</v>
      </c>
      <c r="E26" s="37" t="s">
        <v>233</v>
      </c>
      <c r="F26" s="38">
        <v>25</v>
      </c>
      <c r="G26" s="39">
        <v>512</v>
      </c>
      <c r="H26" s="131">
        <v>7000</v>
      </c>
      <c r="I26" s="132"/>
      <c r="J26" s="40">
        <f t="shared" si="3"/>
        <v>3584000</v>
      </c>
      <c r="L26"/>
    </row>
    <row r="27" spans="1:18" ht="61.5" customHeight="1" x14ac:dyDescent="0.25">
      <c r="A27" s="34">
        <f t="shared" si="0"/>
        <v>10</v>
      </c>
      <c r="B27" s="35">
        <v>44393</v>
      </c>
      <c r="C27" s="36" t="s">
        <v>259</v>
      </c>
      <c r="D27" s="37" t="s">
        <v>232</v>
      </c>
      <c r="E27" s="37" t="s">
        <v>233</v>
      </c>
      <c r="F27" s="38">
        <v>14</v>
      </c>
      <c r="G27" s="39">
        <v>219</v>
      </c>
      <c r="H27" s="131">
        <v>7000</v>
      </c>
      <c r="I27" s="132"/>
      <c r="J27" s="40">
        <f t="shared" si="3"/>
        <v>1533000</v>
      </c>
      <c r="L27"/>
    </row>
    <row r="28" spans="1:18" ht="32.25" customHeight="1" thickBot="1" x14ac:dyDescent="0.3">
      <c r="A28" s="138" t="s">
        <v>234</v>
      </c>
      <c r="B28" s="139"/>
      <c r="C28" s="139"/>
      <c r="D28" s="139"/>
      <c r="E28" s="139"/>
      <c r="F28" s="139"/>
      <c r="G28" s="139"/>
      <c r="H28" s="139"/>
      <c r="I28" s="140"/>
      <c r="J28" s="41">
        <f>SUM(J18:J27)</f>
        <v>21560000</v>
      </c>
    </row>
    <row r="29" spans="1:18" x14ac:dyDescent="0.25">
      <c r="A29" s="141"/>
      <c r="B29" s="141"/>
      <c r="C29" s="42"/>
      <c r="D29" s="42"/>
      <c r="E29" s="42"/>
      <c r="F29" s="42"/>
      <c r="G29" s="42"/>
      <c r="H29" s="43"/>
      <c r="I29" s="43"/>
      <c r="J29" s="44"/>
    </row>
    <row r="30" spans="1:18" x14ac:dyDescent="0.25">
      <c r="A30" s="42"/>
      <c r="B30" s="42"/>
      <c r="C30" s="42"/>
      <c r="D30" s="42"/>
      <c r="E30" s="42"/>
      <c r="F30" s="42"/>
      <c r="G30" s="42"/>
      <c r="H30" s="45" t="s">
        <v>235</v>
      </c>
      <c r="I30" s="46" t="e">
        <f>#REF!*1%</f>
        <v>#REF!</v>
      </c>
      <c r="J30" s="44">
        <f>J28*1%</f>
        <v>215600</v>
      </c>
    </row>
    <row r="31" spans="1:18" x14ac:dyDescent="0.25">
      <c r="A31" s="42"/>
      <c r="B31" s="42"/>
      <c r="C31" s="42"/>
      <c r="D31" s="42"/>
      <c r="E31" s="42"/>
      <c r="F31" s="42"/>
      <c r="G31" s="42"/>
      <c r="H31" s="45" t="s">
        <v>236</v>
      </c>
      <c r="I31" s="44">
        <f>I29*10%</f>
        <v>0</v>
      </c>
      <c r="J31" s="44">
        <v>0</v>
      </c>
    </row>
    <row r="32" spans="1:18" ht="16.5" thickBot="1" x14ac:dyDescent="0.3">
      <c r="E32" s="21"/>
      <c r="F32" s="21"/>
      <c r="G32" s="21"/>
      <c r="H32" s="47" t="s">
        <v>237</v>
      </c>
      <c r="I32" s="48">
        <v>0</v>
      </c>
      <c r="J32" s="48">
        <v>0</v>
      </c>
      <c r="R32" s="22" t="s">
        <v>206</v>
      </c>
    </row>
    <row r="33" spans="1:10" x14ac:dyDescent="0.25">
      <c r="E33" s="21"/>
      <c r="F33" s="21"/>
      <c r="G33" s="21"/>
      <c r="H33" s="49" t="s">
        <v>238</v>
      </c>
      <c r="I33" s="50" t="e">
        <f>I28+I30</f>
        <v>#REF!</v>
      </c>
      <c r="J33" s="50">
        <f>J28+J30</f>
        <v>21775600</v>
      </c>
    </row>
    <row r="34" spans="1:10" x14ac:dyDescent="0.25">
      <c r="E34" s="21"/>
      <c r="F34" s="21"/>
      <c r="G34" s="21"/>
      <c r="H34" s="49"/>
      <c r="I34" s="50"/>
      <c r="J34" s="50"/>
    </row>
    <row r="35" spans="1:10" x14ac:dyDescent="0.25">
      <c r="A35" s="21" t="s">
        <v>268</v>
      </c>
      <c r="D35" s="21"/>
      <c r="E35" s="21"/>
      <c r="F35" s="21"/>
      <c r="G35" s="21"/>
      <c r="H35" s="49"/>
      <c r="I35" s="49"/>
      <c r="J35" s="50"/>
    </row>
    <row r="36" spans="1:10" x14ac:dyDescent="0.25">
      <c r="A36" s="51"/>
      <c r="D36" s="21"/>
      <c r="E36" s="21"/>
      <c r="F36" s="21"/>
      <c r="G36" s="21"/>
      <c r="H36" s="49"/>
      <c r="I36" s="49"/>
      <c r="J36" s="50"/>
    </row>
    <row r="37" spans="1:10" x14ac:dyDescent="0.25">
      <c r="D37" s="21"/>
      <c r="E37" s="21"/>
      <c r="F37" s="21"/>
      <c r="G37" s="21"/>
      <c r="H37" s="49"/>
      <c r="I37" s="49"/>
      <c r="J37" s="50"/>
    </row>
    <row r="38" spans="1:10" x14ac:dyDescent="0.25">
      <c r="A38" s="52" t="s">
        <v>239</v>
      </c>
    </row>
    <row r="39" spans="1:10" x14ac:dyDescent="0.25">
      <c r="A39" s="53" t="s">
        <v>240</v>
      </c>
      <c r="B39" s="54"/>
      <c r="C39" s="54"/>
      <c r="D39" s="55"/>
      <c r="E39" s="55"/>
      <c r="F39" s="55"/>
      <c r="G39" s="55"/>
    </row>
    <row r="40" spans="1:10" x14ac:dyDescent="0.25">
      <c r="A40" s="53" t="s">
        <v>241</v>
      </c>
      <c r="B40" s="54"/>
      <c r="C40" s="54"/>
      <c r="D40" s="55"/>
      <c r="E40" s="55"/>
      <c r="F40" s="55"/>
      <c r="G40" s="55"/>
    </row>
    <row r="41" spans="1:10" x14ac:dyDescent="0.25">
      <c r="A41" s="56" t="s">
        <v>242</v>
      </c>
      <c r="B41" s="57"/>
      <c r="C41" s="57"/>
      <c r="D41" s="55"/>
      <c r="E41" s="55"/>
      <c r="F41" s="55"/>
      <c r="G41" s="55"/>
    </row>
    <row r="42" spans="1:10" x14ac:dyDescent="0.25">
      <c r="A42" s="58" t="s">
        <v>207</v>
      </c>
      <c r="B42" s="59"/>
      <c r="C42" s="59"/>
      <c r="D42" s="55"/>
      <c r="E42" s="55"/>
      <c r="F42" s="55"/>
      <c r="G42" s="55"/>
    </row>
    <row r="43" spans="1:10" x14ac:dyDescent="0.25">
      <c r="A43" s="60"/>
      <c r="B43" s="60"/>
      <c r="C43" s="60"/>
    </row>
    <row r="44" spans="1:10" x14ac:dyDescent="0.25">
      <c r="H44" s="61" t="s">
        <v>243</v>
      </c>
      <c r="I44" s="128" t="str">
        <f>+J13</f>
        <v xml:space="preserve"> 23 Juli 2021</v>
      </c>
      <c r="J44" s="129"/>
    </row>
    <row r="48" spans="1:10" ht="18" customHeight="1" x14ac:dyDescent="0.25"/>
    <row r="49" spans="8:10" ht="17.25" customHeight="1" x14ac:dyDescent="0.25"/>
    <row r="51" spans="8:10" x14ac:dyDescent="0.25">
      <c r="H51" s="130" t="s">
        <v>244</v>
      </c>
      <c r="I51" s="130"/>
      <c r="J51" s="130"/>
    </row>
  </sheetData>
  <mergeCells count="16">
    <mergeCell ref="I44:J44"/>
    <mergeCell ref="H51:J51"/>
    <mergeCell ref="H24:I24"/>
    <mergeCell ref="A10:J10"/>
    <mergeCell ref="H17:I17"/>
    <mergeCell ref="H18:I18"/>
    <mergeCell ref="H19:I19"/>
    <mergeCell ref="H20:I20"/>
    <mergeCell ref="H21:I21"/>
    <mergeCell ref="H22:I22"/>
    <mergeCell ref="H23:I23"/>
    <mergeCell ref="H25:I25"/>
    <mergeCell ref="H26:I26"/>
    <mergeCell ref="H27:I27"/>
    <mergeCell ref="A28:I28"/>
    <mergeCell ref="A29:B2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110" zoomScaleNormal="110" workbookViewId="0">
      <selection activeCell="N9" sqref="N9"/>
    </sheetView>
  </sheetViews>
  <sheetFormatPr defaultRowHeight="15" x14ac:dyDescent="0.2"/>
  <cols>
    <col min="1" max="1" width="8" style="4" customWidth="1"/>
    <col min="2" max="2" width="18.7109375" style="2" customWidth="1"/>
    <col min="3" max="3" width="15" style="2" customWidth="1"/>
    <col min="4" max="4" width="12" style="3" customWidth="1"/>
    <col min="5" max="5" width="8" style="12" customWidth="1"/>
    <col min="6" max="6" width="9.42578125" style="3" customWidth="1"/>
    <col min="7" max="7" width="9.5703125" style="3" customWidth="1"/>
    <col min="8" max="8" width="14.140625" style="6" customWidth="1"/>
    <col min="9" max="11" width="3.7109375" style="3" customWidth="1"/>
    <col min="12" max="12" width="5.140625" style="3" customWidth="1"/>
    <col min="13" max="13" width="8.5703125" style="3" customWidth="1"/>
    <col min="14" max="14" width="12.7109375" style="19" customWidth="1"/>
    <col min="15" max="15" width="9.28515625" style="19" customWidth="1"/>
    <col min="16" max="16" width="13.7109375" style="19" customWidth="1"/>
    <col min="17" max="16384" width="9.140625" style="4"/>
  </cols>
  <sheetData>
    <row r="1" spans="1:16" x14ac:dyDescent="0.2">
      <c r="H1" s="5"/>
    </row>
    <row r="2" spans="1:16" ht="25.5" x14ac:dyDescent="0.2">
      <c r="A2" s="95" t="s">
        <v>260</v>
      </c>
      <c r="B2" s="74" t="s">
        <v>128</v>
      </c>
      <c r="C2" s="74" t="s">
        <v>0</v>
      </c>
      <c r="D2" s="74" t="s">
        <v>1</v>
      </c>
      <c r="E2" s="96" t="s">
        <v>6</v>
      </c>
      <c r="F2" s="74" t="s">
        <v>4</v>
      </c>
      <c r="G2" s="74" t="s">
        <v>7</v>
      </c>
      <c r="H2" s="96" t="s">
        <v>2</v>
      </c>
      <c r="I2" s="74" t="s">
        <v>245</v>
      </c>
      <c r="J2" s="74" t="s">
        <v>246</v>
      </c>
      <c r="K2" s="74" t="s">
        <v>247</v>
      </c>
      <c r="L2" s="74" t="s">
        <v>261</v>
      </c>
      <c r="M2" s="74" t="s">
        <v>265</v>
      </c>
      <c r="N2" s="74" t="s">
        <v>17</v>
      </c>
      <c r="O2" s="74" t="s">
        <v>263</v>
      </c>
      <c r="P2" s="74" t="s">
        <v>264</v>
      </c>
    </row>
    <row r="3" spans="1:16" ht="25.5" customHeight="1" x14ac:dyDescent="0.2">
      <c r="A3" s="142" t="s">
        <v>258</v>
      </c>
      <c r="B3" s="124" t="s">
        <v>159</v>
      </c>
      <c r="C3" s="119" t="s">
        <v>162</v>
      </c>
      <c r="D3" s="1" t="s">
        <v>3</v>
      </c>
      <c r="E3" s="120">
        <v>44392</v>
      </c>
      <c r="F3" s="9" t="s">
        <v>148</v>
      </c>
      <c r="G3" s="1" t="s">
        <v>147</v>
      </c>
      <c r="H3" s="10" t="s">
        <v>204</v>
      </c>
      <c r="I3" s="14">
        <v>52</v>
      </c>
      <c r="J3" s="14">
        <v>49</v>
      </c>
      <c r="K3" s="14">
        <v>26</v>
      </c>
      <c r="L3" s="14">
        <v>11</v>
      </c>
      <c r="M3" s="1">
        <f>Table2245678910[[#This Row],[P]]*Table2245678910[[#This Row],[L]]*Table2245678910[[#This Row],[T]]/4000</f>
        <v>16.562000000000001</v>
      </c>
      <c r="N3" s="94">
        <v>17</v>
      </c>
      <c r="O3" s="76">
        <v>7000</v>
      </c>
      <c r="P3" s="125">
        <f>Table2245678910[[#This Row],[PEMBULATAN]]*O3</f>
        <v>119000</v>
      </c>
    </row>
    <row r="4" spans="1:16" ht="25.5" customHeight="1" x14ac:dyDescent="0.2">
      <c r="A4" s="142"/>
      <c r="B4" s="126"/>
      <c r="C4" s="119" t="s">
        <v>163</v>
      </c>
      <c r="D4" s="1" t="s">
        <v>3</v>
      </c>
      <c r="E4" s="120">
        <v>44392</v>
      </c>
      <c r="F4" s="9" t="s">
        <v>148</v>
      </c>
      <c r="G4" s="1" t="s">
        <v>147</v>
      </c>
      <c r="H4" s="10" t="s">
        <v>204</v>
      </c>
      <c r="I4" s="14">
        <v>45</v>
      </c>
      <c r="J4" s="14">
        <v>26</v>
      </c>
      <c r="K4" s="14">
        <v>32</v>
      </c>
      <c r="L4" s="14">
        <v>13</v>
      </c>
      <c r="M4" s="1">
        <f>Table2245678910[[#This Row],[P]]*Table2245678910[[#This Row],[L]]*Table2245678910[[#This Row],[T]]/4000</f>
        <v>9.36</v>
      </c>
      <c r="N4" s="94">
        <v>13</v>
      </c>
      <c r="O4" s="76">
        <v>7000</v>
      </c>
      <c r="P4" s="125">
        <f>Table2245678910[[#This Row],[PEMBULATAN]]*O4</f>
        <v>91000</v>
      </c>
    </row>
    <row r="5" spans="1:16" ht="25.5" customHeight="1" x14ac:dyDescent="0.2">
      <c r="A5" s="17"/>
      <c r="B5" s="126"/>
      <c r="C5" s="119" t="s">
        <v>164</v>
      </c>
      <c r="D5" s="1" t="s">
        <v>3</v>
      </c>
      <c r="E5" s="120">
        <v>44392</v>
      </c>
      <c r="F5" s="9" t="s">
        <v>148</v>
      </c>
      <c r="G5" s="1" t="s">
        <v>147</v>
      </c>
      <c r="H5" s="10" t="s">
        <v>204</v>
      </c>
      <c r="I5" s="14">
        <v>40</v>
      </c>
      <c r="J5" s="14">
        <v>23</v>
      </c>
      <c r="K5" s="14">
        <v>20</v>
      </c>
      <c r="L5" s="14">
        <v>7</v>
      </c>
      <c r="M5" s="1">
        <f>Table2245678910[[#This Row],[P]]*Table2245678910[[#This Row],[L]]*Table2245678910[[#This Row],[T]]/4000</f>
        <v>4.5999999999999996</v>
      </c>
      <c r="N5" s="94">
        <v>7</v>
      </c>
      <c r="O5" s="76">
        <v>7000</v>
      </c>
      <c r="P5" s="125">
        <f>Table2245678910[[#This Row],[PEMBULATAN]]*O5</f>
        <v>49000</v>
      </c>
    </row>
    <row r="6" spans="1:16" ht="25.5" customHeight="1" x14ac:dyDescent="0.2">
      <c r="A6" s="17"/>
      <c r="B6" s="127"/>
      <c r="C6" s="119" t="s">
        <v>165</v>
      </c>
      <c r="D6" s="1" t="s">
        <v>3</v>
      </c>
      <c r="E6" s="120">
        <v>44392</v>
      </c>
      <c r="F6" s="9" t="s">
        <v>148</v>
      </c>
      <c r="G6" s="1" t="s">
        <v>147</v>
      </c>
      <c r="H6" s="10" t="s">
        <v>204</v>
      </c>
      <c r="I6" s="14">
        <v>34</v>
      </c>
      <c r="J6" s="14">
        <v>21</v>
      </c>
      <c r="K6" s="14">
        <v>14</v>
      </c>
      <c r="L6" s="14">
        <v>5</v>
      </c>
      <c r="M6" s="1">
        <f>Table2245678910[[#This Row],[P]]*Table2245678910[[#This Row],[L]]*Table2245678910[[#This Row],[T]]/4000</f>
        <v>2.4990000000000001</v>
      </c>
      <c r="N6" s="94">
        <v>5</v>
      </c>
      <c r="O6" s="76">
        <v>7000</v>
      </c>
      <c r="P6" s="125">
        <f>Table2245678910[[#This Row],[PEMBULATAN]]*O6</f>
        <v>35000</v>
      </c>
    </row>
    <row r="7" spans="1:16" ht="25.5" customHeight="1" x14ac:dyDescent="0.2">
      <c r="A7" s="17"/>
      <c r="B7" s="124" t="s">
        <v>160</v>
      </c>
      <c r="C7" s="119" t="s">
        <v>166</v>
      </c>
      <c r="D7" s="1" t="s">
        <v>3</v>
      </c>
      <c r="E7" s="120">
        <v>44392</v>
      </c>
      <c r="F7" s="9" t="s">
        <v>148</v>
      </c>
      <c r="G7" s="1" t="s">
        <v>147</v>
      </c>
      <c r="H7" s="10" t="s">
        <v>204</v>
      </c>
      <c r="I7" s="14">
        <v>55</v>
      </c>
      <c r="J7" s="14">
        <v>50</v>
      </c>
      <c r="K7" s="14">
        <v>38</v>
      </c>
      <c r="L7" s="14">
        <v>24</v>
      </c>
      <c r="M7" s="1">
        <f>Table2245678910[[#This Row],[P]]*Table2245678910[[#This Row],[L]]*Table2245678910[[#This Row],[T]]/4000</f>
        <v>26.125</v>
      </c>
      <c r="N7" s="94">
        <v>26</v>
      </c>
      <c r="O7" s="76">
        <v>7000</v>
      </c>
      <c r="P7" s="125">
        <f>Table2245678910[[#This Row],[PEMBULATAN]]*O7</f>
        <v>182000</v>
      </c>
    </row>
    <row r="8" spans="1:16" ht="25.5" customHeight="1" x14ac:dyDescent="0.2">
      <c r="A8" s="17"/>
      <c r="B8" s="127"/>
      <c r="C8" s="119" t="s">
        <v>167</v>
      </c>
      <c r="D8" s="1" t="s">
        <v>3</v>
      </c>
      <c r="E8" s="120">
        <v>44392</v>
      </c>
      <c r="F8" s="9" t="s">
        <v>148</v>
      </c>
      <c r="G8" s="1" t="s">
        <v>147</v>
      </c>
      <c r="H8" s="10" t="s">
        <v>204</v>
      </c>
      <c r="I8" s="14">
        <v>35</v>
      </c>
      <c r="J8" s="14">
        <v>24</v>
      </c>
      <c r="K8" s="14">
        <v>26</v>
      </c>
      <c r="L8" s="14">
        <v>9</v>
      </c>
      <c r="M8" s="1">
        <f>Table2245678910[[#This Row],[P]]*Table2245678910[[#This Row],[L]]*Table2245678910[[#This Row],[T]]/4000</f>
        <v>5.46</v>
      </c>
      <c r="N8" s="94">
        <v>9</v>
      </c>
      <c r="O8" s="76">
        <v>7000</v>
      </c>
      <c r="P8" s="125">
        <f>Table2245678910[[#This Row],[PEMBULATAN]]*O8</f>
        <v>63000</v>
      </c>
    </row>
    <row r="9" spans="1:16" ht="25.5" customHeight="1" x14ac:dyDescent="0.2">
      <c r="A9" s="17"/>
      <c r="B9" s="124" t="s">
        <v>161</v>
      </c>
      <c r="C9" s="119" t="s">
        <v>168</v>
      </c>
      <c r="D9" s="1" t="s">
        <v>3</v>
      </c>
      <c r="E9" s="120">
        <v>44392</v>
      </c>
      <c r="F9" s="9" t="s">
        <v>148</v>
      </c>
      <c r="G9" s="1" t="s">
        <v>147</v>
      </c>
      <c r="H9" s="10" t="s">
        <v>204</v>
      </c>
      <c r="I9" s="14">
        <v>95</v>
      </c>
      <c r="J9" s="14">
        <v>31</v>
      </c>
      <c r="K9" s="14">
        <v>49</v>
      </c>
      <c r="L9" s="14">
        <v>20</v>
      </c>
      <c r="M9" s="1">
        <f>Table2245678910[[#This Row],[P]]*Table2245678910[[#This Row],[L]]*Table2245678910[[#This Row],[T]]/4000</f>
        <v>36.076250000000002</v>
      </c>
      <c r="N9" s="94">
        <v>36</v>
      </c>
      <c r="O9" s="76">
        <v>7000</v>
      </c>
      <c r="P9" s="125">
        <f>Table2245678910[[#This Row],[PEMBULATAN]]*O9</f>
        <v>252000</v>
      </c>
    </row>
    <row r="10" spans="1:16" ht="25.5" customHeight="1" x14ac:dyDescent="0.2">
      <c r="A10" s="17"/>
      <c r="B10" s="126"/>
      <c r="C10" s="119" t="s">
        <v>169</v>
      </c>
      <c r="D10" s="1" t="s">
        <v>3</v>
      </c>
      <c r="E10" s="120">
        <v>44392</v>
      </c>
      <c r="F10" s="9" t="s">
        <v>148</v>
      </c>
      <c r="G10" s="1" t="s">
        <v>147</v>
      </c>
      <c r="H10" s="10" t="s">
        <v>204</v>
      </c>
      <c r="I10" s="14">
        <v>71</v>
      </c>
      <c r="J10" s="14">
        <v>42</v>
      </c>
      <c r="K10" s="14">
        <v>29</v>
      </c>
      <c r="L10" s="14">
        <v>14</v>
      </c>
      <c r="M10" s="1">
        <f>Table2245678910[[#This Row],[P]]*Table2245678910[[#This Row],[L]]*Table2245678910[[#This Row],[T]]/4000</f>
        <v>21.619499999999999</v>
      </c>
      <c r="N10" s="94">
        <v>22</v>
      </c>
      <c r="O10" s="76">
        <v>7000</v>
      </c>
      <c r="P10" s="125">
        <f>Table2245678910[[#This Row],[PEMBULATAN]]*O10</f>
        <v>154000</v>
      </c>
    </row>
    <row r="11" spans="1:16" ht="25.5" customHeight="1" x14ac:dyDescent="0.2">
      <c r="A11" s="17"/>
      <c r="B11" s="126"/>
      <c r="C11" s="119" t="s">
        <v>170</v>
      </c>
      <c r="D11" s="1" t="s">
        <v>3</v>
      </c>
      <c r="E11" s="120">
        <v>44392</v>
      </c>
      <c r="F11" s="9" t="s">
        <v>148</v>
      </c>
      <c r="G11" s="1" t="s">
        <v>147</v>
      </c>
      <c r="H11" s="10" t="s">
        <v>204</v>
      </c>
      <c r="I11" s="14">
        <v>30</v>
      </c>
      <c r="J11" s="14">
        <v>25</v>
      </c>
      <c r="K11" s="14">
        <v>14</v>
      </c>
      <c r="L11" s="14">
        <v>29</v>
      </c>
      <c r="M11" s="1">
        <f>Table2245678910[[#This Row],[P]]*Table2245678910[[#This Row],[L]]*Table2245678910[[#This Row],[T]]/4000</f>
        <v>2.625</v>
      </c>
      <c r="N11" s="94">
        <v>29</v>
      </c>
      <c r="O11" s="76">
        <v>7000</v>
      </c>
      <c r="P11" s="125">
        <f>Table2245678910[[#This Row],[PEMBULATAN]]*O11</f>
        <v>203000</v>
      </c>
    </row>
    <row r="12" spans="1:16" ht="25.5" customHeight="1" x14ac:dyDescent="0.2">
      <c r="A12" s="17"/>
      <c r="B12" s="126"/>
      <c r="C12" s="119" t="s">
        <v>171</v>
      </c>
      <c r="D12" s="1" t="s">
        <v>3</v>
      </c>
      <c r="E12" s="120">
        <v>44392</v>
      </c>
      <c r="F12" s="9" t="s">
        <v>148</v>
      </c>
      <c r="G12" s="1" t="s">
        <v>147</v>
      </c>
      <c r="H12" s="10" t="s">
        <v>204</v>
      </c>
      <c r="I12" s="14">
        <v>62</v>
      </c>
      <c r="J12" s="14">
        <v>30</v>
      </c>
      <c r="K12" s="14">
        <v>31</v>
      </c>
      <c r="L12" s="14">
        <v>8</v>
      </c>
      <c r="M12" s="1">
        <f>Table2245678910[[#This Row],[P]]*Table2245678910[[#This Row],[L]]*Table2245678910[[#This Row],[T]]/4000</f>
        <v>14.414999999999999</v>
      </c>
      <c r="N12" s="90">
        <v>15</v>
      </c>
      <c r="O12" s="76">
        <v>7000</v>
      </c>
      <c r="P12" s="125">
        <f>Table2245678910[[#This Row],[PEMBULATAN]]*O12</f>
        <v>105000</v>
      </c>
    </row>
    <row r="13" spans="1:16" ht="25.5" customHeight="1" x14ac:dyDescent="0.2">
      <c r="A13" s="17"/>
      <c r="B13" s="126"/>
      <c r="C13" s="119" t="s">
        <v>172</v>
      </c>
      <c r="D13" s="1" t="s">
        <v>3</v>
      </c>
      <c r="E13" s="120">
        <v>44392</v>
      </c>
      <c r="F13" s="9" t="s">
        <v>148</v>
      </c>
      <c r="G13" s="1" t="s">
        <v>147</v>
      </c>
      <c r="H13" s="10" t="s">
        <v>204</v>
      </c>
      <c r="I13" s="14">
        <v>39</v>
      </c>
      <c r="J13" s="14">
        <v>26</v>
      </c>
      <c r="K13" s="14">
        <v>21</v>
      </c>
      <c r="L13" s="14">
        <v>7</v>
      </c>
      <c r="M13" s="1">
        <f>Table2245678910[[#This Row],[P]]*Table2245678910[[#This Row],[L]]*Table2245678910[[#This Row],[T]]/4000</f>
        <v>5.3235000000000001</v>
      </c>
      <c r="N13" s="90">
        <v>7</v>
      </c>
      <c r="O13" s="76">
        <v>7000</v>
      </c>
      <c r="P13" s="125">
        <f>Table2245678910[[#This Row],[PEMBULATAN]]*O13</f>
        <v>49000</v>
      </c>
    </row>
    <row r="14" spans="1:16" ht="25.5" customHeight="1" x14ac:dyDescent="0.2">
      <c r="A14" s="17"/>
      <c r="B14" s="126"/>
      <c r="C14" s="119" t="s">
        <v>173</v>
      </c>
      <c r="D14" s="1" t="s">
        <v>3</v>
      </c>
      <c r="E14" s="120">
        <v>44392</v>
      </c>
      <c r="F14" s="9" t="s">
        <v>148</v>
      </c>
      <c r="G14" s="1" t="s">
        <v>147</v>
      </c>
      <c r="H14" s="10" t="s">
        <v>204</v>
      </c>
      <c r="I14" s="14">
        <v>44</v>
      </c>
      <c r="J14" s="14">
        <v>25</v>
      </c>
      <c r="K14" s="14">
        <v>44</v>
      </c>
      <c r="L14" s="14">
        <v>10</v>
      </c>
      <c r="M14" s="1">
        <f>Table2245678910[[#This Row],[P]]*Table2245678910[[#This Row],[L]]*Table2245678910[[#This Row],[T]]/4000</f>
        <v>12.1</v>
      </c>
      <c r="N14" s="90">
        <v>12</v>
      </c>
      <c r="O14" s="76">
        <v>7000</v>
      </c>
      <c r="P14" s="125">
        <f>Table2245678910[[#This Row],[PEMBULATAN]]*O14</f>
        <v>84000</v>
      </c>
    </row>
    <row r="15" spans="1:16" ht="25.5" customHeight="1" x14ac:dyDescent="0.2">
      <c r="A15" s="17"/>
      <c r="B15" s="126"/>
      <c r="C15" s="119" t="s">
        <v>174</v>
      </c>
      <c r="D15" s="1" t="s">
        <v>3</v>
      </c>
      <c r="E15" s="120">
        <v>44392</v>
      </c>
      <c r="F15" s="9" t="s">
        <v>148</v>
      </c>
      <c r="G15" s="1" t="s">
        <v>147</v>
      </c>
      <c r="H15" s="10" t="s">
        <v>204</v>
      </c>
      <c r="I15" s="14">
        <v>53</v>
      </c>
      <c r="J15" s="14">
        <v>35</v>
      </c>
      <c r="K15" s="14">
        <v>20</v>
      </c>
      <c r="L15" s="14">
        <v>5</v>
      </c>
      <c r="M15" s="1">
        <f>Table2245678910[[#This Row],[P]]*Table2245678910[[#This Row],[L]]*Table2245678910[[#This Row],[T]]/4000</f>
        <v>9.2750000000000004</v>
      </c>
      <c r="N15" s="90">
        <v>9</v>
      </c>
      <c r="O15" s="76">
        <v>7000</v>
      </c>
      <c r="P15" s="125">
        <f>Table2245678910[[#This Row],[PEMBULATAN]]*O15</f>
        <v>63000</v>
      </c>
    </row>
    <row r="16" spans="1:16" ht="25.5" customHeight="1" x14ac:dyDescent="0.2">
      <c r="A16" s="17"/>
      <c r="B16" s="126"/>
      <c r="C16" s="119" t="s">
        <v>175</v>
      </c>
      <c r="D16" s="1" t="s">
        <v>3</v>
      </c>
      <c r="E16" s="120">
        <v>44392</v>
      </c>
      <c r="F16" s="9" t="s">
        <v>148</v>
      </c>
      <c r="G16" s="1" t="s">
        <v>147</v>
      </c>
      <c r="H16" s="10" t="s">
        <v>204</v>
      </c>
      <c r="I16" s="14">
        <v>42</v>
      </c>
      <c r="J16" s="14">
        <v>32</v>
      </c>
      <c r="K16" s="14">
        <v>27</v>
      </c>
      <c r="L16" s="14">
        <v>11</v>
      </c>
      <c r="M16" s="1">
        <f>Table2245678910[[#This Row],[P]]*Table2245678910[[#This Row],[L]]*Table2245678910[[#This Row],[T]]/4000</f>
        <v>9.0719999999999992</v>
      </c>
      <c r="N16" s="90">
        <v>11</v>
      </c>
      <c r="O16" s="76">
        <v>7000</v>
      </c>
      <c r="P16" s="125">
        <f>Table2245678910[[#This Row],[PEMBULATAN]]*O16</f>
        <v>77000</v>
      </c>
    </row>
    <row r="17" spans="1:16" ht="25.5" customHeight="1" x14ac:dyDescent="0.2">
      <c r="A17" s="17"/>
      <c r="B17" s="126"/>
      <c r="C17" s="119" t="s">
        <v>176</v>
      </c>
      <c r="D17" s="1" t="s">
        <v>3</v>
      </c>
      <c r="E17" s="120">
        <v>44392</v>
      </c>
      <c r="F17" s="9" t="s">
        <v>148</v>
      </c>
      <c r="G17" s="1" t="s">
        <v>147</v>
      </c>
      <c r="H17" s="10" t="s">
        <v>204</v>
      </c>
      <c r="I17" s="14">
        <v>34</v>
      </c>
      <c r="J17" s="14">
        <v>29</v>
      </c>
      <c r="K17" s="14">
        <v>92</v>
      </c>
      <c r="L17" s="14">
        <v>22</v>
      </c>
      <c r="M17" s="1">
        <f>Table2245678910[[#This Row],[P]]*Table2245678910[[#This Row],[L]]*Table2245678910[[#This Row],[T]]/4000</f>
        <v>22.678000000000001</v>
      </c>
      <c r="N17" s="90">
        <v>23</v>
      </c>
      <c r="O17" s="76">
        <v>7000</v>
      </c>
      <c r="P17" s="125">
        <f>Table2245678910[[#This Row],[PEMBULATAN]]*O17</f>
        <v>161000</v>
      </c>
    </row>
    <row r="18" spans="1:16" ht="25.5" customHeight="1" x14ac:dyDescent="0.2">
      <c r="A18" s="17"/>
      <c r="B18" s="126"/>
      <c r="C18" s="119" t="s">
        <v>177</v>
      </c>
      <c r="D18" s="1" t="s">
        <v>3</v>
      </c>
      <c r="E18" s="120">
        <v>44392</v>
      </c>
      <c r="F18" s="9" t="s">
        <v>148</v>
      </c>
      <c r="G18" s="1" t="s">
        <v>147</v>
      </c>
      <c r="H18" s="10" t="s">
        <v>204</v>
      </c>
      <c r="I18" s="14">
        <v>84</v>
      </c>
      <c r="J18" s="14">
        <v>72</v>
      </c>
      <c r="K18" s="14">
        <v>23</v>
      </c>
      <c r="L18" s="14">
        <v>40</v>
      </c>
      <c r="M18" s="1">
        <f>Table2245678910[[#This Row],[P]]*Table2245678910[[#This Row],[L]]*Table2245678910[[#This Row],[T]]/4000</f>
        <v>34.776000000000003</v>
      </c>
      <c r="N18" s="90">
        <v>40</v>
      </c>
      <c r="O18" s="76">
        <v>7000</v>
      </c>
      <c r="P18" s="125">
        <f>Table2245678910[[#This Row],[PEMBULATAN]]*O18</f>
        <v>280000</v>
      </c>
    </row>
    <row r="19" spans="1:16" ht="25.5" customHeight="1" x14ac:dyDescent="0.2">
      <c r="A19" s="88"/>
      <c r="B19" s="126"/>
      <c r="C19" s="119" t="s">
        <v>178</v>
      </c>
      <c r="D19" s="1" t="s">
        <v>3</v>
      </c>
      <c r="E19" s="120">
        <v>44392</v>
      </c>
      <c r="F19" s="9" t="s">
        <v>148</v>
      </c>
      <c r="G19" s="1" t="s">
        <v>147</v>
      </c>
      <c r="H19" s="10" t="s">
        <v>204</v>
      </c>
      <c r="I19" s="14">
        <v>113</v>
      </c>
      <c r="J19" s="14">
        <v>22</v>
      </c>
      <c r="K19" s="14">
        <v>19</v>
      </c>
      <c r="L19" s="14">
        <v>17</v>
      </c>
      <c r="M19" s="1">
        <f>Table2245678910[[#This Row],[P]]*Table2245678910[[#This Row],[L]]*Table2245678910[[#This Row],[T]]/4000</f>
        <v>11.8085</v>
      </c>
      <c r="N19" s="90">
        <v>17</v>
      </c>
      <c r="O19" s="76">
        <v>7000</v>
      </c>
      <c r="P19" s="125">
        <f>Table2245678910[[#This Row],[PEMBULATAN]]*O19</f>
        <v>119000</v>
      </c>
    </row>
    <row r="20" spans="1:16" ht="25.5" customHeight="1" x14ac:dyDescent="0.2">
      <c r="A20" s="88"/>
      <c r="B20" s="126"/>
      <c r="C20" s="119" t="s">
        <v>179</v>
      </c>
      <c r="D20" s="1" t="s">
        <v>3</v>
      </c>
      <c r="E20" s="120">
        <v>44392</v>
      </c>
      <c r="F20" s="9" t="s">
        <v>148</v>
      </c>
      <c r="G20" s="1" t="s">
        <v>147</v>
      </c>
      <c r="H20" s="10" t="s">
        <v>204</v>
      </c>
      <c r="I20" s="14">
        <v>43</v>
      </c>
      <c r="J20" s="14">
        <v>27</v>
      </c>
      <c r="K20" s="14">
        <v>34</v>
      </c>
      <c r="L20" s="14">
        <v>17</v>
      </c>
      <c r="M20" s="1">
        <f>Table2245678910[[#This Row],[P]]*Table2245678910[[#This Row],[L]]*Table2245678910[[#This Row],[T]]/4000</f>
        <v>9.8684999999999992</v>
      </c>
      <c r="N20" s="90">
        <v>17</v>
      </c>
      <c r="O20" s="76">
        <v>7000</v>
      </c>
      <c r="P20" s="125">
        <f>Table2245678910[[#This Row],[PEMBULATAN]]*O20</f>
        <v>119000</v>
      </c>
    </row>
    <row r="21" spans="1:16" ht="25.5" customHeight="1" x14ac:dyDescent="0.2">
      <c r="A21" s="88"/>
      <c r="B21" s="126"/>
      <c r="C21" s="119" t="s">
        <v>180</v>
      </c>
      <c r="D21" s="1" t="s">
        <v>3</v>
      </c>
      <c r="E21" s="120">
        <v>44392</v>
      </c>
      <c r="F21" s="9" t="s">
        <v>148</v>
      </c>
      <c r="G21" s="1" t="s">
        <v>147</v>
      </c>
      <c r="H21" s="10" t="s">
        <v>204</v>
      </c>
      <c r="I21" s="14">
        <v>43</v>
      </c>
      <c r="J21" s="14">
        <v>38</v>
      </c>
      <c r="K21" s="14">
        <v>14</v>
      </c>
      <c r="L21" s="14">
        <v>6</v>
      </c>
      <c r="M21" s="1">
        <f>Table2245678910[[#This Row],[P]]*Table2245678910[[#This Row],[L]]*Table2245678910[[#This Row],[T]]/4000</f>
        <v>5.7190000000000003</v>
      </c>
      <c r="N21" s="90">
        <v>6</v>
      </c>
      <c r="O21" s="76">
        <v>7000</v>
      </c>
      <c r="P21" s="125">
        <f>Table2245678910[[#This Row],[PEMBULATAN]]*O21</f>
        <v>42000</v>
      </c>
    </row>
    <row r="22" spans="1:16" ht="25.5" customHeight="1" x14ac:dyDescent="0.2">
      <c r="A22" s="88"/>
      <c r="B22" s="126"/>
      <c r="C22" s="119" t="s">
        <v>181</v>
      </c>
      <c r="D22" s="1" t="s">
        <v>3</v>
      </c>
      <c r="E22" s="120">
        <v>44392</v>
      </c>
      <c r="F22" s="9" t="s">
        <v>148</v>
      </c>
      <c r="G22" s="1" t="s">
        <v>147</v>
      </c>
      <c r="H22" s="10" t="s">
        <v>204</v>
      </c>
      <c r="I22" s="14">
        <v>72</v>
      </c>
      <c r="J22" s="14">
        <v>52</v>
      </c>
      <c r="K22" s="14">
        <v>51</v>
      </c>
      <c r="L22" s="14">
        <v>34</v>
      </c>
      <c r="M22" s="1">
        <f>Table2245678910[[#This Row],[P]]*Table2245678910[[#This Row],[L]]*Table2245678910[[#This Row],[T]]/4000</f>
        <v>47.735999999999997</v>
      </c>
      <c r="N22" s="90">
        <v>48</v>
      </c>
      <c r="O22" s="76">
        <v>7000</v>
      </c>
      <c r="P22" s="125">
        <f>Table2245678910[[#This Row],[PEMBULATAN]]*O22</f>
        <v>336000</v>
      </c>
    </row>
    <row r="23" spans="1:16" ht="25.5" customHeight="1" x14ac:dyDescent="0.2">
      <c r="A23" s="88"/>
      <c r="B23" s="126"/>
      <c r="C23" s="119" t="s">
        <v>182</v>
      </c>
      <c r="D23" s="1" t="s">
        <v>3</v>
      </c>
      <c r="E23" s="120">
        <v>44392</v>
      </c>
      <c r="F23" s="9" t="s">
        <v>148</v>
      </c>
      <c r="G23" s="1" t="s">
        <v>147</v>
      </c>
      <c r="H23" s="10" t="s">
        <v>204</v>
      </c>
      <c r="I23" s="14">
        <v>80</v>
      </c>
      <c r="J23" s="14">
        <v>70</v>
      </c>
      <c r="K23" s="14">
        <v>25</v>
      </c>
      <c r="L23" s="14">
        <v>40</v>
      </c>
      <c r="M23" s="1">
        <f>Table2245678910[[#This Row],[P]]*Table2245678910[[#This Row],[L]]*Table2245678910[[#This Row],[T]]/4000</f>
        <v>35</v>
      </c>
      <c r="N23" s="90">
        <v>40</v>
      </c>
      <c r="O23" s="76">
        <v>7000</v>
      </c>
      <c r="P23" s="125">
        <f>Table2245678910[[#This Row],[PEMBULATAN]]*O23</f>
        <v>280000</v>
      </c>
    </row>
    <row r="24" spans="1:16" ht="25.5" customHeight="1" x14ac:dyDescent="0.2">
      <c r="A24" s="88"/>
      <c r="B24" s="126"/>
      <c r="C24" s="119" t="s">
        <v>183</v>
      </c>
      <c r="D24" s="1" t="s">
        <v>3</v>
      </c>
      <c r="E24" s="120">
        <v>44392</v>
      </c>
      <c r="F24" s="9" t="s">
        <v>148</v>
      </c>
      <c r="G24" s="1" t="s">
        <v>147</v>
      </c>
      <c r="H24" s="10" t="s">
        <v>204</v>
      </c>
      <c r="I24" s="14">
        <v>26</v>
      </c>
      <c r="J24" s="14">
        <v>36</v>
      </c>
      <c r="K24" s="14">
        <v>88</v>
      </c>
      <c r="L24" s="14">
        <v>25</v>
      </c>
      <c r="M24" s="1">
        <f>Table2245678910[[#This Row],[P]]*Table2245678910[[#This Row],[L]]*Table2245678910[[#This Row],[T]]/4000</f>
        <v>20.591999999999999</v>
      </c>
      <c r="N24" s="90">
        <v>25</v>
      </c>
      <c r="O24" s="76">
        <v>7000</v>
      </c>
      <c r="P24" s="125">
        <f>Table2245678910[[#This Row],[PEMBULATAN]]*O24</f>
        <v>175000</v>
      </c>
    </row>
    <row r="25" spans="1:16" ht="25.5" customHeight="1" x14ac:dyDescent="0.2">
      <c r="A25" s="88"/>
      <c r="B25" s="126"/>
      <c r="C25" s="119" t="s">
        <v>184</v>
      </c>
      <c r="D25" s="1" t="s">
        <v>3</v>
      </c>
      <c r="E25" s="120">
        <v>44392</v>
      </c>
      <c r="F25" s="9" t="s">
        <v>148</v>
      </c>
      <c r="G25" s="1" t="s">
        <v>147</v>
      </c>
      <c r="H25" s="10" t="s">
        <v>204</v>
      </c>
      <c r="I25" s="14">
        <v>92</v>
      </c>
      <c r="J25" s="14">
        <v>23</v>
      </c>
      <c r="K25" s="14">
        <v>58</v>
      </c>
      <c r="L25" s="14">
        <v>26</v>
      </c>
      <c r="M25" s="1">
        <f>Table2245678910[[#This Row],[P]]*Table2245678910[[#This Row],[L]]*Table2245678910[[#This Row],[T]]/4000</f>
        <v>30.681999999999999</v>
      </c>
      <c r="N25" s="90">
        <v>31</v>
      </c>
      <c r="O25" s="76">
        <v>7000</v>
      </c>
      <c r="P25" s="125">
        <f>Table2245678910[[#This Row],[PEMBULATAN]]*O25</f>
        <v>217000</v>
      </c>
    </row>
    <row r="26" spans="1:16" ht="25.5" customHeight="1" x14ac:dyDescent="0.2">
      <c r="A26" s="88"/>
      <c r="B26" s="126"/>
      <c r="C26" s="119" t="s">
        <v>185</v>
      </c>
      <c r="D26" s="1" t="s">
        <v>3</v>
      </c>
      <c r="E26" s="120">
        <v>44392</v>
      </c>
      <c r="F26" s="9" t="s">
        <v>148</v>
      </c>
      <c r="G26" s="1" t="s">
        <v>147</v>
      </c>
      <c r="H26" s="10" t="s">
        <v>204</v>
      </c>
      <c r="I26" s="14">
        <v>64</v>
      </c>
      <c r="J26" s="14">
        <v>22</v>
      </c>
      <c r="K26" s="14">
        <v>44</v>
      </c>
      <c r="L26" s="14">
        <v>13</v>
      </c>
      <c r="M26" s="1">
        <f>Table2245678910[[#This Row],[P]]*Table2245678910[[#This Row],[L]]*Table2245678910[[#This Row],[T]]/4000</f>
        <v>15.488</v>
      </c>
      <c r="N26" s="90">
        <v>16</v>
      </c>
      <c r="O26" s="76">
        <v>7000</v>
      </c>
      <c r="P26" s="125">
        <f>Table2245678910[[#This Row],[PEMBULATAN]]*O26</f>
        <v>112000</v>
      </c>
    </row>
    <row r="27" spans="1:16" ht="25.5" customHeight="1" x14ac:dyDescent="0.2">
      <c r="A27" s="89"/>
      <c r="B27" s="127"/>
      <c r="C27" s="119" t="s">
        <v>186</v>
      </c>
      <c r="D27" s="1" t="s">
        <v>3</v>
      </c>
      <c r="E27" s="120">
        <v>44392</v>
      </c>
      <c r="F27" s="9" t="s">
        <v>148</v>
      </c>
      <c r="G27" s="1" t="s">
        <v>147</v>
      </c>
      <c r="H27" s="10" t="s">
        <v>204</v>
      </c>
      <c r="I27" s="14">
        <v>40</v>
      </c>
      <c r="J27" s="14">
        <v>38</v>
      </c>
      <c r="K27" s="14">
        <v>82</v>
      </c>
      <c r="L27" s="14">
        <v>20</v>
      </c>
      <c r="M27" s="1">
        <f>Table2245678910[[#This Row],[P]]*Table2245678910[[#This Row],[L]]*Table2245678910[[#This Row],[T]]/4000</f>
        <v>31.16</v>
      </c>
      <c r="N27" s="90">
        <v>31</v>
      </c>
      <c r="O27" s="76">
        <v>7000</v>
      </c>
      <c r="P27" s="125">
        <f>Table2245678910[[#This Row],[PEMBULATAN]]*O27</f>
        <v>217000</v>
      </c>
    </row>
    <row r="28" spans="1:16" ht="22.5" customHeight="1" x14ac:dyDescent="0.2">
      <c r="A28" s="143" t="s">
        <v>234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5"/>
      <c r="M28" s="87">
        <f>SUBTOTAL(109,Table2245678910[KG
VOLUME])</f>
        <v>440.62025000000006</v>
      </c>
      <c r="N28" s="82">
        <f>SUBTOTAL(109,Table2245678910[PEMBULATAN])</f>
        <v>512</v>
      </c>
      <c r="O28" s="146">
        <f>SUM(P3:P27)</f>
        <v>3584000</v>
      </c>
      <c r="P28" s="147"/>
    </row>
    <row r="29" spans="1:16" x14ac:dyDescent="0.2">
      <c r="A29" s="11"/>
      <c r="H29" s="77"/>
      <c r="N29" s="75" t="s">
        <v>235</v>
      </c>
      <c r="O29" s="86"/>
      <c r="P29" s="86">
        <f>O28*1%</f>
        <v>35840</v>
      </c>
    </row>
    <row r="30" spans="1:16" x14ac:dyDescent="0.2">
      <c r="A30" s="11"/>
      <c r="B30" s="91"/>
      <c r="C30" s="92"/>
      <c r="D30" s="93"/>
      <c r="H30" s="77"/>
      <c r="N30" s="75" t="s">
        <v>236</v>
      </c>
      <c r="O30" s="86"/>
      <c r="P30" s="86">
        <v>0</v>
      </c>
    </row>
    <row r="31" spans="1:16" ht="15.75" thickBot="1" x14ac:dyDescent="0.25">
      <c r="A31" s="11"/>
      <c r="H31" s="77"/>
      <c r="N31" s="75" t="s">
        <v>237</v>
      </c>
      <c r="O31" s="86"/>
      <c r="P31" s="86">
        <v>0</v>
      </c>
    </row>
    <row r="32" spans="1:16" x14ac:dyDescent="0.2">
      <c r="A32" s="11"/>
      <c r="B32" s="91" t="s">
        <v>248</v>
      </c>
      <c r="C32" s="92"/>
      <c r="D32" s="93" t="s">
        <v>249</v>
      </c>
      <c r="H32" s="77"/>
      <c r="N32" s="80" t="s">
        <v>238</v>
      </c>
      <c r="O32" s="117"/>
      <c r="P32" s="117">
        <f>O28+P29</f>
        <v>3619840</v>
      </c>
    </row>
    <row r="33" spans="1:8" x14ac:dyDescent="0.2">
      <c r="A33" s="11"/>
      <c r="H33" s="77"/>
    </row>
    <row r="34" spans="1:8" x14ac:dyDescent="0.2">
      <c r="A34" s="11"/>
      <c r="H34" s="77"/>
    </row>
    <row r="35" spans="1:8" x14ac:dyDescent="0.2">
      <c r="A35" s="11"/>
      <c r="H35" s="77"/>
    </row>
  </sheetData>
  <mergeCells count="3">
    <mergeCell ref="A3:A4"/>
    <mergeCell ref="A28:L28"/>
    <mergeCell ref="O28:P28"/>
  </mergeCells>
  <printOptions horizontalCentered="1"/>
  <pageMargins left="0.31496062992125984" right="0.31496062992125984" top="0.39370078740157483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0" zoomScaleNormal="110" workbookViewId="0">
      <pane xSplit="3" ySplit="2" topLeftCell="D13" activePane="bottomRight" state="frozen"/>
      <selection pane="topRight" activeCell="B1" sqref="B1"/>
      <selection pane="bottomLeft" activeCell="A3" sqref="A3"/>
      <selection pane="bottomRight" activeCell="L28" sqref="L28"/>
    </sheetView>
  </sheetViews>
  <sheetFormatPr defaultRowHeight="15" x14ac:dyDescent="0.2"/>
  <cols>
    <col min="1" max="1" width="7.85546875" style="4" customWidth="1"/>
    <col min="2" max="2" width="19" style="2" customWidth="1"/>
    <col min="3" max="3" width="15.28515625" style="2" customWidth="1"/>
    <col min="4" max="4" width="8.85546875" style="3" customWidth="1"/>
    <col min="5" max="5" width="9.140625" style="12" customWidth="1"/>
    <col min="6" max="7" width="9.5703125" style="3" customWidth="1"/>
    <col min="8" max="8" width="13.85546875" style="6" customWidth="1"/>
    <col min="9" max="11" width="3.42578125" style="3" customWidth="1"/>
    <col min="12" max="12" width="4.85546875" style="3" customWidth="1"/>
    <col min="13" max="13" width="8.28515625" style="3" customWidth="1"/>
    <col min="14" max="14" width="6.5703125" style="19" customWidth="1"/>
    <col min="15" max="15" width="8.42578125" style="19" customWidth="1"/>
    <col min="16" max="16" width="15.42578125" style="19" customWidth="1"/>
    <col min="17" max="16384" width="9.140625" style="4"/>
  </cols>
  <sheetData>
    <row r="1" spans="1:16" x14ac:dyDescent="0.2">
      <c r="H1" s="5"/>
    </row>
    <row r="2" spans="1:16" ht="25.5" x14ac:dyDescent="0.2">
      <c r="A2" s="95" t="s">
        <v>260</v>
      </c>
      <c r="B2" s="74" t="s">
        <v>128</v>
      </c>
      <c r="C2" s="74" t="s">
        <v>0</v>
      </c>
      <c r="D2" s="74" t="s">
        <v>1</v>
      </c>
      <c r="E2" s="96" t="s">
        <v>6</v>
      </c>
      <c r="F2" s="74" t="s">
        <v>4</v>
      </c>
      <c r="G2" s="74" t="s">
        <v>7</v>
      </c>
      <c r="H2" s="96" t="s">
        <v>2</v>
      </c>
      <c r="I2" s="74" t="s">
        <v>245</v>
      </c>
      <c r="J2" s="74" t="s">
        <v>246</v>
      </c>
      <c r="K2" s="74" t="s">
        <v>247</v>
      </c>
      <c r="L2" s="74" t="s">
        <v>261</v>
      </c>
      <c r="M2" s="74" t="s">
        <v>265</v>
      </c>
      <c r="N2" s="74" t="s">
        <v>17</v>
      </c>
      <c r="O2" s="74" t="s">
        <v>263</v>
      </c>
      <c r="P2" s="74" t="s">
        <v>264</v>
      </c>
    </row>
    <row r="3" spans="1:16" ht="24" customHeight="1" x14ac:dyDescent="0.2">
      <c r="A3" s="142" t="s">
        <v>259</v>
      </c>
      <c r="B3" s="118" t="s">
        <v>187</v>
      </c>
      <c r="C3" s="119" t="s">
        <v>188</v>
      </c>
      <c r="D3" s="1" t="s">
        <v>3</v>
      </c>
      <c r="E3" s="120">
        <v>44393</v>
      </c>
      <c r="F3" s="9" t="s">
        <v>148</v>
      </c>
      <c r="G3" s="1" t="s">
        <v>147</v>
      </c>
      <c r="H3" s="10" t="s">
        <v>204</v>
      </c>
      <c r="I3" s="14">
        <v>54</v>
      </c>
      <c r="J3" s="14">
        <v>48</v>
      </c>
      <c r="K3" s="14">
        <v>12</v>
      </c>
      <c r="L3" s="14">
        <v>7</v>
      </c>
      <c r="M3" s="1">
        <f>Table224567891011[[#This Row],[P]]*Table224567891011[[#This Row],[L]]*Table224567891011[[#This Row],[T]]/4000</f>
        <v>7.7759999999999998</v>
      </c>
      <c r="N3" s="90">
        <v>8</v>
      </c>
      <c r="O3" s="79">
        <v>7000</v>
      </c>
      <c r="P3" s="79">
        <f>Table224567891011[[#This Row],[PEMBULATAN]]*O3</f>
        <v>56000</v>
      </c>
    </row>
    <row r="4" spans="1:16" ht="24" x14ac:dyDescent="0.2">
      <c r="A4" s="142"/>
      <c r="B4" s="121" t="s">
        <v>189</v>
      </c>
      <c r="C4" s="119" t="s">
        <v>190</v>
      </c>
      <c r="D4" s="1" t="s">
        <v>3</v>
      </c>
      <c r="E4" s="120">
        <v>44393</v>
      </c>
      <c r="F4" s="9" t="s">
        <v>148</v>
      </c>
      <c r="G4" s="1" t="s">
        <v>147</v>
      </c>
      <c r="H4" s="10" t="s">
        <v>204</v>
      </c>
      <c r="I4" s="14">
        <v>52</v>
      </c>
      <c r="J4" s="14">
        <v>38</v>
      </c>
      <c r="K4" s="14">
        <v>19</v>
      </c>
      <c r="L4" s="14">
        <v>10</v>
      </c>
      <c r="M4" s="1">
        <f>Table224567891011[[#This Row],[P]]*Table224567891011[[#This Row],[L]]*Table224567891011[[#This Row],[T]]/4000</f>
        <v>9.3859999999999992</v>
      </c>
      <c r="N4" s="90">
        <v>10</v>
      </c>
      <c r="O4" s="79">
        <v>7000</v>
      </c>
      <c r="P4" s="79">
        <f>Table224567891011[[#This Row],[PEMBULATAN]]*O4</f>
        <v>70000</v>
      </c>
    </row>
    <row r="5" spans="1:16" ht="24" x14ac:dyDescent="0.2">
      <c r="A5" s="17"/>
      <c r="B5" s="122"/>
      <c r="C5" s="119" t="s">
        <v>191</v>
      </c>
      <c r="D5" s="1" t="s">
        <v>3</v>
      </c>
      <c r="E5" s="120">
        <v>44393</v>
      </c>
      <c r="F5" s="9" t="s">
        <v>148</v>
      </c>
      <c r="G5" s="1" t="s">
        <v>147</v>
      </c>
      <c r="H5" s="10" t="s">
        <v>204</v>
      </c>
      <c r="I5" s="20">
        <v>61</v>
      </c>
      <c r="J5" s="20">
        <v>32</v>
      </c>
      <c r="K5" s="20">
        <v>37</v>
      </c>
      <c r="L5" s="20">
        <v>10</v>
      </c>
      <c r="M5" s="1">
        <f>Table224567891011[[#This Row],[P]]*Table224567891011[[#This Row],[L]]*Table224567891011[[#This Row],[T]]/4000</f>
        <v>18.056000000000001</v>
      </c>
      <c r="N5" s="90">
        <v>18</v>
      </c>
      <c r="O5" s="79">
        <v>7000</v>
      </c>
      <c r="P5" s="79">
        <f>Table224567891011[[#This Row],[PEMBULATAN]]*O5</f>
        <v>126000</v>
      </c>
    </row>
    <row r="6" spans="1:16" ht="24" x14ac:dyDescent="0.2">
      <c r="A6" s="17"/>
      <c r="B6" s="122"/>
      <c r="C6" s="119" t="s">
        <v>192</v>
      </c>
      <c r="D6" s="1" t="s">
        <v>3</v>
      </c>
      <c r="E6" s="120">
        <v>44393</v>
      </c>
      <c r="F6" s="9" t="s">
        <v>148</v>
      </c>
      <c r="G6" s="1" t="s">
        <v>147</v>
      </c>
      <c r="H6" s="10" t="s">
        <v>204</v>
      </c>
      <c r="I6" s="20">
        <v>49</v>
      </c>
      <c r="J6" s="20">
        <v>39</v>
      </c>
      <c r="K6" s="20">
        <v>24</v>
      </c>
      <c r="L6" s="20">
        <v>6</v>
      </c>
      <c r="M6" s="1">
        <f>Table224567891011[[#This Row],[P]]*Table224567891011[[#This Row],[L]]*Table224567891011[[#This Row],[T]]/4000</f>
        <v>11.465999999999999</v>
      </c>
      <c r="N6" s="90">
        <v>12</v>
      </c>
      <c r="O6" s="79">
        <v>7000</v>
      </c>
      <c r="P6" s="79">
        <f>Table224567891011[[#This Row],[PEMBULATAN]]*O6</f>
        <v>84000</v>
      </c>
    </row>
    <row r="7" spans="1:16" ht="24" x14ac:dyDescent="0.2">
      <c r="A7" s="17"/>
      <c r="B7" s="122"/>
      <c r="C7" s="119" t="s">
        <v>193</v>
      </c>
      <c r="D7" s="1" t="s">
        <v>3</v>
      </c>
      <c r="E7" s="120">
        <v>44393</v>
      </c>
      <c r="F7" s="9" t="s">
        <v>148</v>
      </c>
      <c r="G7" s="1" t="s">
        <v>147</v>
      </c>
      <c r="H7" s="10" t="s">
        <v>204</v>
      </c>
      <c r="I7" s="20">
        <v>64</v>
      </c>
      <c r="J7" s="20">
        <v>38</v>
      </c>
      <c r="K7" s="20">
        <v>20</v>
      </c>
      <c r="L7" s="20">
        <v>10</v>
      </c>
      <c r="M7" s="1">
        <f>Table224567891011[[#This Row],[P]]*Table224567891011[[#This Row],[L]]*Table224567891011[[#This Row],[T]]/4000</f>
        <v>12.16</v>
      </c>
      <c r="N7" s="90">
        <v>12</v>
      </c>
      <c r="O7" s="79">
        <v>7000</v>
      </c>
      <c r="P7" s="79">
        <f>Table224567891011[[#This Row],[PEMBULATAN]]*O7</f>
        <v>84000</v>
      </c>
    </row>
    <row r="8" spans="1:16" ht="24" x14ac:dyDescent="0.2">
      <c r="A8" s="17"/>
      <c r="B8" s="122"/>
      <c r="C8" s="119" t="s">
        <v>194</v>
      </c>
      <c r="D8" s="1" t="s">
        <v>3</v>
      </c>
      <c r="E8" s="120">
        <v>44393</v>
      </c>
      <c r="F8" s="9" t="s">
        <v>148</v>
      </c>
      <c r="G8" s="1" t="s">
        <v>147</v>
      </c>
      <c r="H8" s="10" t="s">
        <v>204</v>
      </c>
      <c r="I8" s="20">
        <v>38</v>
      </c>
      <c r="J8" s="20">
        <v>37</v>
      </c>
      <c r="K8" s="20">
        <v>34</v>
      </c>
      <c r="L8" s="20">
        <v>20</v>
      </c>
      <c r="M8" s="1">
        <f>Table224567891011[[#This Row],[P]]*Table224567891011[[#This Row],[L]]*Table224567891011[[#This Row],[T]]/4000</f>
        <v>11.951000000000001</v>
      </c>
      <c r="N8" s="90">
        <v>20</v>
      </c>
      <c r="O8" s="79">
        <v>7000</v>
      </c>
      <c r="P8" s="79">
        <f>Table224567891011[[#This Row],[PEMBULATAN]]*O8</f>
        <v>140000</v>
      </c>
    </row>
    <row r="9" spans="1:16" ht="24" x14ac:dyDescent="0.2">
      <c r="A9" s="17"/>
      <c r="B9" s="122"/>
      <c r="C9" s="119" t="s">
        <v>195</v>
      </c>
      <c r="D9" s="1" t="s">
        <v>3</v>
      </c>
      <c r="E9" s="120">
        <v>44393</v>
      </c>
      <c r="F9" s="9" t="s">
        <v>148</v>
      </c>
      <c r="G9" s="1" t="s">
        <v>147</v>
      </c>
      <c r="H9" s="10" t="s">
        <v>204</v>
      </c>
      <c r="I9" s="20">
        <v>12</v>
      </c>
      <c r="J9" s="20">
        <v>39</v>
      </c>
      <c r="K9" s="20">
        <v>49</v>
      </c>
      <c r="L9" s="20">
        <v>8</v>
      </c>
      <c r="M9" s="1">
        <f>Table224567891011[[#This Row],[P]]*Table224567891011[[#This Row],[L]]*Table224567891011[[#This Row],[T]]/4000</f>
        <v>5.7329999999999997</v>
      </c>
      <c r="N9" s="90">
        <v>8</v>
      </c>
      <c r="O9" s="79">
        <v>7000</v>
      </c>
      <c r="P9" s="79">
        <f>Table224567891011[[#This Row],[PEMBULATAN]]*O9</f>
        <v>56000</v>
      </c>
    </row>
    <row r="10" spans="1:16" ht="24" x14ac:dyDescent="0.2">
      <c r="A10" s="17"/>
      <c r="B10" s="122"/>
      <c r="C10" s="119" t="s">
        <v>196</v>
      </c>
      <c r="D10" s="1" t="s">
        <v>3</v>
      </c>
      <c r="E10" s="120">
        <v>44393</v>
      </c>
      <c r="F10" s="9" t="s">
        <v>148</v>
      </c>
      <c r="G10" s="1" t="s">
        <v>147</v>
      </c>
      <c r="H10" s="10" t="s">
        <v>204</v>
      </c>
      <c r="I10" s="20">
        <v>45</v>
      </c>
      <c r="J10" s="20">
        <v>29</v>
      </c>
      <c r="K10" s="20">
        <v>24</v>
      </c>
      <c r="L10" s="20">
        <v>7</v>
      </c>
      <c r="M10" s="1">
        <f>Table224567891011[[#This Row],[P]]*Table224567891011[[#This Row],[L]]*Table224567891011[[#This Row],[T]]/4000</f>
        <v>7.83</v>
      </c>
      <c r="N10" s="90">
        <v>8</v>
      </c>
      <c r="O10" s="79">
        <v>7000</v>
      </c>
      <c r="P10" s="79">
        <f>Table224567891011[[#This Row],[PEMBULATAN]]*O10</f>
        <v>56000</v>
      </c>
    </row>
    <row r="11" spans="1:16" ht="24" x14ac:dyDescent="0.2">
      <c r="A11" s="17"/>
      <c r="B11" s="122"/>
      <c r="C11" s="119" t="s">
        <v>197</v>
      </c>
      <c r="D11" s="1" t="s">
        <v>3</v>
      </c>
      <c r="E11" s="120">
        <v>44393</v>
      </c>
      <c r="F11" s="9" t="s">
        <v>148</v>
      </c>
      <c r="G11" s="1" t="s">
        <v>147</v>
      </c>
      <c r="H11" s="10" t="s">
        <v>204</v>
      </c>
      <c r="I11" s="20">
        <v>43</v>
      </c>
      <c r="J11" s="20">
        <v>33</v>
      </c>
      <c r="K11" s="20">
        <v>32</v>
      </c>
      <c r="L11" s="20">
        <v>6</v>
      </c>
      <c r="M11" s="1">
        <f>Table224567891011[[#This Row],[P]]*Table224567891011[[#This Row],[L]]*Table224567891011[[#This Row],[T]]/4000</f>
        <v>11.352</v>
      </c>
      <c r="N11" s="90">
        <v>12</v>
      </c>
      <c r="O11" s="79">
        <v>7000</v>
      </c>
      <c r="P11" s="79">
        <f>Table224567891011[[#This Row],[PEMBULATAN]]*O11</f>
        <v>84000</v>
      </c>
    </row>
    <row r="12" spans="1:16" ht="24" x14ac:dyDescent="0.2">
      <c r="A12" s="17"/>
      <c r="B12" s="122"/>
      <c r="C12" s="119" t="s">
        <v>198</v>
      </c>
      <c r="D12" s="1" t="s">
        <v>3</v>
      </c>
      <c r="E12" s="120">
        <v>44393</v>
      </c>
      <c r="F12" s="9" t="s">
        <v>148</v>
      </c>
      <c r="G12" s="1" t="s">
        <v>147</v>
      </c>
      <c r="H12" s="10" t="s">
        <v>204</v>
      </c>
      <c r="I12" s="20">
        <v>204</v>
      </c>
      <c r="J12" s="20">
        <v>19</v>
      </c>
      <c r="K12" s="20">
        <v>56</v>
      </c>
      <c r="L12" s="20">
        <v>30</v>
      </c>
      <c r="M12" s="1">
        <f>Table224567891011[[#This Row],[P]]*Table224567891011[[#This Row],[L]]*Table224567891011[[#This Row],[T]]/4000</f>
        <v>54.264000000000003</v>
      </c>
      <c r="N12" s="90">
        <v>54</v>
      </c>
      <c r="O12" s="79">
        <v>7000</v>
      </c>
      <c r="P12" s="79">
        <f>Table224567891011[[#This Row],[PEMBULATAN]]*O12</f>
        <v>378000</v>
      </c>
    </row>
    <row r="13" spans="1:16" ht="24" x14ac:dyDescent="0.2">
      <c r="A13" s="17"/>
      <c r="B13" s="122"/>
      <c r="C13" s="119" t="s">
        <v>199</v>
      </c>
      <c r="D13" s="1" t="s">
        <v>3</v>
      </c>
      <c r="E13" s="120">
        <v>44393</v>
      </c>
      <c r="F13" s="9" t="s">
        <v>148</v>
      </c>
      <c r="G13" s="1" t="s">
        <v>147</v>
      </c>
      <c r="H13" s="10" t="s">
        <v>204</v>
      </c>
      <c r="I13" s="20">
        <v>34</v>
      </c>
      <c r="J13" s="20">
        <v>20</v>
      </c>
      <c r="K13" s="20">
        <v>23</v>
      </c>
      <c r="L13" s="20">
        <v>6</v>
      </c>
      <c r="M13" s="1">
        <f>Table224567891011[[#This Row],[P]]*Table224567891011[[#This Row],[L]]*Table224567891011[[#This Row],[T]]/4000</f>
        <v>3.91</v>
      </c>
      <c r="N13" s="90">
        <v>6</v>
      </c>
      <c r="O13" s="79">
        <v>7000</v>
      </c>
      <c r="P13" s="79">
        <f>Table224567891011[[#This Row],[PEMBULATAN]]*O13</f>
        <v>42000</v>
      </c>
    </row>
    <row r="14" spans="1:16" ht="24" x14ac:dyDescent="0.2">
      <c r="A14" s="17"/>
      <c r="B14" s="122"/>
      <c r="C14" s="119" t="s">
        <v>200</v>
      </c>
      <c r="D14" s="1" t="s">
        <v>3</v>
      </c>
      <c r="E14" s="120">
        <v>44393</v>
      </c>
      <c r="F14" s="9" t="s">
        <v>148</v>
      </c>
      <c r="G14" s="1" t="s">
        <v>147</v>
      </c>
      <c r="H14" s="10" t="s">
        <v>204</v>
      </c>
      <c r="I14" s="20">
        <v>33</v>
      </c>
      <c r="J14" s="20">
        <v>26</v>
      </c>
      <c r="K14" s="20">
        <v>29</v>
      </c>
      <c r="L14" s="20">
        <v>9</v>
      </c>
      <c r="M14" s="1">
        <f>Table224567891011[[#This Row],[P]]*Table224567891011[[#This Row],[L]]*Table224567891011[[#This Row],[T]]/4000</f>
        <v>6.2205000000000004</v>
      </c>
      <c r="N14" s="90">
        <v>9</v>
      </c>
      <c r="O14" s="79">
        <v>7000</v>
      </c>
      <c r="P14" s="79">
        <f>Table224567891011[[#This Row],[PEMBULATAN]]*O14</f>
        <v>63000</v>
      </c>
    </row>
    <row r="15" spans="1:16" ht="24" x14ac:dyDescent="0.2">
      <c r="A15" s="17"/>
      <c r="B15" s="122"/>
      <c r="C15" s="119" t="s">
        <v>201</v>
      </c>
      <c r="D15" s="1" t="s">
        <v>3</v>
      </c>
      <c r="E15" s="120">
        <v>44393</v>
      </c>
      <c r="F15" s="9" t="s">
        <v>148</v>
      </c>
      <c r="G15" s="1" t="s">
        <v>147</v>
      </c>
      <c r="H15" s="10" t="s">
        <v>204</v>
      </c>
      <c r="I15" s="20">
        <v>47</v>
      </c>
      <c r="J15" s="20">
        <v>38</v>
      </c>
      <c r="K15" s="20">
        <v>34</v>
      </c>
      <c r="L15" s="20">
        <v>5</v>
      </c>
      <c r="M15" s="1">
        <f>Table224567891011[[#This Row],[P]]*Table224567891011[[#This Row],[L]]*Table224567891011[[#This Row],[T]]/4000</f>
        <v>15.180999999999999</v>
      </c>
      <c r="N15" s="90">
        <v>15</v>
      </c>
      <c r="O15" s="79">
        <v>7000</v>
      </c>
      <c r="P15" s="79">
        <f>Table224567891011[[#This Row],[PEMBULATAN]]*O15</f>
        <v>105000</v>
      </c>
    </row>
    <row r="16" spans="1:16" ht="24" x14ac:dyDescent="0.2">
      <c r="A16" s="18"/>
      <c r="B16" s="123"/>
      <c r="C16" s="119" t="s">
        <v>202</v>
      </c>
      <c r="D16" s="1" t="s">
        <v>3</v>
      </c>
      <c r="E16" s="120">
        <v>44393</v>
      </c>
      <c r="F16" s="9" t="s">
        <v>148</v>
      </c>
      <c r="G16" s="1" t="s">
        <v>147</v>
      </c>
      <c r="H16" s="10" t="s">
        <v>204</v>
      </c>
      <c r="I16" s="20">
        <v>53</v>
      </c>
      <c r="J16" s="20">
        <v>25</v>
      </c>
      <c r="K16" s="20">
        <v>22</v>
      </c>
      <c r="L16" s="20">
        <v>27</v>
      </c>
      <c r="M16" s="1">
        <f>Table224567891011[[#This Row],[P]]*Table224567891011[[#This Row],[L]]*Table224567891011[[#This Row],[T]]/4000</f>
        <v>7.2874999999999996</v>
      </c>
      <c r="N16" s="90">
        <v>27</v>
      </c>
      <c r="O16" s="79">
        <v>7000</v>
      </c>
      <c r="P16" s="79">
        <f>Table224567891011[[#This Row],[PEMBULATAN]]*O16</f>
        <v>189000</v>
      </c>
    </row>
    <row r="17" spans="1:16" ht="22.5" customHeight="1" x14ac:dyDescent="0.2">
      <c r="A17" s="143" t="s">
        <v>234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5"/>
      <c r="M17" s="87">
        <f>SUBTOTAL(109,Table224567891011[KG
VOLUME])</f>
        <v>182.57300000000001</v>
      </c>
      <c r="N17" s="82">
        <f>SUBTOTAL(109,Table224567891011[PEMBULATAN])</f>
        <v>219</v>
      </c>
      <c r="O17" s="146">
        <f>SUM(P3:P16)</f>
        <v>1533000</v>
      </c>
      <c r="P17" s="147"/>
    </row>
    <row r="18" spans="1:16" x14ac:dyDescent="0.2">
      <c r="A18" s="11"/>
      <c r="H18" s="77"/>
      <c r="N18" s="75" t="s">
        <v>235</v>
      </c>
      <c r="O18" s="86"/>
      <c r="P18" s="86">
        <f>O17*1%</f>
        <v>15330</v>
      </c>
    </row>
    <row r="19" spans="1:16" x14ac:dyDescent="0.2">
      <c r="A19" s="11"/>
      <c r="B19" s="91"/>
      <c r="C19" s="92"/>
      <c r="D19" s="93"/>
      <c r="H19" s="77"/>
      <c r="N19" s="75" t="s">
        <v>236</v>
      </c>
      <c r="O19" s="86"/>
      <c r="P19" s="86">
        <v>0</v>
      </c>
    </row>
    <row r="20" spans="1:16" ht="15.75" thickBot="1" x14ac:dyDescent="0.25">
      <c r="A20" s="11"/>
      <c r="H20" s="77"/>
      <c r="N20" s="75" t="s">
        <v>237</v>
      </c>
      <c r="O20" s="86"/>
      <c r="P20" s="86">
        <v>0</v>
      </c>
    </row>
    <row r="21" spans="1:16" x14ac:dyDescent="0.2">
      <c r="A21" s="11"/>
      <c r="B21" s="91" t="s">
        <v>248</v>
      </c>
      <c r="C21" s="92"/>
      <c r="D21" s="93" t="s">
        <v>249</v>
      </c>
      <c r="H21" s="77"/>
      <c r="N21" s="80" t="s">
        <v>238</v>
      </c>
      <c r="O21" s="117"/>
      <c r="P21" s="117">
        <f>O17+P18</f>
        <v>1548330</v>
      </c>
    </row>
    <row r="23" spans="1:16" x14ac:dyDescent="0.2">
      <c r="A23" s="70"/>
    </row>
    <row r="24" spans="1:16" x14ac:dyDescent="0.2">
      <c r="A24" s="70"/>
    </row>
    <row r="25" spans="1:16" x14ac:dyDescent="0.2">
      <c r="A25" s="71"/>
    </row>
    <row r="26" spans="1:16" x14ac:dyDescent="0.2">
      <c r="A26" s="71"/>
    </row>
    <row r="27" spans="1:16" x14ac:dyDescent="0.2">
      <c r="A27" s="71"/>
    </row>
    <row r="28" spans="1:16" x14ac:dyDescent="0.2">
      <c r="A28" s="71"/>
    </row>
    <row r="29" spans="1:16" x14ac:dyDescent="0.2">
      <c r="A29" s="71"/>
    </row>
    <row r="30" spans="1:16" x14ac:dyDescent="0.2">
      <c r="A30" s="71"/>
    </row>
    <row r="31" spans="1:16" x14ac:dyDescent="0.2">
      <c r="A31" s="71"/>
    </row>
    <row r="32" spans="1:16" x14ac:dyDescent="0.2">
      <c r="A32" s="71"/>
    </row>
    <row r="33" spans="1:1" x14ac:dyDescent="0.2">
      <c r="A33" s="71"/>
    </row>
  </sheetData>
  <mergeCells count="3">
    <mergeCell ref="A3:A4"/>
    <mergeCell ref="A17:L17"/>
    <mergeCell ref="O17:P17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RowHeight="15" x14ac:dyDescent="0.2"/>
  <cols>
    <col min="1" max="1" width="7.85546875" style="4" customWidth="1"/>
    <col min="2" max="2" width="19.140625" style="2" customWidth="1"/>
    <col min="3" max="3" width="14.42578125" style="2" customWidth="1"/>
    <col min="4" max="4" width="10" style="3" customWidth="1"/>
    <col min="5" max="5" width="7.85546875" style="12" customWidth="1"/>
    <col min="6" max="6" width="8.85546875" style="3" customWidth="1"/>
    <col min="7" max="7" width="9.7109375" style="3" customWidth="1"/>
    <col min="8" max="8" width="14" style="6" customWidth="1"/>
    <col min="9" max="11" width="3.85546875" style="3" customWidth="1"/>
    <col min="12" max="12" width="5.85546875" style="3" customWidth="1"/>
    <col min="13" max="13" width="8.5703125" style="3" customWidth="1"/>
    <col min="14" max="14" width="6.5703125" style="19" customWidth="1"/>
    <col min="15" max="15" width="7.7109375" style="19" customWidth="1"/>
    <col min="16" max="16" width="13" style="19" customWidth="1"/>
    <col min="17" max="16384" width="9.140625" style="4"/>
  </cols>
  <sheetData>
    <row r="1" spans="1:16" x14ac:dyDescent="0.2">
      <c r="H1" s="5"/>
    </row>
    <row r="2" spans="1:16" ht="25.5" x14ac:dyDescent="0.2">
      <c r="A2" s="72" t="s">
        <v>260</v>
      </c>
      <c r="B2" s="7" t="s">
        <v>128</v>
      </c>
      <c r="C2" s="7" t="s">
        <v>0</v>
      </c>
      <c r="D2" s="7" t="s">
        <v>1</v>
      </c>
      <c r="E2" s="73" t="s">
        <v>6</v>
      </c>
      <c r="F2" s="7" t="s">
        <v>4</v>
      </c>
      <c r="G2" s="7" t="s">
        <v>7</v>
      </c>
      <c r="H2" s="73" t="s">
        <v>2</v>
      </c>
      <c r="I2" s="7" t="s">
        <v>245</v>
      </c>
      <c r="J2" s="7" t="s">
        <v>246</v>
      </c>
      <c r="K2" s="7" t="s">
        <v>247</v>
      </c>
      <c r="L2" s="74" t="s">
        <v>261</v>
      </c>
      <c r="M2" s="74" t="s">
        <v>262</v>
      </c>
      <c r="N2" s="74" t="s">
        <v>17</v>
      </c>
      <c r="O2" s="74" t="s">
        <v>263</v>
      </c>
      <c r="P2" s="74" t="s">
        <v>264</v>
      </c>
    </row>
    <row r="3" spans="1:16" ht="28.5" customHeight="1" x14ac:dyDescent="0.2">
      <c r="A3" s="142" t="s">
        <v>250</v>
      </c>
      <c r="B3" s="16" t="s">
        <v>129</v>
      </c>
      <c r="C3" s="9" t="s">
        <v>9</v>
      </c>
      <c r="D3" s="1" t="s">
        <v>3</v>
      </c>
      <c r="E3" s="13">
        <v>44384</v>
      </c>
      <c r="F3" s="9" t="s">
        <v>5</v>
      </c>
      <c r="G3" s="1" t="s">
        <v>8</v>
      </c>
      <c r="H3" s="10" t="s">
        <v>203</v>
      </c>
      <c r="I3" s="1">
        <v>18</v>
      </c>
      <c r="J3" s="1">
        <v>27</v>
      </c>
      <c r="K3" s="1">
        <v>18</v>
      </c>
      <c r="L3" s="1">
        <v>8</v>
      </c>
      <c r="M3" s="1">
        <f>Table2[[#This Row],[P]]*Table2[[#This Row],[L]]*Table2[[#This Row],[T]]/4000</f>
        <v>2.1869999999999998</v>
      </c>
      <c r="N3" s="8">
        <v>8</v>
      </c>
      <c r="O3" s="78">
        <v>7000</v>
      </c>
      <c r="P3" s="79">
        <f>Table2[[#This Row],[PEMBULATAN]]*O3</f>
        <v>56000</v>
      </c>
    </row>
    <row r="4" spans="1:16" ht="28.5" customHeight="1" x14ac:dyDescent="0.2">
      <c r="A4" s="142"/>
      <c r="B4" s="18"/>
      <c r="C4" s="9" t="s">
        <v>10</v>
      </c>
      <c r="D4" s="1" t="s">
        <v>3</v>
      </c>
      <c r="E4" s="13">
        <v>44384</v>
      </c>
      <c r="F4" s="9" t="s">
        <v>5</v>
      </c>
      <c r="G4" s="1" t="s">
        <v>8</v>
      </c>
      <c r="H4" s="10" t="s">
        <v>203</v>
      </c>
      <c r="I4" s="1">
        <v>36</v>
      </c>
      <c r="J4" s="1">
        <v>52</v>
      </c>
      <c r="K4" s="1">
        <v>17</v>
      </c>
      <c r="L4" s="1">
        <v>6</v>
      </c>
      <c r="M4" s="1">
        <f>Table2[[#This Row],[P]]*Table2[[#This Row],[L]]*Table2[[#This Row],[T]]/4000</f>
        <v>7.9560000000000004</v>
      </c>
      <c r="N4" s="8">
        <v>8</v>
      </c>
      <c r="O4" s="78">
        <v>7000</v>
      </c>
      <c r="P4" s="79">
        <f>Table2[[#This Row],[PEMBULATAN]]*O4</f>
        <v>56000</v>
      </c>
    </row>
    <row r="5" spans="1:16" ht="28.5" customHeight="1" x14ac:dyDescent="0.2">
      <c r="A5" s="17"/>
      <c r="B5" s="16" t="s">
        <v>130</v>
      </c>
      <c r="C5" s="9" t="s">
        <v>11</v>
      </c>
      <c r="D5" s="1" t="s">
        <v>3</v>
      </c>
      <c r="E5" s="13">
        <v>44384</v>
      </c>
      <c r="F5" s="9" t="s">
        <v>5</v>
      </c>
      <c r="G5" s="1" t="s">
        <v>8</v>
      </c>
      <c r="H5" s="10" t="s">
        <v>203</v>
      </c>
      <c r="I5" s="1">
        <v>26</v>
      </c>
      <c r="J5" s="1">
        <v>37</v>
      </c>
      <c r="K5" s="1">
        <v>19</v>
      </c>
      <c r="L5" s="1">
        <v>8</v>
      </c>
      <c r="M5" s="1">
        <f>Table2[[#This Row],[P]]*Table2[[#This Row],[L]]*Table2[[#This Row],[T]]/4000</f>
        <v>4.5694999999999997</v>
      </c>
      <c r="N5" s="8">
        <v>8</v>
      </c>
      <c r="O5" s="78">
        <v>7000</v>
      </c>
      <c r="P5" s="79">
        <f>Table2[[#This Row],[PEMBULATAN]]*O5</f>
        <v>56000</v>
      </c>
    </row>
    <row r="6" spans="1:16" ht="28.5" customHeight="1" x14ac:dyDescent="0.2">
      <c r="A6" s="17"/>
      <c r="B6" s="17"/>
      <c r="C6" s="9" t="s">
        <v>12</v>
      </c>
      <c r="D6" s="1" t="s">
        <v>3</v>
      </c>
      <c r="E6" s="13">
        <v>44384</v>
      </c>
      <c r="F6" s="9" t="s">
        <v>5</v>
      </c>
      <c r="G6" s="1" t="s">
        <v>8</v>
      </c>
      <c r="H6" s="10" t="s">
        <v>203</v>
      </c>
      <c r="I6" s="1">
        <v>35</v>
      </c>
      <c r="J6" s="1">
        <v>44</v>
      </c>
      <c r="K6" s="1">
        <v>11</v>
      </c>
      <c r="L6" s="1">
        <v>4</v>
      </c>
      <c r="M6" s="1">
        <f>Table2[[#This Row],[P]]*Table2[[#This Row],[L]]*Table2[[#This Row],[T]]/4000</f>
        <v>4.2350000000000003</v>
      </c>
      <c r="N6" s="8">
        <v>4</v>
      </c>
      <c r="O6" s="78">
        <v>7000</v>
      </c>
      <c r="P6" s="79">
        <f>Table2[[#This Row],[PEMBULATAN]]*O6</f>
        <v>28000</v>
      </c>
    </row>
    <row r="7" spans="1:16" ht="28.5" customHeight="1" x14ac:dyDescent="0.2">
      <c r="A7" s="17"/>
      <c r="B7" s="17"/>
      <c r="C7" s="9" t="s">
        <v>13</v>
      </c>
      <c r="D7" s="1" t="s">
        <v>3</v>
      </c>
      <c r="E7" s="13">
        <v>44384</v>
      </c>
      <c r="F7" s="9" t="s">
        <v>5</v>
      </c>
      <c r="G7" s="1" t="s">
        <v>8</v>
      </c>
      <c r="H7" s="10" t="s">
        <v>203</v>
      </c>
      <c r="I7" s="1">
        <v>40</v>
      </c>
      <c r="J7" s="1">
        <v>36</v>
      </c>
      <c r="K7" s="1">
        <v>36</v>
      </c>
      <c r="L7" s="1">
        <v>10</v>
      </c>
      <c r="M7" s="1">
        <f>Table2[[#This Row],[P]]*Table2[[#This Row],[L]]*Table2[[#This Row],[T]]/4000</f>
        <v>12.96</v>
      </c>
      <c r="N7" s="8">
        <v>13</v>
      </c>
      <c r="O7" s="78">
        <v>7000</v>
      </c>
      <c r="P7" s="79">
        <f>Table2[[#This Row],[PEMBULATAN]]*O7</f>
        <v>91000</v>
      </c>
    </row>
    <row r="8" spans="1:16" ht="28.5" customHeight="1" x14ac:dyDescent="0.2">
      <c r="A8" s="17"/>
      <c r="B8" s="17"/>
      <c r="C8" s="9" t="s">
        <v>14</v>
      </c>
      <c r="D8" s="1" t="s">
        <v>3</v>
      </c>
      <c r="E8" s="13">
        <v>44384</v>
      </c>
      <c r="F8" s="9" t="s">
        <v>5</v>
      </c>
      <c r="G8" s="1" t="s">
        <v>8</v>
      </c>
      <c r="H8" s="10" t="s">
        <v>203</v>
      </c>
      <c r="I8" s="1">
        <v>41</v>
      </c>
      <c r="J8" s="1">
        <v>30</v>
      </c>
      <c r="K8" s="1">
        <v>77</v>
      </c>
      <c r="L8" s="1">
        <v>10</v>
      </c>
      <c r="M8" s="1">
        <f>Table2[[#This Row],[P]]*Table2[[#This Row],[L]]*Table2[[#This Row],[T]]/4000</f>
        <v>23.677499999999998</v>
      </c>
      <c r="N8" s="8">
        <v>24</v>
      </c>
      <c r="O8" s="78">
        <v>7000</v>
      </c>
      <c r="P8" s="79">
        <f>Table2[[#This Row],[PEMBULATAN]]*O8</f>
        <v>168000</v>
      </c>
    </row>
    <row r="9" spans="1:16" ht="28.5" customHeight="1" x14ac:dyDescent="0.2">
      <c r="A9" s="17"/>
      <c r="B9" s="17"/>
      <c r="C9" s="9" t="s">
        <v>15</v>
      </c>
      <c r="D9" s="1" t="s">
        <v>3</v>
      </c>
      <c r="E9" s="13">
        <v>44384</v>
      </c>
      <c r="F9" s="9" t="s">
        <v>5</v>
      </c>
      <c r="G9" s="1" t="s">
        <v>8</v>
      </c>
      <c r="H9" s="10" t="s">
        <v>203</v>
      </c>
      <c r="I9" s="1">
        <v>41</v>
      </c>
      <c r="J9" s="1">
        <v>46</v>
      </c>
      <c r="K9" s="1">
        <v>24</v>
      </c>
      <c r="L9" s="1">
        <v>10</v>
      </c>
      <c r="M9" s="1">
        <f>Table2[[#This Row],[P]]*Table2[[#This Row],[L]]*Table2[[#This Row],[T]]/4000</f>
        <v>11.316000000000001</v>
      </c>
      <c r="N9" s="8">
        <v>12</v>
      </c>
      <c r="O9" s="78">
        <v>7000</v>
      </c>
      <c r="P9" s="79">
        <f>Table2[[#This Row],[PEMBULATAN]]*O9</f>
        <v>84000</v>
      </c>
    </row>
    <row r="10" spans="1:16" ht="28.5" customHeight="1" x14ac:dyDescent="0.2">
      <c r="A10" s="18"/>
      <c r="B10" s="18"/>
      <c r="C10" s="9" t="s">
        <v>16</v>
      </c>
      <c r="D10" s="1" t="s">
        <v>3</v>
      </c>
      <c r="E10" s="13">
        <v>44384</v>
      </c>
      <c r="F10" s="9" t="s">
        <v>5</v>
      </c>
      <c r="G10" s="1" t="s">
        <v>8</v>
      </c>
      <c r="H10" s="10" t="s">
        <v>203</v>
      </c>
      <c r="I10" s="1">
        <v>38</v>
      </c>
      <c r="J10" s="1">
        <v>48</v>
      </c>
      <c r="K10" s="1">
        <v>35</v>
      </c>
      <c r="L10" s="1">
        <v>9</v>
      </c>
      <c r="M10" s="1">
        <f>Table2[[#This Row],[P]]*Table2[[#This Row],[L]]*Table2[[#This Row],[T]]/4000</f>
        <v>15.96</v>
      </c>
      <c r="N10" s="8">
        <v>16</v>
      </c>
      <c r="O10" s="78">
        <v>7000</v>
      </c>
      <c r="P10" s="79">
        <f>Table2[[#This Row],[PEMBULATAN]]*O10</f>
        <v>112000</v>
      </c>
    </row>
    <row r="11" spans="1:16" ht="22.5" customHeight="1" x14ac:dyDescent="0.2">
      <c r="A11" s="143" t="s">
        <v>234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5"/>
      <c r="M11" s="87">
        <f>SUBTOTAL(109,Table2[KG VOLUME])</f>
        <v>82.86099999999999</v>
      </c>
      <c r="N11" s="82">
        <f>SUM(N3:N10)</f>
        <v>93</v>
      </c>
      <c r="O11" s="146">
        <f>SUM(P3:P10)</f>
        <v>651000</v>
      </c>
      <c r="P11" s="147"/>
    </row>
    <row r="12" spans="1:16" x14ac:dyDescent="0.2">
      <c r="A12" s="11"/>
      <c r="H12" s="77"/>
      <c r="N12" s="75" t="s">
        <v>235</v>
      </c>
      <c r="P12" s="83">
        <f>O11*1%</f>
        <v>6510</v>
      </c>
    </row>
    <row r="13" spans="1:16" x14ac:dyDescent="0.2">
      <c r="A13" s="11"/>
      <c r="H13" s="77"/>
      <c r="N13" s="75" t="s">
        <v>236</v>
      </c>
      <c r="P13" s="85">
        <v>0</v>
      </c>
    </row>
    <row r="14" spans="1:16" ht="15.75" thickBot="1" x14ac:dyDescent="0.25">
      <c r="A14" s="11"/>
      <c r="H14" s="77"/>
      <c r="N14" s="75" t="s">
        <v>237</v>
      </c>
      <c r="P14" s="85">
        <v>0</v>
      </c>
    </row>
    <row r="15" spans="1:16" x14ac:dyDescent="0.2">
      <c r="A15" s="11"/>
      <c r="H15" s="77"/>
      <c r="N15" s="80" t="s">
        <v>238</v>
      </c>
      <c r="O15" s="81"/>
      <c r="P15" s="84">
        <f>O11+P12</f>
        <v>657510</v>
      </c>
    </row>
    <row r="16" spans="1:16" x14ac:dyDescent="0.2">
      <c r="B16" s="63" t="s">
        <v>248</v>
      </c>
      <c r="C16" s="62"/>
      <c r="D16" s="64" t="s">
        <v>249</v>
      </c>
    </row>
  </sheetData>
  <mergeCells count="3">
    <mergeCell ref="A3:A4"/>
    <mergeCell ref="A11:L11"/>
    <mergeCell ref="O11:P11"/>
  </mergeCells>
  <conditionalFormatting sqref="B3">
    <cfRule type="duplicateValues" dxfId="17" priority="21"/>
  </conditionalFormatting>
  <conditionalFormatting sqref="B5">
    <cfRule type="duplicateValues" dxfId="16" priority="20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90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26" sqref="E2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2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9" customWidth="1"/>
    <col min="15" max="15" width="8.140625" style="19" customWidth="1"/>
    <col min="16" max="16" width="12.28515625" style="19" customWidth="1"/>
    <col min="17" max="16384" width="9.140625" style="4"/>
  </cols>
  <sheetData>
    <row r="1" spans="1:16" x14ac:dyDescent="0.2">
      <c r="H1" s="5"/>
    </row>
    <row r="2" spans="1:16" ht="25.5" x14ac:dyDescent="0.2">
      <c r="A2" s="72" t="s">
        <v>260</v>
      </c>
      <c r="B2" s="7" t="s">
        <v>128</v>
      </c>
      <c r="C2" s="7" t="s">
        <v>0</v>
      </c>
      <c r="D2" s="7" t="s">
        <v>1</v>
      </c>
      <c r="E2" s="73" t="s">
        <v>6</v>
      </c>
      <c r="F2" s="7" t="s">
        <v>4</v>
      </c>
      <c r="G2" s="7" t="s">
        <v>7</v>
      </c>
      <c r="H2" s="73" t="s">
        <v>2</v>
      </c>
      <c r="I2" s="7" t="s">
        <v>245</v>
      </c>
      <c r="J2" s="7" t="s">
        <v>246</v>
      </c>
      <c r="K2" s="7" t="s">
        <v>247</v>
      </c>
      <c r="L2" s="74" t="s">
        <v>261</v>
      </c>
      <c r="M2" s="74" t="s">
        <v>262</v>
      </c>
      <c r="N2" s="74" t="s">
        <v>17</v>
      </c>
      <c r="O2" s="74" t="s">
        <v>263</v>
      </c>
      <c r="P2" s="74" t="s">
        <v>264</v>
      </c>
    </row>
    <row r="3" spans="1:16" ht="26.25" customHeight="1" x14ac:dyDescent="0.2">
      <c r="A3" s="148" t="s">
        <v>251</v>
      </c>
      <c r="B3" s="15" t="s">
        <v>131</v>
      </c>
      <c r="C3" s="9" t="s">
        <v>18</v>
      </c>
      <c r="D3" s="1" t="s">
        <v>3</v>
      </c>
      <c r="E3" s="13">
        <v>44385</v>
      </c>
      <c r="F3" s="9" t="s">
        <v>5</v>
      </c>
      <c r="G3" s="1" t="s">
        <v>8</v>
      </c>
      <c r="H3" s="10" t="s">
        <v>203</v>
      </c>
      <c r="I3" s="1">
        <v>24</v>
      </c>
      <c r="J3" s="1">
        <v>33</v>
      </c>
      <c r="K3" s="1">
        <v>22</v>
      </c>
      <c r="L3" s="1">
        <v>7</v>
      </c>
      <c r="M3" s="1">
        <f>Table22[[#This Row],[P]]*Table22[[#This Row],[L]]*Table22[[#This Row],[T]]/4000</f>
        <v>4.3559999999999999</v>
      </c>
      <c r="N3" s="8">
        <v>7</v>
      </c>
      <c r="O3" s="78">
        <v>7000</v>
      </c>
      <c r="P3" s="79">
        <f>Table22[[#This Row],[PEMBULATAN]]*O3</f>
        <v>49000</v>
      </c>
    </row>
    <row r="4" spans="1:16" ht="26.25" customHeight="1" x14ac:dyDescent="0.2">
      <c r="A4" s="142"/>
      <c r="B4" s="15" t="s">
        <v>132</v>
      </c>
      <c r="C4" s="9" t="s">
        <v>19</v>
      </c>
      <c r="D4" s="1" t="s">
        <v>3</v>
      </c>
      <c r="E4" s="13">
        <v>44385</v>
      </c>
      <c r="F4" s="9" t="s">
        <v>5</v>
      </c>
      <c r="G4" s="1" t="s">
        <v>8</v>
      </c>
      <c r="H4" s="10" t="s">
        <v>203</v>
      </c>
      <c r="I4" s="1">
        <v>52</v>
      </c>
      <c r="J4" s="1">
        <v>33</v>
      </c>
      <c r="K4" s="1">
        <v>16</v>
      </c>
      <c r="L4" s="1">
        <v>5</v>
      </c>
      <c r="M4" s="1">
        <f>Table22[[#This Row],[P]]*Table22[[#This Row],[L]]*Table22[[#This Row],[T]]/4000</f>
        <v>6.8639999999999999</v>
      </c>
      <c r="N4" s="8">
        <v>7</v>
      </c>
      <c r="O4" s="78">
        <v>7000</v>
      </c>
      <c r="P4" s="79">
        <f>Table22[[#This Row],[PEMBULATAN]]*O4</f>
        <v>49000</v>
      </c>
    </row>
    <row r="5" spans="1:16" ht="26.25" customHeight="1" x14ac:dyDescent="0.2">
      <c r="A5" s="17"/>
      <c r="B5" s="16" t="s">
        <v>133</v>
      </c>
      <c r="C5" s="9" t="s">
        <v>20</v>
      </c>
      <c r="D5" s="1" t="s">
        <v>3</v>
      </c>
      <c r="E5" s="13">
        <v>44385</v>
      </c>
      <c r="F5" s="9" t="s">
        <v>5</v>
      </c>
      <c r="G5" s="1" t="s">
        <v>8</v>
      </c>
      <c r="H5" s="10" t="s">
        <v>203</v>
      </c>
      <c r="I5" s="1">
        <v>45</v>
      </c>
      <c r="J5" s="1">
        <v>25</v>
      </c>
      <c r="K5" s="1">
        <v>36</v>
      </c>
      <c r="L5" s="1">
        <v>11</v>
      </c>
      <c r="M5" s="1">
        <f>Table22[[#This Row],[P]]*Table22[[#This Row],[L]]*Table22[[#This Row],[T]]/4000</f>
        <v>10.125</v>
      </c>
      <c r="N5" s="8">
        <v>11</v>
      </c>
      <c r="O5" s="78">
        <v>7000</v>
      </c>
      <c r="P5" s="79">
        <f>Table22[[#This Row],[PEMBULATAN]]*O5</f>
        <v>77000</v>
      </c>
    </row>
    <row r="6" spans="1:16" ht="26.25" customHeight="1" x14ac:dyDescent="0.2">
      <c r="A6" s="17"/>
      <c r="B6" s="18"/>
      <c r="C6" s="9" t="s">
        <v>21</v>
      </c>
      <c r="D6" s="1" t="s">
        <v>3</v>
      </c>
      <c r="E6" s="13">
        <v>44385</v>
      </c>
      <c r="F6" s="9" t="s">
        <v>5</v>
      </c>
      <c r="G6" s="1" t="s">
        <v>8</v>
      </c>
      <c r="H6" s="10" t="s">
        <v>203</v>
      </c>
      <c r="I6" s="1">
        <v>49</v>
      </c>
      <c r="J6" s="1">
        <v>50</v>
      </c>
      <c r="K6" s="1">
        <v>90</v>
      </c>
      <c r="L6" s="1">
        <v>35</v>
      </c>
      <c r="M6" s="1">
        <f>Table22[[#This Row],[P]]*Table22[[#This Row],[L]]*Table22[[#This Row],[T]]/4000</f>
        <v>55.125</v>
      </c>
      <c r="N6" s="8">
        <v>55</v>
      </c>
      <c r="O6" s="78">
        <v>7000</v>
      </c>
      <c r="P6" s="79">
        <f>Table22[[#This Row],[PEMBULATAN]]*O6</f>
        <v>385000</v>
      </c>
    </row>
    <row r="7" spans="1:16" ht="26.25" customHeight="1" x14ac:dyDescent="0.2">
      <c r="A7" s="17"/>
      <c r="B7" s="16" t="s">
        <v>134</v>
      </c>
      <c r="C7" s="9" t="s">
        <v>205</v>
      </c>
      <c r="D7" s="1" t="s">
        <v>3</v>
      </c>
      <c r="E7" s="13">
        <v>44385</v>
      </c>
      <c r="F7" s="9" t="s">
        <v>5</v>
      </c>
      <c r="G7" s="1" t="s">
        <v>8</v>
      </c>
      <c r="H7" s="10" t="s">
        <v>203</v>
      </c>
      <c r="I7" s="1">
        <v>53</v>
      </c>
      <c r="J7" s="1">
        <v>36</v>
      </c>
      <c r="K7" s="1">
        <v>36</v>
      </c>
      <c r="L7" s="1">
        <v>10</v>
      </c>
      <c r="M7" s="1">
        <f>Table22[[#This Row],[P]]*Table22[[#This Row],[L]]*Table22[[#This Row],[T]]/4000</f>
        <v>17.172000000000001</v>
      </c>
      <c r="N7" s="8">
        <v>17</v>
      </c>
      <c r="O7" s="78">
        <v>7000</v>
      </c>
      <c r="P7" s="79">
        <f>Table22[[#This Row],[PEMBULATAN]]*O7</f>
        <v>119000</v>
      </c>
    </row>
    <row r="8" spans="1:16" ht="26.25" customHeight="1" x14ac:dyDescent="0.2">
      <c r="A8" s="17"/>
      <c r="B8" s="17"/>
      <c r="C8" s="9" t="s">
        <v>22</v>
      </c>
      <c r="D8" s="1" t="s">
        <v>3</v>
      </c>
      <c r="E8" s="13">
        <v>44385</v>
      </c>
      <c r="F8" s="9" t="s">
        <v>5</v>
      </c>
      <c r="G8" s="1" t="s">
        <v>8</v>
      </c>
      <c r="H8" s="10" t="s">
        <v>203</v>
      </c>
      <c r="I8" s="1">
        <v>34</v>
      </c>
      <c r="J8" s="1">
        <v>48</v>
      </c>
      <c r="K8" s="1">
        <v>23</v>
      </c>
      <c r="L8" s="1">
        <v>15</v>
      </c>
      <c r="M8" s="1">
        <f>Table22[[#This Row],[P]]*Table22[[#This Row],[L]]*Table22[[#This Row],[T]]/4000</f>
        <v>9.3840000000000003</v>
      </c>
      <c r="N8" s="8">
        <v>15</v>
      </c>
      <c r="O8" s="78">
        <v>7000</v>
      </c>
      <c r="P8" s="79">
        <f>Table22[[#This Row],[PEMBULATAN]]*O8</f>
        <v>105000</v>
      </c>
    </row>
    <row r="9" spans="1:16" ht="26.25" customHeight="1" x14ac:dyDescent="0.2">
      <c r="A9" s="17"/>
      <c r="B9" s="17"/>
      <c r="C9" s="9" t="s">
        <v>23</v>
      </c>
      <c r="D9" s="1" t="s">
        <v>3</v>
      </c>
      <c r="E9" s="13">
        <v>44385</v>
      </c>
      <c r="F9" s="9" t="s">
        <v>5</v>
      </c>
      <c r="G9" s="1" t="s">
        <v>8</v>
      </c>
      <c r="H9" s="10" t="s">
        <v>203</v>
      </c>
      <c r="I9" s="1">
        <v>38</v>
      </c>
      <c r="J9" s="1">
        <v>43</v>
      </c>
      <c r="K9" s="1">
        <v>14</v>
      </c>
      <c r="L9" s="1">
        <v>12</v>
      </c>
      <c r="M9" s="1">
        <f>Table22[[#This Row],[P]]*Table22[[#This Row],[L]]*Table22[[#This Row],[T]]/4000</f>
        <v>5.7190000000000003</v>
      </c>
      <c r="N9" s="8">
        <v>12</v>
      </c>
      <c r="O9" s="78">
        <v>7000</v>
      </c>
      <c r="P9" s="79">
        <f>Table22[[#This Row],[PEMBULATAN]]*O9</f>
        <v>84000</v>
      </c>
    </row>
    <row r="10" spans="1:16" ht="26.25" customHeight="1" x14ac:dyDescent="0.2">
      <c r="A10" s="17"/>
      <c r="B10" s="17"/>
      <c r="C10" s="9" t="s">
        <v>24</v>
      </c>
      <c r="D10" s="1" t="s">
        <v>3</v>
      </c>
      <c r="E10" s="13">
        <v>44385</v>
      </c>
      <c r="F10" s="9" t="s">
        <v>5</v>
      </c>
      <c r="G10" s="1" t="s">
        <v>8</v>
      </c>
      <c r="H10" s="10" t="s">
        <v>203</v>
      </c>
      <c r="I10" s="1">
        <v>22</v>
      </c>
      <c r="J10" s="1">
        <v>57</v>
      </c>
      <c r="K10" s="1">
        <v>56</v>
      </c>
      <c r="L10" s="1">
        <v>10</v>
      </c>
      <c r="M10" s="1">
        <f>Table22[[#This Row],[P]]*Table22[[#This Row],[L]]*Table22[[#This Row],[T]]/4000</f>
        <v>17.556000000000001</v>
      </c>
      <c r="N10" s="8">
        <v>18</v>
      </c>
      <c r="O10" s="78">
        <v>7000</v>
      </c>
      <c r="P10" s="79">
        <f>Table22[[#This Row],[PEMBULATAN]]*O10</f>
        <v>126000</v>
      </c>
    </row>
    <row r="11" spans="1:16" ht="26.25" customHeight="1" x14ac:dyDescent="0.2">
      <c r="A11" s="17"/>
      <c r="B11" s="17"/>
      <c r="C11" s="9" t="s">
        <v>25</v>
      </c>
      <c r="D11" s="1" t="s">
        <v>3</v>
      </c>
      <c r="E11" s="13">
        <v>44385</v>
      </c>
      <c r="F11" s="9" t="s">
        <v>5</v>
      </c>
      <c r="G11" s="1" t="s">
        <v>8</v>
      </c>
      <c r="H11" s="10" t="s">
        <v>203</v>
      </c>
      <c r="I11" s="1">
        <v>27</v>
      </c>
      <c r="J11" s="1">
        <v>32</v>
      </c>
      <c r="K11" s="1">
        <v>13</v>
      </c>
      <c r="L11" s="1">
        <v>5</v>
      </c>
      <c r="M11" s="1">
        <f>Table22[[#This Row],[P]]*Table22[[#This Row],[L]]*Table22[[#This Row],[T]]/4000</f>
        <v>2.8079999999999998</v>
      </c>
      <c r="N11" s="8">
        <v>5</v>
      </c>
      <c r="O11" s="78">
        <v>7000</v>
      </c>
      <c r="P11" s="79">
        <f>Table22[[#This Row],[PEMBULATAN]]*O11</f>
        <v>35000</v>
      </c>
    </row>
    <row r="12" spans="1:16" ht="26.25" customHeight="1" x14ac:dyDescent="0.2">
      <c r="A12" s="17"/>
      <c r="B12" s="17"/>
      <c r="C12" s="9" t="s">
        <v>26</v>
      </c>
      <c r="D12" s="1" t="s">
        <v>3</v>
      </c>
      <c r="E12" s="13">
        <v>44385</v>
      </c>
      <c r="F12" s="9" t="s">
        <v>5</v>
      </c>
      <c r="G12" s="1" t="s">
        <v>8</v>
      </c>
      <c r="H12" s="10" t="s">
        <v>203</v>
      </c>
      <c r="I12" s="1">
        <v>24</v>
      </c>
      <c r="J12" s="1">
        <v>34</v>
      </c>
      <c r="K12" s="1">
        <v>38</v>
      </c>
      <c r="L12" s="1">
        <v>9</v>
      </c>
      <c r="M12" s="1">
        <f>Table22[[#This Row],[P]]*Table22[[#This Row],[L]]*Table22[[#This Row],[T]]/4000</f>
        <v>7.7519999999999998</v>
      </c>
      <c r="N12" s="8">
        <v>9</v>
      </c>
      <c r="O12" s="78">
        <v>7000</v>
      </c>
      <c r="P12" s="79">
        <f>Table22[[#This Row],[PEMBULATAN]]*O12</f>
        <v>63000</v>
      </c>
    </row>
    <row r="13" spans="1:16" ht="26.25" customHeight="1" x14ac:dyDescent="0.2">
      <c r="A13" s="17"/>
      <c r="B13" s="17"/>
      <c r="C13" s="9" t="s">
        <v>27</v>
      </c>
      <c r="D13" s="1" t="s">
        <v>3</v>
      </c>
      <c r="E13" s="13">
        <v>44385</v>
      </c>
      <c r="F13" s="9" t="s">
        <v>5</v>
      </c>
      <c r="G13" s="1" t="s">
        <v>8</v>
      </c>
      <c r="H13" s="10" t="s">
        <v>203</v>
      </c>
      <c r="I13" s="1">
        <v>41</v>
      </c>
      <c r="J13" s="1">
        <v>40</v>
      </c>
      <c r="K13" s="1">
        <v>48</v>
      </c>
      <c r="L13" s="1">
        <v>23</v>
      </c>
      <c r="M13" s="1">
        <f>Table22[[#This Row],[P]]*Table22[[#This Row],[L]]*Table22[[#This Row],[T]]/4000</f>
        <v>19.68</v>
      </c>
      <c r="N13" s="8">
        <v>23</v>
      </c>
      <c r="O13" s="78">
        <v>7000</v>
      </c>
      <c r="P13" s="79">
        <f>Table22[[#This Row],[PEMBULATAN]]*O13</f>
        <v>161000</v>
      </c>
    </row>
    <row r="14" spans="1:16" ht="26.25" customHeight="1" x14ac:dyDescent="0.2">
      <c r="A14" s="17"/>
      <c r="B14" s="17"/>
      <c r="C14" s="9" t="s">
        <v>28</v>
      </c>
      <c r="D14" s="1" t="s">
        <v>3</v>
      </c>
      <c r="E14" s="13">
        <v>44385</v>
      </c>
      <c r="F14" s="9" t="s">
        <v>5</v>
      </c>
      <c r="G14" s="1" t="s">
        <v>8</v>
      </c>
      <c r="H14" s="10" t="s">
        <v>203</v>
      </c>
      <c r="I14" s="1">
        <v>42</v>
      </c>
      <c r="J14" s="1">
        <v>30</v>
      </c>
      <c r="K14" s="1">
        <v>23</v>
      </c>
      <c r="L14" s="1">
        <v>6</v>
      </c>
      <c r="M14" s="1">
        <f>Table22[[#This Row],[P]]*Table22[[#This Row],[L]]*Table22[[#This Row],[T]]/4000</f>
        <v>7.2450000000000001</v>
      </c>
      <c r="N14" s="8">
        <v>7</v>
      </c>
      <c r="O14" s="78">
        <v>7000</v>
      </c>
      <c r="P14" s="79">
        <f>Table22[[#This Row],[PEMBULATAN]]*O14</f>
        <v>49000</v>
      </c>
    </row>
    <row r="15" spans="1:16" ht="26.25" customHeight="1" x14ac:dyDescent="0.2">
      <c r="A15" s="17"/>
      <c r="B15" s="17"/>
      <c r="C15" s="9" t="s">
        <v>29</v>
      </c>
      <c r="D15" s="1" t="s">
        <v>3</v>
      </c>
      <c r="E15" s="13">
        <v>44385</v>
      </c>
      <c r="F15" s="9" t="s">
        <v>5</v>
      </c>
      <c r="G15" s="1" t="s">
        <v>8</v>
      </c>
      <c r="H15" s="10" t="s">
        <v>203</v>
      </c>
      <c r="I15" s="1">
        <v>48</v>
      </c>
      <c r="J15" s="1">
        <v>54</v>
      </c>
      <c r="K15" s="1">
        <v>12</v>
      </c>
      <c r="L15" s="1">
        <v>7</v>
      </c>
      <c r="M15" s="1">
        <f>Table22[[#This Row],[P]]*Table22[[#This Row],[L]]*Table22[[#This Row],[T]]/4000</f>
        <v>7.7759999999999998</v>
      </c>
      <c r="N15" s="8">
        <v>8</v>
      </c>
      <c r="O15" s="78">
        <v>7000</v>
      </c>
      <c r="P15" s="79">
        <f>Table22[[#This Row],[PEMBULATAN]]*O15</f>
        <v>56000</v>
      </c>
    </row>
    <row r="16" spans="1:16" ht="26.25" customHeight="1" x14ac:dyDescent="0.2">
      <c r="A16" s="17"/>
      <c r="B16" s="17"/>
      <c r="C16" s="9" t="s">
        <v>30</v>
      </c>
      <c r="D16" s="1" t="s">
        <v>3</v>
      </c>
      <c r="E16" s="13">
        <v>44385</v>
      </c>
      <c r="F16" s="9" t="s">
        <v>5</v>
      </c>
      <c r="G16" s="1" t="s">
        <v>8</v>
      </c>
      <c r="H16" s="10" t="s">
        <v>203</v>
      </c>
      <c r="I16" s="1">
        <v>34</v>
      </c>
      <c r="J16" s="1">
        <v>36</v>
      </c>
      <c r="K16" s="1">
        <v>41</v>
      </c>
      <c r="L16" s="1">
        <v>5</v>
      </c>
      <c r="M16" s="1">
        <f>Table22[[#This Row],[P]]*Table22[[#This Row],[L]]*Table22[[#This Row],[T]]/4000</f>
        <v>12.545999999999999</v>
      </c>
      <c r="N16" s="8">
        <v>13</v>
      </c>
      <c r="O16" s="78">
        <v>7000</v>
      </c>
      <c r="P16" s="79">
        <f>Table22[[#This Row],[PEMBULATAN]]*O16</f>
        <v>91000</v>
      </c>
    </row>
    <row r="17" spans="1:16" ht="26.25" customHeight="1" x14ac:dyDescent="0.2">
      <c r="A17" s="17"/>
      <c r="B17" s="17"/>
      <c r="C17" s="9" t="s">
        <v>31</v>
      </c>
      <c r="D17" s="1" t="s">
        <v>3</v>
      </c>
      <c r="E17" s="13">
        <v>44385</v>
      </c>
      <c r="F17" s="9" t="s">
        <v>5</v>
      </c>
      <c r="G17" s="1" t="s">
        <v>8</v>
      </c>
      <c r="H17" s="10" t="s">
        <v>203</v>
      </c>
      <c r="I17" s="1">
        <v>28</v>
      </c>
      <c r="J17" s="1">
        <v>42</v>
      </c>
      <c r="K17" s="1">
        <v>58</v>
      </c>
      <c r="L17" s="1">
        <v>24</v>
      </c>
      <c r="M17" s="1">
        <f>Table22[[#This Row],[P]]*Table22[[#This Row],[L]]*Table22[[#This Row],[T]]/4000</f>
        <v>17.052</v>
      </c>
      <c r="N17" s="8">
        <v>24</v>
      </c>
      <c r="O17" s="78">
        <v>7000</v>
      </c>
      <c r="P17" s="79">
        <f>Table22[[#This Row],[PEMBULATAN]]*O17</f>
        <v>168000</v>
      </c>
    </row>
    <row r="18" spans="1:16" ht="26.25" customHeight="1" x14ac:dyDescent="0.2">
      <c r="A18" s="18"/>
      <c r="B18" s="18"/>
      <c r="C18" s="9" t="s">
        <v>32</v>
      </c>
      <c r="D18" s="1" t="s">
        <v>3</v>
      </c>
      <c r="E18" s="13">
        <v>44385</v>
      </c>
      <c r="F18" s="9" t="s">
        <v>5</v>
      </c>
      <c r="G18" s="1" t="s">
        <v>8</v>
      </c>
      <c r="H18" s="10" t="s">
        <v>203</v>
      </c>
      <c r="I18" s="1">
        <v>44</v>
      </c>
      <c r="J18" s="1">
        <v>36</v>
      </c>
      <c r="K18" s="1">
        <v>43</v>
      </c>
      <c r="L18" s="1">
        <v>10</v>
      </c>
      <c r="M18" s="1">
        <f>Table22[[#This Row],[P]]*Table22[[#This Row],[L]]*Table22[[#This Row],[T]]/4000</f>
        <v>17.027999999999999</v>
      </c>
      <c r="N18" s="8">
        <v>17</v>
      </c>
      <c r="O18" s="78">
        <v>7000</v>
      </c>
      <c r="P18" s="79">
        <f>Table22[[#This Row],[PEMBULATAN]]*O18</f>
        <v>119000</v>
      </c>
    </row>
    <row r="19" spans="1:16" ht="22.5" customHeight="1" x14ac:dyDescent="0.2">
      <c r="A19" s="143" t="s">
        <v>234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5"/>
      <c r="M19" s="87">
        <f>SUBTOTAL(109,Table22[KG VOLUME])</f>
        <v>218.18799999999999</v>
      </c>
      <c r="N19" s="82">
        <f>SUM(N3:N18)</f>
        <v>248</v>
      </c>
      <c r="O19" s="146">
        <f>SUM(P3:P18)</f>
        <v>1736000</v>
      </c>
      <c r="P19" s="147"/>
    </row>
    <row r="20" spans="1:16" x14ac:dyDescent="0.2">
      <c r="A20" s="11"/>
      <c r="H20" s="77"/>
      <c r="N20" s="75" t="s">
        <v>235</v>
      </c>
      <c r="P20" s="83">
        <f>O19*1%</f>
        <v>17360</v>
      </c>
    </row>
    <row r="21" spans="1:16" x14ac:dyDescent="0.2">
      <c r="A21" s="11"/>
      <c r="H21" s="77"/>
      <c r="N21" s="75" t="s">
        <v>236</v>
      </c>
      <c r="P21" s="85">
        <v>0</v>
      </c>
    </row>
    <row r="22" spans="1:16" ht="15.75" thickBot="1" x14ac:dyDescent="0.25">
      <c r="A22" s="11"/>
      <c r="H22" s="77"/>
      <c r="N22" s="75" t="s">
        <v>237</v>
      </c>
      <c r="P22" s="85">
        <v>0</v>
      </c>
    </row>
    <row r="23" spans="1:16" x14ac:dyDescent="0.2">
      <c r="A23" s="11"/>
      <c r="H23" s="77"/>
      <c r="N23" s="80" t="s">
        <v>238</v>
      </c>
      <c r="O23" s="81"/>
      <c r="P23" s="84">
        <f>O19+P20</f>
        <v>1753360</v>
      </c>
    </row>
    <row r="24" spans="1:16" x14ac:dyDescent="0.2">
      <c r="B24" s="63" t="s">
        <v>248</v>
      </c>
      <c r="C24" s="62"/>
      <c r="D24" s="64" t="s">
        <v>249</v>
      </c>
    </row>
    <row r="26" spans="1:16" x14ac:dyDescent="0.2">
      <c r="A26" s="11"/>
      <c r="H26" s="77"/>
      <c r="P26" s="86"/>
    </row>
    <row r="27" spans="1:16" x14ac:dyDescent="0.2">
      <c r="A27" s="11"/>
      <c r="H27" s="77"/>
      <c r="O27" s="66"/>
      <c r="P27" s="86"/>
    </row>
    <row r="28" spans="1:16" x14ac:dyDescent="0.2">
      <c r="A28" s="11"/>
      <c r="H28" s="77"/>
    </row>
    <row r="29" spans="1:16" x14ac:dyDescent="0.2">
      <c r="A29" s="11"/>
      <c r="H29" s="77"/>
    </row>
    <row r="30" spans="1:16" x14ac:dyDescent="0.2">
      <c r="A30" s="11"/>
      <c r="H30" s="77"/>
    </row>
    <row r="31" spans="1:16" x14ac:dyDescent="0.2">
      <c r="A31" s="11"/>
      <c r="H31" s="77"/>
    </row>
    <row r="32" spans="1:16" x14ac:dyDescent="0.2">
      <c r="A32" s="11"/>
      <c r="H32" s="77"/>
    </row>
    <row r="33" spans="1:8" x14ac:dyDescent="0.2">
      <c r="A33" s="11"/>
      <c r="H33" s="77"/>
    </row>
    <row r="34" spans="1:8" x14ac:dyDescent="0.2">
      <c r="A34" s="11"/>
      <c r="H34" s="77"/>
    </row>
    <row r="35" spans="1:8" x14ac:dyDescent="0.2">
      <c r="A35" s="11"/>
      <c r="H35" s="77"/>
    </row>
    <row r="36" spans="1:8" x14ac:dyDescent="0.2">
      <c r="A36" s="11"/>
      <c r="H36" s="77"/>
    </row>
    <row r="37" spans="1:8" x14ac:dyDescent="0.2">
      <c r="A37" s="11"/>
      <c r="H37" s="77"/>
    </row>
    <row r="38" spans="1:8" x14ac:dyDescent="0.2">
      <c r="A38" s="11"/>
      <c r="H38" s="77"/>
    </row>
    <row r="39" spans="1:8" x14ac:dyDescent="0.2">
      <c r="A39" s="11"/>
      <c r="H39" s="77"/>
    </row>
  </sheetData>
  <mergeCells count="3">
    <mergeCell ref="A3:A4"/>
    <mergeCell ref="A19:L19"/>
    <mergeCell ref="O19:P19"/>
  </mergeCells>
  <conditionalFormatting sqref="B3">
    <cfRule type="duplicateValues" dxfId="15" priority="18"/>
  </conditionalFormatting>
  <conditionalFormatting sqref="B4">
    <cfRule type="duplicateValues" dxfId="14" priority="17"/>
  </conditionalFormatting>
  <conditionalFormatting sqref="B5">
    <cfRule type="duplicateValues" dxfId="13" priority="16"/>
  </conditionalFormatting>
  <conditionalFormatting sqref="B7">
    <cfRule type="duplicateValues" dxfId="12" priority="15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28" sqref="O28"/>
    </sheetView>
  </sheetViews>
  <sheetFormatPr defaultRowHeight="15" x14ac:dyDescent="0.2"/>
  <cols>
    <col min="1" max="1" width="7.7109375" style="4" customWidth="1"/>
    <col min="2" max="2" width="19.7109375" style="2" customWidth="1"/>
    <col min="3" max="3" width="15" style="2" customWidth="1"/>
    <col min="4" max="4" width="9.42578125" style="3" customWidth="1"/>
    <col min="5" max="5" width="9" style="12" customWidth="1"/>
    <col min="6" max="6" width="9.28515625" style="3" customWidth="1"/>
    <col min="7" max="7" width="9.7109375" style="3" customWidth="1"/>
    <col min="8" max="8" width="13.140625" style="6" customWidth="1"/>
    <col min="9" max="11" width="4" style="3" customWidth="1"/>
    <col min="12" max="12" width="5.42578125" style="3" customWidth="1"/>
    <col min="13" max="13" width="8.42578125" style="3" customWidth="1"/>
    <col min="14" max="14" width="13.85546875" style="19" customWidth="1"/>
    <col min="15" max="15" width="7.7109375" style="19" customWidth="1"/>
    <col min="16" max="16" width="13.140625" style="19" customWidth="1"/>
    <col min="17" max="16384" width="9.140625" style="4"/>
  </cols>
  <sheetData>
    <row r="1" spans="1:16" x14ac:dyDescent="0.2">
      <c r="H1" s="5"/>
    </row>
    <row r="2" spans="1:16" ht="25.5" x14ac:dyDescent="0.2">
      <c r="A2" s="72" t="s">
        <v>260</v>
      </c>
      <c r="B2" s="7" t="s">
        <v>128</v>
      </c>
      <c r="C2" s="7" t="s">
        <v>0</v>
      </c>
      <c r="D2" s="7" t="s">
        <v>1</v>
      </c>
      <c r="E2" s="73" t="s">
        <v>6</v>
      </c>
      <c r="F2" s="7" t="s">
        <v>4</v>
      </c>
      <c r="G2" s="7" t="s">
        <v>7</v>
      </c>
      <c r="H2" s="73" t="s">
        <v>2</v>
      </c>
      <c r="I2" s="7" t="s">
        <v>245</v>
      </c>
      <c r="J2" s="7" t="s">
        <v>246</v>
      </c>
      <c r="K2" s="7" t="s">
        <v>247</v>
      </c>
      <c r="L2" s="74" t="s">
        <v>261</v>
      </c>
      <c r="M2" s="74" t="s">
        <v>265</v>
      </c>
      <c r="N2" s="74" t="s">
        <v>17</v>
      </c>
      <c r="O2" s="74" t="s">
        <v>263</v>
      </c>
      <c r="P2" s="74" t="s">
        <v>264</v>
      </c>
    </row>
    <row r="3" spans="1:16" ht="24" customHeight="1" x14ac:dyDescent="0.2">
      <c r="A3" s="142" t="s">
        <v>252</v>
      </c>
      <c r="B3" s="16" t="s">
        <v>135</v>
      </c>
      <c r="C3" s="9" t="s">
        <v>33</v>
      </c>
      <c r="D3" s="1" t="s">
        <v>3</v>
      </c>
      <c r="E3" s="13">
        <v>44386</v>
      </c>
      <c r="F3" s="9" t="s">
        <v>5</v>
      </c>
      <c r="G3" s="1" t="s">
        <v>8</v>
      </c>
      <c r="H3" s="10" t="s">
        <v>203</v>
      </c>
      <c r="I3" s="1">
        <v>44</v>
      </c>
      <c r="J3" s="1">
        <v>30</v>
      </c>
      <c r="K3" s="1">
        <v>22</v>
      </c>
      <c r="L3" s="1">
        <v>11</v>
      </c>
      <c r="M3" s="1">
        <f>Table224[[#This Row],[P]]*Table224[[#This Row],[L]]*Table224[[#This Row],[T]]/4000</f>
        <v>7.26</v>
      </c>
      <c r="N3" s="8">
        <v>11</v>
      </c>
      <c r="O3" s="78">
        <v>7000</v>
      </c>
      <c r="P3" s="79">
        <f>Table224[[#This Row],[PEMBULATAN]]*O3</f>
        <v>77000</v>
      </c>
    </row>
    <row r="4" spans="1:16" ht="24" customHeight="1" x14ac:dyDescent="0.2">
      <c r="A4" s="142"/>
      <c r="B4" s="17"/>
      <c r="C4" s="9" t="s">
        <v>34</v>
      </c>
      <c r="D4" s="1" t="s">
        <v>3</v>
      </c>
      <c r="E4" s="13">
        <v>44386</v>
      </c>
      <c r="F4" s="9" t="s">
        <v>5</v>
      </c>
      <c r="G4" s="1" t="s">
        <v>8</v>
      </c>
      <c r="H4" s="10" t="s">
        <v>203</v>
      </c>
      <c r="I4" s="1">
        <v>40</v>
      </c>
      <c r="J4" s="1">
        <v>32</v>
      </c>
      <c r="K4" s="1">
        <v>40</v>
      </c>
      <c r="L4" s="1">
        <v>5</v>
      </c>
      <c r="M4" s="1">
        <f>Table224[[#This Row],[P]]*Table224[[#This Row],[L]]*Table224[[#This Row],[T]]/4000</f>
        <v>12.8</v>
      </c>
      <c r="N4" s="8">
        <v>13</v>
      </c>
      <c r="O4" s="78">
        <v>7000</v>
      </c>
      <c r="P4" s="79">
        <f>Table224[[#This Row],[PEMBULATAN]]*O4</f>
        <v>91000</v>
      </c>
    </row>
    <row r="5" spans="1:16" ht="24" customHeight="1" x14ac:dyDescent="0.2">
      <c r="A5" s="17"/>
      <c r="B5" s="17"/>
      <c r="C5" s="9" t="s">
        <v>35</v>
      </c>
      <c r="D5" s="1" t="s">
        <v>3</v>
      </c>
      <c r="E5" s="13">
        <v>44386</v>
      </c>
      <c r="F5" s="9" t="s">
        <v>5</v>
      </c>
      <c r="G5" s="1" t="s">
        <v>8</v>
      </c>
      <c r="H5" s="10" t="s">
        <v>203</v>
      </c>
      <c r="I5" s="1">
        <v>106</v>
      </c>
      <c r="J5" s="1">
        <v>86</v>
      </c>
      <c r="K5" s="1">
        <v>10</v>
      </c>
      <c r="L5" s="1">
        <v>7</v>
      </c>
      <c r="M5" s="1">
        <f>Table224[[#This Row],[P]]*Table224[[#This Row],[L]]*Table224[[#This Row],[T]]/4000</f>
        <v>22.79</v>
      </c>
      <c r="N5" s="8">
        <v>23</v>
      </c>
      <c r="O5" s="78">
        <v>7000</v>
      </c>
      <c r="P5" s="79">
        <f>Table224[[#This Row],[PEMBULATAN]]*O5</f>
        <v>161000</v>
      </c>
    </row>
    <row r="6" spans="1:16" ht="24" customHeight="1" x14ac:dyDescent="0.2">
      <c r="A6" s="17"/>
      <c r="B6" s="17"/>
      <c r="C6" s="9" t="s">
        <v>36</v>
      </c>
      <c r="D6" s="1" t="s">
        <v>3</v>
      </c>
      <c r="E6" s="13">
        <v>44386</v>
      </c>
      <c r="F6" s="9" t="s">
        <v>5</v>
      </c>
      <c r="G6" s="1" t="s">
        <v>8</v>
      </c>
      <c r="H6" s="10" t="s">
        <v>203</v>
      </c>
      <c r="I6" s="1">
        <v>44</v>
      </c>
      <c r="J6" s="1">
        <v>34</v>
      </c>
      <c r="K6" s="1">
        <v>20</v>
      </c>
      <c r="L6" s="1">
        <v>6</v>
      </c>
      <c r="M6" s="1">
        <f>Table224[[#This Row],[P]]*Table224[[#This Row],[L]]*Table224[[#This Row],[T]]/4000</f>
        <v>7.48</v>
      </c>
      <c r="N6" s="8">
        <v>8</v>
      </c>
      <c r="O6" s="78">
        <v>7000</v>
      </c>
      <c r="P6" s="79">
        <f>Table224[[#This Row],[PEMBULATAN]]*O6</f>
        <v>56000</v>
      </c>
    </row>
    <row r="7" spans="1:16" ht="24" customHeight="1" x14ac:dyDescent="0.2">
      <c r="A7" s="17"/>
      <c r="B7" s="17"/>
      <c r="C7" s="9" t="s">
        <v>37</v>
      </c>
      <c r="D7" s="1" t="s">
        <v>3</v>
      </c>
      <c r="E7" s="13">
        <v>44386</v>
      </c>
      <c r="F7" s="9" t="s">
        <v>5</v>
      </c>
      <c r="G7" s="1" t="s">
        <v>8</v>
      </c>
      <c r="H7" s="10" t="s">
        <v>203</v>
      </c>
      <c r="I7" s="1">
        <v>41</v>
      </c>
      <c r="J7" s="1">
        <v>24</v>
      </c>
      <c r="K7" s="1">
        <v>29</v>
      </c>
      <c r="L7" s="1">
        <v>4</v>
      </c>
      <c r="M7" s="1">
        <f>Table224[[#This Row],[P]]*Table224[[#This Row],[L]]*Table224[[#This Row],[T]]/4000</f>
        <v>7.1340000000000003</v>
      </c>
      <c r="N7" s="8">
        <v>7</v>
      </c>
      <c r="O7" s="78">
        <v>7000</v>
      </c>
      <c r="P7" s="79">
        <f>Table224[[#This Row],[PEMBULATAN]]*O7</f>
        <v>49000</v>
      </c>
    </row>
    <row r="8" spans="1:16" ht="24" customHeight="1" x14ac:dyDescent="0.2">
      <c r="A8" s="17"/>
      <c r="B8" s="17"/>
      <c r="C8" s="9" t="s">
        <v>38</v>
      </c>
      <c r="D8" s="1" t="s">
        <v>3</v>
      </c>
      <c r="E8" s="13">
        <v>44386</v>
      </c>
      <c r="F8" s="9" t="s">
        <v>5</v>
      </c>
      <c r="G8" s="1" t="s">
        <v>8</v>
      </c>
      <c r="H8" s="10" t="s">
        <v>203</v>
      </c>
      <c r="I8" s="1">
        <v>48</v>
      </c>
      <c r="J8" s="1">
        <v>39</v>
      </c>
      <c r="K8" s="1">
        <v>33</v>
      </c>
      <c r="L8" s="1">
        <v>7</v>
      </c>
      <c r="M8" s="1">
        <f>Table224[[#This Row],[P]]*Table224[[#This Row],[L]]*Table224[[#This Row],[T]]/4000</f>
        <v>15.444000000000001</v>
      </c>
      <c r="N8" s="8">
        <v>16</v>
      </c>
      <c r="O8" s="78">
        <v>7000</v>
      </c>
      <c r="P8" s="79">
        <f>Table224[[#This Row],[PEMBULATAN]]*O8</f>
        <v>112000</v>
      </c>
    </row>
    <row r="9" spans="1:16" ht="24" customHeight="1" x14ac:dyDescent="0.2">
      <c r="A9" s="17"/>
      <c r="B9" s="17"/>
      <c r="C9" s="9" t="s">
        <v>39</v>
      </c>
      <c r="D9" s="1" t="s">
        <v>3</v>
      </c>
      <c r="E9" s="13">
        <v>44386</v>
      </c>
      <c r="F9" s="9" t="s">
        <v>5</v>
      </c>
      <c r="G9" s="1" t="s">
        <v>8</v>
      </c>
      <c r="H9" s="10" t="s">
        <v>203</v>
      </c>
      <c r="I9" s="1">
        <v>22</v>
      </c>
      <c r="J9" s="1">
        <v>27</v>
      </c>
      <c r="K9" s="1">
        <v>38</v>
      </c>
      <c r="L9" s="1">
        <v>11</v>
      </c>
      <c r="M9" s="1">
        <f>Table224[[#This Row],[P]]*Table224[[#This Row],[L]]*Table224[[#This Row],[T]]/4000</f>
        <v>5.6429999999999998</v>
      </c>
      <c r="N9" s="8">
        <v>11</v>
      </c>
      <c r="O9" s="78">
        <v>7000</v>
      </c>
      <c r="P9" s="79">
        <f>Table224[[#This Row],[PEMBULATAN]]*O9</f>
        <v>77000</v>
      </c>
    </row>
    <row r="10" spans="1:16" ht="24" customHeight="1" x14ac:dyDescent="0.2">
      <c r="A10" s="17"/>
      <c r="B10" s="17"/>
      <c r="C10" s="9" t="s">
        <v>40</v>
      </c>
      <c r="D10" s="1" t="s">
        <v>3</v>
      </c>
      <c r="E10" s="13">
        <v>44386</v>
      </c>
      <c r="F10" s="9" t="s">
        <v>5</v>
      </c>
      <c r="G10" s="1" t="s">
        <v>8</v>
      </c>
      <c r="H10" s="10" t="s">
        <v>203</v>
      </c>
      <c r="I10" s="1">
        <v>34</v>
      </c>
      <c r="J10" s="1">
        <v>26</v>
      </c>
      <c r="K10" s="1">
        <v>25</v>
      </c>
      <c r="L10" s="1">
        <v>11</v>
      </c>
      <c r="M10" s="1">
        <f>Table224[[#This Row],[P]]*Table224[[#This Row],[L]]*Table224[[#This Row],[T]]/4000</f>
        <v>5.5250000000000004</v>
      </c>
      <c r="N10" s="8">
        <v>11</v>
      </c>
      <c r="O10" s="78">
        <v>7000</v>
      </c>
      <c r="P10" s="79">
        <f>Table224[[#This Row],[PEMBULATAN]]*O10</f>
        <v>77000</v>
      </c>
    </row>
    <row r="11" spans="1:16" ht="24" customHeight="1" x14ac:dyDescent="0.2">
      <c r="A11" s="17"/>
      <c r="B11" s="17"/>
      <c r="C11" s="9" t="s">
        <v>41</v>
      </c>
      <c r="D11" s="1" t="s">
        <v>3</v>
      </c>
      <c r="E11" s="13">
        <v>44386</v>
      </c>
      <c r="F11" s="9" t="s">
        <v>5</v>
      </c>
      <c r="G11" s="1" t="s">
        <v>8</v>
      </c>
      <c r="H11" s="10" t="s">
        <v>203</v>
      </c>
      <c r="I11" s="1">
        <v>43</v>
      </c>
      <c r="J11" s="1">
        <v>28</v>
      </c>
      <c r="K11" s="1">
        <v>38</v>
      </c>
      <c r="L11" s="1">
        <v>8</v>
      </c>
      <c r="M11" s="1">
        <f>Table224[[#This Row],[P]]*Table224[[#This Row],[L]]*Table224[[#This Row],[T]]/4000</f>
        <v>11.438000000000001</v>
      </c>
      <c r="N11" s="8">
        <v>12</v>
      </c>
      <c r="O11" s="78">
        <v>7000</v>
      </c>
      <c r="P11" s="79">
        <f>Table224[[#This Row],[PEMBULATAN]]*O11</f>
        <v>84000</v>
      </c>
    </row>
    <row r="12" spans="1:16" ht="24" customHeight="1" x14ac:dyDescent="0.2">
      <c r="A12" s="17"/>
      <c r="B12" s="17"/>
      <c r="C12" s="9" t="s">
        <v>42</v>
      </c>
      <c r="D12" s="1" t="s">
        <v>3</v>
      </c>
      <c r="E12" s="13">
        <v>44386</v>
      </c>
      <c r="F12" s="9" t="s">
        <v>5</v>
      </c>
      <c r="G12" s="1" t="s">
        <v>8</v>
      </c>
      <c r="H12" s="10" t="s">
        <v>203</v>
      </c>
      <c r="I12" s="1">
        <v>49</v>
      </c>
      <c r="J12" s="1">
        <v>18</v>
      </c>
      <c r="K12" s="1">
        <v>37</v>
      </c>
      <c r="L12" s="1">
        <v>5</v>
      </c>
      <c r="M12" s="1">
        <f>Table224[[#This Row],[P]]*Table224[[#This Row],[L]]*Table224[[#This Row],[T]]/4000</f>
        <v>8.1585000000000001</v>
      </c>
      <c r="N12" s="8">
        <v>8</v>
      </c>
      <c r="O12" s="78">
        <v>7000</v>
      </c>
      <c r="P12" s="79">
        <f>Table224[[#This Row],[PEMBULATAN]]*O12</f>
        <v>56000</v>
      </c>
    </row>
    <row r="13" spans="1:16" ht="24" customHeight="1" x14ac:dyDescent="0.2">
      <c r="A13" s="17"/>
      <c r="B13" s="17"/>
      <c r="C13" s="9" t="s">
        <v>43</v>
      </c>
      <c r="D13" s="1" t="s">
        <v>3</v>
      </c>
      <c r="E13" s="13">
        <v>44386</v>
      </c>
      <c r="F13" s="9" t="s">
        <v>5</v>
      </c>
      <c r="G13" s="1" t="s">
        <v>8</v>
      </c>
      <c r="H13" s="10" t="s">
        <v>203</v>
      </c>
      <c r="I13" s="1">
        <v>70</v>
      </c>
      <c r="J13" s="1">
        <v>30</v>
      </c>
      <c r="K13" s="1">
        <v>20</v>
      </c>
      <c r="L13" s="1">
        <v>8</v>
      </c>
      <c r="M13" s="1">
        <f>Table224[[#This Row],[P]]*Table224[[#This Row],[L]]*Table224[[#This Row],[T]]/4000</f>
        <v>10.5</v>
      </c>
      <c r="N13" s="8">
        <v>11</v>
      </c>
      <c r="O13" s="78">
        <v>7000</v>
      </c>
      <c r="P13" s="79">
        <f>Table224[[#This Row],[PEMBULATAN]]*O13</f>
        <v>77000</v>
      </c>
    </row>
    <row r="14" spans="1:16" ht="24" customHeight="1" x14ac:dyDescent="0.2">
      <c r="A14" s="17"/>
      <c r="B14" s="17"/>
      <c r="C14" s="9" t="s">
        <v>44</v>
      </c>
      <c r="D14" s="1" t="s">
        <v>3</v>
      </c>
      <c r="E14" s="13">
        <v>44386</v>
      </c>
      <c r="F14" s="9" t="s">
        <v>5</v>
      </c>
      <c r="G14" s="1" t="s">
        <v>8</v>
      </c>
      <c r="H14" s="10" t="s">
        <v>203</v>
      </c>
      <c r="I14" s="1">
        <v>35</v>
      </c>
      <c r="J14" s="1">
        <v>40</v>
      </c>
      <c r="K14" s="1">
        <v>40</v>
      </c>
      <c r="L14" s="1">
        <v>7</v>
      </c>
      <c r="M14" s="1">
        <f>Table224[[#This Row],[P]]*Table224[[#This Row],[L]]*Table224[[#This Row],[T]]/4000</f>
        <v>14</v>
      </c>
      <c r="N14" s="8">
        <v>14</v>
      </c>
      <c r="O14" s="78">
        <v>7000</v>
      </c>
      <c r="P14" s="79">
        <f>Table224[[#This Row],[PEMBULATAN]]*O14</f>
        <v>98000</v>
      </c>
    </row>
    <row r="15" spans="1:16" ht="24" customHeight="1" x14ac:dyDescent="0.2">
      <c r="A15" s="17"/>
      <c r="B15" s="17"/>
      <c r="C15" s="9" t="s">
        <v>45</v>
      </c>
      <c r="D15" s="1" t="s">
        <v>3</v>
      </c>
      <c r="E15" s="13">
        <v>44386</v>
      </c>
      <c r="F15" s="9" t="s">
        <v>5</v>
      </c>
      <c r="G15" s="1" t="s">
        <v>8</v>
      </c>
      <c r="H15" s="10" t="s">
        <v>203</v>
      </c>
      <c r="I15" s="1">
        <v>30</v>
      </c>
      <c r="J15" s="1">
        <v>47</v>
      </c>
      <c r="K15" s="1">
        <v>50</v>
      </c>
      <c r="L15" s="1">
        <v>18</v>
      </c>
      <c r="M15" s="1">
        <f>Table224[[#This Row],[P]]*Table224[[#This Row],[L]]*Table224[[#This Row],[T]]/4000</f>
        <v>17.625</v>
      </c>
      <c r="N15" s="8">
        <v>18</v>
      </c>
      <c r="O15" s="78">
        <v>7000</v>
      </c>
      <c r="P15" s="79">
        <f>Table224[[#This Row],[PEMBULATAN]]*O15</f>
        <v>126000</v>
      </c>
    </row>
    <row r="16" spans="1:16" ht="24" customHeight="1" x14ac:dyDescent="0.2">
      <c r="A16" s="17"/>
      <c r="B16" s="17"/>
      <c r="C16" s="9" t="s">
        <v>46</v>
      </c>
      <c r="D16" s="1" t="s">
        <v>3</v>
      </c>
      <c r="E16" s="13">
        <v>44386</v>
      </c>
      <c r="F16" s="9" t="s">
        <v>5</v>
      </c>
      <c r="G16" s="1" t="s">
        <v>8</v>
      </c>
      <c r="H16" s="10" t="s">
        <v>203</v>
      </c>
      <c r="I16" s="1">
        <v>39</v>
      </c>
      <c r="J16" s="1">
        <v>22</v>
      </c>
      <c r="K16" s="1">
        <v>34</v>
      </c>
      <c r="L16" s="1">
        <v>11</v>
      </c>
      <c r="M16" s="1">
        <f>Table224[[#This Row],[P]]*Table224[[#This Row],[L]]*Table224[[#This Row],[T]]/4000</f>
        <v>7.2930000000000001</v>
      </c>
      <c r="N16" s="8">
        <v>11</v>
      </c>
      <c r="O16" s="78">
        <v>7000</v>
      </c>
      <c r="P16" s="79">
        <f>Table224[[#This Row],[PEMBULATAN]]*O16</f>
        <v>77000</v>
      </c>
    </row>
    <row r="17" spans="1:16" ht="24" customHeight="1" x14ac:dyDescent="0.2">
      <c r="A17" s="17"/>
      <c r="B17" s="17"/>
      <c r="C17" s="9" t="s">
        <v>47</v>
      </c>
      <c r="D17" s="1" t="s">
        <v>3</v>
      </c>
      <c r="E17" s="13">
        <v>44386</v>
      </c>
      <c r="F17" s="9" t="s">
        <v>5</v>
      </c>
      <c r="G17" s="1" t="s">
        <v>8</v>
      </c>
      <c r="H17" s="10" t="s">
        <v>203</v>
      </c>
      <c r="I17" s="1">
        <v>47</v>
      </c>
      <c r="J17" s="1">
        <v>29</v>
      </c>
      <c r="K17" s="1">
        <v>40</v>
      </c>
      <c r="L17" s="1">
        <v>13</v>
      </c>
      <c r="M17" s="1">
        <f>Table224[[#This Row],[P]]*Table224[[#This Row],[L]]*Table224[[#This Row],[T]]/4000</f>
        <v>13.63</v>
      </c>
      <c r="N17" s="8">
        <v>14</v>
      </c>
      <c r="O17" s="78">
        <v>7000</v>
      </c>
      <c r="P17" s="79">
        <f>Table224[[#This Row],[PEMBULATAN]]*O17</f>
        <v>98000</v>
      </c>
    </row>
    <row r="18" spans="1:16" ht="24" customHeight="1" x14ac:dyDescent="0.2">
      <c r="A18" s="17"/>
      <c r="B18" s="17"/>
      <c r="C18" s="9" t="s">
        <v>48</v>
      </c>
      <c r="D18" s="1" t="s">
        <v>3</v>
      </c>
      <c r="E18" s="13">
        <v>44386</v>
      </c>
      <c r="F18" s="9" t="s">
        <v>5</v>
      </c>
      <c r="G18" s="1" t="s">
        <v>8</v>
      </c>
      <c r="H18" s="10" t="s">
        <v>203</v>
      </c>
      <c r="I18" s="1">
        <v>60</v>
      </c>
      <c r="J18" s="1">
        <v>30</v>
      </c>
      <c r="K18" s="1">
        <v>40</v>
      </c>
      <c r="L18" s="1">
        <v>24</v>
      </c>
      <c r="M18" s="1">
        <f>Table224[[#This Row],[P]]*Table224[[#This Row],[L]]*Table224[[#This Row],[T]]/4000</f>
        <v>18</v>
      </c>
      <c r="N18" s="8">
        <v>24</v>
      </c>
      <c r="O18" s="78">
        <v>7000</v>
      </c>
      <c r="P18" s="79">
        <f>Table224[[#This Row],[PEMBULATAN]]*O18</f>
        <v>168000</v>
      </c>
    </row>
    <row r="19" spans="1:16" ht="24" customHeight="1" x14ac:dyDescent="0.2">
      <c r="A19" s="88"/>
      <c r="B19" s="17"/>
      <c r="C19" s="9" t="s">
        <v>49</v>
      </c>
      <c r="D19" s="1" t="s">
        <v>3</v>
      </c>
      <c r="E19" s="13">
        <v>44386</v>
      </c>
      <c r="F19" s="9" t="s">
        <v>5</v>
      </c>
      <c r="G19" s="1" t="s">
        <v>8</v>
      </c>
      <c r="H19" s="10" t="s">
        <v>203</v>
      </c>
      <c r="I19" s="1">
        <v>62</v>
      </c>
      <c r="J19" s="1">
        <v>42</v>
      </c>
      <c r="K19" s="1">
        <v>20</v>
      </c>
      <c r="L19" s="1">
        <v>13</v>
      </c>
      <c r="M19" s="1">
        <f>Table224[[#This Row],[P]]*Table224[[#This Row],[L]]*Table224[[#This Row],[T]]/4000</f>
        <v>13.02</v>
      </c>
      <c r="N19" s="8">
        <v>13</v>
      </c>
      <c r="O19" s="78">
        <v>7000</v>
      </c>
      <c r="P19" s="79">
        <f>Table224[[#This Row],[PEMBULATAN]]*O19</f>
        <v>91000</v>
      </c>
    </row>
    <row r="20" spans="1:16" ht="24" customHeight="1" x14ac:dyDescent="0.2">
      <c r="A20" s="88"/>
      <c r="B20" s="17"/>
      <c r="C20" s="9" t="s">
        <v>50</v>
      </c>
      <c r="D20" s="1" t="s">
        <v>3</v>
      </c>
      <c r="E20" s="13">
        <v>44386</v>
      </c>
      <c r="F20" s="9" t="s">
        <v>5</v>
      </c>
      <c r="G20" s="1" t="s">
        <v>8</v>
      </c>
      <c r="H20" s="10" t="s">
        <v>203</v>
      </c>
      <c r="I20" s="1">
        <v>30</v>
      </c>
      <c r="J20" s="1">
        <v>85</v>
      </c>
      <c r="K20" s="1">
        <v>30</v>
      </c>
      <c r="L20" s="1">
        <v>16</v>
      </c>
      <c r="M20" s="1">
        <f>Table224[[#This Row],[P]]*Table224[[#This Row],[L]]*Table224[[#This Row],[T]]/4000</f>
        <v>19.125</v>
      </c>
      <c r="N20" s="8">
        <v>19</v>
      </c>
      <c r="O20" s="78">
        <v>7000</v>
      </c>
      <c r="P20" s="79">
        <f>Table224[[#This Row],[PEMBULATAN]]*O20</f>
        <v>133000</v>
      </c>
    </row>
    <row r="21" spans="1:16" ht="24" customHeight="1" x14ac:dyDescent="0.2">
      <c r="A21" s="88"/>
      <c r="B21" s="17"/>
      <c r="C21" s="9" t="s">
        <v>51</v>
      </c>
      <c r="D21" s="1" t="s">
        <v>3</v>
      </c>
      <c r="E21" s="13">
        <v>44386</v>
      </c>
      <c r="F21" s="9" t="s">
        <v>5</v>
      </c>
      <c r="G21" s="1" t="s">
        <v>8</v>
      </c>
      <c r="H21" s="10" t="s">
        <v>203</v>
      </c>
      <c r="I21" s="1">
        <v>50</v>
      </c>
      <c r="J21" s="1">
        <v>60</v>
      </c>
      <c r="K21" s="1">
        <v>45</v>
      </c>
      <c r="L21" s="1">
        <v>23</v>
      </c>
      <c r="M21" s="1">
        <f>Table224[[#This Row],[P]]*Table224[[#This Row],[L]]*Table224[[#This Row],[T]]/4000</f>
        <v>33.75</v>
      </c>
      <c r="N21" s="8">
        <v>34</v>
      </c>
      <c r="O21" s="78">
        <v>7000</v>
      </c>
      <c r="P21" s="79">
        <f>Table224[[#This Row],[PEMBULATAN]]*O21</f>
        <v>238000</v>
      </c>
    </row>
    <row r="22" spans="1:16" ht="24" customHeight="1" x14ac:dyDescent="0.2">
      <c r="A22" s="88"/>
      <c r="B22" s="17"/>
      <c r="C22" s="9" t="s">
        <v>52</v>
      </c>
      <c r="D22" s="1" t="s">
        <v>3</v>
      </c>
      <c r="E22" s="13">
        <v>44386</v>
      </c>
      <c r="F22" s="9" t="s">
        <v>5</v>
      </c>
      <c r="G22" s="1" t="s">
        <v>8</v>
      </c>
      <c r="H22" s="10" t="s">
        <v>203</v>
      </c>
      <c r="I22" s="1">
        <v>58</v>
      </c>
      <c r="J22" s="1">
        <v>69</v>
      </c>
      <c r="K22" s="1">
        <v>43</v>
      </c>
      <c r="L22" s="1">
        <v>21</v>
      </c>
      <c r="M22" s="1">
        <f>Table224[[#This Row],[P]]*Table224[[#This Row],[L]]*Table224[[#This Row],[T]]/4000</f>
        <v>43.021500000000003</v>
      </c>
      <c r="N22" s="8">
        <v>43</v>
      </c>
      <c r="O22" s="78">
        <v>7000</v>
      </c>
      <c r="P22" s="79">
        <f>Table224[[#This Row],[PEMBULATAN]]*O22</f>
        <v>301000</v>
      </c>
    </row>
    <row r="23" spans="1:16" ht="24" customHeight="1" x14ac:dyDescent="0.2">
      <c r="A23" s="88"/>
      <c r="B23" s="17"/>
      <c r="C23" s="9" t="s">
        <v>53</v>
      </c>
      <c r="D23" s="1" t="s">
        <v>3</v>
      </c>
      <c r="E23" s="13">
        <v>44386</v>
      </c>
      <c r="F23" s="9" t="s">
        <v>5</v>
      </c>
      <c r="G23" s="1" t="s">
        <v>8</v>
      </c>
      <c r="H23" s="10" t="s">
        <v>203</v>
      </c>
      <c r="I23" s="1">
        <v>131</v>
      </c>
      <c r="J23" s="1">
        <v>22</v>
      </c>
      <c r="K23" s="1">
        <v>15</v>
      </c>
      <c r="L23" s="1">
        <v>7</v>
      </c>
      <c r="M23" s="1">
        <f>Table224[[#This Row],[P]]*Table224[[#This Row],[L]]*Table224[[#This Row],[T]]/4000</f>
        <v>10.807499999999999</v>
      </c>
      <c r="N23" s="8">
        <v>11</v>
      </c>
      <c r="O23" s="78">
        <v>7000</v>
      </c>
      <c r="P23" s="79">
        <f>Table224[[#This Row],[PEMBULATAN]]*O23</f>
        <v>77000</v>
      </c>
    </row>
    <row r="24" spans="1:16" ht="24" customHeight="1" x14ac:dyDescent="0.2">
      <c r="A24" s="88"/>
      <c r="B24" s="17"/>
      <c r="C24" s="9" t="s">
        <v>54</v>
      </c>
      <c r="D24" s="1" t="s">
        <v>3</v>
      </c>
      <c r="E24" s="13">
        <v>44386</v>
      </c>
      <c r="F24" s="9" t="s">
        <v>5</v>
      </c>
      <c r="G24" s="1" t="s">
        <v>8</v>
      </c>
      <c r="H24" s="10" t="s">
        <v>203</v>
      </c>
      <c r="I24" s="1">
        <v>52</v>
      </c>
      <c r="J24" s="1">
        <v>65</v>
      </c>
      <c r="K24" s="1">
        <v>50</v>
      </c>
      <c r="L24" s="1">
        <v>20</v>
      </c>
      <c r="M24" s="1">
        <f>Table224[[#This Row],[P]]*Table224[[#This Row],[L]]*Table224[[#This Row],[T]]/4000</f>
        <v>42.25</v>
      </c>
      <c r="N24" s="8">
        <v>42</v>
      </c>
      <c r="O24" s="78">
        <v>7000</v>
      </c>
      <c r="P24" s="79">
        <f>Table224[[#This Row],[PEMBULATAN]]*O24</f>
        <v>294000</v>
      </c>
    </row>
    <row r="25" spans="1:16" ht="24" customHeight="1" x14ac:dyDescent="0.2">
      <c r="A25" s="88"/>
      <c r="B25" s="17"/>
      <c r="C25" s="9" t="s">
        <v>55</v>
      </c>
      <c r="D25" s="1" t="s">
        <v>3</v>
      </c>
      <c r="E25" s="13">
        <v>44386</v>
      </c>
      <c r="F25" s="9" t="s">
        <v>5</v>
      </c>
      <c r="G25" s="1" t="s">
        <v>8</v>
      </c>
      <c r="H25" s="10" t="s">
        <v>203</v>
      </c>
      <c r="I25" s="14">
        <v>45</v>
      </c>
      <c r="J25" s="14">
        <v>21</v>
      </c>
      <c r="K25" s="14">
        <v>29</v>
      </c>
      <c r="L25" s="14">
        <v>8</v>
      </c>
      <c r="M25" s="1">
        <f>Table224[[#This Row],[P]]*Table224[[#This Row],[L]]*Table224[[#This Row],[T]]/4000</f>
        <v>6.8512500000000003</v>
      </c>
      <c r="N25" s="8">
        <v>8</v>
      </c>
      <c r="O25" s="78">
        <v>7000</v>
      </c>
      <c r="P25" s="79">
        <f>Table224[[#This Row],[PEMBULATAN]]*O25</f>
        <v>56000</v>
      </c>
    </row>
    <row r="26" spans="1:16" ht="24" customHeight="1" x14ac:dyDescent="0.2">
      <c r="A26" s="88"/>
      <c r="B26" s="17"/>
      <c r="C26" s="9" t="s">
        <v>56</v>
      </c>
      <c r="D26" s="1" t="s">
        <v>3</v>
      </c>
      <c r="E26" s="13">
        <v>44386</v>
      </c>
      <c r="F26" s="9" t="s">
        <v>5</v>
      </c>
      <c r="G26" s="1" t="s">
        <v>8</v>
      </c>
      <c r="H26" s="10" t="s">
        <v>203</v>
      </c>
      <c r="I26" s="14">
        <v>36</v>
      </c>
      <c r="J26" s="14">
        <v>40</v>
      </c>
      <c r="K26" s="14">
        <v>76</v>
      </c>
      <c r="L26" s="14">
        <v>15</v>
      </c>
      <c r="M26" s="1">
        <f>Table224[[#This Row],[P]]*Table224[[#This Row],[L]]*Table224[[#This Row],[T]]/4000</f>
        <v>27.36</v>
      </c>
      <c r="N26" s="8">
        <v>28</v>
      </c>
      <c r="O26" s="78">
        <v>7000</v>
      </c>
      <c r="P26" s="79">
        <f>Table224[[#This Row],[PEMBULATAN]]*O26</f>
        <v>196000</v>
      </c>
    </row>
    <row r="27" spans="1:16" ht="24" customHeight="1" x14ac:dyDescent="0.2">
      <c r="A27" s="88"/>
      <c r="B27" s="18"/>
      <c r="C27" s="9" t="s">
        <v>57</v>
      </c>
      <c r="D27" s="1" t="s">
        <v>3</v>
      </c>
      <c r="E27" s="13">
        <v>44386</v>
      </c>
      <c r="F27" s="9" t="s">
        <v>5</v>
      </c>
      <c r="G27" s="1" t="s">
        <v>8</v>
      </c>
      <c r="H27" s="10" t="s">
        <v>203</v>
      </c>
      <c r="I27" s="14">
        <v>42</v>
      </c>
      <c r="J27" s="14">
        <v>32</v>
      </c>
      <c r="K27" s="14">
        <v>69</v>
      </c>
      <c r="L27" s="14">
        <v>20</v>
      </c>
      <c r="M27" s="1">
        <f>Table224[[#This Row],[P]]*Table224[[#This Row],[L]]*Table224[[#This Row],[T]]/4000</f>
        <v>23.184000000000001</v>
      </c>
      <c r="N27" s="8">
        <v>23</v>
      </c>
      <c r="O27" s="78">
        <v>7000</v>
      </c>
      <c r="P27" s="79">
        <f>Table224[[#This Row],[PEMBULATAN]]*O27</f>
        <v>161000</v>
      </c>
    </row>
    <row r="28" spans="1:16" ht="24" customHeight="1" x14ac:dyDescent="0.2">
      <c r="A28" s="88"/>
      <c r="B28" s="16" t="s">
        <v>136</v>
      </c>
      <c r="C28" s="9" t="s">
        <v>58</v>
      </c>
      <c r="D28" s="1" t="s">
        <v>3</v>
      </c>
      <c r="E28" s="13">
        <v>44386</v>
      </c>
      <c r="F28" s="9" t="s">
        <v>5</v>
      </c>
      <c r="G28" s="1" t="s">
        <v>8</v>
      </c>
      <c r="H28" s="10" t="s">
        <v>203</v>
      </c>
      <c r="I28" s="14">
        <v>45</v>
      </c>
      <c r="J28" s="14">
        <v>45</v>
      </c>
      <c r="K28" s="14">
        <v>31</v>
      </c>
      <c r="L28" s="14">
        <v>12</v>
      </c>
      <c r="M28" s="1">
        <f>Table224[[#This Row],[P]]*Table224[[#This Row],[L]]*Table224[[#This Row],[T]]/4000</f>
        <v>15.69375</v>
      </c>
      <c r="N28" s="8">
        <v>16</v>
      </c>
      <c r="O28" s="78">
        <v>7000</v>
      </c>
      <c r="P28" s="79">
        <f>Table224[[#This Row],[PEMBULATAN]]*O28</f>
        <v>112000</v>
      </c>
    </row>
    <row r="29" spans="1:16" ht="24" customHeight="1" x14ac:dyDescent="0.2">
      <c r="A29" s="88"/>
      <c r="B29" s="18"/>
      <c r="C29" s="9" t="s">
        <v>59</v>
      </c>
      <c r="D29" s="1" t="s">
        <v>3</v>
      </c>
      <c r="E29" s="13">
        <v>44386</v>
      </c>
      <c r="F29" s="9" t="s">
        <v>5</v>
      </c>
      <c r="G29" s="1" t="s">
        <v>8</v>
      </c>
      <c r="H29" s="10" t="s">
        <v>203</v>
      </c>
      <c r="I29" s="14">
        <v>55</v>
      </c>
      <c r="J29" s="14">
        <v>36</v>
      </c>
      <c r="K29" s="14">
        <v>31</v>
      </c>
      <c r="L29" s="14">
        <v>12</v>
      </c>
      <c r="M29" s="1">
        <f>Table224[[#This Row],[P]]*Table224[[#This Row],[L]]*Table224[[#This Row],[T]]/4000</f>
        <v>15.345000000000001</v>
      </c>
      <c r="N29" s="8">
        <v>16</v>
      </c>
      <c r="O29" s="78">
        <v>7000</v>
      </c>
      <c r="P29" s="79">
        <f>Table224[[#This Row],[PEMBULATAN]]*O29</f>
        <v>112000</v>
      </c>
    </row>
    <row r="30" spans="1:16" ht="24" customHeight="1" x14ac:dyDescent="0.2">
      <c r="A30" s="89"/>
      <c r="B30" s="15" t="s">
        <v>137</v>
      </c>
      <c r="C30" s="9" t="s">
        <v>60</v>
      </c>
      <c r="D30" s="1" t="s">
        <v>3</v>
      </c>
      <c r="E30" s="13">
        <v>44386</v>
      </c>
      <c r="F30" s="9" t="s">
        <v>5</v>
      </c>
      <c r="G30" s="1" t="s">
        <v>8</v>
      </c>
      <c r="H30" s="10" t="s">
        <v>203</v>
      </c>
      <c r="I30" s="14">
        <v>35</v>
      </c>
      <c r="J30" s="14">
        <v>22</v>
      </c>
      <c r="K30" s="14">
        <v>20</v>
      </c>
      <c r="L30" s="14">
        <v>10</v>
      </c>
      <c r="M30" s="1">
        <f>Table224[[#This Row],[P]]*Table224[[#This Row],[L]]*Table224[[#This Row],[T]]/4000</f>
        <v>3.85</v>
      </c>
      <c r="N30" s="8">
        <v>10</v>
      </c>
      <c r="O30" s="78">
        <v>7000</v>
      </c>
      <c r="P30" s="79">
        <f>Table224[[#This Row],[PEMBULATAN]]*O30</f>
        <v>70000</v>
      </c>
    </row>
    <row r="31" spans="1:16" ht="24.75" customHeight="1" x14ac:dyDescent="0.2">
      <c r="A31" s="143" t="s">
        <v>234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5"/>
      <c r="M31" s="87">
        <f>SUBTOTAL(109,Table224[KG
VOLUME])</f>
        <v>438.97850000000017</v>
      </c>
      <c r="N31" s="82">
        <f>SUM(N3:N30)</f>
        <v>475</v>
      </c>
      <c r="O31" s="146">
        <f>SUM(P3:P30)</f>
        <v>3325000</v>
      </c>
      <c r="P31" s="147"/>
    </row>
    <row r="32" spans="1:16" x14ac:dyDescent="0.2">
      <c r="A32" s="11"/>
      <c r="H32" s="77"/>
      <c r="N32" s="75" t="s">
        <v>235</v>
      </c>
      <c r="P32" s="83">
        <f>O31*1%</f>
        <v>33250</v>
      </c>
    </row>
    <row r="33" spans="1:16" x14ac:dyDescent="0.2">
      <c r="A33" s="11"/>
      <c r="B33" s="63" t="s">
        <v>248</v>
      </c>
      <c r="C33" s="62"/>
      <c r="D33" s="64" t="s">
        <v>249</v>
      </c>
      <c r="H33" s="77"/>
      <c r="N33" s="75" t="s">
        <v>236</v>
      </c>
      <c r="P33" s="85">
        <v>0</v>
      </c>
    </row>
    <row r="34" spans="1:16" ht="15.75" thickBot="1" x14ac:dyDescent="0.25">
      <c r="A34" s="11"/>
      <c r="H34" s="77"/>
      <c r="N34" s="75" t="s">
        <v>237</v>
      </c>
      <c r="P34" s="85">
        <v>0</v>
      </c>
    </row>
    <row r="35" spans="1:16" x14ac:dyDescent="0.2">
      <c r="A35" s="11"/>
      <c r="H35" s="77"/>
      <c r="N35" s="80" t="s">
        <v>238</v>
      </c>
      <c r="O35" s="81"/>
      <c r="P35" s="84">
        <f>O31+P32</f>
        <v>3358250</v>
      </c>
    </row>
    <row r="36" spans="1:16" x14ac:dyDescent="0.2">
      <c r="B36" s="63"/>
      <c r="C36" s="62"/>
      <c r="D36" s="64"/>
    </row>
    <row r="38" spans="1:16" x14ac:dyDescent="0.2">
      <c r="A38" s="11"/>
      <c r="H38" s="77"/>
      <c r="O38" s="66"/>
      <c r="P38" s="86"/>
    </row>
    <row r="39" spans="1:16" x14ac:dyDescent="0.2">
      <c r="A39" s="11"/>
      <c r="H39" s="77"/>
      <c r="P39" s="86"/>
    </row>
    <row r="40" spans="1:16" x14ac:dyDescent="0.2">
      <c r="A40" s="11"/>
      <c r="H40" s="77"/>
      <c r="P40" s="86"/>
    </row>
    <row r="41" spans="1:16" x14ac:dyDescent="0.2">
      <c r="A41" s="11"/>
      <c r="H41" s="77"/>
      <c r="P41" s="86"/>
    </row>
    <row r="42" spans="1:16" x14ac:dyDescent="0.2">
      <c r="A42" s="11"/>
      <c r="H42" s="77"/>
    </row>
  </sheetData>
  <mergeCells count="3">
    <mergeCell ref="A3:A4"/>
    <mergeCell ref="A31:L31"/>
    <mergeCell ref="O31:P31"/>
  </mergeCells>
  <conditionalFormatting sqref="B3">
    <cfRule type="duplicateValues" dxfId="11" priority="14"/>
  </conditionalFormatting>
  <conditionalFormatting sqref="B28">
    <cfRule type="duplicateValues" dxfId="10" priority="13"/>
  </conditionalFormatting>
  <conditionalFormatting sqref="B30">
    <cfRule type="duplicateValues" dxfId="9" priority="12"/>
  </conditionalFormatting>
  <printOptions horizontalCentered="1"/>
  <pageMargins left="0.31496062992125984" right="0.31496062992125984" top="0.59055118110236227" bottom="0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R7" sqref="R7"/>
    </sheetView>
  </sheetViews>
  <sheetFormatPr defaultRowHeight="15" x14ac:dyDescent="0.2"/>
  <cols>
    <col min="1" max="1" width="7.85546875" style="4" customWidth="1"/>
    <col min="2" max="2" width="19.42578125" style="2" customWidth="1"/>
    <col min="3" max="3" width="14.7109375" style="2" customWidth="1"/>
    <col min="4" max="4" width="9.5703125" style="3" customWidth="1"/>
    <col min="5" max="5" width="8.85546875" style="12" customWidth="1"/>
    <col min="6" max="6" width="9.42578125" style="3" customWidth="1"/>
    <col min="7" max="7" width="10" style="3" customWidth="1"/>
    <col min="8" max="8" width="13" style="6" customWidth="1"/>
    <col min="9" max="11" width="3.85546875" style="3" customWidth="1"/>
    <col min="12" max="12" width="5.7109375" style="3" customWidth="1"/>
    <col min="13" max="13" width="9" style="3" customWidth="1"/>
    <col min="14" max="14" width="12.42578125" style="19" customWidth="1"/>
    <col min="15" max="15" width="9" style="19" customWidth="1"/>
    <col min="16" max="16" width="12.7109375" style="19" customWidth="1"/>
    <col min="17" max="16384" width="9.140625" style="4"/>
  </cols>
  <sheetData>
    <row r="1" spans="1:16" x14ac:dyDescent="0.2">
      <c r="H1" s="5"/>
    </row>
    <row r="2" spans="1:16" ht="25.5" x14ac:dyDescent="0.2">
      <c r="A2" s="72" t="s">
        <v>260</v>
      </c>
      <c r="B2" s="7" t="s">
        <v>128</v>
      </c>
      <c r="C2" s="7" t="s">
        <v>0</v>
      </c>
      <c r="D2" s="7" t="s">
        <v>1</v>
      </c>
      <c r="E2" s="73" t="s">
        <v>6</v>
      </c>
      <c r="F2" s="7" t="s">
        <v>4</v>
      </c>
      <c r="G2" s="7" t="s">
        <v>7</v>
      </c>
      <c r="H2" s="73" t="s">
        <v>2</v>
      </c>
      <c r="I2" s="7" t="s">
        <v>245</v>
      </c>
      <c r="J2" s="7" t="s">
        <v>246</v>
      </c>
      <c r="K2" s="7" t="s">
        <v>247</v>
      </c>
      <c r="L2" s="74" t="s">
        <v>261</v>
      </c>
      <c r="M2" s="74" t="s">
        <v>265</v>
      </c>
      <c r="N2" s="74" t="s">
        <v>17</v>
      </c>
      <c r="O2" s="74" t="s">
        <v>263</v>
      </c>
      <c r="P2" s="74" t="s">
        <v>264</v>
      </c>
    </row>
    <row r="3" spans="1:16" ht="25.5" customHeight="1" x14ac:dyDescent="0.2">
      <c r="A3" s="142" t="s">
        <v>253</v>
      </c>
      <c r="B3" s="16" t="s">
        <v>138</v>
      </c>
      <c r="C3" s="9" t="s">
        <v>61</v>
      </c>
      <c r="D3" s="1" t="s">
        <v>3</v>
      </c>
      <c r="E3" s="13">
        <v>44387</v>
      </c>
      <c r="F3" s="9" t="s">
        <v>5</v>
      </c>
      <c r="G3" s="1" t="s">
        <v>8</v>
      </c>
      <c r="H3" s="10" t="s">
        <v>203</v>
      </c>
      <c r="I3" s="14">
        <v>51</v>
      </c>
      <c r="J3" s="14">
        <v>31</v>
      </c>
      <c r="K3" s="14">
        <v>47</v>
      </c>
      <c r="L3" s="14">
        <v>11</v>
      </c>
      <c r="M3" s="1">
        <f>Table2245[[#This Row],[P]]*Table2245[[#This Row],[L]]*Table2245[[#This Row],[T]]/4000</f>
        <v>18.576750000000001</v>
      </c>
      <c r="N3" s="90">
        <v>19</v>
      </c>
      <c r="O3" s="78">
        <v>7000</v>
      </c>
      <c r="P3" s="79">
        <f>Table2245[[#This Row],[PEMBULATAN]]*O3</f>
        <v>133000</v>
      </c>
    </row>
    <row r="4" spans="1:16" ht="25.5" customHeight="1" x14ac:dyDescent="0.2">
      <c r="A4" s="142"/>
      <c r="B4" s="17"/>
      <c r="C4" s="9" t="s">
        <v>62</v>
      </c>
      <c r="D4" s="1" t="s">
        <v>3</v>
      </c>
      <c r="E4" s="13">
        <v>44387</v>
      </c>
      <c r="F4" s="9" t="s">
        <v>5</v>
      </c>
      <c r="G4" s="1" t="s">
        <v>8</v>
      </c>
      <c r="H4" s="10" t="s">
        <v>203</v>
      </c>
      <c r="I4" s="14">
        <v>31</v>
      </c>
      <c r="J4" s="14">
        <v>35</v>
      </c>
      <c r="K4" s="14">
        <v>8</v>
      </c>
      <c r="L4" s="14">
        <v>6</v>
      </c>
      <c r="M4" s="1">
        <f>Table2245[[#This Row],[P]]*Table2245[[#This Row],[L]]*Table2245[[#This Row],[T]]/4000</f>
        <v>2.17</v>
      </c>
      <c r="N4" s="90">
        <v>6</v>
      </c>
      <c r="O4" s="78">
        <v>7000</v>
      </c>
      <c r="P4" s="79">
        <f>Table2245[[#This Row],[PEMBULATAN]]*O4</f>
        <v>42000</v>
      </c>
    </row>
    <row r="5" spans="1:16" ht="25.5" customHeight="1" x14ac:dyDescent="0.2">
      <c r="A5" s="17"/>
      <c r="B5" s="18"/>
      <c r="C5" s="9" t="s">
        <v>63</v>
      </c>
      <c r="D5" s="1" t="s">
        <v>3</v>
      </c>
      <c r="E5" s="13">
        <v>44387</v>
      </c>
      <c r="F5" s="9" t="s">
        <v>5</v>
      </c>
      <c r="G5" s="1" t="s">
        <v>8</v>
      </c>
      <c r="H5" s="10" t="s">
        <v>203</v>
      </c>
      <c r="I5" s="14">
        <v>33</v>
      </c>
      <c r="J5" s="14">
        <v>23</v>
      </c>
      <c r="K5" s="14">
        <v>14</v>
      </c>
      <c r="L5" s="14">
        <v>10</v>
      </c>
      <c r="M5" s="1">
        <f>Table2245[[#This Row],[P]]*Table2245[[#This Row],[L]]*Table2245[[#This Row],[T]]/4000</f>
        <v>2.6564999999999999</v>
      </c>
      <c r="N5" s="90">
        <v>10</v>
      </c>
      <c r="O5" s="78">
        <v>7000</v>
      </c>
      <c r="P5" s="79">
        <f>Table2245[[#This Row],[PEMBULATAN]]*O5</f>
        <v>70000</v>
      </c>
    </row>
    <row r="6" spans="1:16" ht="25.5" customHeight="1" x14ac:dyDescent="0.2">
      <c r="A6" s="17"/>
      <c r="B6" s="16" t="s">
        <v>139</v>
      </c>
      <c r="C6" s="9" t="s">
        <v>64</v>
      </c>
      <c r="D6" s="1" t="s">
        <v>3</v>
      </c>
      <c r="E6" s="13">
        <v>44387</v>
      </c>
      <c r="F6" s="9" t="s">
        <v>5</v>
      </c>
      <c r="G6" s="1" t="s">
        <v>8</v>
      </c>
      <c r="H6" s="10" t="s">
        <v>203</v>
      </c>
      <c r="I6" s="14">
        <v>56</v>
      </c>
      <c r="J6" s="14">
        <v>41</v>
      </c>
      <c r="K6" s="14">
        <v>41</v>
      </c>
      <c r="L6" s="14">
        <v>20</v>
      </c>
      <c r="M6" s="1">
        <f>Table2245[[#This Row],[P]]*Table2245[[#This Row],[L]]*Table2245[[#This Row],[T]]/4000</f>
        <v>23.533999999999999</v>
      </c>
      <c r="N6" s="90">
        <v>24</v>
      </c>
      <c r="O6" s="78">
        <v>7000</v>
      </c>
      <c r="P6" s="79">
        <f>Table2245[[#This Row],[PEMBULATAN]]*O6</f>
        <v>168000</v>
      </c>
    </row>
    <row r="7" spans="1:16" ht="25.5" customHeight="1" x14ac:dyDescent="0.2">
      <c r="A7" s="17"/>
      <c r="B7" s="17"/>
      <c r="C7" s="9" t="s">
        <v>65</v>
      </c>
      <c r="D7" s="1" t="s">
        <v>3</v>
      </c>
      <c r="E7" s="13">
        <v>44387</v>
      </c>
      <c r="F7" s="9" t="s">
        <v>5</v>
      </c>
      <c r="G7" s="1" t="s">
        <v>8</v>
      </c>
      <c r="H7" s="10" t="s">
        <v>203</v>
      </c>
      <c r="I7" s="14">
        <v>41</v>
      </c>
      <c r="J7" s="14">
        <v>46</v>
      </c>
      <c r="K7" s="14">
        <v>66</v>
      </c>
      <c r="L7" s="14">
        <v>21</v>
      </c>
      <c r="M7" s="1">
        <f>Table2245[[#This Row],[P]]*Table2245[[#This Row],[L]]*Table2245[[#This Row],[T]]/4000</f>
        <v>31.119</v>
      </c>
      <c r="N7" s="90">
        <v>31</v>
      </c>
      <c r="O7" s="78">
        <v>7000</v>
      </c>
      <c r="P7" s="79">
        <f>Table2245[[#This Row],[PEMBULATAN]]*O7</f>
        <v>217000</v>
      </c>
    </row>
    <row r="8" spans="1:16" ht="25.5" customHeight="1" x14ac:dyDescent="0.2">
      <c r="A8" s="17"/>
      <c r="B8" s="17"/>
      <c r="C8" s="9" t="s">
        <v>66</v>
      </c>
      <c r="D8" s="1" t="s">
        <v>3</v>
      </c>
      <c r="E8" s="13">
        <v>44387</v>
      </c>
      <c r="F8" s="9" t="s">
        <v>5</v>
      </c>
      <c r="G8" s="1" t="s">
        <v>8</v>
      </c>
      <c r="H8" s="10" t="s">
        <v>203</v>
      </c>
      <c r="I8" s="14">
        <v>40</v>
      </c>
      <c r="J8" s="14">
        <v>45</v>
      </c>
      <c r="K8" s="14">
        <v>38</v>
      </c>
      <c r="L8" s="14">
        <v>12</v>
      </c>
      <c r="M8" s="1">
        <f>Table2245[[#This Row],[P]]*Table2245[[#This Row],[L]]*Table2245[[#This Row],[T]]/4000</f>
        <v>17.100000000000001</v>
      </c>
      <c r="N8" s="90">
        <v>17</v>
      </c>
      <c r="O8" s="78">
        <v>7000</v>
      </c>
      <c r="P8" s="79">
        <f>Table2245[[#This Row],[PEMBULATAN]]*O8</f>
        <v>119000</v>
      </c>
    </row>
    <row r="9" spans="1:16" ht="25.5" customHeight="1" x14ac:dyDescent="0.2">
      <c r="A9" s="17"/>
      <c r="B9" s="17"/>
      <c r="C9" s="9" t="s">
        <v>67</v>
      </c>
      <c r="D9" s="1" t="s">
        <v>3</v>
      </c>
      <c r="E9" s="13">
        <v>44387</v>
      </c>
      <c r="F9" s="9" t="s">
        <v>5</v>
      </c>
      <c r="G9" s="1" t="s">
        <v>8</v>
      </c>
      <c r="H9" s="10" t="s">
        <v>203</v>
      </c>
      <c r="I9" s="14">
        <v>72</v>
      </c>
      <c r="J9" s="14">
        <v>41</v>
      </c>
      <c r="K9" s="14">
        <v>25</v>
      </c>
      <c r="L9" s="14">
        <v>44</v>
      </c>
      <c r="M9" s="1">
        <f>Table2245[[#This Row],[P]]*Table2245[[#This Row],[L]]*Table2245[[#This Row],[T]]/4000</f>
        <v>18.45</v>
      </c>
      <c r="N9" s="90">
        <v>44</v>
      </c>
      <c r="O9" s="78">
        <v>7000</v>
      </c>
      <c r="P9" s="79">
        <f>Table2245[[#This Row],[PEMBULATAN]]*O9</f>
        <v>308000</v>
      </c>
    </row>
    <row r="10" spans="1:16" ht="25.5" customHeight="1" x14ac:dyDescent="0.2">
      <c r="A10" s="17"/>
      <c r="B10" s="17"/>
      <c r="C10" s="9" t="s">
        <v>68</v>
      </c>
      <c r="D10" s="1" t="s">
        <v>3</v>
      </c>
      <c r="E10" s="13">
        <v>44387</v>
      </c>
      <c r="F10" s="9" t="s">
        <v>5</v>
      </c>
      <c r="G10" s="1" t="s">
        <v>8</v>
      </c>
      <c r="H10" s="10" t="s">
        <v>203</v>
      </c>
      <c r="I10" s="14">
        <v>55</v>
      </c>
      <c r="J10" s="14">
        <v>39</v>
      </c>
      <c r="K10" s="14">
        <v>28</v>
      </c>
      <c r="L10" s="14">
        <v>3</v>
      </c>
      <c r="M10" s="1">
        <f>Table2245[[#This Row],[P]]*Table2245[[#This Row],[L]]*Table2245[[#This Row],[T]]/4000</f>
        <v>15.015000000000001</v>
      </c>
      <c r="N10" s="90">
        <v>15</v>
      </c>
      <c r="O10" s="78">
        <v>7000</v>
      </c>
      <c r="P10" s="79">
        <f>Table2245[[#This Row],[PEMBULATAN]]*O10</f>
        <v>105000</v>
      </c>
    </row>
    <row r="11" spans="1:16" ht="25.5" customHeight="1" x14ac:dyDescent="0.2">
      <c r="A11" s="17"/>
      <c r="B11" s="17"/>
      <c r="C11" s="9" t="s">
        <v>69</v>
      </c>
      <c r="D11" s="1" t="s">
        <v>3</v>
      </c>
      <c r="E11" s="13">
        <v>44387</v>
      </c>
      <c r="F11" s="9" t="s">
        <v>5</v>
      </c>
      <c r="G11" s="1" t="s">
        <v>8</v>
      </c>
      <c r="H11" s="10" t="s">
        <v>203</v>
      </c>
      <c r="I11" s="14">
        <v>28</v>
      </c>
      <c r="J11" s="14">
        <v>38</v>
      </c>
      <c r="K11" s="14">
        <v>22</v>
      </c>
      <c r="L11" s="14">
        <v>5</v>
      </c>
      <c r="M11" s="1">
        <f>Table2245[[#This Row],[P]]*Table2245[[#This Row],[L]]*Table2245[[#This Row],[T]]/4000</f>
        <v>5.8520000000000003</v>
      </c>
      <c r="N11" s="90">
        <v>6</v>
      </c>
      <c r="O11" s="78">
        <v>7000</v>
      </c>
      <c r="P11" s="79">
        <f>Table2245[[#This Row],[PEMBULATAN]]*O11</f>
        <v>42000</v>
      </c>
    </row>
    <row r="12" spans="1:16" ht="25.5" customHeight="1" x14ac:dyDescent="0.2">
      <c r="A12" s="17"/>
      <c r="B12" s="17"/>
      <c r="C12" s="9" t="s">
        <v>70</v>
      </c>
      <c r="D12" s="1" t="s">
        <v>3</v>
      </c>
      <c r="E12" s="13">
        <v>44387</v>
      </c>
      <c r="F12" s="9" t="s">
        <v>5</v>
      </c>
      <c r="G12" s="1" t="s">
        <v>8</v>
      </c>
      <c r="H12" s="10" t="s">
        <v>203</v>
      </c>
      <c r="I12" s="14">
        <v>68</v>
      </c>
      <c r="J12" s="14">
        <v>48</v>
      </c>
      <c r="K12" s="14">
        <v>13</v>
      </c>
      <c r="L12" s="14">
        <v>7</v>
      </c>
      <c r="M12" s="1">
        <f>Table2245[[#This Row],[P]]*Table2245[[#This Row],[L]]*Table2245[[#This Row],[T]]/4000</f>
        <v>10.608000000000001</v>
      </c>
      <c r="N12" s="90">
        <v>11</v>
      </c>
      <c r="O12" s="78">
        <v>7000</v>
      </c>
      <c r="P12" s="79">
        <f>Table2245[[#This Row],[PEMBULATAN]]*O12</f>
        <v>77000</v>
      </c>
    </row>
    <row r="13" spans="1:16" ht="25.5" customHeight="1" x14ac:dyDescent="0.2">
      <c r="A13" s="17"/>
      <c r="B13" s="17"/>
      <c r="C13" s="9" t="s">
        <v>71</v>
      </c>
      <c r="D13" s="1" t="s">
        <v>3</v>
      </c>
      <c r="E13" s="13">
        <v>44387</v>
      </c>
      <c r="F13" s="9" t="s">
        <v>5</v>
      </c>
      <c r="G13" s="1" t="s">
        <v>8</v>
      </c>
      <c r="H13" s="10" t="s">
        <v>203</v>
      </c>
      <c r="I13" s="14">
        <v>62</v>
      </c>
      <c r="J13" s="14">
        <v>45</v>
      </c>
      <c r="K13" s="14">
        <v>11</v>
      </c>
      <c r="L13" s="14">
        <v>5</v>
      </c>
      <c r="M13" s="1">
        <f>Table2245[[#This Row],[P]]*Table2245[[#This Row],[L]]*Table2245[[#This Row],[T]]/4000</f>
        <v>7.6725000000000003</v>
      </c>
      <c r="N13" s="90">
        <v>8</v>
      </c>
      <c r="O13" s="78">
        <v>7000</v>
      </c>
      <c r="P13" s="79">
        <f>Table2245[[#This Row],[PEMBULATAN]]*O13</f>
        <v>56000</v>
      </c>
    </row>
    <row r="14" spans="1:16" ht="25.5" customHeight="1" x14ac:dyDescent="0.2">
      <c r="A14" s="17"/>
      <c r="B14" s="17"/>
      <c r="C14" s="9" t="s">
        <v>72</v>
      </c>
      <c r="D14" s="1" t="s">
        <v>3</v>
      </c>
      <c r="E14" s="13">
        <v>44387</v>
      </c>
      <c r="F14" s="9" t="s">
        <v>5</v>
      </c>
      <c r="G14" s="1" t="s">
        <v>8</v>
      </c>
      <c r="H14" s="10" t="s">
        <v>203</v>
      </c>
      <c r="I14" s="14">
        <v>44</v>
      </c>
      <c r="J14" s="14">
        <v>30</v>
      </c>
      <c r="K14" s="14">
        <v>28</v>
      </c>
      <c r="L14" s="14">
        <v>9</v>
      </c>
      <c r="M14" s="1">
        <f>Table2245[[#This Row],[P]]*Table2245[[#This Row],[L]]*Table2245[[#This Row],[T]]/4000</f>
        <v>9.24</v>
      </c>
      <c r="N14" s="90">
        <v>9</v>
      </c>
      <c r="O14" s="78">
        <v>7000</v>
      </c>
      <c r="P14" s="79">
        <f>Table2245[[#This Row],[PEMBULATAN]]*O14</f>
        <v>63000</v>
      </c>
    </row>
    <row r="15" spans="1:16" ht="25.5" customHeight="1" x14ac:dyDescent="0.2">
      <c r="A15" s="17"/>
      <c r="B15" s="17"/>
      <c r="C15" s="9" t="s">
        <v>73</v>
      </c>
      <c r="D15" s="1" t="s">
        <v>3</v>
      </c>
      <c r="E15" s="13">
        <v>44387</v>
      </c>
      <c r="F15" s="9" t="s">
        <v>5</v>
      </c>
      <c r="G15" s="1" t="s">
        <v>8</v>
      </c>
      <c r="H15" s="10" t="s">
        <v>203</v>
      </c>
      <c r="I15" s="14">
        <v>51</v>
      </c>
      <c r="J15" s="14">
        <v>38</v>
      </c>
      <c r="K15" s="14">
        <v>47</v>
      </c>
      <c r="L15" s="14">
        <v>20</v>
      </c>
      <c r="M15" s="1">
        <f>Table2245[[#This Row],[P]]*Table2245[[#This Row],[L]]*Table2245[[#This Row],[T]]/4000</f>
        <v>22.7715</v>
      </c>
      <c r="N15" s="90">
        <v>23</v>
      </c>
      <c r="O15" s="78">
        <v>7000</v>
      </c>
      <c r="P15" s="79">
        <f>Table2245[[#This Row],[PEMBULATAN]]*O15</f>
        <v>161000</v>
      </c>
    </row>
    <row r="16" spans="1:16" ht="25.5" customHeight="1" x14ac:dyDescent="0.2">
      <c r="A16" s="17"/>
      <c r="B16" s="17"/>
      <c r="C16" s="9" t="s">
        <v>74</v>
      </c>
      <c r="D16" s="1" t="s">
        <v>3</v>
      </c>
      <c r="E16" s="13">
        <v>44387</v>
      </c>
      <c r="F16" s="9" t="s">
        <v>5</v>
      </c>
      <c r="G16" s="1" t="s">
        <v>8</v>
      </c>
      <c r="H16" s="10" t="s">
        <v>203</v>
      </c>
      <c r="I16" s="14">
        <v>69</v>
      </c>
      <c r="J16" s="14">
        <v>25</v>
      </c>
      <c r="K16" s="14">
        <v>22</v>
      </c>
      <c r="L16" s="14">
        <v>9</v>
      </c>
      <c r="M16" s="1">
        <f>Table2245[[#This Row],[P]]*Table2245[[#This Row],[L]]*Table2245[[#This Row],[T]]/4000</f>
        <v>9.4875000000000007</v>
      </c>
      <c r="N16" s="90">
        <v>10</v>
      </c>
      <c r="O16" s="78">
        <v>7000</v>
      </c>
      <c r="P16" s="79">
        <f>Table2245[[#This Row],[PEMBULATAN]]*O16</f>
        <v>70000</v>
      </c>
    </row>
    <row r="17" spans="1:16" ht="25.5" customHeight="1" x14ac:dyDescent="0.2">
      <c r="A17" s="17"/>
      <c r="B17" s="17"/>
      <c r="C17" s="9" t="s">
        <v>75</v>
      </c>
      <c r="D17" s="1" t="s">
        <v>3</v>
      </c>
      <c r="E17" s="13">
        <v>44387</v>
      </c>
      <c r="F17" s="9" t="s">
        <v>5</v>
      </c>
      <c r="G17" s="1" t="s">
        <v>8</v>
      </c>
      <c r="H17" s="10" t="s">
        <v>203</v>
      </c>
      <c r="I17" s="14">
        <v>47</v>
      </c>
      <c r="J17" s="14">
        <v>52</v>
      </c>
      <c r="K17" s="14">
        <v>64</v>
      </c>
      <c r="L17" s="14">
        <v>28</v>
      </c>
      <c r="M17" s="1">
        <f>Table2245[[#This Row],[P]]*Table2245[[#This Row],[L]]*Table2245[[#This Row],[T]]/4000</f>
        <v>39.103999999999999</v>
      </c>
      <c r="N17" s="90">
        <v>39</v>
      </c>
      <c r="O17" s="78">
        <v>7000</v>
      </c>
      <c r="P17" s="79">
        <f>Table2245[[#This Row],[PEMBULATAN]]*O17</f>
        <v>273000</v>
      </c>
    </row>
    <row r="18" spans="1:16" ht="25.5" customHeight="1" x14ac:dyDescent="0.2">
      <c r="A18" s="17"/>
      <c r="B18" s="17"/>
      <c r="C18" s="9" t="s">
        <v>76</v>
      </c>
      <c r="D18" s="1" t="s">
        <v>3</v>
      </c>
      <c r="E18" s="13">
        <v>44387</v>
      </c>
      <c r="F18" s="9" t="s">
        <v>5</v>
      </c>
      <c r="G18" s="1" t="s">
        <v>8</v>
      </c>
      <c r="H18" s="10" t="s">
        <v>203</v>
      </c>
      <c r="I18" s="14">
        <v>124</v>
      </c>
      <c r="J18" s="14">
        <v>16</v>
      </c>
      <c r="K18" s="14">
        <v>21</v>
      </c>
      <c r="L18" s="14">
        <v>9</v>
      </c>
      <c r="M18" s="1">
        <f>Table2245[[#This Row],[P]]*Table2245[[#This Row],[L]]*Table2245[[#This Row],[T]]/4000</f>
        <v>10.416</v>
      </c>
      <c r="N18" s="90">
        <v>11</v>
      </c>
      <c r="O18" s="78">
        <v>7000</v>
      </c>
      <c r="P18" s="79">
        <f>Table2245[[#This Row],[PEMBULATAN]]*O18</f>
        <v>77000</v>
      </c>
    </row>
    <row r="19" spans="1:16" ht="25.5" customHeight="1" x14ac:dyDescent="0.2">
      <c r="A19" s="88"/>
      <c r="B19" s="17"/>
      <c r="C19" s="9" t="s">
        <v>77</v>
      </c>
      <c r="D19" s="1" t="s">
        <v>3</v>
      </c>
      <c r="E19" s="13">
        <v>44387</v>
      </c>
      <c r="F19" s="9" t="s">
        <v>5</v>
      </c>
      <c r="G19" s="1" t="s">
        <v>8</v>
      </c>
      <c r="H19" s="10" t="s">
        <v>203</v>
      </c>
      <c r="I19" s="14">
        <v>82</v>
      </c>
      <c r="J19" s="14">
        <v>56</v>
      </c>
      <c r="K19" s="14">
        <v>41</v>
      </c>
      <c r="L19" s="14">
        <v>27</v>
      </c>
      <c r="M19" s="1">
        <f>Table2245[[#This Row],[P]]*Table2245[[#This Row],[L]]*Table2245[[#This Row],[T]]/4000</f>
        <v>47.067999999999998</v>
      </c>
      <c r="N19" s="90">
        <v>47</v>
      </c>
      <c r="O19" s="78">
        <v>7000</v>
      </c>
      <c r="P19" s="79">
        <f>Table2245[[#This Row],[PEMBULATAN]]*O19</f>
        <v>329000</v>
      </c>
    </row>
    <row r="20" spans="1:16" ht="25.5" customHeight="1" x14ac:dyDescent="0.2">
      <c r="A20" s="88"/>
      <c r="B20" s="17"/>
      <c r="C20" s="9" t="s">
        <v>78</v>
      </c>
      <c r="D20" s="1" t="s">
        <v>3</v>
      </c>
      <c r="E20" s="13">
        <v>44387</v>
      </c>
      <c r="F20" s="9" t="s">
        <v>5</v>
      </c>
      <c r="G20" s="1" t="s">
        <v>8</v>
      </c>
      <c r="H20" s="10" t="s">
        <v>203</v>
      </c>
      <c r="I20" s="14">
        <v>42</v>
      </c>
      <c r="J20" s="14">
        <v>59</v>
      </c>
      <c r="K20" s="14">
        <v>29</v>
      </c>
      <c r="L20" s="14">
        <v>24</v>
      </c>
      <c r="M20" s="1">
        <f>Table2245[[#This Row],[P]]*Table2245[[#This Row],[L]]*Table2245[[#This Row],[T]]/4000</f>
        <v>17.965499999999999</v>
      </c>
      <c r="N20" s="90">
        <v>24</v>
      </c>
      <c r="O20" s="78">
        <v>7000</v>
      </c>
      <c r="P20" s="79">
        <f>Table2245[[#This Row],[PEMBULATAN]]*O20</f>
        <v>168000</v>
      </c>
    </row>
    <row r="21" spans="1:16" ht="25.5" customHeight="1" x14ac:dyDescent="0.2">
      <c r="A21" s="88"/>
      <c r="B21" s="17"/>
      <c r="C21" s="9" t="s">
        <v>79</v>
      </c>
      <c r="D21" s="1" t="s">
        <v>3</v>
      </c>
      <c r="E21" s="13">
        <v>44387</v>
      </c>
      <c r="F21" s="9" t="s">
        <v>5</v>
      </c>
      <c r="G21" s="1" t="s">
        <v>8</v>
      </c>
      <c r="H21" s="10" t="s">
        <v>203</v>
      </c>
      <c r="I21" s="14">
        <v>121</v>
      </c>
      <c r="J21" s="14">
        <v>42</v>
      </c>
      <c r="K21" s="14">
        <v>56</v>
      </c>
      <c r="L21" s="14">
        <v>40</v>
      </c>
      <c r="M21" s="1">
        <f>Table2245[[#This Row],[P]]*Table2245[[#This Row],[L]]*Table2245[[#This Row],[T]]/4000</f>
        <v>71.147999999999996</v>
      </c>
      <c r="N21" s="90">
        <v>71</v>
      </c>
      <c r="O21" s="78">
        <v>7000</v>
      </c>
      <c r="P21" s="79">
        <f>Table2245[[#This Row],[PEMBULATAN]]*O21</f>
        <v>497000</v>
      </c>
    </row>
    <row r="22" spans="1:16" ht="25.5" customHeight="1" x14ac:dyDescent="0.2">
      <c r="A22" s="88"/>
      <c r="B22" s="17"/>
      <c r="C22" s="9" t="s">
        <v>80</v>
      </c>
      <c r="D22" s="1" t="s">
        <v>3</v>
      </c>
      <c r="E22" s="13">
        <v>44387</v>
      </c>
      <c r="F22" s="9" t="s">
        <v>5</v>
      </c>
      <c r="G22" s="1" t="s">
        <v>8</v>
      </c>
      <c r="H22" s="10" t="s">
        <v>203</v>
      </c>
      <c r="I22" s="14">
        <v>59</v>
      </c>
      <c r="J22" s="14">
        <v>31</v>
      </c>
      <c r="K22" s="14">
        <v>41</v>
      </c>
      <c r="L22" s="14">
        <v>24</v>
      </c>
      <c r="M22" s="1">
        <f>Table2245[[#This Row],[P]]*Table2245[[#This Row],[L]]*Table2245[[#This Row],[T]]/4000</f>
        <v>18.747250000000001</v>
      </c>
      <c r="N22" s="90">
        <v>24</v>
      </c>
      <c r="O22" s="78">
        <v>7000</v>
      </c>
      <c r="P22" s="79">
        <f>Table2245[[#This Row],[PEMBULATAN]]*O22</f>
        <v>168000</v>
      </c>
    </row>
    <row r="23" spans="1:16" ht="25.5" customHeight="1" x14ac:dyDescent="0.2">
      <c r="A23" s="88"/>
      <c r="B23" s="17"/>
      <c r="C23" s="9" t="s">
        <v>81</v>
      </c>
      <c r="D23" s="1" t="s">
        <v>3</v>
      </c>
      <c r="E23" s="13">
        <v>44387</v>
      </c>
      <c r="F23" s="9" t="s">
        <v>5</v>
      </c>
      <c r="G23" s="1" t="s">
        <v>8</v>
      </c>
      <c r="H23" s="10" t="s">
        <v>203</v>
      </c>
      <c r="I23" s="14">
        <v>32</v>
      </c>
      <c r="J23" s="14">
        <v>41</v>
      </c>
      <c r="K23" s="14">
        <v>61</v>
      </c>
      <c r="L23" s="14">
        <v>24</v>
      </c>
      <c r="M23" s="1">
        <f>Table2245[[#This Row],[P]]*Table2245[[#This Row],[L]]*Table2245[[#This Row],[T]]/4000</f>
        <v>20.007999999999999</v>
      </c>
      <c r="N23" s="90">
        <v>24</v>
      </c>
      <c r="O23" s="78">
        <v>7000</v>
      </c>
      <c r="P23" s="79">
        <f>Table2245[[#This Row],[PEMBULATAN]]*O23</f>
        <v>168000</v>
      </c>
    </row>
    <row r="24" spans="1:16" ht="25.5" customHeight="1" x14ac:dyDescent="0.2">
      <c r="A24" s="88"/>
      <c r="B24" s="17"/>
      <c r="C24" s="9" t="s">
        <v>82</v>
      </c>
      <c r="D24" s="1" t="s">
        <v>3</v>
      </c>
      <c r="E24" s="13">
        <v>44387</v>
      </c>
      <c r="F24" s="9" t="s">
        <v>5</v>
      </c>
      <c r="G24" s="1" t="s">
        <v>8</v>
      </c>
      <c r="H24" s="10" t="s">
        <v>203</v>
      </c>
      <c r="I24" s="14">
        <v>31</v>
      </c>
      <c r="J24" s="14">
        <v>28</v>
      </c>
      <c r="K24" s="14">
        <v>16</v>
      </c>
      <c r="L24" s="14">
        <v>9</v>
      </c>
      <c r="M24" s="1">
        <f>Table2245[[#This Row],[P]]*Table2245[[#This Row],[L]]*Table2245[[#This Row],[T]]/4000</f>
        <v>3.472</v>
      </c>
      <c r="N24" s="90">
        <v>9</v>
      </c>
      <c r="O24" s="78">
        <v>7000</v>
      </c>
      <c r="P24" s="79">
        <f>Table2245[[#This Row],[PEMBULATAN]]*O24</f>
        <v>63000</v>
      </c>
    </row>
    <row r="25" spans="1:16" ht="25.5" customHeight="1" x14ac:dyDescent="0.2">
      <c r="A25" s="88"/>
      <c r="B25" s="17"/>
      <c r="C25" s="9" t="s">
        <v>83</v>
      </c>
      <c r="D25" s="1" t="s">
        <v>3</v>
      </c>
      <c r="E25" s="13">
        <v>44387</v>
      </c>
      <c r="F25" s="9" t="s">
        <v>5</v>
      </c>
      <c r="G25" s="1" t="s">
        <v>8</v>
      </c>
      <c r="H25" s="10" t="s">
        <v>203</v>
      </c>
      <c r="I25" s="14">
        <v>93</v>
      </c>
      <c r="J25" s="14">
        <v>44</v>
      </c>
      <c r="K25" s="14">
        <v>31</v>
      </c>
      <c r="L25" s="14">
        <v>18</v>
      </c>
      <c r="M25" s="1">
        <f>Table2245[[#This Row],[P]]*Table2245[[#This Row],[L]]*Table2245[[#This Row],[T]]/4000</f>
        <v>31.713000000000001</v>
      </c>
      <c r="N25" s="90">
        <v>32</v>
      </c>
      <c r="O25" s="78">
        <v>7000</v>
      </c>
      <c r="P25" s="79">
        <f>Table2245[[#This Row],[PEMBULATAN]]*O25</f>
        <v>224000</v>
      </c>
    </row>
    <row r="26" spans="1:16" ht="25.5" customHeight="1" x14ac:dyDescent="0.2">
      <c r="A26" s="88"/>
      <c r="B26" s="17"/>
      <c r="C26" s="9" t="s">
        <v>84</v>
      </c>
      <c r="D26" s="1" t="s">
        <v>3</v>
      </c>
      <c r="E26" s="13">
        <v>44387</v>
      </c>
      <c r="F26" s="9" t="s">
        <v>5</v>
      </c>
      <c r="G26" s="1" t="s">
        <v>8</v>
      </c>
      <c r="H26" s="10" t="s">
        <v>203</v>
      </c>
      <c r="I26" s="14">
        <v>62</v>
      </c>
      <c r="J26" s="14">
        <v>28</v>
      </c>
      <c r="K26" s="14">
        <v>61</v>
      </c>
      <c r="L26" s="14">
        <v>9</v>
      </c>
      <c r="M26" s="1">
        <f>Table2245[[#This Row],[P]]*Table2245[[#This Row],[L]]*Table2245[[#This Row],[T]]/4000</f>
        <v>26.474</v>
      </c>
      <c r="N26" s="90">
        <v>27</v>
      </c>
      <c r="O26" s="78">
        <v>7000</v>
      </c>
      <c r="P26" s="79">
        <f>Table2245[[#This Row],[PEMBULATAN]]*O26</f>
        <v>189000</v>
      </c>
    </row>
    <row r="27" spans="1:16" ht="25.5" customHeight="1" x14ac:dyDescent="0.2">
      <c r="A27" s="88"/>
      <c r="B27" s="17"/>
      <c r="C27" s="9" t="s">
        <v>85</v>
      </c>
      <c r="D27" s="1" t="s">
        <v>3</v>
      </c>
      <c r="E27" s="13">
        <v>44387</v>
      </c>
      <c r="F27" s="9" t="s">
        <v>5</v>
      </c>
      <c r="G27" s="1" t="s">
        <v>8</v>
      </c>
      <c r="H27" s="10" t="s">
        <v>203</v>
      </c>
      <c r="I27" s="14">
        <v>46</v>
      </c>
      <c r="J27" s="14">
        <v>42</v>
      </c>
      <c r="K27" s="14">
        <v>19</v>
      </c>
      <c r="L27" s="14">
        <v>7</v>
      </c>
      <c r="M27" s="1">
        <f>Table2245[[#This Row],[P]]*Table2245[[#This Row],[L]]*Table2245[[#This Row],[T]]/4000</f>
        <v>9.1769999999999996</v>
      </c>
      <c r="N27" s="90">
        <v>9</v>
      </c>
      <c r="O27" s="78">
        <v>7000</v>
      </c>
      <c r="P27" s="79">
        <f>Table2245[[#This Row],[PEMBULATAN]]*O27</f>
        <v>63000</v>
      </c>
    </row>
    <row r="28" spans="1:16" ht="25.5" customHeight="1" x14ac:dyDescent="0.2">
      <c r="A28" s="88"/>
      <c r="B28" s="17"/>
      <c r="C28" s="9" t="s">
        <v>86</v>
      </c>
      <c r="D28" s="1" t="s">
        <v>3</v>
      </c>
      <c r="E28" s="13">
        <v>44387</v>
      </c>
      <c r="F28" s="9" t="s">
        <v>5</v>
      </c>
      <c r="G28" s="1" t="s">
        <v>8</v>
      </c>
      <c r="H28" s="10" t="s">
        <v>203</v>
      </c>
      <c r="I28" s="14">
        <v>91</v>
      </c>
      <c r="J28" s="14">
        <v>46</v>
      </c>
      <c r="K28" s="14">
        <v>28</v>
      </c>
      <c r="L28" s="14">
        <v>25</v>
      </c>
      <c r="M28" s="1">
        <f>Table2245[[#This Row],[P]]*Table2245[[#This Row],[L]]*Table2245[[#This Row],[T]]/4000</f>
        <v>29.302</v>
      </c>
      <c r="N28" s="90">
        <v>30</v>
      </c>
      <c r="O28" s="78">
        <v>7000</v>
      </c>
      <c r="P28" s="79">
        <f>Table2245[[#This Row],[PEMBULATAN]]*O28</f>
        <v>210000</v>
      </c>
    </row>
    <row r="29" spans="1:16" ht="25.5" customHeight="1" x14ac:dyDescent="0.2">
      <c r="A29" s="88"/>
      <c r="B29" s="18"/>
      <c r="C29" s="9" t="s">
        <v>87</v>
      </c>
      <c r="D29" s="1" t="s">
        <v>3</v>
      </c>
      <c r="E29" s="13">
        <v>44387</v>
      </c>
      <c r="F29" s="9" t="s">
        <v>5</v>
      </c>
      <c r="G29" s="1" t="s">
        <v>8</v>
      </c>
      <c r="H29" s="10" t="s">
        <v>203</v>
      </c>
      <c r="I29" s="14">
        <v>38</v>
      </c>
      <c r="J29" s="14">
        <v>27</v>
      </c>
      <c r="K29" s="14">
        <v>24</v>
      </c>
      <c r="L29" s="14">
        <v>5</v>
      </c>
      <c r="M29" s="1">
        <f>Table2245[[#This Row],[P]]*Table2245[[#This Row],[L]]*Table2245[[#This Row],[T]]/4000</f>
        <v>6.1559999999999997</v>
      </c>
      <c r="N29" s="90">
        <v>6</v>
      </c>
      <c r="O29" s="78">
        <v>7000</v>
      </c>
      <c r="P29" s="79">
        <f>Table2245[[#This Row],[PEMBULATAN]]*O29</f>
        <v>42000</v>
      </c>
    </row>
    <row r="30" spans="1:16" ht="28.5" customHeight="1" x14ac:dyDescent="0.2">
      <c r="A30" s="143" t="s">
        <v>234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5"/>
      <c r="M30" s="87">
        <f>SUBTOTAL(109,Table2245[KG
VOLUME])</f>
        <v>525.00349999999992</v>
      </c>
      <c r="N30" s="82">
        <f>SUM(N2:N29)</f>
        <v>586</v>
      </c>
      <c r="O30" s="146">
        <f>SUM(P3:P29)</f>
        <v>4102000</v>
      </c>
      <c r="P30" s="147"/>
    </row>
    <row r="31" spans="1:16" x14ac:dyDescent="0.2">
      <c r="A31" s="11"/>
      <c r="H31" s="77"/>
      <c r="N31" s="75" t="s">
        <v>235</v>
      </c>
      <c r="P31" s="83">
        <f>O30*1%</f>
        <v>41020</v>
      </c>
    </row>
    <row r="32" spans="1:16" x14ac:dyDescent="0.2">
      <c r="A32" s="11"/>
      <c r="B32" s="91" t="s">
        <v>248</v>
      </c>
      <c r="C32" s="92"/>
      <c r="D32" s="93" t="s">
        <v>249</v>
      </c>
      <c r="H32" s="77"/>
      <c r="N32" s="75" t="s">
        <v>236</v>
      </c>
      <c r="P32" s="85">
        <v>0</v>
      </c>
    </row>
    <row r="33" spans="1:16" ht="15.75" thickBot="1" x14ac:dyDescent="0.25">
      <c r="A33" s="11"/>
      <c r="H33" s="77"/>
      <c r="N33" s="75" t="s">
        <v>237</v>
      </c>
      <c r="P33" s="85">
        <v>0</v>
      </c>
    </row>
    <row r="34" spans="1:16" x14ac:dyDescent="0.2">
      <c r="A34" s="11"/>
      <c r="H34" s="77"/>
      <c r="N34" s="80" t="s">
        <v>238</v>
      </c>
      <c r="O34" s="81"/>
      <c r="P34" s="84">
        <f>O30+P31</f>
        <v>4143020</v>
      </c>
    </row>
    <row r="35" spans="1:16" x14ac:dyDescent="0.2">
      <c r="A35" s="11"/>
      <c r="H35" s="77"/>
      <c r="P35" s="86"/>
    </row>
    <row r="36" spans="1:16" x14ac:dyDescent="0.2">
      <c r="A36" s="11"/>
      <c r="H36" s="77"/>
    </row>
  </sheetData>
  <mergeCells count="3">
    <mergeCell ref="A3:A4"/>
    <mergeCell ref="A30:L30"/>
    <mergeCell ref="O30:P30"/>
  </mergeCells>
  <conditionalFormatting sqref="B3">
    <cfRule type="duplicateValues" dxfId="8" priority="11"/>
  </conditionalFormatting>
  <conditionalFormatting sqref="B6">
    <cfRule type="duplicateValues" dxfId="7" priority="10"/>
  </conditionalFormatting>
  <printOptions horizontalCentered="1"/>
  <pageMargins left="0.31496062992125984" right="0.31496062992125984" top="0.35433070866141736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20" sqref="O20:P20"/>
    </sheetView>
  </sheetViews>
  <sheetFormatPr defaultRowHeight="15" x14ac:dyDescent="0.2"/>
  <cols>
    <col min="1" max="1" width="7.5703125" style="4" customWidth="1"/>
    <col min="2" max="2" width="19" style="2" customWidth="1"/>
    <col min="3" max="3" width="15" style="2" customWidth="1"/>
    <col min="4" max="4" width="8.85546875" style="3" customWidth="1"/>
    <col min="5" max="5" width="8" style="12" customWidth="1"/>
    <col min="6" max="6" width="9.42578125" style="3" customWidth="1"/>
    <col min="7" max="7" width="9.28515625" style="3" customWidth="1"/>
    <col min="8" max="8" width="14" style="6" customWidth="1"/>
    <col min="9" max="11" width="3.85546875" style="3" customWidth="1"/>
    <col min="12" max="12" width="4.5703125" style="3" customWidth="1"/>
    <col min="13" max="13" width="9" style="3" customWidth="1"/>
    <col min="14" max="14" width="14.28515625" style="19" customWidth="1"/>
    <col min="15" max="15" width="7.7109375" style="19" customWidth="1"/>
    <col min="16" max="16" width="14" style="19" customWidth="1"/>
    <col min="17" max="16384" width="9.140625" style="4"/>
  </cols>
  <sheetData>
    <row r="1" spans="1:16" x14ac:dyDescent="0.2">
      <c r="H1" s="5"/>
    </row>
    <row r="2" spans="1:16" ht="25.5" x14ac:dyDescent="0.2">
      <c r="A2" s="95" t="s">
        <v>260</v>
      </c>
      <c r="B2" s="74" t="s">
        <v>128</v>
      </c>
      <c r="C2" s="74" t="s">
        <v>0</v>
      </c>
      <c r="D2" s="74" t="s">
        <v>1</v>
      </c>
      <c r="E2" s="96" t="s">
        <v>6</v>
      </c>
      <c r="F2" s="74" t="s">
        <v>4</v>
      </c>
      <c r="G2" s="74" t="s">
        <v>7</v>
      </c>
      <c r="H2" s="96" t="s">
        <v>2</v>
      </c>
      <c r="I2" s="74" t="s">
        <v>245</v>
      </c>
      <c r="J2" s="74" t="s">
        <v>246</v>
      </c>
      <c r="K2" s="74" t="s">
        <v>247</v>
      </c>
      <c r="L2" s="74" t="s">
        <v>261</v>
      </c>
      <c r="M2" s="74" t="s">
        <v>265</v>
      </c>
      <c r="N2" s="74" t="s">
        <v>17</v>
      </c>
      <c r="O2" s="74" t="s">
        <v>263</v>
      </c>
      <c r="P2" s="74" t="s">
        <v>264</v>
      </c>
    </row>
    <row r="3" spans="1:16" ht="24" x14ac:dyDescent="0.2">
      <c r="A3" s="142" t="s">
        <v>254</v>
      </c>
      <c r="B3" s="15" t="s">
        <v>140</v>
      </c>
      <c r="C3" s="97" t="s">
        <v>88</v>
      </c>
      <c r="D3" s="99" t="s">
        <v>3</v>
      </c>
      <c r="E3" s="100">
        <v>44388</v>
      </c>
      <c r="F3" s="98" t="s">
        <v>148</v>
      </c>
      <c r="G3" s="99" t="s">
        <v>147</v>
      </c>
      <c r="H3" s="10" t="s">
        <v>204</v>
      </c>
      <c r="I3" s="101">
        <v>58</v>
      </c>
      <c r="J3" s="101">
        <v>52</v>
      </c>
      <c r="K3" s="101">
        <v>17</v>
      </c>
      <c r="L3" s="101">
        <v>7</v>
      </c>
      <c r="M3" s="99">
        <f>Table22456[[#This Row],[P]]*Table22456[[#This Row],[L]]*Table22456[[#This Row],[T]]/4000</f>
        <v>12.818</v>
      </c>
      <c r="N3" s="109">
        <v>13</v>
      </c>
      <c r="O3" s="110">
        <v>7000</v>
      </c>
      <c r="P3" s="111">
        <f>Table22456[[#This Row],[PEMBULATAN]]*O3</f>
        <v>91000</v>
      </c>
    </row>
    <row r="4" spans="1:16" ht="24" x14ac:dyDescent="0.2">
      <c r="A4" s="142"/>
      <c r="B4" s="16" t="s">
        <v>141</v>
      </c>
      <c r="C4" s="97" t="s">
        <v>89</v>
      </c>
      <c r="D4" s="99" t="s">
        <v>3</v>
      </c>
      <c r="E4" s="100">
        <v>44388</v>
      </c>
      <c r="F4" s="98" t="s">
        <v>148</v>
      </c>
      <c r="G4" s="99" t="s">
        <v>147</v>
      </c>
      <c r="H4" s="10" t="s">
        <v>204</v>
      </c>
      <c r="I4" s="101">
        <v>44</v>
      </c>
      <c r="J4" s="101">
        <v>32</v>
      </c>
      <c r="K4" s="101">
        <v>22</v>
      </c>
      <c r="L4" s="101">
        <v>9</v>
      </c>
      <c r="M4" s="99">
        <f>Table22456[[#This Row],[P]]*Table22456[[#This Row],[L]]*Table22456[[#This Row],[T]]/4000</f>
        <v>7.7439999999999998</v>
      </c>
      <c r="N4" s="109">
        <v>9</v>
      </c>
      <c r="O4" s="110">
        <v>7000</v>
      </c>
      <c r="P4" s="111">
        <f>Table22456[[#This Row],[PEMBULATAN]]*O4</f>
        <v>63000</v>
      </c>
    </row>
    <row r="5" spans="1:16" ht="24" x14ac:dyDescent="0.2">
      <c r="A5" s="17"/>
      <c r="B5" s="17"/>
      <c r="C5" s="97" t="s">
        <v>90</v>
      </c>
      <c r="D5" s="99" t="s">
        <v>3</v>
      </c>
      <c r="E5" s="100">
        <v>44388</v>
      </c>
      <c r="F5" s="98" t="s">
        <v>148</v>
      </c>
      <c r="G5" s="99" t="s">
        <v>147</v>
      </c>
      <c r="H5" s="10" t="s">
        <v>204</v>
      </c>
      <c r="I5" s="101">
        <v>77</v>
      </c>
      <c r="J5" s="101">
        <v>12</v>
      </c>
      <c r="K5" s="101">
        <v>56</v>
      </c>
      <c r="L5" s="101">
        <v>15</v>
      </c>
      <c r="M5" s="99">
        <f>Table22456[[#This Row],[P]]*Table22456[[#This Row],[L]]*Table22456[[#This Row],[T]]/4000</f>
        <v>12.936</v>
      </c>
      <c r="N5" s="109">
        <v>15</v>
      </c>
      <c r="O5" s="110">
        <v>7000</v>
      </c>
      <c r="P5" s="111">
        <f>Table22456[[#This Row],[PEMBULATAN]]*O5</f>
        <v>105000</v>
      </c>
    </row>
    <row r="6" spans="1:16" ht="24" x14ac:dyDescent="0.2">
      <c r="A6" s="17"/>
      <c r="B6" s="17"/>
      <c r="C6" s="97" t="s">
        <v>91</v>
      </c>
      <c r="D6" s="99" t="s">
        <v>3</v>
      </c>
      <c r="E6" s="100">
        <v>44388</v>
      </c>
      <c r="F6" s="98" t="s">
        <v>148</v>
      </c>
      <c r="G6" s="99" t="s">
        <v>147</v>
      </c>
      <c r="H6" s="10" t="s">
        <v>204</v>
      </c>
      <c r="I6" s="101">
        <v>62</v>
      </c>
      <c r="J6" s="101">
        <v>82</v>
      </c>
      <c r="K6" s="101">
        <v>12</v>
      </c>
      <c r="L6" s="101">
        <v>4</v>
      </c>
      <c r="M6" s="99">
        <f>Table22456[[#This Row],[P]]*Table22456[[#This Row],[L]]*Table22456[[#This Row],[T]]/4000</f>
        <v>15.252000000000001</v>
      </c>
      <c r="N6" s="109">
        <v>15</v>
      </c>
      <c r="O6" s="110">
        <v>7000</v>
      </c>
      <c r="P6" s="111">
        <f>Table22456[[#This Row],[PEMBULATAN]]*O6</f>
        <v>105000</v>
      </c>
    </row>
    <row r="7" spans="1:16" ht="24" x14ac:dyDescent="0.2">
      <c r="A7" s="17"/>
      <c r="B7" s="17"/>
      <c r="C7" s="97" t="s">
        <v>92</v>
      </c>
      <c r="D7" s="99" t="s">
        <v>3</v>
      </c>
      <c r="E7" s="100">
        <v>44388</v>
      </c>
      <c r="F7" s="98" t="s">
        <v>148</v>
      </c>
      <c r="G7" s="99" t="s">
        <v>147</v>
      </c>
      <c r="H7" s="10" t="s">
        <v>204</v>
      </c>
      <c r="I7" s="101">
        <v>52</v>
      </c>
      <c r="J7" s="101">
        <v>32</v>
      </c>
      <c r="K7" s="101">
        <v>52</v>
      </c>
      <c r="L7" s="101">
        <v>10</v>
      </c>
      <c r="M7" s="99">
        <f>Table22456[[#This Row],[P]]*Table22456[[#This Row],[L]]*Table22456[[#This Row],[T]]/4000</f>
        <v>21.632000000000001</v>
      </c>
      <c r="N7" s="109">
        <v>22</v>
      </c>
      <c r="O7" s="110">
        <v>7000</v>
      </c>
      <c r="P7" s="111">
        <f>Table22456[[#This Row],[PEMBULATAN]]*O7</f>
        <v>154000</v>
      </c>
    </row>
    <row r="8" spans="1:16" ht="24" x14ac:dyDescent="0.2">
      <c r="A8" s="17"/>
      <c r="B8" s="17"/>
      <c r="C8" s="97" t="s">
        <v>93</v>
      </c>
      <c r="D8" s="99" t="s">
        <v>3</v>
      </c>
      <c r="E8" s="100">
        <v>44388</v>
      </c>
      <c r="F8" s="98" t="s">
        <v>148</v>
      </c>
      <c r="G8" s="99" t="s">
        <v>147</v>
      </c>
      <c r="H8" s="10" t="s">
        <v>204</v>
      </c>
      <c r="I8" s="101">
        <v>22</v>
      </c>
      <c r="J8" s="101">
        <v>22</v>
      </c>
      <c r="K8" s="101">
        <v>10</v>
      </c>
      <c r="L8" s="101">
        <v>10</v>
      </c>
      <c r="M8" s="99">
        <f>Table22456[[#This Row],[P]]*Table22456[[#This Row],[L]]*Table22456[[#This Row],[T]]/4000</f>
        <v>1.21</v>
      </c>
      <c r="N8" s="109">
        <v>10</v>
      </c>
      <c r="O8" s="110">
        <v>7000</v>
      </c>
      <c r="P8" s="111">
        <f>Table22456[[#This Row],[PEMBULATAN]]*O8</f>
        <v>70000</v>
      </c>
    </row>
    <row r="9" spans="1:16" ht="24" x14ac:dyDescent="0.2">
      <c r="A9" s="17"/>
      <c r="B9" s="17"/>
      <c r="C9" s="97" t="s">
        <v>94</v>
      </c>
      <c r="D9" s="99" t="s">
        <v>3</v>
      </c>
      <c r="E9" s="100">
        <v>44388</v>
      </c>
      <c r="F9" s="98" t="s">
        <v>148</v>
      </c>
      <c r="G9" s="99" t="s">
        <v>147</v>
      </c>
      <c r="H9" s="10" t="s">
        <v>204</v>
      </c>
      <c r="I9" s="101">
        <v>34</v>
      </c>
      <c r="J9" s="101">
        <v>47</v>
      </c>
      <c r="K9" s="101">
        <v>42</v>
      </c>
      <c r="L9" s="101">
        <v>8</v>
      </c>
      <c r="M9" s="99">
        <f>Table22456[[#This Row],[P]]*Table22456[[#This Row],[L]]*Table22456[[#This Row],[T]]/4000</f>
        <v>16.779</v>
      </c>
      <c r="N9" s="109">
        <v>17</v>
      </c>
      <c r="O9" s="110">
        <v>7000</v>
      </c>
      <c r="P9" s="111">
        <f>Table22456[[#This Row],[PEMBULATAN]]*O9</f>
        <v>119000</v>
      </c>
    </row>
    <row r="10" spans="1:16" ht="24" x14ac:dyDescent="0.2">
      <c r="A10" s="17"/>
      <c r="B10" s="17"/>
      <c r="C10" s="97" t="s">
        <v>95</v>
      </c>
      <c r="D10" s="99" t="s">
        <v>3</v>
      </c>
      <c r="E10" s="100">
        <v>44388</v>
      </c>
      <c r="F10" s="98" t="s">
        <v>148</v>
      </c>
      <c r="G10" s="99" t="s">
        <v>147</v>
      </c>
      <c r="H10" s="10" t="s">
        <v>204</v>
      </c>
      <c r="I10" s="101">
        <v>44</v>
      </c>
      <c r="J10" s="101">
        <v>47</v>
      </c>
      <c r="K10" s="101">
        <v>27</v>
      </c>
      <c r="L10" s="101">
        <v>8</v>
      </c>
      <c r="M10" s="99">
        <f>Table22456[[#This Row],[P]]*Table22456[[#This Row],[L]]*Table22456[[#This Row],[T]]/4000</f>
        <v>13.959</v>
      </c>
      <c r="N10" s="109">
        <v>14</v>
      </c>
      <c r="O10" s="110">
        <v>7000</v>
      </c>
      <c r="P10" s="111">
        <f>Table22456[[#This Row],[PEMBULATAN]]*O10</f>
        <v>98000</v>
      </c>
    </row>
    <row r="11" spans="1:16" ht="24" x14ac:dyDescent="0.2">
      <c r="A11" s="17"/>
      <c r="B11" s="17"/>
      <c r="C11" s="97" t="s">
        <v>96</v>
      </c>
      <c r="D11" s="99" t="s">
        <v>3</v>
      </c>
      <c r="E11" s="100">
        <v>44388</v>
      </c>
      <c r="F11" s="98" t="s">
        <v>148</v>
      </c>
      <c r="G11" s="99" t="s">
        <v>147</v>
      </c>
      <c r="H11" s="10" t="s">
        <v>204</v>
      </c>
      <c r="I11" s="101">
        <v>57</v>
      </c>
      <c r="J11" s="101">
        <v>37</v>
      </c>
      <c r="K11" s="101">
        <v>32</v>
      </c>
      <c r="L11" s="101">
        <v>12</v>
      </c>
      <c r="M11" s="99">
        <f>Table22456[[#This Row],[P]]*Table22456[[#This Row],[L]]*Table22456[[#This Row],[T]]/4000</f>
        <v>16.872</v>
      </c>
      <c r="N11" s="109">
        <v>17</v>
      </c>
      <c r="O11" s="110">
        <v>7000</v>
      </c>
      <c r="P11" s="111">
        <f>Table22456[[#This Row],[PEMBULATAN]]*O11</f>
        <v>119000</v>
      </c>
    </row>
    <row r="12" spans="1:16" ht="24" x14ac:dyDescent="0.2">
      <c r="A12" s="17"/>
      <c r="B12" s="17"/>
      <c r="C12" s="97" t="s">
        <v>97</v>
      </c>
      <c r="D12" s="99" t="s">
        <v>3</v>
      </c>
      <c r="E12" s="100">
        <v>44388</v>
      </c>
      <c r="F12" s="98" t="s">
        <v>148</v>
      </c>
      <c r="G12" s="99" t="s">
        <v>147</v>
      </c>
      <c r="H12" s="10" t="s">
        <v>204</v>
      </c>
      <c r="I12" s="101">
        <v>35</v>
      </c>
      <c r="J12" s="101">
        <v>42</v>
      </c>
      <c r="K12" s="101">
        <v>26</v>
      </c>
      <c r="L12" s="101">
        <v>12</v>
      </c>
      <c r="M12" s="99">
        <f>Table22456[[#This Row],[P]]*Table22456[[#This Row],[L]]*Table22456[[#This Row],[T]]/4000</f>
        <v>9.5549999999999997</v>
      </c>
      <c r="N12" s="109">
        <v>12</v>
      </c>
      <c r="O12" s="110">
        <v>7000</v>
      </c>
      <c r="P12" s="111">
        <f>Table22456[[#This Row],[PEMBULATAN]]*O12</f>
        <v>84000</v>
      </c>
    </row>
    <row r="13" spans="1:16" ht="24" x14ac:dyDescent="0.2">
      <c r="A13" s="17"/>
      <c r="B13" s="17"/>
      <c r="C13" s="97" t="s">
        <v>98</v>
      </c>
      <c r="D13" s="99" t="s">
        <v>3</v>
      </c>
      <c r="E13" s="100">
        <v>44388</v>
      </c>
      <c r="F13" s="98" t="s">
        <v>148</v>
      </c>
      <c r="G13" s="99" t="s">
        <v>147</v>
      </c>
      <c r="H13" s="10" t="s">
        <v>204</v>
      </c>
      <c r="I13" s="101">
        <v>71</v>
      </c>
      <c r="J13" s="101">
        <v>74</v>
      </c>
      <c r="K13" s="101">
        <v>61</v>
      </c>
      <c r="L13" s="101">
        <v>15</v>
      </c>
      <c r="M13" s="99">
        <f>Table22456[[#This Row],[P]]*Table22456[[#This Row],[L]]*Table22456[[#This Row],[T]]/4000</f>
        <v>80.123500000000007</v>
      </c>
      <c r="N13" s="109">
        <v>80</v>
      </c>
      <c r="O13" s="110">
        <v>7000</v>
      </c>
      <c r="P13" s="111">
        <f>Table22456[[#This Row],[PEMBULATAN]]*O13</f>
        <v>560000</v>
      </c>
    </row>
    <row r="14" spans="1:16" ht="24" x14ac:dyDescent="0.2">
      <c r="A14" s="17"/>
      <c r="B14" s="17"/>
      <c r="C14" s="97" t="s">
        <v>99</v>
      </c>
      <c r="D14" s="99" t="s">
        <v>3</v>
      </c>
      <c r="E14" s="100">
        <v>44388</v>
      </c>
      <c r="F14" s="98" t="s">
        <v>148</v>
      </c>
      <c r="G14" s="99" t="s">
        <v>147</v>
      </c>
      <c r="H14" s="10" t="s">
        <v>204</v>
      </c>
      <c r="I14" s="101">
        <v>52</v>
      </c>
      <c r="J14" s="101">
        <v>27</v>
      </c>
      <c r="K14" s="101">
        <v>12</v>
      </c>
      <c r="L14" s="101">
        <v>6</v>
      </c>
      <c r="M14" s="99">
        <f>Table22456[[#This Row],[P]]*Table22456[[#This Row],[L]]*Table22456[[#This Row],[T]]/4000</f>
        <v>4.2119999999999997</v>
      </c>
      <c r="N14" s="109">
        <v>6</v>
      </c>
      <c r="O14" s="110">
        <v>7000</v>
      </c>
      <c r="P14" s="111">
        <f>Table22456[[#This Row],[PEMBULATAN]]*O14</f>
        <v>42000</v>
      </c>
    </row>
    <row r="15" spans="1:16" ht="24" x14ac:dyDescent="0.2">
      <c r="A15" s="17"/>
      <c r="B15" s="17"/>
      <c r="C15" s="97" t="s">
        <v>100</v>
      </c>
      <c r="D15" s="99" t="s">
        <v>3</v>
      </c>
      <c r="E15" s="100">
        <v>44388</v>
      </c>
      <c r="F15" s="98" t="s">
        <v>148</v>
      </c>
      <c r="G15" s="99" t="s">
        <v>147</v>
      </c>
      <c r="H15" s="10" t="s">
        <v>204</v>
      </c>
      <c r="I15" s="101">
        <v>36</v>
      </c>
      <c r="J15" s="101">
        <v>16</v>
      </c>
      <c r="K15" s="101">
        <v>63</v>
      </c>
      <c r="L15" s="101">
        <v>15</v>
      </c>
      <c r="M15" s="99">
        <f>Table22456[[#This Row],[P]]*Table22456[[#This Row],[L]]*Table22456[[#This Row],[T]]/4000</f>
        <v>9.0719999999999992</v>
      </c>
      <c r="N15" s="109">
        <v>15</v>
      </c>
      <c r="O15" s="110">
        <v>7000</v>
      </c>
      <c r="P15" s="111">
        <f>Table22456[[#This Row],[PEMBULATAN]]*O15</f>
        <v>105000</v>
      </c>
    </row>
    <row r="16" spans="1:16" ht="24" x14ac:dyDescent="0.2">
      <c r="A16" s="17"/>
      <c r="B16" s="17"/>
      <c r="C16" s="97" t="s">
        <v>101</v>
      </c>
      <c r="D16" s="99" t="s">
        <v>3</v>
      </c>
      <c r="E16" s="100">
        <v>44388</v>
      </c>
      <c r="F16" s="98" t="s">
        <v>148</v>
      </c>
      <c r="G16" s="99" t="s">
        <v>147</v>
      </c>
      <c r="H16" s="10" t="s">
        <v>204</v>
      </c>
      <c r="I16" s="101">
        <v>92</v>
      </c>
      <c r="J16" s="101">
        <v>72</v>
      </c>
      <c r="K16" s="101">
        <v>56</v>
      </c>
      <c r="L16" s="101">
        <v>50</v>
      </c>
      <c r="M16" s="99">
        <f>Table22456[[#This Row],[P]]*Table22456[[#This Row],[L]]*Table22456[[#This Row],[T]]/4000</f>
        <v>92.736000000000004</v>
      </c>
      <c r="N16" s="109">
        <v>93</v>
      </c>
      <c r="O16" s="110">
        <v>7000</v>
      </c>
      <c r="P16" s="111">
        <f>Table22456[[#This Row],[PEMBULATAN]]*O16</f>
        <v>651000</v>
      </c>
    </row>
    <row r="17" spans="1:16" ht="24" x14ac:dyDescent="0.2">
      <c r="A17" s="17"/>
      <c r="B17" s="17"/>
      <c r="C17" s="97" t="s">
        <v>102</v>
      </c>
      <c r="D17" s="99" t="s">
        <v>3</v>
      </c>
      <c r="E17" s="100">
        <v>44388</v>
      </c>
      <c r="F17" s="98" t="s">
        <v>148</v>
      </c>
      <c r="G17" s="99" t="s">
        <v>147</v>
      </c>
      <c r="H17" s="10" t="s">
        <v>204</v>
      </c>
      <c r="I17" s="101">
        <v>46</v>
      </c>
      <c r="J17" s="101">
        <v>36</v>
      </c>
      <c r="K17" s="101">
        <v>16</v>
      </c>
      <c r="L17" s="101">
        <v>2</v>
      </c>
      <c r="M17" s="99">
        <f>Table22456[[#This Row],[P]]*Table22456[[#This Row],[L]]*Table22456[[#This Row],[T]]/4000</f>
        <v>6.6239999999999997</v>
      </c>
      <c r="N17" s="109">
        <v>7</v>
      </c>
      <c r="O17" s="110">
        <v>7000</v>
      </c>
      <c r="P17" s="111">
        <f>Table22456[[#This Row],[PEMBULATAN]]*O17</f>
        <v>49000</v>
      </c>
    </row>
    <row r="18" spans="1:16" ht="24" x14ac:dyDescent="0.2">
      <c r="A18" s="17"/>
      <c r="B18" s="17"/>
      <c r="C18" s="97" t="s">
        <v>103</v>
      </c>
      <c r="D18" s="99" t="s">
        <v>3</v>
      </c>
      <c r="E18" s="100">
        <v>44388</v>
      </c>
      <c r="F18" s="98" t="s">
        <v>148</v>
      </c>
      <c r="G18" s="99" t="s">
        <v>147</v>
      </c>
      <c r="H18" s="10" t="s">
        <v>204</v>
      </c>
      <c r="I18" s="101">
        <v>37</v>
      </c>
      <c r="J18" s="101">
        <v>36</v>
      </c>
      <c r="K18" s="101">
        <v>21</v>
      </c>
      <c r="L18" s="101">
        <v>7</v>
      </c>
      <c r="M18" s="99">
        <f>Table22456[[#This Row],[P]]*Table22456[[#This Row],[L]]*Table22456[[#This Row],[T]]/4000</f>
        <v>6.9930000000000003</v>
      </c>
      <c r="N18" s="109">
        <v>7</v>
      </c>
      <c r="O18" s="110">
        <v>7000</v>
      </c>
      <c r="P18" s="111">
        <f>Table22456[[#This Row],[PEMBULATAN]]*O18</f>
        <v>49000</v>
      </c>
    </row>
    <row r="19" spans="1:16" ht="24" x14ac:dyDescent="0.2">
      <c r="A19" s="18"/>
      <c r="B19" s="18"/>
      <c r="C19" s="97" t="s">
        <v>104</v>
      </c>
      <c r="D19" s="99" t="s">
        <v>3</v>
      </c>
      <c r="E19" s="100">
        <v>44388</v>
      </c>
      <c r="F19" s="98" t="s">
        <v>148</v>
      </c>
      <c r="G19" s="99" t="s">
        <v>147</v>
      </c>
      <c r="H19" s="10" t="s">
        <v>204</v>
      </c>
      <c r="I19" s="101">
        <v>52</v>
      </c>
      <c r="J19" s="101">
        <v>31</v>
      </c>
      <c r="K19" s="101">
        <v>18</v>
      </c>
      <c r="L19" s="101">
        <v>7</v>
      </c>
      <c r="M19" s="99">
        <f>Table22456[[#This Row],[P]]*Table22456[[#This Row],[L]]*Table22456[[#This Row],[T]]/4000</f>
        <v>7.2539999999999996</v>
      </c>
      <c r="N19" s="109">
        <v>7</v>
      </c>
      <c r="O19" s="110">
        <v>7000</v>
      </c>
      <c r="P19" s="111">
        <f>Table22456[[#This Row],[PEMBULATAN]]*O19</f>
        <v>49000</v>
      </c>
    </row>
    <row r="20" spans="1:16" ht="22.5" customHeight="1" x14ac:dyDescent="0.2">
      <c r="A20" s="143" t="s">
        <v>234</v>
      </c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5"/>
      <c r="M20" s="87">
        <f>SUBTOTAL(109,Table22456[KG
VOLUME])</f>
        <v>335.77150000000006</v>
      </c>
      <c r="N20" s="82">
        <f>SUM(N3:N19)</f>
        <v>359</v>
      </c>
      <c r="O20" s="146">
        <f>SUM(P3:P19)</f>
        <v>2513000</v>
      </c>
      <c r="P20" s="147"/>
    </row>
    <row r="21" spans="1:16" x14ac:dyDescent="0.2">
      <c r="A21" s="11"/>
      <c r="H21" s="77"/>
      <c r="N21" s="75" t="s">
        <v>235</v>
      </c>
      <c r="P21" s="83">
        <f>O20*1%</f>
        <v>25130</v>
      </c>
    </row>
    <row r="22" spans="1:16" x14ac:dyDescent="0.2">
      <c r="A22" s="11"/>
      <c r="H22" s="77"/>
      <c r="N22" s="75" t="s">
        <v>236</v>
      </c>
      <c r="P22" s="85">
        <v>0</v>
      </c>
    </row>
    <row r="23" spans="1:16" ht="15.75" thickBot="1" x14ac:dyDescent="0.25">
      <c r="A23" s="11"/>
      <c r="H23" s="77"/>
      <c r="N23" s="75" t="s">
        <v>237</v>
      </c>
      <c r="P23" s="85">
        <v>0</v>
      </c>
    </row>
    <row r="24" spans="1:16" x14ac:dyDescent="0.2">
      <c r="A24" s="11"/>
      <c r="H24" s="77"/>
      <c r="N24" s="80" t="s">
        <v>238</v>
      </c>
      <c r="O24" s="81"/>
      <c r="P24" s="84">
        <f>O20+P21</f>
        <v>2538130</v>
      </c>
    </row>
    <row r="25" spans="1:16" x14ac:dyDescent="0.2">
      <c r="B25" s="63" t="s">
        <v>248</v>
      </c>
      <c r="C25" s="62"/>
      <c r="D25" s="64" t="s">
        <v>249</v>
      </c>
    </row>
    <row r="27" spans="1:16" x14ac:dyDescent="0.2">
      <c r="A27" s="11"/>
      <c r="H27" s="77"/>
      <c r="P27" s="86"/>
    </row>
    <row r="28" spans="1:16" x14ac:dyDescent="0.2">
      <c r="A28" s="11"/>
      <c r="H28" s="77"/>
    </row>
    <row r="29" spans="1:16" x14ac:dyDescent="0.2">
      <c r="A29" s="11"/>
      <c r="H29" s="77"/>
    </row>
    <row r="30" spans="1:16" x14ac:dyDescent="0.2">
      <c r="A30" s="102"/>
      <c r="B30" s="103"/>
      <c r="C30" s="103"/>
      <c r="D30" s="104"/>
      <c r="E30" s="105"/>
      <c r="F30" s="104"/>
      <c r="G30" s="104"/>
      <c r="H30" s="106"/>
      <c r="I30" s="104"/>
      <c r="J30" s="104"/>
      <c r="K30" s="104"/>
      <c r="L30" s="104"/>
      <c r="M30" s="104"/>
      <c r="N30" s="107"/>
      <c r="O30" s="107"/>
      <c r="P30" s="108"/>
    </row>
    <row r="31" spans="1:16" x14ac:dyDescent="0.2">
      <c r="A31" s="102"/>
      <c r="B31" s="103"/>
      <c r="C31" s="103"/>
      <c r="D31" s="104"/>
      <c r="E31" s="105"/>
      <c r="F31" s="104"/>
      <c r="G31" s="104"/>
      <c r="H31" s="106"/>
      <c r="I31" s="104"/>
      <c r="J31" s="104"/>
      <c r="K31" s="104"/>
      <c r="L31" s="104"/>
      <c r="M31" s="104"/>
      <c r="N31" s="107"/>
      <c r="O31" s="107"/>
      <c r="P31" s="108"/>
    </row>
    <row r="32" spans="1:16" x14ac:dyDescent="0.2">
      <c r="A32" s="102"/>
      <c r="B32" s="103"/>
      <c r="C32" s="103"/>
      <c r="D32" s="104"/>
      <c r="E32" s="105"/>
      <c r="F32" s="104"/>
      <c r="G32" s="104"/>
      <c r="H32" s="106"/>
      <c r="I32" s="104"/>
      <c r="J32" s="104"/>
      <c r="K32" s="104"/>
      <c r="L32" s="104"/>
      <c r="M32" s="104"/>
      <c r="N32" s="107"/>
      <c r="O32" s="107"/>
      <c r="P32" s="108"/>
    </row>
    <row r="33" spans="1:16" x14ac:dyDescent="0.2">
      <c r="A33" s="102"/>
      <c r="B33" s="103"/>
      <c r="C33" s="103"/>
      <c r="D33" s="104"/>
      <c r="E33" s="105"/>
      <c r="F33" s="104"/>
      <c r="G33" s="104"/>
      <c r="H33" s="106"/>
      <c r="I33" s="104"/>
      <c r="J33" s="104"/>
      <c r="K33" s="104"/>
      <c r="L33" s="104"/>
      <c r="M33" s="104"/>
      <c r="N33" s="107"/>
      <c r="O33" s="107"/>
      <c r="P33" s="108"/>
    </row>
    <row r="34" spans="1:16" x14ac:dyDescent="0.2">
      <c r="P34" s="86"/>
    </row>
    <row r="35" spans="1:16" x14ac:dyDescent="0.2">
      <c r="P35" s="86"/>
    </row>
    <row r="36" spans="1:16" x14ac:dyDescent="0.2">
      <c r="P36" s="86"/>
    </row>
  </sheetData>
  <mergeCells count="3">
    <mergeCell ref="A3:A4"/>
    <mergeCell ref="A20:L20"/>
    <mergeCell ref="O20:P20"/>
  </mergeCells>
  <conditionalFormatting sqref="B3">
    <cfRule type="duplicateValues" dxfId="6" priority="9"/>
  </conditionalFormatting>
  <conditionalFormatting sqref="B4">
    <cfRule type="duplicateValues" dxfId="5" priority="8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RowHeight="15" x14ac:dyDescent="0.2"/>
  <cols>
    <col min="1" max="1" width="7.5703125" style="4" customWidth="1"/>
    <col min="2" max="2" width="19.28515625" style="2" customWidth="1"/>
    <col min="3" max="3" width="15.28515625" style="2" customWidth="1"/>
    <col min="4" max="4" width="8.140625" style="3" customWidth="1"/>
    <col min="5" max="5" width="8.85546875" style="12" customWidth="1"/>
    <col min="6" max="6" width="9.140625" style="3" customWidth="1"/>
    <col min="7" max="7" width="10" style="3" customWidth="1"/>
    <col min="8" max="8" width="14.140625" style="6" customWidth="1"/>
    <col min="9" max="12" width="4.140625" style="3" customWidth="1"/>
    <col min="13" max="13" width="8" style="3" customWidth="1"/>
    <col min="14" max="14" width="13.5703125" style="19" customWidth="1"/>
    <col min="15" max="15" width="9.7109375" style="19" customWidth="1"/>
    <col min="16" max="16" width="13.140625" style="19" customWidth="1"/>
    <col min="17" max="16384" width="9.140625" style="4"/>
  </cols>
  <sheetData>
    <row r="1" spans="1:16" x14ac:dyDescent="0.2">
      <c r="H1" s="5"/>
    </row>
    <row r="2" spans="1:16" ht="25.5" x14ac:dyDescent="0.2">
      <c r="A2" s="95" t="s">
        <v>260</v>
      </c>
      <c r="B2" s="74" t="s">
        <v>128</v>
      </c>
      <c r="C2" s="74" t="s">
        <v>0</v>
      </c>
      <c r="D2" s="74" t="s">
        <v>1</v>
      </c>
      <c r="E2" s="96" t="s">
        <v>6</v>
      </c>
      <c r="F2" s="74" t="s">
        <v>4</v>
      </c>
      <c r="G2" s="74" t="s">
        <v>7</v>
      </c>
      <c r="H2" s="96" t="s">
        <v>2</v>
      </c>
      <c r="I2" s="74" t="s">
        <v>245</v>
      </c>
      <c r="J2" s="74" t="s">
        <v>246</v>
      </c>
      <c r="K2" s="74" t="s">
        <v>247</v>
      </c>
      <c r="L2" s="74" t="s">
        <v>261</v>
      </c>
      <c r="M2" s="74" t="s">
        <v>265</v>
      </c>
      <c r="N2" s="74" t="s">
        <v>17</v>
      </c>
      <c r="O2" s="74" t="s">
        <v>263</v>
      </c>
      <c r="P2" s="74" t="s">
        <v>264</v>
      </c>
    </row>
    <row r="3" spans="1:16" ht="24" x14ac:dyDescent="0.2">
      <c r="A3" s="142" t="s">
        <v>255</v>
      </c>
      <c r="B3" s="67" t="s">
        <v>142</v>
      </c>
      <c r="C3" s="97" t="s">
        <v>105</v>
      </c>
      <c r="D3" s="99" t="s">
        <v>3</v>
      </c>
      <c r="E3" s="100">
        <v>44389</v>
      </c>
      <c r="F3" s="98" t="s">
        <v>148</v>
      </c>
      <c r="G3" s="99" t="s">
        <v>147</v>
      </c>
      <c r="H3" s="10" t="s">
        <v>204</v>
      </c>
      <c r="I3" s="101">
        <v>34</v>
      </c>
      <c r="J3" s="101">
        <v>24</v>
      </c>
      <c r="K3" s="101">
        <v>15</v>
      </c>
      <c r="L3" s="101">
        <v>5</v>
      </c>
      <c r="M3" s="99">
        <f>Table224567[[#This Row],[P]]*Table224567[[#This Row],[L]]*Table224567[[#This Row],[T]]/4000</f>
        <v>3.06</v>
      </c>
      <c r="N3" s="109">
        <v>5</v>
      </c>
      <c r="O3" s="110">
        <v>7000</v>
      </c>
      <c r="P3" s="111">
        <f>Table224567[[#This Row],[PEMBULATAN]]*O3</f>
        <v>35000</v>
      </c>
    </row>
    <row r="4" spans="1:16" ht="24" x14ac:dyDescent="0.2">
      <c r="A4" s="142"/>
      <c r="B4" s="68" t="s">
        <v>143</v>
      </c>
      <c r="C4" s="97" t="s">
        <v>106</v>
      </c>
      <c r="D4" s="99" t="s">
        <v>3</v>
      </c>
      <c r="E4" s="100">
        <v>44389</v>
      </c>
      <c r="F4" s="98" t="s">
        <v>148</v>
      </c>
      <c r="G4" s="99" t="s">
        <v>147</v>
      </c>
      <c r="H4" s="10" t="s">
        <v>204</v>
      </c>
      <c r="I4" s="101">
        <v>56</v>
      </c>
      <c r="J4" s="101">
        <v>41</v>
      </c>
      <c r="K4" s="101">
        <v>26</v>
      </c>
      <c r="L4" s="101">
        <v>24</v>
      </c>
      <c r="M4" s="99">
        <f>Table224567[[#This Row],[P]]*Table224567[[#This Row],[L]]*Table224567[[#This Row],[T]]/4000</f>
        <v>14.923999999999999</v>
      </c>
      <c r="N4" s="109">
        <v>24</v>
      </c>
      <c r="O4" s="110">
        <v>7000</v>
      </c>
      <c r="P4" s="111">
        <f>Table224567[[#This Row],[PEMBULATAN]]*O4</f>
        <v>168000</v>
      </c>
    </row>
    <row r="5" spans="1:16" ht="24" x14ac:dyDescent="0.2">
      <c r="A5" s="17"/>
      <c r="B5" s="65"/>
      <c r="C5" s="97" t="s">
        <v>107</v>
      </c>
      <c r="D5" s="99" t="s">
        <v>3</v>
      </c>
      <c r="E5" s="100">
        <v>44389</v>
      </c>
      <c r="F5" s="98" t="s">
        <v>148</v>
      </c>
      <c r="G5" s="99" t="s">
        <v>147</v>
      </c>
      <c r="H5" s="10" t="s">
        <v>204</v>
      </c>
      <c r="I5" s="101">
        <v>42</v>
      </c>
      <c r="J5" s="101">
        <v>28</v>
      </c>
      <c r="K5" s="101">
        <v>33</v>
      </c>
      <c r="L5" s="101">
        <v>7</v>
      </c>
      <c r="M5" s="99">
        <f>Table224567[[#This Row],[P]]*Table224567[[#This Row],[L]]*Table224567[[#This Row],[T]]/4000</f>
        <v>9.702</v>
      </c>
      <c r="N5" s="109">
        <v>10</v>
      </c>
      <c r="O5" s="110">
        <v>7000</v>
      </c>
      <c r="P5" s="111">
        <f>Table224567[[#This Row],[PEMBULATAN]]*O5</f>
        <v>70000</v>
      </c>
    </row>
    <row r="6" spans="1:16" ht="24" x14ac:dyDescent="0.2">
      <c r="A6" s="17"/>
      <c r="B6" s="65"/>
      <c r="C6" s="97" t="s">
        <v>108</v>
      </c>
      <c r="D6" s="99" t="s">
        <v>3</v>
      </c>
      <c r="E6" s="100">
        <v>44389</v>
      </c>
      <c r="F6" s="98" t="s">
        <v>148</v>
      </c>
      <c r="G6" s="99" t="s">
        <v>147</v>
      </c>
      <c r="H6" s="10" t="s">
        <v>204</v>
      </c>
      <c r="I6" s="101">
        <v>132</v>
      </c>
      <c r="J6" s="101">
        <v>36</v>
      </c>
      <c r="K6" s="101">
        <v>21</v>
      </c>
      <c r="L6" s="101">
        <v>10</v>
      </c>
      <c r="M6" s="99">
        <f>Table224567[[#This Row],[P]]*Table224567[[#This Row],[L]]*Table224567[[#This Row],[T]]/4000</f>
        <v>24.948</v>
      </c>
      <c r="N6" s="109">
        <v>25</v>
      </c>
      <c r="O6" s="110">
        <v>7000</v>
      </c>
      <c r="P6" s="111">
        <f>Table224567[[#This Row],[PEMBULATAN]]*O6</f>
        <v>175000</v>
      </c>
    </row>
    <row r="7" spans="1:16" ht="24" x14ac:dyDescent="0.2">
      <c r="A7" s="17"/>
      <c r="B7" s="65"/>
      <c r="C7" s="97" t="s">
        <v>109</v>
      </c>
      <c r="D7" s="99" t="s">
        <v>3</v>
      </c>
      <c r="E7" s="100">
        <v>44389</v>
      </c>
      <c r="F7" s="98" t="s">
        <v>148</v>
      </c>
      <c r="G7" s="99" t="s">
        <v>147</v>
      </c>
      <c r="H7" s="10" t="s">
        <v>204</v>
      </c>
      <c r="I7" s="101">
        <v>48</v>
      </c>
      <c r="J7" s="101">
        <v>41</v>
      </c>
      <c r="K7" s="101">
        <v>27</v>
      </c>
      <c r="L7" s="101">
        <v>12</v>
      </c>
      <c r="M7" s="99">
        <f>Table224567[[#This Row],[P]]*Table224567[[#This Row],[L]]*Table224567[[#This Row],[T]]/4000</f>
        <v>13.284000000000001</v>
      </c>
      <c r="N7" s="109">
        <v>13</v>
      </c>
      <c r="O7" s="110">
        <v>7000</v>
      </c>
      <c r="P7" s="111">
        <f>Table224567[[#This Row],[PEMBULATAN]]*O7</f>
        <v>91000</v>
      </c>
    </row>
    <row r="8" spans="1:16" ht="24" x14ac:dyDescent="0.2">
      <c r="A8" s="17"/>
      <c r="B8" s="65"/>
      <c r="C8" s="97" t="s">
        <v>110</v>
      </c>
      <c r="D8" s="99" t="s">
        <v>3</v>
      </c>
      <c r="E8" s="100">
        <v>44389</v>
      </c>
      <c r="F8" s="98" t="s">
        <v>148</v>
      </c>
      <c r="G8" s="99" t="s">
        <v>147</v>
      </c>
      <c r="H8" s="10" t="s">
        <v>204</v>
      </c>
      <c r="I8" s="101">
        <v>69</v>
      </c>
      <c r="J8" s="101">
        <v>34</v>
      </c>
      <c r="K8" s="101">
        <v>28</v>
      </c>
      <c r="L8" s="101">
        <v>3</v>
      </c>
      <c r="M8" s="99">
        <f>Table224567[[#This Row],[P]]*Table224567[[#This Row],[L]]*Table224567[[#This Row],[T]]/4000</f>
        <v>16.422000000000001</v>
      </c>
      <c r="N8" s="109">
        <v>17</v>
      </c>
      <c r="O8" s="110">
        <v>7000</v>
      </c>
      <c r="P8" s="111">
        <f>Table224567[[#This Row],[PEMBULATAN]]*O8</f>
        <v>119000</v>
      </c>
    </row>
    <row r="9" spans="1:16" ht="24" x14ac:dyDescent="0.2">
      <c r="A9" s="17"/>
      <c r="B9" s="65"/>
      <c r="C9" s="97" t="s">
        <v>111</v>
      </c>
      <c r="D9" s="99" t="s">
        <v>3</v>
      </c>
      <c r="E9" s="100">
        <v>44389</v>
      </c>
      <c r="F9" s="98" t="s">
        <v>148</v>
      </c>
      <c r="G9" s="99" t="s">
        <v>147</v>
      </c>
      <c r="H9" s="10" t="s">
        <v>204</v>
      </c>
      <c r="I9" s="101">
        <v>38</v>
      </c>
      <c r="J9" s="101">
        <v>39</v>
      </c>
      <c r="K9" s="101">
        <v>49</v>
      </c>
      <c r="L9" s="101">
        <v>5</v>
      </c>
      <c r="M9" s="99">
        <f>Table224567[[#This Row],[P]]*Table224567[[#This Row],[L]]*Table224567[[#This Row],[T]]/4000</f>
        <v>18.154499999999999</v>
      </c>
      <c r="N9" s="109">
        <v>18</v>
      </c>
      <c r="O9" s="110">
        <v>7000</v>
      </c>
      <c r="P9" s="111">
        <f>Table224567[[#This Row],[PEMBULATAN]]*O9</f>
        <v>126000</v>
      </c>
    </row>
    <row r="10" spans="1:16" ht="24" x14ac:dyDescent="0.2">
      <c r="A10" s="17"/>
      <c r="B10" s="65"/>
      <c r="C10" s="97" t="s">
        <v>112</v>
      </c>
      <c r="D10" s="99" t="s">
        <v>3</v>
      </c>
      <c r="E10" s="100">
        <v>44389</v>
      </c>
      <c r="F10" s="98" t="s">
        <v>148</v>
      </c>
      <c r="G10" s="99" t="s">
        <v>147</v>
      </c>
      <c r="H10" s="10" t="s">
        <v>204</v>
      </c>
      <c r="I10" s="101">
        <v>126</v>
      </c>
      <c r="J10" s="101">
        <v>42</v>
      </c>
      <c r="K10" s="101">
        <v>42</v>
      </c>
      <c r="L10" s="101">
        <v>5</v>
      </c>
      <c r="M10" s="99">
        <f>Table224567[[#This Row],[P]]*Table224567[[#This Row],[L]]*Table224567[[#This Row],[T]]/4000</f>
        <v>55.566000000000003</v>
      </c>
      <c r="N10" s="109">
        <v>56</v>
      </c>
      <c r="O10" s="110">
        <v>7000</v>
      </c>
      <c r="P10" s="111">
        <f>Table224567[[#This Row],[PEMBULATAN]]*O10</f>
        <v>392000</v>
      </c>
    </row>
    <row r="11" spans="1:16" ht="24" x14ac:dyDescent="0.2">
      <c r="A11" s="18"/>
      <c r="B11" s="69"/>
      <c r="C11" s="97" t="s">
        <v>113</v>
      </c>
      <c r="D11" s="99" t="s">
        <v>3</v>
      </c>
      <c r="E11" s="100">
        <v>44389</v>
      </c>
      <c r="F11" s="98" t="s">
        <v>148</v>
      </c>
      <c r="G11" s="99" t="s">
        <v>147</v>
      </c>
      <c r="H11" s="10" t="s">
        <v>204</v>
      </c>
      <c r="I11" s="101">
        <v>52</v>
      </c>
      <c r="J11" s="101">
        <v>38</v>
      </c>
      <c r="K11" s="101">
        <v>82</v>
      </c>
      <c r="L11" s="101">
        <v>11</v>
      </c>
      <c r="M11" s="99">
        <f>Table224567[[#This Row],[P]]*Table224567[[#This Row],[L]]*Table224567[[#This Row],[T]]/4000</f>
        <v>40.508000000000003</v>
      </c>
      <c r="N11" s="109">
        <v>41</v>
      </c>
      <c r="O11" s="110">
        <v>7000</v>
      </c>
      <c r="P11" s="111">
        <f>Table224567[[#This Row],[PEMBULATAN]]*O11</f>
        <v>287000</v>
      </c>
    </row>
    <row r="12" spans="1:16" ht="22.5" customHeight="1" x14ac:dyDescent="0.2">
      <c r="A12" s="143" t="s">
        <v>234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5"/>
      <c r="M12" s="87">
        <f>SUBTOTAL(109,Table22456[KG
VOLUME])</f>
        <v>335.77150000000006</v>
      </c>
      <c r="N12" s="82">
        <f>SUBTOTAL(109,Table224567[PEMBULATAN])</f>
        <v>209</v>
      </c>
      <c r="O12" s="146">
        <f>SUM(P3:P11)</f>
        <v>1463000</v>
      </c>
      <c r="P12" s="147"/>
    </row>
    <row r="13" spans="1:16" x14ac:dyDescent="0.2">
      <c r="A13" s="11"/>
      <c r="H13" s="77"/>
      <c r="N13" s="75" t="s">
        <v>235</v>
      </c>
      <c r="P13" s="83">
        <f>O12*1%</f>
        <v>14630</v>
      </c>
    </row>
    <row r="14" spans="1:16" x14ac:dyDescent="0.2">
      <c r="A14" s="11"/>
      <c r="H14" s="77"/>
      <c r="N14" s="75" t="s">
        <v>236</v>
      </c>
      <c r="P14" s="85">
        <v>0</v>
      </c>
    </row>
    <row r="15" spans="1:16" ht="15.75" thickBot="1" x14ac:dyDescent="0.25">
      <c r="A15" s="11"/>
      <c r="H15" s="77"/>
      <c r="N15" s="75" t="s">
        <v>237</v>
      </c>
      <c r="P15" s="85">
        <v>0</v>
      </c>
    </row>
    <row r="16" spans="1:16" x14ac:dyDescent="0.2">
      <c r="A16" s="11"/>
      <c r="H16" s="77"/>
      <c r="N16" s="80" t="s">
        <v>238</v>
      </c>
      <c r="O16" s="81"/>
      <c r="P16" s="84">
        <f>O12+P13</f>
        <v>1477630</v>
      </c>
    </row>
    <row r="17" spans="1:16" x14ac:dyDescent="0.2">
      <c r="B17" s="63" t="s">
        <v>248</v>
      </c>
      <c r="C17" s="62"/>
      <c r="D17" s="64" t="s">
        <v>249</v>
      </c>
    </row>
    <row r="19" spans="1:16" x14ac:dyDescent="0.2">
      <c r="A19" s="11"/>
      <c r="H19" s="77"/>
      <c r="P19" s="86"/>
    </row>
    <row r="20" spans="1:16" x14ac:dyDescent="0.2">
      <c r="A20" s="11"/>
      <c r="H20" s="77"/>
    </row>
    <row r="21" spans="1:16" x14ac:dyDescent="0.2">
      <c r="A21" s="70"/>
      <c r="B21" s="103"/>
      <c r="C21" s="103"/>
      <c r="D21" s="104"/>
      <c r="E21" s="105"/>
      <c r="F21" s="104"/>
      <c r="G21" s="104"/>
      <c r="H21" s="106"/>
      <c r="I21" s="104"/>
      <c r="J21" s="104"/>
      <c r="K21" s="104"/>
      <c r="L21" s="104"/>
      <c r="M21" s="104"/>
      <c r="N21" s="107"/>
      <c r="O21" s="107"/>
      <c r="P21" s="107"/>
    </row>
    <row r="22" spans="1:16" x14ac:dyDescent="0.2">
      <c r="A22" s="70"/>
      <c r="B22" s="103"/>
      <c r="C22" s="103"/>
      <c r="D22" s="104"/>
      <c r="E22" s="105"/>
      <c r="F22" s="104"/>
      <c r="G22" s="104"/>
      <c r="H22" s="106"/>
      <c r="I22" s="104"/>
      <c r="J22" s="104"/>
      <c r="K22" s="104"/>
      <c r="L22" s="104"/>
      <c r="M22" s="104"/>
      <c r="N22" s="107"/>
      <c r="O22" s="107"/>
      <c r="P22" s="107"/>
    </row>
    <row r="23" spans="1:16" x14ac:dyDescent="0.2">
      <c r="A23" s="70"/>
      <c r="B23" s="103"/>
      <c r="C23" s="103"/>
      <c r="D23" s="104"/>
      <c r="E23" s="105"/>
      <c r="F23" s="104"/>
      <c r="G23" s="104"/>
      <c r="H23" s="106"/>
      <c r="I23" s="104"/>
      <c r="J23" s="104"/>
      <c r="K23" s="104"/>
      <c r="L23" s="104"/>
      <c r="M23" s="104"/>
      <c r="N23" s="107"/>
      <c r="O23" s="107"/>
      <c r="P23" s="107"/>
    </row>
    <row r="24" spans="1:16" x14ac:dyDescent="0.2">
      <c r="A24" s="70"/>
      <c r="B24" s="103"/>
      <c r="C24" s="103"/>
      <c r="D24" s="104"/>
      <c r="E24" s="105"/>
      <c r="F24" s="104"/>
      <c r="G24" s="104"/>
      <c r="H24" s="106"/>
      <c r="I24" s="104"/>
      <c r="J24" s="104"/>
      <c r="K24" s="104"/>
      <c r="L24" s="104"/>
      <c r="M24" s="104"/>
      <c r="N24" s="107"/>
      <c r="O24" s="107"/>
      <c r="P24" s="107"/>
    </row>
    <row r="25" spans="1:16" x14ac:dyDescent="0.2">
      <c r="A25" s="70"/>
      <c r="B25" s="103"/>
      <c r="C25" s="103"/>
      <c r="D25" s="104"/>
      <c r="E25" s="105"/>
      <c r="F25" s="104"/>
      <c r="G25" s="104"/>
      <c r="H25" s="106"/>
      <c r="I25" s="104"/>
      <c r="J25" s="104"/>
      <c r="K25" s="104"/>
      <c r="L25" s="104"/>
      <c r="M25" s="104"/>
      <c r="N25" s="107"/>
      <c r="O25" s="107"/>
      <c r="P25" s="107"/>
    </row>
    <row r="26" spans="1:16" x14ac:dyDescent="0.2">
      <c r="A26" s="70"/>
      <c r="B26" s="103"/>
      <c r="C26" s="103"/>
      <c r="D26" s="104"/>
      <c r="E26" s="105"/>
      <c r="F26" s="104"/>
      <c r="G26" s="104"/>
      <c r="H26" s="106"/>
      <c r="I26" s="104"/>
      <c r="J26" s="104"/>
      <c r="K26" s="104"/>
      <c r="L26" s="104"/>
      <c r="M26" s="104"/>
      <c r="N26" s="107"/>
      <c r="O26" s="107"/>
      <c r="P26" s="107"/>
    </row>
    <row r="27" spans="1:16" x14ac:dyDescent="0.2">
      <c r="A27" s="70"/>
    </row>
    <row r="28" spans="1:16" x14ac:dyDescent="0.2">
      <c r="A28" s="71"/>
    </row>
  </sheetData>
  <mergeCells count="3">
    <mergeCell ref="A3:A4"/>
    <mergeCell ref="A12:L12"/>
    <mergeCell ref="O12:P12"/>
  </mergeCells>
  <conditionalFormatting sqref="B3">
    <cfRule type="duplicateValues" dxfId="4" priority="7"/>
  </conditionalFormatting>
  <conditionalFormatting sqref="B4">
    <cfRule type="duplicateValues" dxfId="3" priority="6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110" zoomScaleNormal="110" workbookViewId="0">
      <pane xSplit="3" ySplit="2" topLeftCell="D8" activePane="bottomRight" state="frozen"/>
      <selection pane="topRight" activeCell="B1" sqref="B1"/>
      <selection pane="bottomLeft" activeCell="A3" sqref="A3"/>
      <selection pane="bottomRight" activeCell="A17" sqref="A17:L17"/>
    </sheetView>
  </sheetViews>
  <sheetFormatPr defaultRowHeight="15" x14ac:dyDescent="0.2"/>
  <cols>
    <col min="1" max="1" width="8.140625" style="4" customWidth="1"/>
    <col min="2" max="2" width="19.28515625" style="2" customWidth="1"/>
    <col min="3" max="3" width="15" style="2" customWidth="1"/>
    <col min="4" max="4" width="9.7109375" style="3" customWidth="1"/>
    <col min="5" max="5" width="9" style="12" customWidth="1"/>
    <col min="6" max="6" width="9.28515625" style="3" customWidth="1"/>
    <col min="7" max="7" width="9.42578125" style="3" customWidth="1"/>
    <col min="8" max="8" width="14.140625" style="6" customWidth="1"/>
    <col min="9" max="11" width="3.7109375" style="3" customWidth="1"/>
    <col min="12" max="12" width="5.42578125" style="3" customWidth="1"/>
    <col min="13" max="13" width="8.7109375" style="3" customWidth="1"/>
    <col min="14" max="14" width="13.42578125" style="19" customWidth="1"/>
    <col min="15" max="15" width="8.140625" style="19" customWidth="1"/>
    <col min="16" max="16" width="12.140625" style="19" customWidth="1"/>
    <col min="17" max="16384" width="9.140625" style="4"/>
  </cols>
  <sheetData>
    <row r="1" spans="1:16" x14ac:dyDescent="0.2">
      <c r="H1" s="5"/>
    </row>
    <row r="2" spans="1:16" ht="25.5" x14ac:dyDescent="0.2">
      <c r="A2" s="95" t="s">
        <v>260</v>
      </c>
      <c r="B2" s="74" t="s">
        <v>128</v>
      </c>
      <c r="C2" s="74" t="s">
        <v>0</v>
      </c>
      <c r="D2" s="74" t="s">
        <v>1</v>
      </c>
      <c r="E2" s="96" t="s">
        <v>6</v>
      </c>
      <c r="F2" s="74" t="s">
        <v>4</v>
      </c>
      <c r="G2" s="74" t="s">
        <v>7</v>
      </c>
      <c r="H2" s="96" t="s">
        <v>2</v>
      </c>
      <c r="I2" s="74" t="s">
        <v>245</v>
      </c>
      <c r="J2" s="74" t="s">
        <v>246</v>
      </c>
      <c r="K2" s="74" t="s">
        <v>247</v>
      </c>
      <c r="L2" s="74" t="s">
        <v>261</v>
      </c>
      <c r="M2" s="74" t="s">
        <v>265</v>
      </c>
      <c r="N2" s="74" t="s">
        <v>17</v>
      </c>
      <c r="O2" s="74" t="s">
        <v>263</v>
      </c>
      <c r="P2" s="74" t="s">
        <v>264</v>
      </c>
    </row>
    <row r="3" spans="1:16" ht="24" x14ac:dyDescent="0.2">
      <c r="A3" s="142" t="s">
        <v>256</v>
      </c>
      <c r="B3" s="16" t="s">
        <v>144</v>
      </c>
      <c r="C3" s="97" t="s">
        <v>114</v>
      </c>
      <c r="D3" s="99" t="s">
        <v>3</v>
      </c>
      <c r="E3" s="115">
        <v>44390</v>
      </c>
      <c r="F3" s="98" t="s">
        <v>148</v>
      </c>
      <c r="G3" s="99" t="s">
        <v>147</v>
      </c>
      <c r="H3" s="10" t="s">
        <v>204</v>
      </c>
      <c r="I3" s="101">
        <v>33</v>
      </c>
      <c r="J3" s="101">
        <v>33</v>
      </c>
      <c r="K3" s="101">
        <v>25</v>
      </c>
      <c r="L3" s="101">
        <v>5</v>
      </c>
      <c r="M3" s="99">
        <f>Table2245678[[#This Row],[P]]*Table2245678[[#This Row],[L]]*Table2245678[[#This Row],[T]]/4000</f>
        <v>6.8062500000000004</v>
      </c>
      <c r="N3" s="109">
        <v>7</v>
      </c>
      <c r="O3" s="78">
        <v>7000</v>
      </c>
      <c r="P3" s="79">
        <f>Table2245678[[#This Row],[PEMBULATAN]]*O3</f>
        <v>49000</v>
      </c>
    </row>
    <row r="4" spans="1:16" ht="24" x14ac:dyDescent="0.2">
      <c r="A4" s="142"/>
      <c r="B4" s="17"/>
      <c r="C4" s="97" t="s">
        <v>115</v>
      </c>
      <c r="D4" s="99" t="s">
        <v>3</v>
      </c>
      <c r="E4" s="115">
        <v>44390</v>
      </c>
      <c r="F4" s="98" t="s">
        <v>148</v>
      </c>
      <c r="G4" s="99" t="s">
        <v>147</v>
      </c>
      <c r="H4" s="10" t="s">
        <v>204</v>
      </c>
      <c r="I4" s="101">
        <v>67</v>
      </c>
      <c r="J4" s="101">
        <v>37</v>
      </c>
      <c r="K4" s="101">
        <v>25</v>
      </c>
      <c r="L4" s="101">
        <v>13</v>
      </c>
      <c r="M4" s="99">
        <f>Table2245678[[#This Row],[P]]*Table2245678[[#This Row],[L]]*Table2245678[[#This Row],[T]]/4000</f>
        <v>15.49375</v>
      </c>
      <c r="N4" s="109">
        <v>16</v>
      </c>
      <c r="O4" s="78">
        <v>7000</v>
      </c>
      <c r="P4" s="79">
        <f>Table2245678[[#This Row],[PEMBULATAN]]*O4</f>
        <v>112000</v>
      </c>
    </row>
    <row r="5" spans="1:16" ht="24" x14ac:dyDescent="0.2">
      <c r="A5" s="17"/>
      <c r="B5" s="17"/>
      <c r="C5" s="97" t="s">
        <v>116</v>
      </c>
      <c r="D5" s="99" t="s">
        <v>3</v>
      </c>
      <c r="E5" s="115">
        <v>44390</v>
      </c>
      <c r="F5" s="98" t="s">
        <v>148</v>
      </c>
      <c r="G5" s="99" t="s">
        <v>147</v>
      </c>
      <c r="H5" s="10" t="s">
        <v>204</v>
      </c>
      <c r="I5" s="101">
        <v>75</v>
      </c>
      <c r="J5" s="101">
        <v>18</v>
      </c>
      <c r="K5" s="101">
        <v>54</v>
      </c>
      <c r="L5" s="101">
        <v>12</v>
      </c>
      <c r="M5" s="99">
        <f>Table2245678[[#This Row],[P]]*Table2245678[[#This Row],[L]]*Table2245678[[#This Row],[T]]/4000</f>
        <v>18.225000000000001</v>
      </c>
      <c r="N5" s="109">
        <v>18</v>
      </c>
      <c r="O5" s="78">
        <v>7000</v>
      </c>
      <c r="P5" s="79">
        <f>Table2245678[[#This Row],[PEMBULATAN]]*O5</f>
        <v>126000</v>
      </c>
    </row>
    <row r="6" spans="1:16" ht="24" x14ac:dyDescent="0.2">
      <c r="A6" s="17"/>
      <c r="B6" s="17"/>
      <c r="C6" s="97" t="s">
        <v>117</v>
      </c>
      <c r="D6" s="99" t="s">
        <v>3</v>
      </c>
      <c r="E6" s="115">
        <v>44390</v>
      </c>
      <c r="F6" s="98" t="s">
        <v>148</v>
      </c>
      <c r="G6" s="99" t="s">
        <v>147</v>
      </c>
      <c r="H6" s="10" t="s">
        <v>204</v>
      </c>
      <c r="I6" s="101">
        <v>38</v>
      </c>
      <c r="J6" s="101">
        <v>32</v>
      </c>
      <c r="K6" s="101">
        <v>20</v>
      </c>
      <c r="L6" s="101">
        <v>5</v>
      </c>
      <c r="M6" s="99">
        <f>Table2245678[[#This Row],[P]]*Table2245678[[#This Row],[L]]*Table2245678[[#This Row],[T]]/4000</f>
        <v>6.08</v>
      </c>
      <c r="N6" s="109">
        <v>6</v>
      </c>
      <c r="O6" s="78">
        <v>7000</v>
      </c>
      <c r="P6" s="79">
        <f>Table2245678[[#This Row],[PEMBULATAN]]*O6</f>
        <v>42000</v>
      </c>
    </row>
    <row r="7" spans="1:16" ht="24" x14ac:dyDescent="0.2">
      <c r="A7" s="17"/>
      <c r="B7" s="17"/>
      <c r="C7" s="97" t="s">
        <v>118</v>
      </c>
      <c r="D7" s="99" t="s">
        <v>3</v>
      </c>
      <c r="E7" s="115">
        <v>44390</v>
      </c>
      <c r="F7" s="98" t="s">
        <v>148</v>
      </c>
      <c r="G7" s="99" t="s">
        <v>147</v>
      </c>
      <c r="H7" s="10" t="s">
        <v>204</v>
      </c>
      <c r="I7" s="101">
        <v>50</v>
      </c>
      <c r="J7" s="101">
        <v>27</v>
      </c>
      <c r="K7" s="101">
        <v>20</v>
      </c>
      <c r="L7" s="101">
        <v>20</v>
      </c>
      <c r="M7" s="99">
        <f>Table2245678[[#This Row],[P]]*Table2245678[[#This Row],[L]]*Table2245678[[#This Row],[T]]/4000</f>
        <v>6.75</v>
      </c>
      <c r="N7" s="109">
        <v>20</v>
      </c>
      <c r="O7" s="78">
        <v>7000</v>
      </c>
      <c r="P7" s="79">
        <f>Table2245678[[#This Row],[PEMBULATAN]]*O7</f>
        <v>140000</v>
      </c>
    </row>
    <row r="8" spans="1:16" ht="24" x14ac:dyDescent="0.2">
      <c r="A8" s="17"/>
      <c r="B8" s="17"/>
      <c r="C8" s="97" t="s">
        <v>119</v>
      </c>
      <c r="D8" s="99" t="s">
        <v>3</v>
      </c>
      <c r="E8" s="115">
        <v>44390</v>
      </c>
      <c r="F8" s="98" t="s">
        <v>148</v>
      </c>
      <c r="G8" s="99" t="s">
        <v>147</v>
      </c>
      <c r="H8" s="10" t="s">
        <v>204</v>
      </c>
      <c r="I8" s="101">
        <v>66</v>
      </c>
      <c r="J8" s="101">
        <v>65</v>
      </c>
      <c r="K8" s="101">
        <v>35</v>
      </c>
      <c r="L8" s="101">
        <v>19</v>
      </c>
      <c r="M8" s="99">
        <f>Table2245678[[#This Row],[P]]*Table2245678[[#This Row],[L]]*Table2245678[[#This Row],[T]]/4000</f>
        <v>37.537500000000001</v>
      </c>
      <c r="N8" s="109">
        <v>38</v>
      </c>
      <c r="O8" s="78">
        <v>7000</v>
      </c>
      <c r="P8" s="79">
        <f>Table2245678[[#This Row],[PEMBULATAN]]*O8</f>
        <v>266000</v>
      </c>
    </row>
    <row r="9" spans="1:16" ht="24" x14ac:dyDescent="0.2">
      <c r="A9" s="17"/>
      <c r="B9" s="17"/>
      <c r="C9" s="97" t="s">
        <v>120</v>
      </c>
      <c r="D9" s="99" t="s">
        <v>3</v>
      </c>
      <c r="E9" s="115">
        <v>44390</v>
      </c>
      <c r="F9" s="98" t="s">
        <v>148</v>
      </c>
      <c r="G9" s="99" t="s">
        <v>147</v>
      </c>
      <c r="H9" s="10" t="s">
        <v>204</v>
      </c>
      <c r="I9" s="101">
        <v>40</v>
      </c>
      <c r="J9" s="101">
        <v>60</v>
      </c>
      <c r="K9" s="101">
        <v>70</v>
      </c>
      <c r="L9" s="101">
        <v>32</v>
      </c>
      <c r="M9" s="99">
        <f>Table2245678[[#This Row],[P]]*Table2245678[[#This Row],[L]]*Table2245678[[#This Row],[T]]/4000</f>
        <v>42</v>
      </c>
      <c r="N9" s="109">
        <v>42</v>
      </c>
      <c r="O9" s="78">
        <v>7000</v>
      </c>
      <c r="P9" s="79">
        <f>Table2245678[[#This Row],[PEMBULATAN]]*O9</f>
        <v>294000</v>
      </c>
    </row>
    <row r="10" spans="1:16" ht="24" x14ac:dyDescent="0.2">
      <c r="A10" s="17"/>
      <c r="B10" s="17"/>
      <c r="C10" s="97" t="s">
        <v>121</v>
      </c>
      <c r="D10" s="99" t="s">
        <v>3</v>
      </c>
      <c r="E10" s="115">
        <v>44390</v>
      </c>
      <c r="F10" s="98" t="s">
        <v>148</v>
      </c>
      <c r="G10" s="99" t="s">
        <v>147</v>
      </c>
      <c r="H10" s="10" t="s">
        <v>204</v>
      </c>
      <c r="I10" s="101">
        <v>39</v>
      </c>
      <c r="J10" s="101">
        <v>35</v>
      </c>
      <c r="K10" s="101">
        <v>27</v>
      </c>
      <c r="L10" s="101">
        <v>12</v>
      </c>
      <c r="M10" s="99">
        <f>Table2245678[[#This Row],[P]]*Table2245678[[#This Row],[L]]*Table2245678[[#This Row],[T]]/4000</f>
        <v>9.2137499999999992</v>
      </c>
      <c r="N10" s="109">
        <v>12</v>
      </c>
      <c r="O10" s="78">
        <v>7000</v>
      </c>
      <c r="P10" s="79">
        <f>Table2245678[[#This Row],[PEMBULATAN]]*O10</f>
        <v>84000</v>
      </c>
    </row>
    <row r="11" spans="1:16" ht="24" x14ac:dyDescent="0.2">
      <c r="A11" s="17"/>
      <c r="B11" s="17"/>
      <c r="C11" s="97" t="s">
        <v>122</v>
      </c>
      <c r="D11" s="99" t="s">
        <v>3</v>
      </c>
      <c r="E11" s="115">
        <v>44390</v>
      </c>
      <c r="F11" s="98" t="s">
        <v>148</v>
      </c>
      <c r="G11" s="99" t="s">
        <v>147</v>
      </c>
      <c r="H11" s="10" t="s">
        <v>204</v>
      </c>
      <c r="I11" s="101">
        <v>27</v>
      </c>
      <c r="J11" s="101">
        <v>37</v>
      </c>
      <c r="K11" s="101">
        <v>30</v>
      </c>
      <c r="L11" s="101">
        <v>14</v>
      </c>
      <c r="M11" s="99">
        <f>Table2245678[[#This Row],[P]]*Table2245678[[#This Row],[L]]*Table2245678[[#This Row],[T]]/4000</f>
        <v>7.4924999999999997</v>
      </c>
      <c r="N11" s="109">
        <v>14</v>
      </c>
      <c r="O11" s="78">
        <v>7000</v>
      </c>
      <c r="P11" s="79">
        <f>Table2245678[[#This Row],[PEMBULATAN]]*O11</f>
        <v>98000</v>
      </c>
    </row>
    <row r="12" spans="1:16" ht="24" x14ac:dyDescent="0.2">
      <c r="A12" s="17"/>
      <c r="B12" s="17"/>
      <c r="C12" s="97" t="s">
        <v>123</v>
      </c>
      <c r="D12" s="99" t="s">
        <v>3</v>
      </c>
      <c r="E12" s="115">
        <v>44390</v>
      </c>
      <c r="F12" s="98" t="s">
        <v>148</v>
      </c>
      <c r="G12" s="99" t="s">
        <v>147</v>
      </c>
      <c r="H12" s="10" t="s">
        <v>204</v>
      </c>
      <c r="I12" s="101">
        <v>20</v>
      </c>
      <c r="J12" s="101">
        <v>50</v>
      </c>
      <c r="K12" s="101">
        <v>42</v>
      </c>
      <c r="L12" s="101">
        <v>10</v>
      </c>
      <c r="M12" s="99">
        <f>Table2245678[[#This Row],[P]]*Table2245678[[#This Row],[L]]*Table2245678[[#This Row],[T]]/4000</f>
        <v>10.5</v>
      </c>
      <c r="N12" s="109">
        <v>11</v>
      </c>
      <c r="O12" s="78">
        <v>7000</v>
      </c>
      <c r="P12" s="79">
        <f>Table2245678[[#This Row],[PEMBULATAN]]*O12</f>
        <v>77000</v>
      </c>
    </row>
    <row r="13" spans="1:16" ht="24" x14ac:dyDescent="0.2">
      <c r="A13" s="17"/>
      <c r="B13" s="17"/>
      <c r="C13" s="97" t="s">
        <v>124</v>
      </c>
      <c r="D13" s="99" t="s">
        <v>3</v>
      </c>
      <c r="E13" s="115">
        <v>44390</v>
      </c>
      <c r="F13" s="98" t="s">
        <v>148</v>
      </c>
      <c r="G13" s="99" t="s">
        <v>147</v>
      </c>
      <c r="H13" s="10" t="s">
        <v>204</v>
      </c>
      <c r="I13" s="101">
        <v>30</v>
      </c>
      <c r="J13" s="101">
        <v>30</v>
      </c>
      <c r="K13" s="101">
        <v>22</v>
      </c>
      <c r="L13" s="101">
        <v>5</v>
      </c>
      <c r="M13" s="99">
        <f>Table2245678[[#This Row],[P]]*Table2245678[[#This Row],[L]]*Table2245678[[#This Row],[T]]/4000</f>
        <v>4.95</v>
      </c>
      <c r="N13" s="109">
        <v>5</v>
      </c>
      <c r="O13" s="78">
        <v>7000</v>
      </c>
      <c r="P13" s="79">
        <f>Table2245678[[#This Row],[PEMBULATAN]]*O13</f>
        <v>35000</v>
      </c>
    </row>
    <row r="14" spans="1:16" ht="24" x14ac:dyDescent="0.2">
      <c r="A14" s="17"/>
      <c r="B14" s="17"/>
      <c r="C14" s="97" t="s">
        <v>125</v>
      </c>
      <c r="D14" s="99" t="s">
        <v>3</v>
      </c>
      <c r="E14" s="115">
        <v>44390</v>
      </c>
      <c r="F14" s="98" t="s">
        <v>148</v>
      </c>
      <c r="G14" s="99" t="s">
        <v>147</v>
      </c>
      <c r="H14" s="10" t="s">
        <v>204</v>
      </c>
      <c r="I14" s="101">
        <v>44</v>
      </c>
      <c r="J14" s="101">
        <v>45</v>
      </c>
      <c r="K14" s="101">
        <v>22</v>
      </c>
      <c r="L14" s="101">
        <v>7</v>
      </c>
      <c r="M14" s="99">
        <f>Table2245678[[#This Row],[P]]*Table2245678[[#This Row],[L]]*Table2245678[[#This Row],[T]]/4000</f>
        <v>10.89</v>
      </c>
      <c r="N14" s="109">
        <v>11</v>
      </c>
      <c r="O14" s="78">
        <v>7000</v>
      </c>
      <c r="P14" s="79">
        <f>Table2245678[[#This Row],[PEMBULATAN]]*O14</f>
        <v>77000</v>
      </c>
    </row>
    <row r="15" spans="1:16" ht="24" x14ac:dyDescent="0.2">
      <c r="A15" s="17"/>
      <c r="B15" s="17"/>
      <c r="C15" s="97" t="s">
        <v>126</v>
      </c>
      <c r="D15" s="99" t="s">
        <v>3</v>
      </c>
      <c r="E15" s="115">
        <v>44390</v>
      </c>
      <c r="F15" s="98" t="s">
        <v>148</v>
      </c>
      <c r="G15" s="99" t="s">
        <v>147</v>
      </c>
      <c r="H15" s="10" t="s">
        <v>204</v>
      </c>
      <c r="I15" s="101">
        <v>58</v>
      </c>
      <c r="J15" s="101">
        <v>38</v>
      </c>
      <c r="K15" s="101">
        <v>13</v>
      </c>
      <c r="L15" s="101">
        <v>5</v>
      </c>
      <c r="M15" s="99">
        <f>Table2245678[[#This Row],[P]]*Table2245678[[#This Row],[L]]*Table2245678[[#This Row],[T]]/4000</f>
        <v>7.1630000000000003</v>
      </c>
      <c r="N15" s="109">
        <v>7</v>
      </c>
      <c r="O15" s="78">
        <v>7000</v>
      </c>
      <c r="P15" s="79">
        <f>Table2245678[[#This Row],[PEMBULATAN]]*O15</f>
        <v>49000</v>
      </c>
    </row>
    <row r="16" spans="1:16" ht="24" x14ac:dyDescent="0.2">
      <c r="A16" s="18"/>
      <c r="B16" s="18"/>
      <c r="C16" s="97" t="s">
        <v>127</v>
      </c>
      <c r="D16" s="99" t="s">
        <v>3</v>
      </c>
      <c r="E16" s="115">
        <v>44390</v>
      </c>
      <c r="F16" s="98" t="s">
        <v>148</v>
      </c>
      <c r="G16" s="99" t="s">
        <v>147</v>
      </c>
      <c r="H16" s="10" t="s">
        <v>204</v>
      </c>
      <c r="I16" s="101">
        <v>25</v>
      </c>
      <c r="J16" s="101">
        <v>35</v>
      </c>
      <c r="K16" s="101">
        <v>20</v>
      </c>
      <c r="L16" s="101">
        <v>5</v>
      </c>
      <c r="M16" s="99">
        <f>Table2245678[[#This Row],[P]]*Table2245678[[#This Row],[L]]*Table2245678[[#This Row],[T]]/4000</f>
        <v>4.375</v>
      </c>
      <c r="N16" s="109">
        <v>5</v>
      </c>
      <c r="O16" s="78">
        <v>7000</v>
      </c>
      <c r="P16" s="79">
        <f>Table2245678[[#This Row],[PEMBULATAN]]*O16</f>
        <v>35000</v>
      </c>
    </row>
    <row r="17" spans="1:16" ht="22.5" customHeight="1" x14ac:dyDescent="0.2">
      <c r="A17" s="149" t="s">
        <v>234</v>
      </c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1"/>
      <c r="M17" s="112">
        <f>SUBTOTAL(109,Table2245678[KG
VOLUME])</f>
        <v>187.47675000000004</v>
      </c>
      <c r="N17" s="113">
        <f>SUBTOTAL(109,Table2245678[PEMBULATAN])</f>
        <v>212</v>
      </c>
      <c r="O17" s="146">
        <f>SUM(P3:P16)</f>
        <v>1484000</v>
      </c>
      <c r="P17" s="147"/>
    </row>
    <row r="18" spans="1:16" x14ac:dyDescent="0.2">
      <c r="A18" s="102"/>
      <c r="B18" s="103"/>
      <c r="C18" s="103"/>
      <c r="D18" s="104"/>
      <c r="E18" s="105"/>
      <c r="F18" s="104"/>
      <c r="G18" s="104"/>
      <c r="H18" s="106"/>
      <c r="I18" s="104"/>
      <c r="J18" s="104"/>
      <c r="K18" s="104"/>
      <c r="L18" s="104"/>
      <c r="M18" s="104"/>
      <c r="N18" s="75" t="s">
        <v>235</v>
      </c>
      <c r="P18" s="83">
        <f>O17*1%</f>
        <v>14840</v>
      </c>
    </row>
    <row r="19" spans="1:16" x14ac:dyDescent="0.2">
      <c r="A19" s="102"/>
      <c r="B19" s="103"/>
      <c r="C19" s="103"/>
      <c r="D19" s="104"/>
      <c r="E19" s="105"/>
      <c r="F19" s="104"/>
      <c r="G19" s="104"/>
      <c r="H19" s="106"/>
      <c r="I19" s="104"/>
      <c r="J19" s="104"/>
      <c r="K19" s="104"/>
      <c r="L19" s="104"/>
      <c r="M19" s="104"/>
      <c r="N19" s="75" t="s">
        <v>236</v>
      </c>
      <c r="P19" s="85">
        <v>0</v>
      </c>
    </row>
    <row r="20" spans="1:16" ht="15.75" thickBot="1" x14ac:dyDescent="0.25">
      <c r="A20" s="102"/>
      <c r="B20" s="103"/>
      <c r="C20" s="103"/>
      <c r="D20" s="104"/>
      <c r="E20" s="105"/>
      <c r="F20" s="104"/>
      <c r="G20" s="104"/>
      <c r="H20" s="106"/>
      <c r="I20" s="104"/>
      <c r="J20" s="104"/>
      <c r="K20" s="104"/>
      <c r="L20" s="104"/>
      <c r="M20" s="104"/>
      <c r="N20" s="75" t="s">
        <v>237</v>
      </c>
      <c r="P20" s="85">
        <v>0</v>
      </c>
    </row>
    <row r="21" spans="1:16" x14ac:dyDescent="0.2">
      <c r="A21" s="102"/>
      <c r="B21" s="103"/>
      <c r="C21" s="103"/>
      <c r="D21" s="104"/>
      <c r="E21" s="105"/>
      <c r="F21" s="104"/>
      <c r="G21" s="104"/>
      <c r="H21" s="106"/>
      <c r="I21" s="104"/>
      <c r="J21" s="104"/>
      <c r="K21" s="104"/>
      <c r="L21" s="104"/>
      <c r="M21" s="104"/>
      <c r="N21" s="80" t="s">
        <v>238</v>
      </c>
      <c r="O21" s="81"/>
      <c r="P21" s="84">
        <f>O17+P18</f>
        <v>1498840</v>
      </c>
    </row>
    <row r="22" spans="1:16" x14ac:dyDescent="0.2">
      <c r="A22" s="102"/>
      <c r="B22" s="114" t="s">
        <v>248</v>
      </c>
      <c r="C22" s="116"/>
      <c r="D22" s="93" t="s">
        <v>249</v>
      </c>
      <c r="E22" s="105"/>
      <c r="F22" s="104"/>
      <c r="G22" s="104"/>
      <c r="H22" s="106"/>
      <c r="I22" s="104"/>
      <c r="J22" s="104"/>
      <c r="K22" s="104"/>
      <c r="L22" s="104"/>
      <c r="M22" s="104"/>
      <c r="N22" s="107"/>
    </row>
    <row r="23" spans="1:16" x14ac:dyDescent="0.2">
      <c r="A23" s="102"/>
      <c r="B23" s="103"/>
      <c r="C23" s="103"/>
      <c r="D23" s="104"/>
      <c r="E23" s="105"/>
      <c r="F23" s="104"/>
      <c r="G23" s="104"/>
      <c r="H23" s="106"/>
      <c r="I23" s="104"/>
      <c r="J23" s="104"/>
      <c r="K23" s="104"/>
      <c r="L23" s="104"/>
      <c r="M23" s="104"/>
      <c r="N23" s="107"/>
    </row>
    <row r="24" spans="1:16" x14ac:dyDescent="0.2">
      <c r="A24" s="70"/>
      <c r="B24" s="103"/>
      <c r="C24" s="103"/>
      <c r="D24" s="104"/>
      <c r="E24" s="105"/>
      <c r="F24" s="104"/>
      <c r="G24" s="104"/>
      <c r="H24" s="106"/>
      <c r="I24" s="104"/>
      <c r="J24" s="104"/>
      <c r="K24" s="104"/>
      <c r="L24" s="104"/>
      <c r="M24" s="104"/>
      <c r="N24" s="107"/>
    </row>
    <row r="25" spans="1:16" x14ac:dyDescent="0.2">
      <c r="A25" s="71"/>
    </row>
  </sheetData>
  <mergeCells count="3">
    <mergeCell ref="A3:A4"/>
    <mergeCell ref="A17:L17"/>
    <mergeCell ref="O17:P17"/>
  </mergeCells>
  <conditionalFormatting sqref="B3">
    <cfRule type="duplicateValues" dxfId="2" priority="5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I28" sqref="I28"/>
    </sheetView>
  </sheetViews>
  <sheetFormatPr defaultRowHeight="15" x14ac:dyDescent="0.2"/>
  <cols>
    <col min="1" max="1" width="7.5703125" style="4" customWidth="1"/>
    <col min="2" max="2" width="18.85546875" style="2" customWidth="1"/>
    <col min="3" max="3" width="14.85546875" style="2" customWidth="1"/>
    <col min="4" max="4" width="9.140625" style="3" customWidth="1"/>
    <col min="5" max="5" width="8.5703125" style="12" customWidth="1"/>
    <col min="6" max="6" width="9.28515625" style="3" customWidth="1"/>
    <col min="7" max="7" width="10" style="3" customWidth="1"/>
    <col min="8" max="8" width="14.28515625" style="6" customWidth="1"/>
    <col min="9" max="11" width="3.5703125" style="3" customWidth="1"/>
    <col min="12" max="12" width="5.140625" style="3" customWidth="1"/>
    <col min="13" max="13" width="9.5703125" style="3" customWidth="1"/>
    <col min="14" max="14" width="13.140625" style="19" customWidth="1"/>
    <col min="15" max="15" width="8.42578125" style="19" customWidth="1"/>
    <col min="16" max="16" width="13.140625" style="19" customWidth="1"/>
    <col min="17" max="16384" width="9.140625" style="4"/>
  </cols>
  <sheetData>
    <row r="1" spans="1:16" x14ac:dyDescent="0.2">
      <c r="H1" s="5"/>
    </row>
    <row r="2" spans="1:16" ht="25.5" x14ac:dyDescent="0.2">
      <c r="A2" s="95" t="s">
        <v>260</v>
      </c>
      <c r="B2" s="74" t="s">
        <v>128</v>
      </c>
      <c r="C2" s="74" t="s">
        <v>0</v>
      </c>
      <c r="D2" s="74" t="s">
        <v>1</v>
      </c>
      <c r="E2" s="96" t="s">
        <v>6</v>
      </c>
      <c r="F2" s="74" t="s">
        <v>4</v>
      </c>
      <c r="G2" s="74" t="s">
        <v>7</v>
      </c>
      <c r="H2" s="96" t="s">
        <v>2</v>
      </c>
      <c r="I2" s="74" t="s">
        <v>245</v>
      </c>
      <c r="J2" s="74" t="s">
        <v>246</v>
      </c>
      <c r="K2" s="74" t="s">
        <v>247</v>
      </c>
      <c r="L2" s="74" t="s">
        <v>261</v>
      </c>
      <c r="M2" s="74" t="s">
        <v>265</v>
      </c>
      <c r="N2" s="74" t="s">
        <v>17</v>
      </c>
      <c r="O2" s="74" t="s">
        <v>263</v>
      </c>
      <c r="P2" s="74" t="s">
        <v>264</v>
      </c>
    </row>
    <row r="3" spans="1:16" ht="24" x14ac:dyDescent="0.2">
      <c r="A3" s="142" t="s">
        <v>257</v>
      </c>
      <c r="B3" s="67" t="s">
        <v>145</v>
      </c>
      <c r="C3" s="119" t="s">
        <v>146</v>
      </c>
      <c r="D3" s="1" t="s">
        <v>3</v>
      </c>
      <c r="E3" s="120">
        <v>44391</v>
      </c>
      <c r="F3" s="9" t="s">
        <v>148</v>
      </c>
      <c r="G3" s="1" t="s">
        <v>147</v>
      </c>
      <c r="H3" s="10" t="s">
        <v>204</v>
      </c>
      <c r="I3" s="14">
        <v>55</v>
      </c>
      <c r="J3" s="14">
        <v>17</v>
      </c>
      <c r="K3" s="14">
        <v>45</v>
      </c>
      <c r="L3" s="14">
        <v>14</v>
      </c>
      <c r="M3" s="1">
        <f>Table22456789[[#This Row],[P]]*Table22456789[[#This Row],[L]]*Table22456789[[#This Row],[T]]/4000</f>
        <v>10.518750000000001</v>
      </c>
      <c r="N3" s="90">
        <v>14</v>
      </c>
      <c r="O3" s="78">
        <v>7000</v>
      </c>
      <c r="P3" s="79">
        <f>Table22456789[[#This Row],[PEMBULATAN]]*O3</f>
        <v>98000</v>
      </c>
    </row>
    <row r="4" spans="1:16" ht="24" x14ac:dyDescent="0.2">
      <c r="A4" s="142"/>
      <c r="B4" s="68" t="s">
        <v>149</v>
      </c>
      <c r="C4" s="119" t="s">
        <v>150</v>
      </c>
      <c r="D4" s="1" t="s">
        <v>3</v>
      </c>
      <c r="E4" s="120">
        <v>44391</v>
      </c>
      <c r="F4" s="9" t="s">
        <v>148</v>
      </c>
      <c r="G4" s="1" t="s">
        <v>147</v>
      </c>
      <c r="H4" s="10" t="s">
        <v>204</v>
      </c>
      <c r="I4" s="14">
        <v>45</v>
      </c>
      <c r="J4" s="14">
        <v>46</v>
      </c>
      <c r="K4" s="14">
        <v>30</v>
      </c>
      <c r="L4" s="14">
        <v>9</v>
      </c>
      <c r="M4" s="1">
        <f>Table22456789[[#This Row],[P]]*Table22456789[[#This Row],[L]]*Table22456789[[#This Row],[T]]/4000</f>
        <v>15.525</v>
      </c>
      <c r="N4" s="90">
        <v>16</v>
      </c>
      <c r="O4" s="78">
        <v>7000</v>
      </c>
      <c r="P4" s="79">
        <f>Table22456789[[#This Row],[PEMBULATAN]]*O4</f>
        <v>112000</v>
      </c>
    </row>
    <row r="5" spans="1:16" ht="24" x14ac:dyDescent="0.2">
      <c r="A5" s="17"/>
      <c r="B5" s="65"/>
      <c r="C5" s="119" t="s">
        <v>151</v>
      </c>
      <c r="D5" s="1" t="s">
        <v>3</v>
      </c>
      <c r="E5" s="120">
        <v>44391</v>
      </c>
      <c r="F5" s="9" t="s">
        <v>148</v>
      </c>
      <c r="G5" s="1" t="s">
        <v>147</v>
      </c>
      <c r="H5" s="10" t="s">
        <v>204</v>
      </c>
      <c r="I5" s="14">
        <v>66</v>
      </c>
      <c r="J5" s="14">
        <v>46</v>
      </c>
      <c r="K5" s="14">
        <v>57</v>
      </c>
      <c r="L5" s="14">
        <v>42</v>
      </c>
      <c r="M5" s="1">
        <f>Table22456789[[#This Row],[P]]*Table22456789[[#This Row],[L]]*Table22456789[[#This Row],[T]]/4000</f>
        <v>43.262999999999998</v>
      </c>
      <c r="N5" s="90">
        <v>43</v>
      </c>
      <c r="O5" s="78">
        <v>7000</v>
      </c>
      <c r="P5" s="79">
        <f>Table22456789[[#This Row],[PEMBULATAN]]*O5</f>
        <v>301000</v>
      </c>
    </row>
    <row r="6" spans="1:16" ht="24" x14ac:dyDescent="0.2">
      <c r="A6" s="17"/>
      <c r="B6" s="65"/>
      <c r="C6" s="119" t="s">
        <v>152</v>
      </c>
      <c r="D6" s="1" t="s">
        <v>3</v>
      </c>
      <c r="E6" s="120">
        <v>44391</v>
      </c>
      <c r="F6" s="9" t="s">
        <v>148</v>
      </c>
      <c r="G6" s="1" t="s">
        <v>147</v>
      </c>
      <c r="H6" s="10" t="s">
        <v>204</v>
      </c>
      <c r="I6" s="14">
        <v>127</v>
      </c>
      <c r="J6" s="14">
        <v>55</v>
      </c>
      <c r="K6" s="14">
        <v>22</v>
      </c>
      <c r="L6" s="14">
        <v>20</v>
      </c>
      <c r="M6" s="1">
        <f>Table22456789[[#This Row],[P]]*Table22456789[[#This Row],[L]]*Table22456789[[#This Row],[T]]/4000</f>
        <v>38.417499999999997</v>
      </c>
      <c r="N6" s="90">
        <v>39</v>
      </c>
      <c r="O6" s="78">
        <v>7000</v>
      </c>
      <c r="P6" s="79">
        <f>Table22456789[[#This Row],[PEMBULATAN]]*O6</f>
        <v>273000</v>
      </c>
    </row>
    <row r="7" spans="1:16" ht="24" x14ac:dyDescent="0.2">
      <c r="A7" s="17"/>
      <c r="B7" s="65"/>
      <c r="C7" s="119" t="s">
        <v>153</v>
      </c>
      <c r="D7" s="1" t="s">
        <v>3</v>
      </c>
      <c r="E7" s="120">
        <v>44391</v>
      </c>
      <c r="F7" s="9" t="s">
        <v>148</v>
      </c>
      <c r="G7" s="1" t="s">
        <v>147</v>
      </c>
      <c r="H7" s="10" t="s">
        <v>204</v>
      </c>
      <c r="I7" s="14">
        <v>35</v>
      </c>
      <c r="J7" s="14">
        <v>23</v>
      </c>
      <c r="K7" s="14">
        <v>15</v>
      </c>
      <c r="L7" s="14">
        <v>6</v>
      </c>
      <c r="M7" s="1">
        <f>Table22456789[[#This Row],[P]]*Table22456789[[#This Row],[L]]*Table22456789[[#This Row],[T]]/4000</f>
        <v>3.0187499999999998</v>
      </c>
      <c r="N7" s="90">
        <v>6</v>
      </c>
      <c r="O7" s="78">
        <v>7000</v>
      </c>
      <c r="P7" s="79">
        <f>Table22456789[[#This Row],[PEMBULATAN]]*O7</f>
        <v>42000</v>
      </c>
    </row>
    <row r="8" spans="1:16" ht="24" x14ac:dyDescent="0.2">
      <c r="A8" s="17"/>
      <c r="B8" s="65"/>
      <c r="C8" s="119" t="s">
        <v>154</v>
      </c>
      <c r="D8" s="1" t="s">
        <v>3</v>
      </c>
      <c r="E8" s="120">
        <v>44391</v>
      </c>
      <c r="F8" s="9" t="s">
        <v>148</v>
      </c>
      <c r="G8" s="1" t="s">
        <v>147</v>
      </c>
      <c r="H8" s="10" t="s">
        <v>204</v>
      </c>
      <c r="I8" s="14">
        <v>20</v>
      </c>
      <c r="J8" s="14">
        <v>32</v>
      </c>
      <c r="K8" s="14">
        <v>40</v>
      </c>
      <c r="L8" s="14">
        <v>9</v>
      </c>
      <c r="M8" s="1">
        <f>Table22456789[[#This Row],[P]]*Table22456789[[#This Row],[L]]*Table22456789[[#This Row],[T]]/4000</f>
        <v>6.4</v>
      </c>
      <c r="N8" s="90">
        <v>9</v>
      </c>
      <c r="O8" s="78">
        <v>7000</v>
      </c>
      <c r="P8" s="79">
        <f>Table22456789[[#This Row],[PEMBULATAN]]*O8</f>
        <v>63000</v>
      </c>
    </row>
    <row r="9" spans="1:16" ht="24" x14ac:dyDescent="0.2">
      <c r="A9" s="17"/>
      <c r="B9" s="65"/>
      <c r="C9" s="119" t="s">
        <v>155</v>
      </c>
      <c r="D9" s="1" t="s">
        <v>3</v>
      </c>
      <c r="E9" s="120">
        <v>44391</v>
      </c>
      <c r="F9" s="9" t="s">
        <v>148</v>
      </c>
      <c r="G9" s="1" t="s">
        <v>147</v>
      </c>
      <c r="H9" s="10" t="s">
        <v>204</v>
      </c>
      <c r="I9" s="14">
        <v>40</v>
      </c>
      <c r="J9" s="14">
        <v>40</v>
      </c>
      <c r="K9" s="14">
        <v>25</v>
      </c>
      <c r="L9" s="14">
        <v>9</v>
      </c>
      <c r="M9" s="1">
        <f>Table22456789[[#This Row],[P]]*Table22456789[[#This Row],[L]]*Table22456789[[#This Row],[T]]/4000</f>
        <v>10</v>
      </c>
      <c r="N9" s="90">
        <v>10</v>
      </c>
      <c r="O9" s="78">
        <v>7000</v>
      </c>
      <c r="P9" s="79">
        <f>Table22456789[[#This Row],[PEMBULATAN]]*O9</f>
        <v>70000</v>
      </c>
    </row>
    <row r="10" spans="1:16" ht="24" x14ac:dyDescent="0.2">
      <c r="A10" s="17"/>
      <c r="B10" s="65"/>
      <c r="C10" s="119" t="s">
        <v>156</v>
      </c>
      <c r="D10" s="1" t="s">
        <v>3</v>
      </c>
      <c r="E10" s="120">
        <v>44391</v>
      </c>
      <c r="F10" s="9" t="s">
        <v>148</v>
      </c>
      <c r="G10" s="1" t="s">
        <v>147</v>
      </c>
      <c r="H10" s="10" t="s">
        <v>204</v>
      </c>
      <c r="I10" s="14">
        <v>124</v>
      </c>
      <c r="J10" s="14">
        <v>5</v>
      </c>
      <c r="K10" s="14">
        <v>120</v>
      </c>
      <c r="L10" s="14">
        <v>8</v>
      </c>
      <c r="M10" s="1">
        <f>Table22456789[[#This Row],[P]]*Table22456789[[#This Row],[L]]*Table22456789[[#This Row],[T]]/4000</f>
        <v>18.600000000000001</v>
      </c>
      <c r="N10" s="90">
        <v>19</v>
      </c>
      <c r="O10" s="78">
        <v>7000</v>
      </c>
      <c r="P10" s="79">
        <f>Table22456789[[#This Row],[PEMBULATAN]]*O10</f>
        <v>133000</v>
      </c>
    </row>
    <row r="11" spans="1:16" ht="24" x14ac:dyDescent="0.2">
      <c r="A11" s="17"/>
      <c r="B11" s="65"/>
      <c r="C11" s="119" t="s">
        <v>157</v>
      </c>
      <c r="D11" s="1" t="s">
        <v>3</v>
      </c>
      <c r="E11" s="120">
        <v>44391</v>
      </c>
      <c r="F11" s="9" t="s">
        <v>148</v>
      </c>
      <c r="G11" s="1" t="s">
        <v>147</v>
      </c>
      <c r="H11" s="10" t="s">
        <v>204</v>
      </c>
      <c r="I11" s="14">
        <v>50</v>
      </c>
      <c r="J11" s="14">
        <v>16</v>
      </c>
      <c r="K11" s="14">
        <v>44</v>
      </c>
      <c r="L11" s="14">
        <v>8</v>
      </c>
      <c r="M11" s="1">
        <f>Table22456789[[#This Row],[P]]*Table22456789[[#This Row],[L]]*Table22456789[[#This Row],[T]]/4000</f>
        <v>8.8000000000000007</v>
      </c>
      <c r="N11" s="90">
        <v>9</v>
      </c>
      <c r="O11" s="78">
        <v>7000</v>
      </c>
      <c r="P11" s="79">
        <f>Table22456789[[#This Row],[PEMBULATAN]]*O11</f>
        <v>63000</v>
      </c>
    </row>
    <row r="12" spans="1:16" ht="24" x14ac:dyDescent="0.2">
      <c r="A12" s="18"/>
      <c r="B12" s="69"/>
      <c r="C12" s="119" t="s">
        <v>158</v>
      </c>
      <c r="D12" s="1" t="s">
        <v>3</v>
      </c>
      <c r="E12" s="120">
        <v>44391</v>
      </c>
      <c r="F12" s="9" t="s">
        <v>148</v>
      </c>
      <c r="G12" s="1" t="s">
        <v>147</v>
      </c>
      <c r="H12" s="10" t="s">
        <v>204</v>
      </c>
      <c r="I12" s="14">
        <v>37</v>
      </c>
      <c r="J12" s="14">
        <v>10</v>
      </c>
      <c r="K12" s="14">
        <v>15</v>
      </c>
      <c r="L12" s="14">
        <v>1</v>
      </c>
      <c r="M12" s="1">
        <f>Table22456789[[#This Row],[P]]*Table22456789[[#This Row],[L]]*Table22456789[[#This Row],[T]]/4000</f>
        <v>1.3875</v>
      </c>
      <c r="N12" s="90">
        <v>2</v>
      </c>
      <c r="O12" s="78">
        <v>7000</v>
      </c>
      <c r="P12" s="79">
        <f>Table22456789[[#This Row],[PEMBULATAN]]*O12</f>
        <v>14000</v>
      </c>
    </row>
    <row r="13" spans="1:16" ht="22.5" customHeight="1" x14ac:dyDescent="0.2">
      <c r="A13" s="149" t="s">
        <v>234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1"/>
      <c r="M13" s="112">
        <f>SUBTOTAL(109,Table22456789[KG
VOLUME])</f>
        <v>155.93049999999999</v>
      </c>
      <c r="N13" s="113">
        <f>SUBTOTAL(109,Table22456789[PEMBULATAN])</f>
        <v>167</v>
      </c>
      <c r="O13" s="146">
        <f>SUM(P3:P12)</f>
        <v>1169000</v>
      </c>
      <c r="P13" s="147"/>
    </row>
    <row r="14" spans="1:16" x14ac:dyDescent="0.2">
      <c r="A14" s="102"/>
      <c r="B14" s="103"/>
      <c r="C14" s="103"/>
      <c r="D14" s="104"/>
      <c r="E14" s="105"/>
      <c r="F14" s="104"/>
      <c r="G14" s="104"/>
      <c r="H14" s="106"/>
      <c r="I14" s="104"/>
      <c r="J14" s="104"/>
      <c r="K14" s="104"/>
      <c r="L14" s="104"/>
      <c r="M14" s="104"/>
      <c r="N14" s="75" t="s">
        <v>235</v>
      </c>
      <c r="P14" s="83">
        <f>O13*1%</f>
        <v>11690</v>
      </c>
    </row>
    <row r="15" spans="1:16" x14ac:dyDescent="0.2">
      <c r="A15" s="102"/>
      <c r="B15" s="103"/>
      <c r="C15" s="103"/>
      <c r="D15" s="104"/>
      <c r="E15" s="105"/>
      <c r="F15" s="104"/>
      <c r="G15" s="104"/>
      <c r="H15" s="106"/>
      <c r="I15" s="104"/>
      <c r="J15" s="104"/>
      <c r="K15" s="104"/>
      <c r="L15" s="104"/>
      <c r="M15" s="104"/>
      <c r="N15" s="75" t="s">
        <v>236</v>
      </c>
      <c r="P15" s="85">
        <v>0</v>
      </c>
    </row>
    <row r="16" spans="1:16" ht="15.75" thickBot="1" x14ac:dyDescent="0.25">
      <c r="A16" s="102"/>
      <c r="B16" s="103"/>
      <c r="C16" s="103"/>
      <c r="D16" s="104"/>
      <c r="E16" s="105"/>
      <c r="F16" s="104"/>
      <c r="G16" s="104"/>
      <c r="H16" s="106"/>
      <c r="I16" s="104"/>
      <c r="J16" s="104"/>
      <c r="K16" s="104"/>
      <c r="L16" s="104"/>
      <c r="M16" s="104"/>
      <c r="N16" s="75" t="s">
        <v>237</v>
      </c>
      <c r="P16" s="85">
        <v>0</v>
      </c>
    </row>
    <row r="17" spans="1:16" x14ac:dyDescent="0.2">
      <c r="A17" s="102"/>
      <c r="B17" s="103"/>
      <c r="C17" s="103"/>
      <c r="D17" s="104"/>
      <c r="E17" s="105"/>
      <c r="F17" s="104"/>
      <c r="G17" s="104"/>
      <c r="H17" s="106"/>
      <c r="I17" s="104"/>
      <c r="J17" s="104"/>
      <c r="K17" s="104"/>
      <c r="L17" s="104"/>
      <c r="M17" s="104"/>
      <c r="N17" s="80" t="s">
        <v>238</v>
      </c>
      <c r="O17" s="81"/>
      <c r="P17" s="84">
        <f>O13+P14</f>
        <v>1180690</v>
      </c>
    </row>
    <row r="18" spans="1:16" x14ac:dyDescent="0.2">
      <c r="A18" s="102"/>
      <c r="B18" s="114" t="s">
        <v>248</v>
      </c>
      <c r="C18" s="116"/>
      <c r="D18" s="93" t="s">
        <v>249</v>
      </c>
      <c r="E18" s="105"/>
      <c r="F18" s="104"/>
      <c r="G18" s="104"/>
      <c r="H18" s="106"/>
      <c r="I18" s="104"/>
      <c r="J18" s="104"/>
      <c r="K18" s="104"/>
      <c r="L18" s="104"/>
      <c r="M18" s="104"/>
      <c r="N18" s="107"/>
    </row>
    <row r="19" spans="1:16" x14ac:dyDescent="0.2">
      <c r="A19" s="102"/>
      <c r="B19" s="103"/>
      <c r="C19" s="103"/>
      <c r="D19" s="104"/>
      <c r="E19" s="105"/>
      <c r="F19" s="104"/>
      <c r="G19" s="104"/>
      <c r="H19" s="106"/>
      <c r="I19" s="104"/>
      <c r="J19" s="104"/>
      <c r="K19" s="104"/>
      <c r="L19" s="104"/>
      <c r="M19" s="104"/>
      <c r="N19" s="107"/>
    </row>
    <row r="20" spans="1:16" x14ac:dyDescent="0.2">
      <c r="A20" s="70"/>
      <c r="B20" s="103"/>
      <c r="C20" s="103"/>
      <c r="D20" s="104"/>
      <c r="E20" s="105"/>
      <c r="F20" s="104"/>
      <c r="G20" s="104"/>
      <c r="H20" s="106"/>
      <c r="I20" s="104"/>
      <c r="J20" s="104"/>
      <c r="K20" s="104"/>
      <c r="L20" s="104"/>
      <c r="M20" s="104"/>
      <c r="N20" s="107"/>
    </row>
    <row r="21" spans="1:16" x14ac:dyDescent="0.2">
      <c r="A21" s="70"/>
    </row>
    <row r="22" spans="1:16" x14ac:dyDescent="0.2">
      <c r="A22" s="70"/>
    </row>
    <row r="23" spans="1:16" x14ac:dyDescent="0.2">
      <c r="A23" s="70"/>
    </row>
    <row r="24" spans="1:16" x14ac:dyDescent="0.2">
      <c r="A24" s="70"/>
    </row>
    <row r="25" spans="1:16" x14ac:dyDescent="0.2">
      <c r="A25" s="70"/>
    </row>
    <row r="26" spans="1:16" x14ac:dyDescent="0.2">
      <c r="A26" s="70"/>
    </row>
    <row r="27" spans="1:16" x14ac:dyDescent="0.2">
      <c r="A27" s="71"/>
    </row>
  </sheetData>
  <mergeCells count="3">
    <mergeCell ref="A3:A4"/>
    <mergeCell ref="A13:L13"/>
    <mergeCell ref="O13:P13"/>
  </mergeCells>
  <conditionalFormatting sqref="B3">
    <cfRule type="duplicateValues" dxfId="1" priority="2"/>
  </conditionalFormatting>
  <conditionalFormatting sqref="B4">
    <cfRule type="duplicateValues" dxfId="0" priority="1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002_Sicepat_Batam</vt:lpstr>
      <vt:lpstr>BKI032210025189</vt:lpstr>
      <vt:lpstr>BKI032210025254</vt:lpstr>
      <vt:lpstr>BKI032210025353</vt:lpstr>
      <vt:lpstr>BKI032210025437</vt:lpstr>
      <vt:lpstr>BKI032210025593</vt:lpstr>
      <vt:lpstr>BKI032210025486</vt:lpstr>
      <vt:lpstr>BKI032210025627</vt:lpstr>
      <vt:lpstr>BKI032210026047</vt:lpstr>
      <vt:lpstr>BKI032210026195</vt:lpstr>
      <vt:lpstr>BKI032210026377</vt:lpstr>
      <vt:lpstr>'002_Sicepat_Batam'!Print_Titles</vt:lpstr>
      <vt:lpstr>BKI032210025353!Print_Titles</vt:lpstr>
      <vt:lpstr>BKI032210025437!Print_Titles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2021-07-26T08:16:05Z</cp:lastPrinted>
  <dcterms:created xsi:type="dcterms:W3CDTF">2021-07-02T11:08:00Z</dcterms:created>
  <dcterms:modified xsi:type="dcterms:W3CDTF">2021-07-26T11:00:54Z</dcterms:modified>
</cp:coreProperties>
</file>