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DE\2021\INVOICE\Performa\Sicepat\"/>
    </mc:Choice>
  </mc:AlternateContent>
  <bookViews>
    <workbookView xWindow="0" yWindow="0" windowWidth="20490" windowHeight="7320"/>
  </bookViews>
  <sheets>
    <sheet name="004_Sicepat_Batam" sheetId="2" r:id="rId1"/>
    <sheet name="BKI032210027110" sheetId="1" r:id="rId2"/>
    <sheet name="BKI032210027326" sheetId="4" r:id="rId3"/>
    <sheet name="BKI032210027102" sheetId="5" r:id="rId4"/>
    <sheet name="BKI032210027268" sheetId="6" r:id="rId5"/>
    <sheet name="BKI032210027276" sheetId="7" r:id="rId6"/>
    <sheet name="BKI032210027755" sheetId="8" r:id="rId7"/>
    <sheet name="BKI032210027763" sheetId="9" r:id="rId8"/>
    <sheet name="BKI032210027987" sheetId="10" r:id="rId9"/>
    <sheet name="BKI032210028785" sheetId="11" r:id="rId10"/>
  </sheets>
  <definedNames>
    <definedName name="_xlnm.Print_Titles" localSheetId="0">'004_Sicepat_Batam'!$2:$17</definedName>
    <definedName name="_xlnm.Print_Titles" localSheetId="3">BKI032210027102!$2:$2</definedName>
    <definedName name="_xlnm.Print_Titles" localSheetId="4">BKI032210027268!$2:$2</definedName>
    <definedName name="_xlnm.Print_Titles" localSheetId="5">BKI032210027276!$2:$2</definedName>
    <definedName name="_xlnm.Print_Titles" localSheetId="6">BKI032210027755!$2:$2</definedName>
    <definedName name="_xlnm.Print_Titles" localSheetId="7">BKI032210027763!$2:$2</definedName>
    <definedName name="_xlnm.Print_Titles" localSheetId="8">BKI032210027987!$2:$2</definedName>
    <definedName name="_xlnm.Print_Titles" localSheetId="9">BKI032210028785!$2:$2</definedName>
  </definedNames>
  <calcPr calcId="162913"/>
</workbook>
</file>

<file path=xl/calcChain.xml><?xml version="1.0" encoding="utf-8"?>
<calcChain xmlns="http://schemas.openxmlformats.org/spreadsheetml/2006/main">
  <c r="O20" i="10" l="1"/>
  <c r="O32" i="7"/>
  <c r="O21" i="6"/>
  <c r="O15" i="5"/>
  <c r="O4" i="4"/>
  <c r="O16" i="1"/>
  <c r="P10" i="5" l="1"/>
  <c r="P11" i="5"/>
  <c r="P12" i="5"/>
  <c r="P13" i="5"/>
  <c r="P14" i="5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J27" i="2" l="1"/>
  <c r="P4" i="11" l="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19" i="10" l="1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P4" i="9"/>
  <c r="P5" i="9"/>
  <c r="P6" i="9"/>
  <c r="P7" i="9"/>
  <c r="P8" i="9"/>
  <c r="P9" i="9"/>
  <c r="P10" i="9"/>
  <c r="P11" i="9"/>
  <c r="P12" i="9"/>
  <c r="P13" i="9"/>
  <c r="P14" i="9"/>
  <c r="M14" i="9"/>
  <c r="M13" i="9"/>
  <c r="M12" i="9"/>
  <c r="M11" i="9"/>
  <c r="M10" i="9"/>
  <c r="M9" i="9"/>
  <c r="M8" i="9"/>
  <c r="M7" i="9"/>
  <c r="M6" i="9"/>
  <c r="M5" i="9"/>
  <c r="M4" i="9"/>
  <c r="M3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14" i="5" l="1"/>
  <c r="M13" i="5"/>
  <c r="M12" i="5"/>
  <c r="M11" i="5"/>
  <c r="M10" i="5"/>
  <c r="M9" i="5"/>
  <c r="M8" i="5"/>
  <c r="M7" i="5"/>
  <c r="M6" i="5"/>
  <c r="M5" i="5"/>
  <c r="M4" i="5"/>
  <c r="M3" i="5"/>
  <c r="M3" i="4"/>
  <c r="M3" i="1"/>
  <c r="M4" i="1"/>
  <c r="P4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P3" i="4"/>
  <c r="N27" i="11"/>
  <c r="M27" i="11"/>
  <c r="P3" i="11"/>
  <c r="N20" i="10"/>
  <c r="M20" i="10"/>
  <c r="P3" i="10"/>
  <c r="N15" i="9"/>
  <c r="M15" i="9"/>
  <c r="P3" i="9"/>
  <c r="N19" i="8"/>
  <c r="M19" i="8"/>
  <c r="P3" i="8"/>
  <c r="N32" i="7"/>
  <c r="M32" i="7"/>
  <c r="P5" i="7"/>
  <c r="P4" i="7"/>
  <c r="P3" i="7"/>
  <c r="N21" i="6"/>
  <c r="M21" i="6"/>
  <c r="P6" i="6"/>
  <c r="P5" i="6"/>
  <c r="P4" i="6"/>
  <c r="P3" i="6"/>
  <c r="O27" i="11" l="1"/>
  <c r="P28" i="11" s="1"/>
  <c r="P31" i="11" s="1"/>
  <c r="P21" i="10"/>
  <c r="P24" i="10" s="1"/>
  <c r="O15" i="9"/>
  <c r="P16" i="9" s="1"/>
  <c r="P19" i="9" s="1"/>
  <c r="O19" i="8"/>
  <c r="P20" i="8" s="1"/>
  <c r="P33" i="7"/>
  <c r="P22" i="6"/>
  <c r="P25" i="6" s="1"/>
  <c r="P23" i="8" l="1"/>
  <c r="P36" i="7"/>
  <c r="J25" i="2" l="1"/>
  <c r="J24" i="2"/>
  <c r="J23" i="2"/>
  <c r="J22" i="2"/>
  <c r="J21" i="2"/>
  <c r="J20" i="2"/>
  <c r="M16" i="1" l="1"/>
  <c r="N16" i="1"/>
  <c r="A19" i="2" l="1"/>
  <c r="N4" i="4"/>
  <c r="N15" i="5" l="1"/>
  <c r="P4" i="5"/>
  <c r="P5" i="5"/>
  <c r="P6" i="5"/>
  <c r="P7" i="5"/>
  <c r="P8" i="5"/>
  <c r="P9" i="5"/>
  <c r="P3" i="5"/>
  <c r="P16" i="5" l="1"/>
  <c r="P19" i="5" s="1"/>
  <c r="P3" i="1"/>
  <c r="I43" i="2"/>
  <c r="I30" i="2"/>
  <c r="I29" i="2"/>
  <c r="I32" i="2" s="1"/>
  <c r="J26" i="2"/>
  <c r="J19" i="2"/>
  <c r="J18" i="2"/>
  <c r="J29" i="2" l="1"/>
  <c r="J32" i="2" s="1"/>
  <c r="M4" i="4"/>
  <c r="M15" i="5"/>
  <c r="P17" i="1" l="1"/>
  <c r="P20" i="1" s="1"/>
  <c r="P5" i="4"/>
  <c r="P8" i="4" s="1"/>
</calcChain>
</file>

<file path=xl/sharedStrings.xml><?xml version="1.0" encoding="utf-8"?>
<sst xmlns="http://schemas.openxmlformats.org/spreadsheetml/2006/main" count="1019" uniqueCount="245">
  <si>
    <t>NOMOR</t>
  </si>
  <si>
    <t>TUJUAN</t>
  </si>
  <si>
    <t>KETERANGAN</t>
  </si>
  <si>
    <t>DMP BTH</t>
  </si>
  <si>
    <t>KAPAL</t>
  </si>
  <si>
    <t>Pick Up</t>
  </si>
  <si>
    <t>ETD Kapal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</si>
  <si>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</si>
  <si>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</si>
  <si>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</si>
  <si>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</si>
  <si>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</si>
  <si>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</si>
  <si>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</si>
  <si>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</si>
  <si>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</si>
  <si>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</si>
  <si>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</si>
  <si>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</si>
  <si>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</si>
  <si>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</si>
  <si>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</si>
  <si>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</si>
  <si>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</si>
  <si>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</si>
  <si>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</si>
  <si>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</si>
  <si>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</si>
  <si>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</si>
  <si>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</si>
  <si>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</si>
  <si>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</si>
  <si>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</si>
  <si>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</si>
  <si>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</si>
  <si>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</si>
  <si>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</si>
  <si>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</si>
  <si>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</si>
  <si>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</si>
  <si>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</si>
  <si>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</si>
  <si>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</si>
  <si>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</si>
  <si>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</si>
  <si>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</si>
  <si>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</si>
  <si>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</si>
  <si>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</si>
  <si>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</si>
  <si>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</si>
  <si>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</si>
  <si>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</si>
  <si>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</si>
  <si>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</si>
  <si>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</si>
  <si>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KG
VOLUME</t>
  </si>
  <si>
    <t>DMD/2107/25/UWIJ7534</t>
  </si>
  <si>
    <t>GSK210724EXH085</t>
  </si>
  <si>
    <t>GSK210724AFB524</t>
  </si>
  <si>
    <t>GSK210724VCT356</t>
  </si>
  <si>
    <t>GSK210724ECP075</t>
  </si>
  <si>
    <t>GSK210724WCF659</t>
  </si>
  <si>
    <t>GSK210724EOJ836</t>
  </si>
  <si>
    <t>GSK210725AXJ637</t>
  </si>
  <si>
    <t>GSK210725BJM578</t>
  </si>
  <si>
    <t>GSK210725SKN840</t>
  </si>
  <si>
    <t>GSK210725PQN137</t>
  </si>
  <si>
    <t>GSK210725LAP406</t>
  </si>
  <si>
    <t>GSK210725TNG309</t>
  </si>
  <si>
    <t>GSK210725SZI467</t>
  </si>
  <si>
    <t>GSK210725KLB089</t>
  </si>
  <si>
    <t>KMP SURYA 77</t>
  </si>
  <si>
    <t>28 Juli 2021</t>
  </si>
  <si>
    <t>DMD/2107/25/RHEN3865</t>
  </si>
  <si>
    <t>GSK210724JGD743</t>
  </si>
  <si>
    <t>DMD/2107/25/MDUA7214</t>
  </si>
  <si>
    <t>GSK210724IOK297</t>
  </si>
  <si>
    <t xml:space="preserve"> 004/PCI/K1/VIII/21</t>
  </si>
  <si>
    <t xml:space="preserve"> 03 Agustus  2021</t>
  </si>
  <si>
    <t>BKI032210027110</t>
  </si>
  <si>
    <t>BKI032210027326</t>
  </si>
  <si>
    <t>BKI032210027102</t>
  </si>
  <si>
    <t>BKI032210027268</t>
  </si>
  <si>
    <t>BKI032210027276</t>
  </si>
  <si>
    <t>BKI032210027755</t>
  </si>
  <si>
    <t>BKI032210027763</t>
  </si>
  <si>
    <t>BKI032210027987</t>
  </si>
  <si>
    <t>DMD/2107/20/IMYF3290</t>
  </si>
  <si>
    <t>GSK210720JRQ749</t>
  </si>
  <si>
    <t>Gab. Paket Kota</t>
  </si>
  <si>
    <t>GSK210720ATF042</t>
  </si>
  <si>
    <t>GSK210720WND217</t>
  </si>
  <si>
    <t>GSK210720CNA926</t>
  </si>
  <si>
    <t>GSK210720DPL405</t>
  </si>
  <si>
    <t>GSK210720KXU073</t>
  </si>
  <si>
    <t>GSK210720HML469</t>
  </si>
  <si>
    <t>GSK210720SGM657</t>
  </si>
  <si>
    <t>GSK210720QPT193</t>
  </si>
  <si>
    <t>GSK210720DRH617</t>
  </si>
  <si>
    <t>GSK210720WEM326</t>
  </si>
  <si>
    <t>GSK210720CIY176</t>
  </si>
  <si>
    <t>GSK210720GHZ798</t>
  </si>
  <si>
    <t>KMP SEMBILANG</t>
  </si>
  <si>
    <t>24 Juli 2021</t>
  </si>
  <si>
    <t>28/07/2021 15:30 POD by Nurman Jafar</t>
  </si>
  <si>
    <t>DMD/2107/21/KEVG4263</t>
  </si>
  <si>
    <t>GSK210721BIZ917</t>
  </si>
  <si>
    <t>DMD/2107/22/LSRQ0523</t>
  </si>
  <si>
    <t>GSK210722TYD362.</t>
  </si>
  <si>
    <t>DMD/2107/22/XKIB1407</t>
  </si>
  <si>
    <t>GSK210722DSJ018</t>
  </si>
  <si>
    <t>GSK210722NET625</t>
  </si>
  <si>
    <t>GSK210722HZV184</t>
  </si>
  <si>
    <t>GSK210722BCU078</t>
  </si>
  <si>
    <t>GSK210722MRF057</t>
  </si>
  <si>
    <t>GSK210722OWI514</t>
  </si>
  <si>
    <t>GSK210722PRD076</t>
  </si>
  <si>
    <t>GSK210722PNS236</t>
  </si>
  <si>
    <t>GSK210722SCA194</t>
  </si>
  <si>
    <t>GSK210722TYM925</t>
  </si>
  <si>
    <t>GSK210722HKG257</t>
  </si>
  <si>
    <t>DMD/2107/23/WHFE0274</t>
  </si>
  <si>
    <t>GSK210723AIU592</t>
  </si>
  <si>
    <t>GSK210723RWD315</t>
  </si>
  <si>
    <t>GSK210723ORE384</t>
  </si>
  <si>
    <t>GSK210723NTG728</t>
  </si>
  <si>
    <t>GSK210723GRD845</t>
  </si>
  <si>
    <t>GSK210723QXY679</t>
  </si>
  <si>
    <t>GSK210723FSI126</t>
  </si>
  <si>
    <t>GSK210723ZYJ347</t>
  </si>
  <si>
    <t>GSK210723ZBG867</t>
  </si>
  <si>
    <t>GSK210723IJQ237</t>
  </si>
  <si>
    <t>GSK210723AHE356</t>
  </si>
  <si>
    <t>GSK210723XSQ794</t>
  </si>
  <si>
    <t>DMD/2107/23/DLQS6247</t>
  </si>
  <si>
    <t>GSK210721SYT458</t>
  </si>
  <si>
    <t>GSK210722FGQ235</t>
  </si>
  <si>
    <t>GSK210723MWL821</t>
  </si>
  <si>
    <t>DMD/2107/23/XYIC1250</t>
  </si>
  <si>
    <t>GSK210723WSL714</t>
  </si>
  <si>
    <t>DMD/2107/23/DZGS7035</t>
  </si>
  <si>
    <t>GSK210720HTO603</t>
  </si>
  <si>
    <t>GSK210723WCG584</t>
  </si>
  <si>
    <t>DMD/2107/24/VJCK7365</t>
  </si>
  <si>
    <t>GSK210722CRA364</t>
  </si>
  <si>
    <t>GSK210722GEB971</t>
  </si>
  <si>
    <t>GSK210722DUH968</t>
  </si>
  <si>
    <t>GSK210723BHC135</t>
  </si>
  <si>
    <t>GSK210723OBJ259</t>
  </si>
  <si>
    <t>GSK210723SPI078</t>
  </si>
  <si>
    <t>GSK210723FVG654</t>
  </si>
  <si>
    <t>GSK210723SZT967</t>
  </si>
  <si>
    <t>GSK210723DPG236</t>
  </si>
  <si>
    <t>GSK210723BUY872</t>
  </si>
  <si>
    <t>GSK210724CKB568</t>
  </si>
  <si>
    <t>GSK210724CKR528</t>
  </si>
  <si>
    <t>GSK210724FJG841</t>
  </si>
  <si>
    <t>GSK210724YOD956</t>
  </si>
  <si>
    <t>GSK210724NLV921</t>
  </si>
  <si>
    <t>GSK210724EOM794</t>
  </si>
  <si>
    <t>GSK210724JHU304</t>
  </si>
  <si>
    <t>GSK210724DSJ102</t>
  </si>
  <si>
    <t>GSK210724OVD326</t>
  </si>
  <si>
    <t>DMD/2107/24/KDZT9250</t>
  </si>
  <si>
    <t>GSK210724RLB710</t>
  </si>
  <si>
    <t>GSK210724XSK124</t>
  </si>
  <si>
    <t>GSK210724TKE604</t>
  </si>
  <si>
    <t>DMD/2107/24/JHLM1548</t>
  </si>
  <si>
    <t>GSK210723AMG915</t>
  </si>
  <si>
    <t>GSK210723XJT179</t>
  </si>
  <si>
    <t>GSK210723CWI423</t>
  </si>
  <si>
    <t>GSK210723IJN416</t>
  </si>
  <si>
    <t>GSK210723NVL301</t>
  </si>
  <si>
    <t>DMD/2107/24/OKNP8245</t>
  </si>
  <si>
    <t>GSK210724OPL785</t>
  </si>
  <si>
    <t>GSK210724PNJ486</t>
  </si>
  <si>
    <t>30/07/2021 16:30 POD by JAKA</t>
  </si>
  <si>
    <t>DMD/2107/26/CHFK8769</t>
  </si>
  <si>
    <t>GSK210725YNO481</t>
  </si>
  <si>
    <t>GSK210725FKL102</t>
  </si>
  <si>
    <t>GSK210725HOE076</t>
  </si>
  <si>
    <t>GSK210725LHI528</t>
  </si>
  <si>
    <t>GSK210725LNC451</t>
  </si>
  <si>
    <t>GSK210726FOS034</t>
  </si>
  <si>
    <t>GSK210726MQZ981</t>
  </si>
  <si>
    <t>GSK210726PDS789</t>
  </si>
  <si>
    <t>GSK210726VKE780</t>
  </si>
  <si>
    <t>GSK210726YKR105</t>
  </si>
  <si>
    <t>DMD/2107/26/ATML1485</t>
  </si>
  <si>
    <t>GSK210725BMY792</t>
  </si>
  <si>
    <t>GSK210726MIB013</t>
  </si>
  <si>
    <t>DMD/2107/27/EQSY8603</t>
  </si>
  <si>
    <t>GSK210726ZSB795</t>
  </si>
  <si>
    <t>GSK210727CQM651</t>
  </si>
  <si>
    <t>GSK210727IXY326</t>
  </si>
  <si>
    <t>GSK210727DEH862</t>
  </si>
  <si>
    <t>GSK210727LKY732</t>
  </si>
  <si>
    <t>GSK210727CYM019</t>
  </si>
  <si>
    <t>GSK210727ZVG638</t>
  </si>
  <si>
    <t>GSK210727TNF673</t>
  </si>
  <si>
    <t>GSK210727PYN692</t>
  </si>
  <si>
    <t>GSK210727WYF495</t>
  </si>
  <si>
    <t>GSK210727BUP321</t>
  </si>
  <si>
    <t>GSK210727WBE629</t>
  </si>
  <si>
    <t>GSK210727XZJ025</t>
  </si>
  <si>
    <t>DMD/2107/27/XCVY3102</t>
  </si>
  <si>
    <t>GSK210727AHE361</t>
  </si>
  <si>
    <t>GSK210727PZX460</t>
  </si>
  <si>
    <t>DMD/2107/27/IPFT3427</t>
  </si>
  <si>
    <t>GSK210727WJO243</t>
  </si>
  <si>
    <t>GSK210727SCO584</t>
  </si>
  <si>
    <t>BKI032210028785</t>
  </si>
  <si>
    <t>DMD/2107/28/QBLX3850</t>
  </si>
  <si>
    <t>GSK210727LCZ856</t>
  </si>
  <si>
    <t>GSK210728PCZ032</t>
  </si>
  <si>
    <t>GSK210728ILX531</t>
  </si>
  <si>
    <t>GSK210728RTE581</t>
  </si>
  <si>
    <t>GSK210728MJW326</t>
  </si>
  <si>
    <t>GSK210728POS469</t>
  </si>
  <si>
    <t>GSK210728ZUF481</t>
  </si>
  <si>
    <t>GSK210728UCQ460</t>
  </si>
  <si>
    <t>GSK210728WGR037</t>
  </si>
  <si>
    <t>GSK210728FKU398</t>
  </si>
  <si>
    <t>GSK210728QXP903</t>
  </si>
  <si>
    <t>GSK210728PUA291</t>
  </si>
  <si>
    <t>GSK210728AEC280</t>
  </si>
  <si>
    <t>GSK210728VIK634</t>
  </si>
  <si>
    <t>GSK210728WXR431</t>
  </si>
  <si>
    <t>DMD/2107/28/EBYL6287</t>
  </si>
  <si>
    <t>GSK210728OVS761</t>
  </si>
  <si>
    <t>GSK210728XCI976</t>
  </si>
  <si>
    <t>GSK210728TGV590</t>
  </si>
  <si>
    <t>GSK210728DBA065</t>
  </si>
  <si>
    <t>GSK210728AGK365</t>
  </si>
  <si>
    <t>GSK210728GFB128</t>
  </si>
  <si>
    <t>GSK210728HCK160</t>
  </si>
  <si>
    <t>GSK210728GNS291</t>
  </si>
  <si>
    <t>GSK210728ENK176</t>
  </si>
  <si>
    <t>29 Juli 2021</t>
  </si>
  <si>
    <t>02/08/2021 13:00 POD by RESTU</t>
  </si>
  <si>
    <t>BTHPCI0341 - BATAM KOTA</t>
  </si>
  <si>
    <t>SICEPAT EXPRES BATAM ORCHARD (SORTATION)</t>
  </si>
  <si>
    <t>SICEPAT EXPRESS BATAM ORCHARD (SORTATION)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</si>
  <si>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Satu Juta Delapan Ratus Tujuh Puluh Empat Ribu Lima Ratus Delapan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</si>
</sst>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scheme val="minor"/>
    </font>
    <font>
      <b/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7" fontId="8" fillId="0" borderId="5" xfId="3" applyNumberFormat="1" applyFont="1" applyBorder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166" fontId="17" fillId="0" borderId="1" xfId="0" applyNumberFormat="1" applyFont="1" applyFill="1" applyBorder="1" applyAlignment="1">
      <alignment vertical="center"/>
    </xf>
    <xf numFmtId="0" fontId="18" fillId="0" borderId="1" xfId="0" applyNumberFormat="1" applyFont="1" applyBorder="1" applyAlignment="1">
      <alignment horizontal="center" vertical="center"/>
    </xf>
    <xf numFmtId="0" fontId="9" fillId="0" borderId="4" xfId="3" applyNumberFormat="1" applyFont="1" applyFill="1" applyBorder="1" applyAlignment="1">
      <alignment horizontal="center" vertical="center" wrapText="1"/>
    </xf>
    <xf numFmtId="0" fontId="9" fillId="0" borderId="1" xfId="3" applyNumberFormat="1" applyFont="1" applyFill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166" fontId="17" fillId="0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45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49</xdr:row>
      <xdr:rowOff>95250</xdr:rowOff>
    </xdr:from>
    <xdr:to>
      <xdr:col>17</xdr:col>
      <xdr:colOff>221316</xdr:colOff>
      <xdr:row>54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11201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37</xdr:row>
      <xdr:rowOff>133350</xdr:rowOff>
    </xdr:from>
    <xdr:to>
      <xdr:col>15</xdr:col>
      <xdr:colOff>552450</xdr:colOff>
      <xdr:row>42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77350" y="87915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43</xdr:row>
      <xdr:rowOff>48929</xdr:rowOff>
    </xdr:from>
    <xdr:to>
      <xdr:col>10</xdr:col>
      <xdr:colOff>209550</xdr:colOff>
      <xdr:row>49</xdr:row>
      <xdr:rowOff>95249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143459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C2:N15" totalsRowShown="0" headerRowDxfId="142" dataDxfId="140" headerRowBorderDxfId="141">
  <tableColumns count="12">
    <tableColumn id="1" name="NOMOR" dataDxfId="5" dataCellStyle="Normal"/>
    <tableColumn id="3" name="TUJUAN" dataDxfId="3" dataCellStyle="Normal"/>
    <tableColumn id="16" name="Pick Up" dataDxfId="4"/>
    <tableColumn id="14" name="KAPAL" dataDxfId="6"/>
    <tableColumn id="15" name="ETD Kapal" dataDxfId="7"/>
    <tableColumn id="10" name="KETERANGAN" dataDxfId="139" dataCellStyle="Normal"/>
    <tableColumn id="5" name="P" dataDxfId="138" dataCellStyle="Normal"/>
    <tableColumn id="6" name="L" dataDxfId="137" dataCellStyle="Normal"/>
    <tableColumn id="7" name="T" dataDxfId="136" dataCellStyle="Normal"/>
    <tableColumn id="4" name="ACT KG" dataDxfId="135" dataCellStyle="Normal"/>
    <tableColumn id="8" name="KG VOLUME" dataDxfId="134" dataCellStyle="Normal">
      <calculatedColumnFormula>I3*J3*K3/4000</calculatedColumnFormula>
    </tableColumn>
    <tableColumn id="19" name="PEMBULATAN" dataDxfId="13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C2:N3" totalsRowShown="0" headerRowDxfId="131" dataDxfId="129" headerRowBorderDxfId="130">
  <tableColumns count="12">
    <tableColumn id="1" name="NOMOR" dataDxfId="128" dataCellStyle="Normal"/>
    <tableColumn id="3" name="TUJUAN" dataDxfId="127" dataCellStyle="Normal"/>
    <tableColumn id="16" name="Pick Up" dataDxfId="126"/>
    <tableColumn id="14" name="KAPAL" dataDxfId="125"/>
    <tableColumn id="15" name="ETD Kapal" dataDxfId="124"/>
    <tableColumn id="10" name="KETERANGAN" dataDxfId="123" dataCellStyle="Normal"/>
    <tableColumn id="5" name="P" dataDxfId="122" dataCellStyle="Normal"/>
    <tableColumn id="6" name="L" dataDxfId="121" dataCellStyle="Normal"/>
    <tableColumn id="7" name="T" dataDxfId="120" dataCellStyle="Normal"/>
    <tableColumn id="4" name="ACT KG" dataDxfId="119" dataCellStyle="Normal"/>
    <tableColumn id="8" name="KG VOLUME" dataDxfId="118" dataCellStyle="Normal"/>
    <tableColumn id="19" name="PEMBULATAN" dataDxfId="11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C2:N14" totalsRowShown="0" headerRowDxfId="115" dataDxfId="113" headerRowBorderDxfId="114">
  <tableColumns count="12">
    <tableColumn id="1" name="NOMOR" dataDxfId="112" dataCellStyle="Normal"/>
    <tableColumn id="3" name="TUJUAN" dataDxfId="111" dataCellStyle="Normal"/>
    <tableColumn id="16" name="Pick Up" dataDxfId="110"/>
    <tableColumn id="14" name="KAPAL" dataDxfId="109"/>
    <tableColumn id="15" name="ETD Kapal" dataDxfId="24"/>
    <tableColumn id="10" name="KETERANGAN" dataDxfId="22" dataCellStyle="Normal"/>
    <tableColumn id="5" name="P" dataDxfId="23" dataCellStyle="Normal"/>
    <tableColumn id="6" name="L" dataDxfId="108" dataCellStyle="Normal"/>
    <tableColumn id="7" name="T" dataDxfId="107" dataCellStyle="Normal"/>
    <tableColumn id="4" name="ACT KG" dataDxfId="106" dataCellStyle="Normal"/>
    <tableColumn id="8" name="KG_x000a_VOLUME" dataDxfId="105" dataCellStyle="Normal"/>
    <tableColumn id="19" name="PEMBULATAN" dataDxfId="104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" displayName="Table2245" ref="C2:N20" totalsRowShown="0" headerRowDxfId="102" dataDxfId="100" headerRowBorderDxfId="101">
  <tableColumns count="12">
    <tableColumn id="1" name="NOMOR" dataDxfId="99" dataCellStyle="Normal"/>
    <tableColumn id="3" name="TUJUAN" dataDxfId="98" dataCellStyle="Normal"/>
    <tableColumn id="16" name="Pick Up" dataDxfId="97"/>
    <tableColumn id="14" name="KAPAL" dataDxfId="96"/>
    <tableColumn id="15" name="ETD Kapal" dataDxfId="2"/>
    <tableColumn id="10" name="KETERANGAN" dataDxfId="0" dataCellStyle="Normal"/>
    <tableColumn id="5" name="P" dataDxfId="1" dataCellStyle="Normal"/>
    <tableColumn id="6" name="L" dataDxfId="95" dataCellStyle="Normal"/>
    <tableColumn id="7" name="T" dataDxfId="94" dataCellStyle="Normal"/>
    <tableColumn id="4" name="ACT KG" dataDxfId="93" dataCellStyle="Normal"/>
    <tableColumn id="8" name="KG_x000a_VOLUME" dataDxfId="92" dataCellStyle="Normal"/>
    <tableColumn id="19" name="PEMBULATAN" dataDxfId="91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6" displayName="Table22456" ref="C2:N31" totalsRowShown="0" headerRowDxfId="89" dataDxfId="87" headerRowBorderDxfId="88">
  <tableColumns count="12">
    <tableColumn id="1" name="NOMOR" dataDxfId="86" dataCellStyle="Normal"/>
    <tableColumn id="3" name="TUJUAN" dataDxfId="85" dataCellStyle="Normal"/>
    <tableColumn id="16" name="Pick Up" dataDxfId="84"/>
    <tableColumn id="14" name="KAPAL" dataDxfId="83"/>
    <tableColumn id="15" name="ETD Kapal" dataDxfId="27"/>
    <tableColumn id="10" name="KETERANGAN" dataDxfId="25" dataCellStyle="Normal"/>
    <tableColumn id="5" name="P" dataDxfId="26" dataCellStyle="Normal"/>
    <tableColumn id="6" name="L" dataDxfId="82" dataCellStyle="Normal"/>
    <tableColumn id="7" name="T" dataDxfId="81" dataCellStyle="Normal"/>
    <tableColumn id="4" name="ACT KG" dataDxfId="80" dataCellStyle="Normal"/>
    <tableColumn id="8" name="KG_x000a_VOLUME" dataDxfId="79" dataCellStyle="Normal">
      <calculatedColumnFormula>I3*J3*K3/4000</calculatedColumnFormula>
    </tableColumn>
    <tableColumn id="19" name="PEMBULATAN" dataDxfId="7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67" displayName="Table224567" ref="C2:N18" totalsRowShown="0" headerRowDxfId="76" dataDxfId="74" headerRowBorderDxfId="75">
  <tableColumns count="12">
    <tableColumn id="1" name="NOMOR" dataDxfId="73" dataCellStyle="Normal"/>
    <tableColumn id="3" name="TUJUAN" dataDxfId="72" dataCellStyle="Normal"/>
    <tableColumn id="16" name="Pick Up" dataDxfId="21"/>
    <tableColumn id="14" name="KAPAL" dataDxfId="20"/>
    <tableColumn id="15" name="ETD Kapal" dataDxfId="19"/>
    <tableColumn id="10" name="KETERANGAN" dataDxfId="17" dataCellStyle="Normal"/>
    <tableColumn id="5" name="P" dataDxfId="18" dataCellStyle="Normal"/>
    <tableColumn id="6" name="L" dataDxfId="71" dataCellStyle="Normal"/>
    <tableColumn id="7" name="T" dataDxfId="70" dataCellStyle="Normal"/>
    <tableColumn id="4" name="ACT KG" dataDxfId="69" dataCellStyle="Normal"/>
    <tableColumn id="8" name="KG_x000a_VOLUME" dataDxfId="68" dataCellStyle="Normal"/>
    <tableColumn id="19" name="PEMBULATAN" dataDxfId="67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678" displayName="Table2245678" ref="C2:N14" totalsRowShown="0" headerRowDxfId="65" dataDxfId="63" headerRowBorderDxfId="64">
  <tableColumns count="12">
    <tableColumn id="1" name="NOMOR" dataDxfId="62" dataCellStyle="Normal"/>
    <tableColumn id="3" name="TUJUAN" dataDxfId="61" dataCellStyle="Normal"/>
    <tableColumn id="16" name="Pick Up" dataDxfId="60"/>
    <tableColumn id="14" name="KAPAL" dataDxfId="59"/>
    <tableColumn id="15" name="ETD Kapal" dataDxfId="16"/>
    <tableColumn id="10" name="KETERANGAN" dataDxfId="14" dataCellStyle="Normal"/>
    <tableColumn id="5" name="P" dataDxfId="15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_x000a_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6789" displayName="Table22456789" ref="C2:N19" totalsRowShown="0" headerRowDxfId="52" dataDxfId="50" headerRowBorderDxfId="51">
  <tableColumns count="12">
    <tableColumn id="1" name="NOMOR" dataDxfId="49" dataCellStyle="Normal"/>
    <tableColumn id="3" name="TUJUAN" dataDxfId="48" dataCellStyle="Normal"/>
    <tableColumn id="16" name="Pick Up" dataDxfId="13"/>
    <tableColumn id="14" name="KAPAL" dataDxfId="11"/>
    <tableColumn id="15" name="ETD Kapal" dataDxfId="12"/>
    <tableColumn id="10" name="KETERANGAN" dataDxfId="47" dataCellStyle="Normal"/>
    <tableColumn id="5" name="P" dataDxfId="46" dataCellStyle="Normal"/>
    <tableColumn id="6" name="L" dataDxfId="45" dataCellStyle="Normal"/>
    <tableColumn id="7" name="T" dataDxfId="44" dataCellStyle="Normal"/>
    <tableColumn id="4" name="ACT KG" dataDxfId="43" dataCellStyle="Normal"/>
    <tableColumn id="8" name="KG_x000a_VOLUME" dataDxfId="42" dataCellStyle="Normal"/>
    <tableColumn id="19" name="PEMBULATAN" dataDxfId="41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678910" displayName="Table2245678910" ref="C2:N26" totalsRowShown="0" headerRowDxfId="39" dataDxfId="37" headerRowBorderDxfId="38">
  <tableColumns count="12">
    <tableColumn id="1" name="NOMOR" dataDxfId="36" dataCellStyle="Normal"/>
    <tableColumn id="3" name="TUJUAN" dataDxfId="35" dataCellStyle="Normal"/>
    <tableColumn id="16" name="Pick Up" dataDxfId="10"/>
    <tableColumn id="14" name="KAPAL" dataDxfId="8"/>
    <tableColumn id="15" name="ETD Kapal" dataDxfId="9"/>
    <tableColumn id="10" name="KETERANGAN" dataDxfId="34" dataCellStyle="Normal"/>
    <tableColumn id="5" name="P" dataDxfId="33" dataCellStyle="Normal"/>
    <tableColumn id="6" name="L" dataDxfId="32" dataCellStyle="Normal"/>
    <tableColumn id="7" name="T" dataDxfId="31" dataCellStyle="Normal"/>
    <tableColumn id="4" name="ACT KG" dataDxfId="30" dataCellStyle="Normal"/>
    <tableColumn id="8" name="KG_x000a_VOLUME" dataDxfId="29" dataCellStyle="Normal"/>
    <tableColumn id="19" name="PEMBULATAN" dataDxfId="2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topLeftCell="A28" workbookViewId="0">
      <selection activeCell="J37" sqref="J37"/>
    </sheetView>
  </sheetViews>
  <sheetFormatPr defaultRowHeight="15.75" x14ac:dyDescent="0.25"/>
  <cols>
    <col min="1" max="1" width="6.42578125" style="20" customWidth="1"/>
    <col min="2" max="2" width="11.5703125" style="20" customWidth="1"/>
    <col min="3" max="3" width="10" style="20" customWidth="1"/>
    <col min="4" max="4" width="29.140625" style="20" customWidth="1"/>
    <col min="5" max="5" width="13.85546875" style="20" customWidth="1"/>
    <col min="6" max="6" width="6.85546875" style="20" bestFit="1" customWidth="1"/>
    <col min="7" max="7" width="5.28515625" style="20" customWidth="1"/>
    <col min="8" max="8" width="14.140625" style="21" bestFit="1" customWidth="1"/>
    <col min="9" max="9" width="1.5703125" style="21" customWidth="1"/>
    <col min="10" max="10" width="18.140625" style="20" customWidth="1"/>
    <col min="11" max="16384" width="9.140625" style="20"/>
  </cols>
  <sheetData>
    <row r="2" spans="1:10" x14ac:dyDescent="0.25">
      <c r="A2" s="19" t="s">
        <v>10</v>
      </c>
    </row>
    <row r="3" spans="1:10" x14ac:dyDescent="0.25">
      <c r="A3" s="22" t="s">
        <v>11</v>
      </c>
    </row>
    <row r="4" spans="1:10" x14ac:dyDescent="0.25">
      <c r="A4" s="22" t="s">
        <v>12</v>
      </c>
    </row>
    <row r="5" spans="1:10" x14ac:dyDescent="0.25">
      <c r="A5" s="22" t="s">
        <v>13</v>
      </c>
    </row>
    <row r="6" spans="1:10" x14ac:dyDescent="0.25">
      <c r="A6" s="22" t="s">
        <v>14</v>
      </c>
    </row>
    <row r="7" spans="1:10" x14ac:dyDescent="0.25">
      <c r="A7" s="22" t="s">
        <v>15</v>
      </c>
    </row>
    <row r="9" spans="1:10" ht="16.5" thickBot="1" x14ac:dyDescent="0.3">
      <c r="A9" s="23"/>
      <c r="B9" s="23"/>
      <c r="C9" s="23"/>
      <c r="D9" s="23"/>
      <c r="E9" s="23"/>
      <c r="F9" s="23"/>
      <c r="G9" s="23"/>
      <c r="H9" s="24"/>
      <c r="I9" s="24"/>
      <c r="J9" s="23"/>
    </row>
    <row r="10" spans="1:10" ht="23.25" customHeight="1" thickBot="1" x14ac:dyDescent="0.3">
      <c r="A10" s="99" t="s">
        <v>16</v>
      </c>
      <c r="B10" s="100"/>
      <c r="C10" s="100"/>
      <c r="D10" s="100"/>
      <c r="E10" s="100"/>
      <c r="F10" s="100"/>
      <c r="G10" s="100"/>
      <c r="H10" s="100"/>
      <c r="I10" s="100"/>
      <c r="J10" s="101"/>
    </row>
    <row r="12" spans="1:10" x14ac:dyDescent="0.25">
      <c r="A12" s="20" t="s">
        <v>17</v>
      </c>
      <c r="B12" s="20" t="s">
        <v>18</v>
      </c>
      <c r="H12" s="21" t="s">
        <v>19</v>
      </c>
      <c r="I12" s="25" t="s">
        <v>20</v>
      </c>
      <c r="J12" s="26" t="s">
        <v>78</v>
      </c>
    </row>
    <row r="13" spans="1:10" x14ac:dyDescent="0.25">
      <c r="H13" s="21" t="s">
        <v>21</v>
      </c>
      <c r="I13" s="25" t="s">
        <v>20</v>
      </c>
      <c r="J13" s="27" t="s">
        <v>79</v>
      </c>
    </row>
    <row r="14" spans="1:10" x14ac:dyDescent="0.25">
      <c r="H14" s="21" t="s">
        <v>22</v>
      </c>
      <c r="I14" s="25" t="s">
        <v>20</v>
      </c>
      <c r="J14" s="20" t="s">
        <v>23</v>
      </c>
    </row>
    <row r="15" spans="1:10" x14ac:dyDescent="0.25">
      <c r="A15" s="20" t="s">
        <v>24</v>
      </c>
      <c r="B15" s="26" t="s">
        <v>25</v>
      </c>
      <c r="C15" s="26"/>
      <c r="I15" s="25"/>
    </row>
    <row r="16" spans="1:10" ht="16.5" thickBot="1" x14ac:dyDescent="0.3"/>
    <row r="17" spans="1:18" ht="26.25" customHeight="1" x14ac:dyDescent="0.25">
      <c r="A17" s="28" t="s">
        <v>26</v>
      </c>
      <c r="B17" s="29" t="s">
        <v>27</v>
      </c>
      <c r="C17" s="29" t="s">
        <v>28</v>
      </c>
      <c r="D17" s="29" t="s">
        <v>29</v>
      </c>
      <c r="E17" s="29" t="s">
        <v>30</v>
      </c>
      <c r="F17" s="30" t="s">
        <v>31</v>
      </c>
      <c r="G17" s="30" t="s">
        <v>32</v>
      </c>
      <c r="H17" s="102" t="s">
        <v>33</v>
      </c>
      <c r="I17" s="103"/>
      <c r="J17" s="31" t="s">
        <v>34</v>
      </c>
    </row>
    <row r="18" spans="1:18" ht="61.5" customHeight="1" x14ac:dyDescent="0.25">
      <c r="A18" s="32">
        <v>1</v>
      </c>
      <c r="B18" s="33">
        <v>44397</v>
      </c>
      <c r="C18" s="34" t="s">
        <v>80</v>
      </c>
      <c r="D18" s="35" t="s">
        <v>242</v>
      </c>
      <c r="E18" s="35" t="s">
        <v>241</v>
      </c>
      <c r="F18" s="94">
        <v>13</v>
      </c>
      <c r="G18" s="95">
        <v>238</v>
      </c>
      <c r="H18" s="104">
        <v>7000</v>
      </c>
      <c r="I18" s="105"/>
      <c r="J18" s="38">
        <f>G18*H18</f>
        <v>1666000</v>
      </c>
      <c r="L18"/>
    </row>
    <row r="19" spans="1:18" ht="61.5" customHeight="1" x14ac:dyDescent="0.25">
      <c r="A19" s="32">
        <f>A18+1</f>
        <v>2</v>
      </c>
      <c r="B19" s="33">
        <v>44398</v>
      </c>
      <c r="C19" s="34" t="s">
        <v>81</v>
      </c>
      <c r="D19" s="35" t="s">
        <v>242</v>
      </c>
      <c r="E19" s="35" t="s">
        <v>241</v>
      </c>
      <c r="F19" s="94">
        <v>1</v>
      </c>
      <c r="G19" s="94">
        <v>16</v>
      </c>
      <c r="H19" s="104">
        <v>7000</v>
      </c>
      <c r="I19" s="105"/>
      <c r="J19" s="38">
        <f>G19*H19</f>
        <v>112000</v>
      </c>
      <c r="L19"/>
    </row>
    <row r="20" spans="1:18" ht="61.5" customHeight="1" x14ac:dyDescent="0.25">
      <c r="A20" s="32">
        <v>3</v>
      </c>
      <c r="B20" s="33">
        <v>44399</v>
      </c>
      <c r="C20" s="34" t="s">
        <v>82</v>
      </c>
      <c r="D20" s="35" t="s">
        <v>242</v>
      </c>
      <c r="E20" s="35" t="s">
        <v>241</v>
      </c>
      <c r="F20" s="94">
        <v>12</v>
      </c>
      <c r="G20" s="94">
        <v>237</v>
      </c>
      <c r="H20" s="104">
        <v>7000</v>
      </c>
      <c r="I20" s="105"/>
      <c r="J20" s="38">
        <f t="shared" ref="J20:J25" si="0">G20*H20</f>
        <v>1659000</v>
      </c>
      <c r="L20"/>
    </row>
    <row r="21" spans="1:18" ht="61.5" customHeight="1" x14ac:dyDescent="0.25">
      <c r="A21" s="32">
        <v>4</v>
      </c>
      <c r="B21" s="33">
        <v>44400</v>
      </c>
      <c r="C21" s="34" t="s">
        <v>83</v>
      </c>
      <c r="D21" s="35" t="s">
        <v>242</v>
      </c>
      <c r="E21" s="35" t="s">
        <v>241</v>
      </c>
      <c r="F21" s="94">
        <v>18</v>
      </c>
      <c r="G21" s="95">
        <v>397</v>
      </c>
      <c r="H21" s="104">
        <v>7000</v>
      </c>
      <c r="I21" s="105"/>
      <c r="J21" s="38">
        <f t="shared" si="0"/>
        <v>2779000</v>
      </c>
      <c r="L21"/>
    </row>
    <row r="22" spans="1:18" ht="61.5" customHeight="1" x14ac:dyDescent="0.25">
      <c r="A22" s="32">
        <v>5</v>
      </c>
      <c r="B22" s="33">
        <v>44401</v>
      </c>
      <c r="C22" s="34" t="s">
        <v>84</v>
      </c>
      <c r="D22" s="35" t="s">
        <v>242</v>
      </c>
      <c r="E22" s="35" t="s">
        <v>241</v>
      </c>
      <c r="F22" s="94">
        <v>29</v>
      </c>
      <c r="G22" s="95">
        <v>693</v>
      </c>
      <c r="H22" s="104">
        <v>7000</v>
      </c>
      <c r="I22" s="105"/>
      <c r="J22" s="38">
        <f t="shared" si="0"/>
        <v>4851000</v>
      </c>
      <c r="L22"/>
    </row>
    <row r="23" spans="1:18" ht="61.5" customHeight="1" x14ac:dyDescent="0.25">
      <c r="A23" s="32">
        <v>6</v>
      </c>
      <c r="B23" s="33">
        <v>44402</v>
      </c>
      <c r="C23" s="34" t="s">
        <v>85</v>
      </c>
      <c r="D23" s="35" t="s">
        <v>243</v>
      </c>
      <c r="E23" s="35" t="s">
        <v>241</v>
      </c>
      <c r="F23" s="94">
        <v>16</v>
      </c>
      <c r="G23" s="95">
        <v>339</v>
      </c>
      <c r="H23" s="104">
        <v>7000</v>
      </c>
      <c r="I23" s="105"/>
      <c r="J23" s="38">
        <f t="shared" si="0"/>
        <v>2373000</v>
      </c>
      <c r="L23"/>
    </row>
    <row r="24" spans="1:18" ht="61.5" customHeight="1" x14ac:dyDescent="0.25">
      <c r="A24" s="32">
        <v>7</v>
      </c>
      <c r="B24" s="33">
        <v>44403</v>
      </c>
      <c r="C24" s="34" t="s">
        <v>86</v>
      </c>
      <c r="D24" s="35" t="s">
        <v>243</v>
      </c>
      <c r="E24" s="35" t="s">
        <v>241</v>
      </c>
      <c r="F24" s="94">
        <v>12</v>
      </c>
      <c r="G24" s="95">
        <v>396</v>
      </c>
      <c r="H24" s="104">
        <v>7000</v>
      </c>
      <c r="I24" s="105"/>
      <c r="J24" s="38">
        <f t="shared" si="0"/>
        <v>2772000</v>
      </c>
      <c r="L24"/>
    </row>
    <row r="25" spans="1:18" ht="61.5" customHeight="1" x14ac:dyDescent="0.25">
      <c r="A25" s="32">
        <v>8</v>
      </c>
      <c r="B25" s="33">
        <v>44404</v>
      </c>
      <c r="C25" s="34" t="s">
        <v>87</v>
      </c>
      <c r="D25" s="35" t="s">
        <v>243</v>
      </c>
      <c r="E25" s="35" t="s">
        <v>241</v>
      </c>
      <c r="F25" s="94">
        <v>17</v>
      </c>
      <c r="G25" s="95">
        <v>279</v>
      </c>
      <c r="H25" s="104">
        <v>7000</v>
      </c>
      <c r="I25" s="105"/>
      <c r="J25" s="38">
        <f t="shared" si="0"/>
        <v>1953000</v>
      </c>
      <c r="L25"/>
    </row>
    <row r="26" spans="1:18" ht="61.5" customHeight="1" x14ac:dyDescent="0.25">
      <c r="A26" s="32">
        <v>9</v>
      </c>
      <c r="B26" s="33">
        <v>44405</v>
      </c>
      <c r="C26" s="34" t="s">
        <v>212</v>
      </c>
      <c r="D26" s="35" t="s">
        <v>243</v>
      </c>
      <c r="E26" s="35" t="s">
        <v>241</v>
      </c>
      <c r="F26" s="36">
        <v>24</v>
      </c>
      <c r="G26" s="37">
        <v>499</v>
      </c>
      <c r="H26" s="104">
        <v>7000</v>
      </c>
      <c r="I26" s="105"/>
      <c r="J26" s="38">
        <f t="shared" ref="J26" si="1">G26*H26</f>
        <v>3493000</v>
      </c>
      <c r="L26"/>
    </row>
    <row r="27" spans="1:18" ht="32.25" customHeight="1" thickBot="1" x14ac:dyDescent="0.3">
      <c r="A27" s="106" t="s">
        <v>35</v>
      </c>
      <c r="B27" s="107"/>
      <c r="C27" s="107"/>
      <c r="D27" s="107"/>
      <c r="E27" s="107"/>
      <c r="F27" s="107"/>
      <c r="G27" s="107"/>
      <c r="H27" s="107"/>
      <c r="I27" s="108"/>
      <c r="J27" s="39">
        <f>SUM(J18:J26)</f>
        <v>21658000</v>
      </c>
    </row>
    <row r="28" spans="1:18" x14ac:dyDescent="0.25">
      <c r="A28" s="109"/>
      <c r="B28" s="109"/>
      <c r="C28" s="40"/>
      <c r="D28" s="40"/>
      <c r="E28" s="40"/>
      <c r="F28" s="40"/>
      <c r="G28" s="40"/>
      <c r="H28" s="41"/>
      <c r="I28" s="41"/>
      <c r="J28" s="42"/>
    </row>
    <row r="29" spans="1:18" x14ac:dyDescent="0.25">
      <c r="A29" s="40"/>
      <c r="B29" s="40"/>
      <c r="C29" s="40"/>
      <c r="D29" s="40"/>
      <c r="E29" s="40"/>
      <c r="F29" s="40"/>
      <c r="G29" s="40"/>
      <c r="H29" s="43" t="s">
        <v>36</v>
      </c>
      <c r="I29" s="44" t="e">
        <f>#REF!*1%</f>
        <v>#REF!</v>
      </c>
      <c r="J29" s="42">
        <f>J27*1%</f>
        <v>216580</v>
      </c>
    </row>
    <row r="30" spans="1:18" x14ac:dyDescent="0.25">
      <c r="A30" s="40"/>
      <c r="B30" s="40"/>
      <c r="C30" s="40"/>
      <c r="D30" s="40"/>
      <c r="E30" s="40"/>
      <c r="F30" s="40"/>
      <c r="G30" s="40"/>
      <c r="H30" s="43" t="s">
        <v>37</v>
      </c>
      <c r="I30" s="42">
        <f>I28*10%</f>
        <v>0</v>
      </c>
      <c r="J30" s="42">
        <v>0</v>
      </c>
    </row>
    <row r="31" spans="1:18" ht="16.5" thickBot="1" x14ac:dyDescent="0.3">
      <c r="E31" s="19"/>
      <c r="F31" s="19"/>
      <c r="G31" s="19"/>
      <c r="H31" s="45" t="s">
        <v>38</v>
      </c>
      <c r="I31" s="46">
        <v>0</v>
      </c>
      <c r="J31" s="46">
        <v>0</v>
      </c>
      <c r="R31" s="20" t="s">
        <v>9</v>
      </c>
    </row>
    <row r="32" spans="1:18" x14ac:dyDescent="0.25">
      <c r="E32" s="19"/>
      <c r="F32" s="19"/>
      <c r="G32" s="19"/>
      <c r="H32" s="47" t="s">
        <v>39</v>
      </c>
      <c r="I32" s="48" t="e">
        <f>I27+I29</f>
        <v>#REF!</v>
      </c>
      <c r="J32" s="48">
        <f>J27+J29</f>
        <v>21874580</v>
      </c>
    </row>
    <row r="33" spans="1:10" x14ac:dyDescent="0.25">
      <c r="E33" s="19"/>
      <c r="F33" s="19"/>
      <c r="G33" s="19"/>
      <c r="H33" s="47"/>
      <c r="I33" s="48"/>
      <c r="J33" s="48"/>
    </row>
    <row r="34" spans="1:10" x14ac:dyDescent="0.25">
      <c r="A34" s="19" t="s">
        <v>244</v>
      </c>
      <c r="D34" s="19"/>
      <c r="E34" s="19"/>
      <c r="F34" s="19"/>
      <c r="G34" s="19"/>
      <c r="H34" s="47"/>
      <c r="I34" s="47"/>
      <c r="J34" s="48"/>
    </row>
    <row r="35" spans="1:10" x14ac:dyDescent="0.25">
      <c r="A35" s="49"/>
      <c r="D35" s="19"/>
      <c r="E35" s="19"/>
      <c r="F35" s="19"/>
      <c r="G35" s="19"/>
      <c r="H35" s="47"/>
      <c r="I35" s="47"/>
      <c r="J35" s="48"/>
    </row>
    <row r="36" spans="1:10" x14ac:dyDescent="0.25">
      <c r="D36" s="19"/>
      <c r="E36" s="19"/>
      <c r="F36" s="19"/>
      <c r="G36" s="19"/>
      <c r="H36" s="47"/>
      <c r="I36" s="47"/>
      <c r="J36" s="48"/>
    </row>
    <row r="37" spans="1:10" x14ac:dyDescent="0.25">
      <c r="A37" s="50" t="s">
        <v>40</v>
      </c>
    </row>
    <row r="38" spans="1:10" x14ac:dyDescent="0.25">
      <c r="A38" s="51" t="s">
        <v>41</v>
      </c>
      <c r="B38" s="52"/>
      <c r="C38" s="52"/>
      <c r="D38" s="53"/>
      <c r="E38" s="53"/>
      <c r="F38" s="53"/>
      <c r="G38" s="53"/>
    </row>
    <row r="39" spans="1:10" x14ac:dyDescent="0.25">
      <c r="A39" s="51" t="s">
        <v>42</v>
      </c>
      <c r="B39" s="52"/>
      <c r="C39" s="52"/>
      <c r="D39" s="53"/>
      <c r="E39" s="53"/>
      <c r="F39" s="53"/>
      <c r="G39" s="53"/>
    </row>
    <row r="40" spans="1:10" x14ac:dyDescent="0.25">
      <c r="A40" s="54" t="s">
        <v>43</v>
      </c>
      <c r="B40" s="55"/>
      <c r="C40" s="55"/>
      <c r="D40" s="53"/>
      <c r="E40" s="53"/>
      <c r="F40" s="53"/>
      <c r="G40" s="53"/>
    </row>
    <row r="41" spans="1:10" x14ac:dyDescent="0.25">
      <c r="A41" s="56" t="s">
        <v>10</v>
      </c>
      <c r="B41" s="57"/>
      <c r="C41" s="57"/>
      <c r="D41" s="53"/>
      <c r="E41" s="53"/>
      <c r="F41" s="53"/>
      <c r="G41" s="53"/>
    </row>
    <row r="42" spans="1:10" x14ac:dyDescent="0.25">
      <c r="A42" s="58"/>
      <c r="B42" s="58"/>
      <c r="C42" s="58"/>
    </row>
    <row r="43" spans="1:10" x14ac:dyDescent="0.25">
      <c r="H43" s="59" t="s">
        <v>44</v>
      </c>
      <c r="I43" s="96" t="str">
        <f>+J13</f>
        <v xml:space="preserve"> 03 Agustus  2021</v>
      </c>
      <c r="J43" s="97"/>
    </row>
    <row r="47" spans="1:10" ht="18" customHeight="1" x14ac:dyDescent="0.25"/>
    <row r="48" spans="1:10" ht="17.25" customHeight="1" x14ac:dyDescent="0.25"/>
    <row r="50" spans="8:10" x14ac:dyDescent="0.25">
      <c r="H50" s="98" t="s">
        <v>45</v>
      </c>
      <c r="I50" s="98"/>
      <c r="J50" s="98"/>
    </row>
  </sheetData>
  <mergeCells count="15">
    <mergeCell ref="I43:J43"/>
    <mergeCell ref="H50:J50"/>
    <mergeCell ref="A10:J10"/>
    <mergeCell ref="H17:I17"/>
    <mergeCell ref="H18:I18"/>
    <mergeCell ref="H19:I19"/>
    <mergeCell ref="H26:I26"/>
    <mergeCell ref="A27:I27"/>
    <mergeCell ref="A28:B28"/>
    <mergeCell ref="H20:I20"/>
    <mergeCell ref="H21:I21"/>
    <mergeCell ref="H22:I22"/>
    <mergeCell ref="H23:I23"/>
    <mergeCell ref="H24:I24"/>
    <mergeCell ref="H25:I25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defaultRowHeight="15" x14ac:dyDescent="0.2"/>
  <cols>
    <col min="1" max="1" width="7.7109375" style="4" customWidth="1"/>
    <col min="2" max="2" width="19.7109375" style="2" customWidth="1"/>
    <col min="3" max="3" width="15" style="2" customWidth="1"/>
    <col min="4" max="4" width="9.42578125" style="3" customWidth="1"/>
    <col min="5" max="5" width="9" style="12" customWidth="1"/>
    <col min="6" max="6" width="9.28515625" style="3" customWidth="1"/>
    <col min="7" max="7" width="9.7109375" style="3" customWidth="1"/>
    <col min="8" max="8" width="14.7109375" style="6" customWidth="1"/>
    <col min="9" max="11" width="4" style="3" customWidth="1"/>
    <col min="12" max="12" width="5.42578125" style="3" customWidth="1"/>
    <col min="13" max="13" width="8.42578125" style="3" customWidth="1"/>
    <col min="14" max="14" width="13.85546875" style="17" customWidth="1"/>
    <col min="15" max="15" width="7.7109375" style="17" customWidth="1"/>
    <col min="16" max="16" width="13.140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56</v>
      </c>
      <c r="N2" s="66" t="s">
        <v>7</v>
      </c>
      <c r="O2" s="66" t="s">
        <v>54</v>
      </c>
      <c r="P2" s="66" t="s">
        <v>55</v>
      </c>
    </row>
    <row r="3" spans="1:16" ht="24" customHeight="1" x14ac:dyDescent="0.2">
      <c r="A3" s="110" t="s">
        <v>212</v>
      </c>
      <c r="B3" s="14" t="s">
        <v>213</v>
      </c>
      <c r="C3" s="9" t="s">
        <v>214</v>
      </c>
      <c r="D3" s="1" t="s">
        <v>3</v>
      </c>
      <c r="E3" s="13">
        <v>44405</v>
      </c>
      <c r="F3" s="118" t="s">
        <v>103</v>
      </c>
      <c r="G3" s="1" t="s">
        <v>239</v>
      </c>
      <c r="H3" s="10" t="s">
        <v>240</v>
      </c>
      <c r="I3" s="1">
        <v>80</v>
      </c>
      <c r="J3" s="1">
        <v>46</v>
      </c>
      <c r="K3" s="1">
        <v>29</v>
      </c>
      <c r="L3" s="1">
        <v>19</v>
      </c>
      <c r="M3" s="1">
        <f t="shared" ref="M3:M26" si="0">I3*J3*K3/4000</f>
        <v>26.68</v>
      </c>
      <c r="N3" s="8">
        <v>27</v>
      </c>
      <c r="O3" s="69">
        <v>7000</v>
      </c>
      <c r="P3" s="70">
        <f>Table2245678910[[#This Row],[PEMBULATAN]]*O3</f>
        <v>189000</v>
      </c>
    </row>
    <row r="4" spans="1:16" ht="24" customHeight="1" x14ac:dyDescent="0.2">
      <c r="A4" s="110"/>
      <c r="B4" s="15"/>
      <c r="C4" s="9" t="s">
        <v>215</v>
      </c>
      <c r="D4" s="1" t="s">
        <v>3</v>
      </c>
      <c r="E4" s="13">
        <v>44405</v>
      </c>
      <c r="F4" s="118" t="s">
        <v>103</v>
      </c>
      <c r="G4" s="1" t="s">
        <v>239</v>
      </c>
      <c r="H4" s="10" t="s">
        <v>240</v>
      </c>
      <c r="I4" s="1">
        <v>60</v>
      </c>
      <c r="J4" s="1">
        <v>38</v>
      </c>
      <c r="K4" s="1">
        <v>22</v>
      </c>
      <c r="L4" s="1">
        <v>10</v>
      </c>
      <c r="M4" s="1">
        <f t="shared" si="0"/>
        <v>12.54</v>
      </c>
      <c r="N4" s="8">
        <v>13</v>
      </c>
      <c r="O4" s="69">
        <v>7000</v>
      </c>
      <c r="P4" s="70">
        <f>Table2245678910[[#This Row],[PEMBULATAN]]*O4</f>
        <v>91000</v>
      </c>
    </row>
    <row r="5" spans="1:16" ht="24" customHeight="1" x14ac:dyDescent="0.2">
      <c r="A5" s="84"/>
      <c r="B5" s="15"/>
      <c r="C5" s="87" t="s">
        <v>216</v>
      </c>
      <c r="D5" s="88" t="s">
        <v>3</v>
      </c>
      <c r="E5" s="89">
        <v>44405</v>
      </c>
      <c r="F5" s="117" t="s">
        <v>103</v>
      </c>
      <c r="G5" s="91" t="s">
        <v>239</v>
      </c>
      <c r="H5" s="92" t="s">
        <v>240</v>
      </c>
      <c r="I5" s="88">
        <v>150</v>
      </c>
      <c r="J5" s="88">
        <v>28</v>
      </c>
      <c r="K5" s="88">
        <v>30</v>
      </c>
      <c r="L5" s="88">
        <v>25</v>
      </c>
      <c r="M5" s="88">
        <f t="shared" si="0"/>
        <v>31.5</v>
      </c>
      <c r="N5" s="93">
        <v>32</v>
      </c>
      <c r="O5" s="69">
        <v>7000</v>
      </c>
      <c r="P5" s="70">
        <f>Table2245678910[[#This Row],[PEMBULATAN]]*O5</f>
        <v>224000</v>
      </c>
    </row>
    <row r="6" spans="1:16" ht="24" customHeight="1" x14ac:dyDescent="0.2">
      <c r="A6" s="84"/>
      <c r="B6" s="15"/>
      <c r="C6" s="87" t="s">
        <v>217</v>
      </c>
      <c r="D6" s="88" t="s">
        <v>3</v>
      </c>
      <c r="E6" s="89">
        <v>44405</v>
      </c>
      <c r="F6" s="117" t="s">
        <v>103</v>
      </c>
      <c r="G6" s="91" t="s">
        <v>239</v>
      </c>
      <c r="H6" s="92" t="s">
        <v>240</v>
      </c>
      <c r="I6" s="88">
        <v>98</v>
      </c>
      <c r="J6" s="88">
        <v>27</v>
      </c>
      <c r="K6" s="88">
        <v>20</v>
      </c>
      <c r="L6" s="88">
        <v>9</v>
      </c>
      <c r="M6" s="88">
        <f t="shared" si="0"/>
        <v>13.23</v>
      </c>
      <c r="N6" s="93">
        <v>13</v>
      </c>
      <c r="O6" s="69">
        <v>7000</v>
      </c>
      <c r="P6" s="70">
        <f>Table2245678910[[#This Row],[PEMBULATAN]]*O6</f>
        <v>91000</v>
      </c>
    </row>
    <row r="7" spans="1:16" ht="24" customHeight="1" x14ac:dyDescent="0.2">
      <c r="A7" s="84"/>
      <c r="B7" s="15"/>
      <c r="C7" s="87" t="s">
        <v>218</v>
      </c>
      <c r="D7" s="88" t="s">
        <v>3</v>
      </c>
      <c r="E7" s="89">
        <v>44405</v>
      </c>
      <c r="F7" s="117" t="s">
        <v>103</v>
      </c>
      <c r="G7" s="91" t="s">
        <v>239</v>
      </c>
      <c r="H7" s="92" t="s">
        <v>240</v>
      </c>
      <c r="I7" s="88">
        <v>85</v>
      </c>
      <c r="J7" s="88">
        <v>33</v>
      </c>
      <c r="K7" s="88">
        <v>27</v>
      </c>
      <c r="L7" s="88">
        <v>8</v>
      </c>
      <c r="M7" s="88">
        <f t="shared" si="0"/>
        <v>18.93375</v>
      </c>
      <c r="N7" s="93">
        <v>19</v>
      </c>
      <c r="O7" s="69">
        <v>7000</v>
      </c>
      <c r="P7" s="70">
        <f>Table2245678910[[#This Row],[PEMBULATAN]]*O7</f>
        <v>133000</v>
      </c>
    </row>
    <row r="8" spans="1:16" ht="24" customHeight="1" x14ac:dyDescent="0.2">
      <c r="A8" s="84"/>
      <c r="B8" s="15"/>
      <c r="C8" s="87" t="s">
        <v>219</v>
      </c>
      <c r="D8" s="88" t="s">
        <v>3</v>
      </c>
      <c r="E8" s="89">
        <v>44405</v>
      </c>
      <c r="F8" s="117" t="s">
        <v>103</v>
      </c>
      <c r="G8" s="91" t="s">
        <v>239</v>
      </c>
      <c r="H8" s="92" t="s">
        <v>240</v>
      </c>
      <c r="I8" s="88">
        <v>73</v>
      </c>
      <c r="J8" s="88">
        <v>49</v>
      </c>
      <c r="K8" s="88">
        <v>10</v>
      </c>
      <c r="L8" s="88">
        <v>6</v>
      </c>
      <c r="M8" s="88">
        <f t="shared" si="0"/>
        <v>8.9425000000000008</v>
      </c>
      <c r="N8" s="93">
        <v>9</v>
      </c>
      <c r="O8" s="69">
        <v>7000</v>
      </c>
      <c r="P8" s="70">
        <f>Table2245678910[[#This Row],[PEMBULATAN]]*O8</f>
        <v>63000</v>
      </c>
    </row>
    <row r="9" spans="1:16" ht="24" customHeight="1" x14ac:dyDescent="0.2">
      <c r="A9" s="84"/>
      <c r="B9" s="15"/>
      <c r="C9" s="87" t="s">
        <v>220</v>
      </c>
      <c r="D9" s="88" t="s">
        <v>3</v>
      </c>
      <c r="E9" s="89">
        <v>44405</v>
      </c>
      <c r="F9" s="117" t="s">
        <v>103</v>
      </c>
      <c r="G9" s="91" t="s">
        <v>239</v>
      </c>
      <c r="H9" s="92" t="s">
        <v>240</v>
      </c>
      <c r="I9" s="88">
        <v>10</v>
      </c>
      <c r="J9" s="88">
        <v>18</v>
      </c>
      <c r="K9" s="88">
        <v>200</v>
      </c>
      <c r="L9" s="88">
        <v>23</v>
      </c>
      <c r="M9" s="88">
        <f t="shared" si="0"/>
        <v>9</v>
      </c>
      <c r="N9" s="93">
        <v>23</v>
      </c>
      <c r="O9" s="69">
        <v>7000</v>
      </c>
      <c r="P9" s="70">
        <f>Table2245678910[[#This Row],[PEMBULATAN]]*O9</f>
        <v>161000</v>
      </c>
    </row>
    <row r="10" spans="1:16" ht="24" customHeight="1" x14ac:dyDescent="0.2">
      <c r="A10" s="84"/>
      <c r="B10" s="15"/>
      <c r="C10" s="87" t="s">
        <v>221</v>
      </c>
      <c r="D10" s="88" t="s">
        <v>3</v>
      </c>
      <c r="E10" s="89">
        <v>44405</v>
      </c>
      <c r="F10" s="117" t="s">
        <v>103</v>
      </c>
      <c r="G10" s="91" t="s">
        <v>239</v>
      </c>
      <c r="H10" s="92" t="s">
        <v>240</v>
      </c>
      <c r="I10" s="88">
        <v>20</v>
      </c>
      <c r="J10" s="88">
        <v>20</v>
      </c>
      <c r="K10" s="88">
        <v>230</v>
      </c>
      <c r="L10" s="88">
        <v>10</v>
      </c>
      <c r="M10" s="88">
        <f t="shared" si="0"/>
        <v>23</v>
      </c>
      <c r="N10" s="93">
        <v>23</v>
      </c>
      <c r="O10" s="69">
        <v>7000</v>
      </c>
      <c r="P10" s="70">
        <f>Table2245678910[[#This Row],[PEMBULATAN]]*O10</f>
        <v>161000</v>
      </c>
    </row>
    <row r="11" spans="1:16" ht="24" customHeight="1" x14ac:dyDescent="0.2">
      <c r="A11" s="84"/>
      <c r="B11" s="15"/>
      <c r="C11" s="87" t="s">
        <v>222</v>
      </c>
      <c r="D11" s="88" t="s">
        <v>3</v>
      </c>
      <c r="E11" s="89">
        <v>44405</v>
      </c>
      <c r="F11" s="117" t="s">
        <v>103</v>
      </c>
      <c r="G11" s="91" t="s">
        <v>239</v>
      </c>
      <c r="H11" s="92" t="s">
        <v>240</v>
      </c>
      <c r="I11" s="88">
        <v>60</v>
      </c>
      <c r="J11" s="88">
        <v>38</v>
      </c>
      <c r="K11" s="88">
        <v>22</v>
      </c>
      <c r="L11" s="88">
        <v>10</v>
      </c>
      <c r="M11" s="88">
        <f t="shared" si="0"/>
        <v>12.54</v>
      </c>
      <c r="N11" s="93">
        <v>13</v>
      </c>
      <c r="O11" s="69">
        <v>7000</v>
      </c>
      <c r="P11" s="70">
        <f>Table2245678910[[#This Row],[PEMBULATAN]]*O11</f>
        <v>91000</v>
      </c>
    </row>
    <row r="12" spans="1:16" ht="24" customHeight="1" x14ac:dyDescent="0.2">
      <c r="A12" s="84"/>
      <c r="B12" s="15"/>
      <c r="C12" s="87" t="s">
        <v>223</v>
      </c>
      <c r="D12" s="88" t="s">
        <v>3</v>
      </c>
      <c r="E12" s="89">
        <v>44405</v>
      </c>
      <c r="F12" s="117" t="s">
        <v>103</v>
      </c>
      <c r="G12" s="91" t="s">
        <v>239</v>
      </c>
      <c r="H12" s="92" t="s">
        <v>240</v>
      </c>
      <c r="I12" s="88">
        <v>63</v>
      </c>
      <c r="J12" s="88">
        <v>63</v>
      </c>
      <c r="K12" s="88">
        <v>10</v>
      </c>
      <c r="L12" s="88">
        <v>9</v>
      </c>
      <c r="M12" s="88">
        <f t="shared" si="0"/>
        <v>9.9224999999999994</v>
      </c>
      <c r="N12" s="93">
        <v>10</v>
      </c>
      <c r="O12" s="69">
        <v>7000</v>
      </c>
      <c r="P12" s="70">
        <f>Table2245678910[[#This Row],[PEMBULATAN]]*O12</f>
        <v>70000</v>
      </c>
    </row>
    <row r="13" spans="1:16" ht="24" customHeight="1" x14ac:dyDescent="0.2">
      <c r="A13" s="84"/>
      <c r="B13" s="15"/>
      <c r="C13" s="87" t="s">
        <v>224</v>
      </c>
      <c r="D13" s="88" t="s">
        <v>3</v>
      </c>
      <c r="E13" s="89">
        <v>44405</v>
      </c>
      <c r="F13" s="117" t="s">
        <v>103</v>
      </c>
      <c r="G13" s="91" t="s">
        <v>239</v>
      </c>
      <c r="H13" s="92" t="s">
        <v>240</v>
      </c>
      <c r="I13" s="88">
        <v>43</v>
      </c>
      <c r="J13" s="88">
        <v>33</v>
      </c>
      <c r="K13" s="88">
        <v>13</v>
      </c>
      <c r="L13" s="88">
        <v>10</v>
      </c>
      <c r="M13" s="88">
        <f t="shared" si="0"/>
        <v>4.6117499999999998</v>
      </c>
      <c r="N13" s="93">
        <v>10</v>
      </c>
      <c r="O13" s="69">
        <v>7000</v>
      </c>
      <c r="P13" s="70">
        <f>Table2245678910[[#This Row],[PEMBULATAN]]*O13</f>
        <v>70000</v>
      </c>
    </row>
    <row r="14" spans="1:16" ht="24" customHeight="1" x14ac:dyDescent="0.2">
      <c r="A14" s="84"/>
      <c r="B14" s="15"/>
      <c r="C14" s="87" t="s">
        <v>225</v>
      </c>
      <c r="D14" s="88" t="s">
        <v>3</v>
      </c>
      <c r="E14" s="89">
        <v>44405</v>
      </c>
      <c r="F14" s="117" t="s">
        <v>103</v>
      </c>
      <c r="G14" s="91" t="s">
        <v>239</v>
      </c>
      <c r="H14" s="92" t="s">
        <v>240</v>
      </c>
      <c r="I14" s="88">
        <v>124</v>
      </c>
      <c r="J14" s="88">
        <v>18</v>
      </c>
      <c r="K14" s="88">
        <v>18</v>
      </c>
      <c r="L14" s="88">
        <v>22</v>
      </c>
      <c r="M14" s="88">
        <f t="shared" si="0"/>
        <v>10.044</v>
      </c>
      <c r="N14" s="93">
        <v>22</v>
      </c>
      <c r="O14" s="69">
        <v>7000</v>
      </c>
      <c r="P14" s="70">
        <f>Table2245678910[[#This Row],[PEMBULATAN]]*O14</f>
        <v>154000</v>
      </c>
    </row>
    <row r="15" spans="1:16" ht="24" customHeight="1" x14ac:dyDescent="0.2">
      <c r="A15" s="84"/>
      <c r="B15" s="15"/>
      <c r="C15" s="87" t="s">
        <v>226</v>
      </c>
      <c r="D15" s="88" t="s">
        <v>3</v>
      </c>
      <c r="E15" s="89">
        <v>44405</v>
      </c>
      <c r="F15" s="117" t="s">
        <v>103</v>
      </c>
      <c r="G15" s="91" t="s">
        <v>239</v>
      </c>
      <c r="H15" s="92" t="s">
        <v>240</v>
      </c>
      <c r="I15" s="88">
        <v>124</v>
      </c>
      <c r="J15" s="88">
        <v>18</v>
      </c>
      <c r="K15" s="88">
        <v>18</v>
      </c>
      <c r="L15" s="88">
        <v>22</v>
      </c>
      <c r="M15" s="88">
        <f t="shared" si="0"/>
        <v>10.044</v>
      </c>
      <c r="N15" s="93">
        <v>22</v>
      </c>
      <c r="O15" s="69">
        <v>7000</v>
      </c>
      <c r="P15" s="70">
        <f>Table2245678910[[#This Row],[PEMBULATAN]]*O15</f>
        <v>154000</v>
      </c>
    </row>
    <row r="16" spans="1:16" ht="24" customHeight="1" x14ac:dyDescent="0.2">
      <c r="A16" s="84"/>
      <c r="B16" s="15"/>
      <c r="C16" s="87" t="s">
        <v>227</v>
      </c>
      <c r="D16" s="88" t="s">
        <v>3</v>
      </c>
      <c r="E16" s="89">
        <v>44405</v>
      </c>
      <c r="F16" s="117" t="s">
        <v>103</v>
      </c>
      <c r="G16" s="91" t="s">
        <v>239</v>
      </c>
      <c r="H16" s="92" t="s">
        <v>240</v>
      </c>
      <c r="I16" s="88">
        <v>53</v>
      </c>
      <c r="J16" s="88">
        <v>28</v>
      </c>
      <c r="K16" s="88">
        <v>45</v>
      </c>
      <c r="L16" s="88">
        <v>7</v>
      </c>
      <c r="M16" s="88">
        <f t="shared" si="0"/>
        <v>16.695</v>
      </c>
      <c r="N16" s="93">
        <v>17</v>
      </c>
      <c r="O16" s="69">
        <v>7000</v>
      </c>
      <c r="P16" s="70">
        <f>Table2245678910[[#This Row],[PEMBULATAN]]*O16</f>
        <v>119000</v>
      </c>
    </row>
    <row r="17" spans="1:16" ht="24" customHeight="1" x14ac:dyDescent="0.2">
      <c r="A17" s="84"/>
      <c r="B17" s="16"/>
      <c r="C17" s="87" t="s">
        <v>228</v>
      </c>
      <c r="D17" s="88" t="s">
        <v>3</v>
      </c>
      <c r="E17" s="89">
        <v>44405</v>
      </c>
      <c r="F17" s="117" t="s">
        <v>103</v>
      </c>
      <c r="G17" s="91" t="s">
        <v>239</v>
      </c>
      <c r="H17" s="92" t="s">
        <v>240</v>
      </c>
      <c r="I17" s="88">
        <v>50</v>
      </c>
      <c r="J17" s="88">
        <v>48</v>
      </c>
      <c r="K17" s="88">
        <v>60</v>
      </c>
      <c r="L17" s="88">
        <v>48</v>
      </c>
      <c r="M17" s="88">
        <f t="shared" si="0"/>
        <v>36</v>
      </c>
      <c r="N17" s="93">
        <v>48</v>
      </c>
      <c r="O17" s="69">
        <v>7000</v>
      </c>
      <c r="P17" s="70">
        <f>Table2245678910[[#This Row],[PEMBULATAN]]*O17</f>
        <v>336000</v>
      </c>
    </row>
    <row r="18" spans="1:16" ht="24" customHeight="1" x14ac:dyDescent="0.2">
      <c r="A18" s="84"/>
      <c r="B18" s="15" t="s">
        <v>229</v>
      </c>
      <c r="C18" s="87" t="s">
        <v>230</v>
      </c>
      <c r="D18" s="88" t="s">
        <v>3</v>
      </c>
      <c r="E18" s="89">
        <v>44405</v>
      </c>
      <c r="F18" s="117" t="s">
        <v>103</v>
      </c>
      <c r="G18" s="91" t="s">
        <v>239</v>
      </c>
      <c r="H18" s="92" t="s">
        <v>240</v>
      </c>
      <c r="I18" s="88">
        <v>39</v>
      </c>
      <c r="J18" s="88">
        <v>42</v>
      </c>
      <c r="K18" s="88">
        <v>48</v>
      </c>
      <c r="L18" s="88">
        <v>26</v>
      </c>
      <c r="M18" s="88">
        <f t="shared" si="0"/>
        <v>19.655999999999999</v>
      </c>
      <c r="N18" s="93">
        <v>26</v>
      </c>
      <c r="O18" s="69">
        <v>7000</v>
      </c>
      <c r="P18" s="70">
        <f>Table2245678910[[#This Row],[PEMBULATAN]]*O18</f>
        <v>182000</v>
      </c>
    </row>
    <row r="19" spans="1:16" ht="24" customHeight="1" x14ac:dyDescent="0.2">
      <c r="A19" s="84"/>
      <c r="B19" s="15"/>
      <c r="C19" s="87" t="s">
        <v>231</v>
      </c>
      <c r="D19" s="88" t="s">
        <v>3</v>
      </c>
      <c r="E19" s="89">
        <v>44405</v>
      </c>
      <c r="F19" s="117" t="s">
        <v>103</v>
      </c>
      <c r="G19" s="91" t="s">
        <v>239</v>
      </c>
      <c r="H19" s="92" t="s">
        <v>240</v>
      </c>
      <c r="I19" s="88">
        <v>39</v>
      </c>
      <c r="J19" s="88">
        <v>39</v>
      </c>
      <c r="K19" s="88">
        <v>42</v>
      </c>
      <c r="L19" s="88">
        <v>26</v>
      </c>
      <c r="M19" s="88">
        <f t="shared" si="0"/>
        <v>15.970499999999999</v>
      </c>
      <c r="N19" s="93">
        <v>26</v>
      </c>
      <c r="O19" s="69">
        <v>7000</v>
      </c>
      <c r="P19" s="70">
        <f>Table2245678910[[#This Row],[PEMBULATAN]]*O19</f>
        <v>182000</v>
      </c>
    </row>
    <row r="20" spans="1:16" ht="24" customHeight="1" x14ac:dyDescent="0.2">
      <c r="A20" s="84"/>
      <c r="B20" s="15"/>
      <c r="C20" s="87" t="s">
        <v>232</v>
      </c>
      <c r="D20" s="88" t="s">
        <v>3</v>
      </c>
      <c r="E20" s="89">
        <v>44405</v>
      </c>
      <c r="F20" s="117" t="s">
        <v>103</v>
      </c>
      <c r="G20" s="91" t="s">
        <v>239</v>
      </c>
      <c r="H20" s="92" t="s">
        <v>240</v>
      </c>
      <c r="I20" s="88">
        <v>43</v>
      </c>
      <c r="J20" s="88">
        <v>30</v>
      </c>
      <c r="K20" s="88">
        <v>30</v>
      </c>
      <c r="L20" s="88">
        <v>7</v>
      </c>
      <c r="M20" s="88">
        <f t="shared" si="0"/>
        <v>9.6750000000000007</v>
      </c>
      <c r="N20" s="93">
        <v>10</v>
      </c>
      <c r="O20" s="69">
        <v>7000</v>
      </c>
      <c r="P20" s="70">
        <f>Table2245678910[[#This Row],[PEMBULATAN]]*O20</f>
        <v>70000</v>
      </c>
    </row>
    <row r="21" spans="1:16" ht="24" customHeight="1" x14ac:dyDescent="0.2">
      <c r="A21" s="84"/>
      <c r="B21" s="15"/>
      <c r="C21" s="87" t="s">
        <v>233</v>
      </c>
      <c r="D21" s="88" t="s">
        <v>3</v>
      </c>
      <c r="E21" s="89">
        <v>44405</v>
      </c>
      <c r="F21" s="117" t="s">
        <v>103</v>
      </c>
      <c r="G21" s="91" t="s">
        <v>239</v>
      </c>
      <c r="H21" s="92" t="s">
        <v>240</v>
      </c>
      <c r="I21" s="88">
        <v>39</v>
      </c>
      <c r="J21" s="88">
        <v>43</v>
      </c>
      <c r="K21" s="88">
        <v>48</v>
      </c>
      <c r="L21" s="88">
        <v>26</v>
      </c>
      <c r="M21" s="88">
        <f t="shared" si="0"/>
        <v>20.123999999999999</v>
      </c>
      <c r="N21" s="93">
        <v>26</v>
      </c>
      <c r="O21" s="69">
        <v>7000</v>
      </c>
      <c r="P21" s="70">
        <f>Table2245678910[[#This Row],[PEMBULATAN]]*O21</f>
        <v>182000</v>
      </c>
    </row>
    <row r="22" spans="1:16" ht="24" customHeight="1" x14ac:dyDescent="0.2">
      <c r="A22" s="15"/>
      <c r="B22" s="15"/>
      <c r="C22" s="9" t="s">
        <v>234</v>
      </c>
      <c r="D22" s="1" t="s">
        <v>3</v>
      </c>
      <c r="E22" s="13">
        <v>44405</v>
      </c>
      <c r="F22" s="118" t="s">
        <v>103</v>
      </c>
      <c r="G22" s="1" t="s">
        <v>239</v>
      </c>
      <c r="H22" s="10" t="s">
        <v>240</v>
      </c>
      <c r="I22" s="1">
        <v>39</v>
      </c>
      <c r="J22" s="1">
        <v>42</v>
      </c>
      <c r="K22" s="1">
        <v>48</v>
      </c>
      <c r="L22" s="1">
        <v>26</v>
      </c>
      <c r="M22" s="1">
        <f t="shared" si="0"/>
        <v>19.655999999999999</v>
      </c>
      <c r="N22" s="8">
        <v>26</v>
      </c>
      <c r="O22" s="69">
        <v>7000</v>
      </c>
      <c r="P22" s="70">
        <f>Table2245678910[[#This Row],[PEMBULATAN]]*O22</f>
        <v>182000</v>
      </c>
    </row>
    <row r="23" spans="1:16" ht="24" customHeight="1" x14ac:dyDescent="0.2">
      <c r="A23" s="15"/>
      <c r="B23" s="15"/>
      <c r="C23" s="9" t="s">
        <v>235</v>
      </c>
      <c r="D23" s="1" t="s">
        <v>3</v>
      </c>
      <c r="E23" s="13">
        <v>44405</v>
      </c>
      <c r="F23" s="118" t="s">
        <v>103</v>
      </c>
      <c r="G23" s="1" t="s">
        <v>239</v>
      </c>
      <c r="H23" s="10" t="s">
        <v>240</v>
      </c>
      <c r="I23" s="1">
        <v>39</v>
      </c>
      <c r="J23" s="1">
        <v>42</v>
      </c>
      <c r="K23" s="1">
        <v>48</v>
      </c>
      <c r="L23" s="1">
        <v>26</v>
      </c>
      <c r="M23" s="1">
        <f t="shared" si="0"/>
        <v>19.655999999999999</v>
      </c>
      <c r="N23" s="8">
        <v>26</v>
      </c>
      <c r="O23" s="69">
        <v>7000</v>
      </c>
      <c r="P23" s="70">
        <f>Table2245678910[[#This Row],[PEMBULATAN]]*O23</f>
        <v>182000</v>
      </c>
    </row>
    <row r="24" spans="1:16" ht="24" customHeight="1" x14ac:dyDescent="0.2">
      <c r="A24" s="15"/>
      <c r="B24" s="15"/>
      <c r="C24" s="9" t="s">
        <v>236</v>
      </c>
      <c r="D24" s="1" t="s">
        <v>3</v>
      </c>
      <c r="E24" s="13">
        <v>44405</v>
      </c>
      <c r="F24" s="118" t="s">
        <v>103</v>
      </c>
      <c r="G24" s="1" t="s">
        <v>239</v>
      </c>
      <c r="H24" s="10" t="s">
        <v>240</v>
      </c>
      <c r="I24" s="1">
        <v>39</v>
      </c>
      <c r="J24" s="1">
        <v>42</v>
      </c>
      <c r="K24" s="1">
        <v>48</v>
      </c>
      <c r="L24" s="1">
        <v>26</v>
      </c>
      <c r="M24" s="1">
        <f t="shared" si="0"/>
        <v>19.655999999999999</v>
      </c>
      <c r="N24" s="8">
        <v>26</v>
      </c>
      <c r="O24" s="69">
        <v>7000</v>
      </c>
      <c r="P24" s="70">
        <f>Table2245678910[[#This Row],[PEMBULATAN]]*O24</f>
        <v>182000</v>
      </c>
    </row>
    <row r="25" spans="1:16" ht="24" customHeight="1" x14ac:dyDescent="0.2">
      <c r="A25" s="15"/>
      <c r="B25" s="15"/>
      <c r="C25" s="9" t="s">
        <v>237</v>
      </c>
      <c r="D25" s="1" t="s">
        <v>3</v>
      </c>
      <c r="E25" s="13">
        <v>44405</v>
      </c>
      <c r="F25" s="118" t="s">
        <v>103</v>
      </c>
      <c r="G25" s="1" t="s">
        <v>239</v>
      </c>
      <c r="H25" s="10" t="s">
        <v>240</v>
      </c>
      <c r="I25" s="1">
        <v>43</v>
      </c>
      <c r="J25" s="1">
        <v>40</v>
      </c>
      <c r="K25" s="1">
        <v>47</v>
      </c>
      <c r="L25" s="1">
        <v>25</v>
      </c>
      <c r="M25" s="1">
        <f t="shared" si="0"/>
        <v>20.21</v>
      </c>
      <c r="N25" s="8">
        <v>25</v>
      </c>
      <c r="O25" s="69">
        <v>7000</v>
      </c>
      <c r="P25" s="70">
        <f>Table2245678910[[#This Row],[PEMBULATAN]]*O25</f>
        <v>175000</v>
      </c>
    </row>
    <row r="26" spans="1:16" ht="24" customHeight="1" x14ac:dyDescent="0.2">
      <c r="A26" s="15"/>
      <c r="B26" s="15"/>
      <c r="C26" s="9" t="s">
        <v>238</v>
      </c>
      <c r="D26" s="1" t="s">
        <v>3</v>
      </c>
      <c r="E26" s="13">
        <v>44405</v>
      </c>
      <c r="F26" s="118" t="s">
        <v>103</v>
      </c>
      <c r="G26" s="1" t="s">
        <v>239</v>
      </c>
      <c r="H26" s="10" t="s">
        <v>240</v>
      </c>
      <c r="I26" s="1">
        <v>42</v>
      </c>
      <c r="J26" s="1">
        <v>32</v>
      </c>
      <c r="K26" s="1">
        <v>20</v>
      </c>
      <c r="L26" s="1">
        <v>5</v>
      </c>
      <c r="M26" s="1">
        <f t="shared" si="0"/>
        <v>6.72</v>
      </c>
      <c r="N26" s="8">
        <v>7</v>
      </c>
      <c r="O26" s="69">
        <v>7000</v>
      </c>
      <c r="P26" s="70">
        <f>Table2245678910[[#This Row],[PEMBULATAN]]*O26</f>
        <v>49000</v>
      </c>
    </row>
    <row r="27" spans="1:16" ht="24.75" customHeight="1" x14ac:dyDescent="0.2">
      <c r="A27" s="111" t="s">
        <v>35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3"/>
      <c r="M27" s="78">
        <f>SUBTOTAL(109,Table2245678910[KG
VOLUME])</f>
        <v>395.00700000000006</v>
      </c>
      <c r="N27" s="73">
        <f>SUM(N3:N26)</f>
        <v>499</v>
      </c>
      <c r="O27" s="114">
        <f>SUM(P3:P26)</f>
        <v>3493000</v>
      </c>
      <c r="P27" s="115"/>
    </row>
    <row r="28" spans="1:16" x14ac:dyDescent="0.2">
      <c r="A28" s="11"/>
      <c r="B28" s="61" t="s">
        <v>49</v>
      </c>
      <c r="C28" s="60"/>
      <c r="D28" s="62" t="s">
        <v>50</v>
      </c>
      <c r="H28" s="68"/>
      <c r="N28" s="67" t="s">
        <v>36</v>
      </c>
      <c r="P28" s="74">
        <f>O27*1%</f>
        <v>34930</v>
      </c>
    </row>
    <row r="29" spans="1:16" x14ac:dyDescent="0.2">
      <c r="A29" s="11"/>
      <c r="B29" s="61"/>
      <c r="C29" s="60"/>
      <c r="D29" s="62"/>
      <c r="H29" s="68"/>
      <c r="N29" s="67" t="s">
        <v>37</v>
      </c>
      <c r="P29" s="76">
        <v>0</v>
      </c>
    </row>
    <row r="30" spans="1:16" ht="15.75" thickBot="1" x14ac:dyDescent="0.25">
      <c r="A30" s="11"/>
      <c r="H30" s="68"/>
      <c r="N30" s="67" t="s">
        <v>38</v>
      </c>
      <c r="P30" s="76">
        <v>0</v>
      </c>
    </row>
    <row r="31" spans="1:16" x14ac:dyDescent="0.2">
      <c r="A31" s="11"/>
      <c r="H31" s="68"/>
      <c r="N31" s="71" t="s">
        <v>39</v>
      </c>
      <c r="O31" s="72"/>
      <c r="P31" s="75">
        <f>O27+P28</f>
        <v>3527930</v>
      </c>
    </row>
    <row r="32" spans="1:16" x14ac:dyDescent="0.2">
      <c r="B32" s="61"/>
      <c r="C32" s="60"/>
      <c r="D32" s="62"/>
    </row>
    <row r="34" spans="1:16" x14ac:dyDescent="0.2">
      <c r="A34" s="11"/>
      <c r="H34" s="68"/>
      <c r="O34" s="63"/>
      <c r="P34" s="77"/>
    </row>
    <row r="35" spans="1:16" x14ac:dyDescent="0.2">
      <c r="A35" s="11"/>
      <c r="H35" s="68"/>
      <c r="P35" s="77"/>
    </row>
    <row r="36" spans="1:16" x14ac:dyDescent="0.2">
      <c r="A36" s="11"/>
      <c r="H36" s="68"/>
      <c r="P36" s="77"/>
    </row>
    <row r="37" spans="1:16" x14ac:dyDescent="0.2">
      <c r="A37" s="11"/>
      <c r="H37" s="68"/>
      <c r="P37" s="77"/>
    </row>
    <row r="38" spans="1:16" x14ac:dyDescent="0.2">
      <c r="A38" s="11"/>
      <c r="H38" s="68"/>
    </row>
  </sheetData>
  <mergeCells count="3">
    <mergeCell ref="A3:A4"/>
    <mergeCell ref="A27:L27"/>
    <mergeCell ref="O27:P27"/>
  </mergeCells>
  <conditionalFormatting sqref="B3">
    <cfRule type="duplicateValues" dxfId="40" priority="1"/>
  </conditionalFormatting>
  <printOptions horizontalCentered="1"/>
  <pageMargins left="0.31496062992125984" right="0.31496062992125984" top="0.59055118110236227" bottom="0" header="0.31496062992125984" footer="0.31496062992125984"/>
  <pageSetup paperSize="9" scale="80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defaultRowHeight="15" x14ac:dyDescent="0.2"/>
  <cols>
    <col min="1" max="1" width="7.85546875" style="4" customWidth="1"/>
    <col min="2" max="2" width="19.140625" style="2" customWidth="1"/>
    <col min="3" max="3" width="14.42578125" style="2" customWidth="1"/>
    <col min="4" max="4" width="10" style="3" customWidth="1"/>
    <col min="5" max="5" width="7.85546875" style="12" customWidth="1"/>
    <col min="6" max="6" width="8.85546875" style="3" customWidth="1"/>
    <col min="7" max="7" width="9.7109375" style="3" customWidth="1"/>
    <col min="8" max="8" width="14" style="6" customWidth="1"/>
    <col min="9" max="11" width="3.85546875" style="3" customWidth="1"/>
    <col min="12" max="12" width="5.85546875" style="3" customWidth="1"/>
    <col min="13" max="13" width="8.5703125" style="3" customWidth="1"/>
    <col min="14" max="14" width="6.5703125" style="17" customWidth="1"/>
    <col min="15" max="15" width="7.7109375" style="17" customWidth="1"/>
    <col min="16" max="16" width="13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85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53</v>
      </c>
      <c r="N2" s="66" t="s">
        <v>7</v>
      </c>
      <c r="O2" s="66" t="s">
        <v>54</v>
      </c>
      <c r="P2" s="66" t="s">
        <v>55</v>
      </c>
    </row>
    <row r="3" spans="1:16" ht="36" customHeight="1" x14ac:dyDescent="0.2">
      <c r="A3" s="110" t="s">
        <v>80</v>
      </c>
      <c r="B3" s="15" t="s">
        <v>88</v>
      </c>
      <c r="C3" s="9" t="s">
        <v>89</v>
      </c>
      <c r="D3" s="118" t="s">
        <v>90</v>
      </c>
      <c r="E3" s="13">
        <v>44397</v>
      </c>
      <c r="F3" s="118" t="s">
        <v>103</v>
      </c>
      <c r="G3" s="1" t="s">
        <v>104</v>
      </c>
      <c r="H3" s="10" t="s">
        <v>105</v>
      </c>
      <c r="I3" s="1">
        <v>153</v>
      </c>
      <c r="J3" s="1">
        <v>15</v>
      </c>
      <c r="K3" s="1">
        <v>15</v>
      </c>
      <c r="L3" s="1">
        <v>7</v>
      </c>
      <c r="M3" s="1">
        <f t="shared" ref="M3:M15" si="0">I3*J3*K3/4000</f>
        <v>8.6062499999999993</v>
      </c>
      <c r="N3" s="8">
        <v>9</v>
      </c>
      <c r="O3" s="69">
        <v>7000</v>
      </c>
      <c r="P3" s="70">
        <f>Table2[[#This Row],[PEMBULATAN]]*O3</f>
        <v>63000</v>
      </c>
    </row>
    <row r="4" spans="1:16" ht="36" customHeight="1" x14ac:dyDescent="0.2">
      <c r="A4" s="110"/>
      <c r="B4" s="15"/>
      <c r="C4" s="9" t="s">
        <v>91</v>
      </c>
      <c r="D4" s="118" t="s">
        <v>90</v>
      </c>
      <c r="E4" s="13">
        <v>44397</v>
      </c>
      <c r="F4" s="118" t="s">
        <v>103</v>
      </c>
      <c r="G4" s="1" t="s">
        <v>104</v>
      </c>
      <c r="H4" s="10" t="s">
        <v>105</v>
      </c>
      <c r="I4" s="1">
        <v>62</v>
      </c>
      <c r="J4" s="1">
        <v>48</v>
      </c>
      <c r="K4" s="1">
        <v>40</v>
      </c>
      <c r="L4" s="1">
        <v>15</v>
      </c>
      <c r="M4" s="1">
        <f t="shared" si="0"/>
        <v>29.76</v>
      </c>
      <c r="N4" s="8">
        <v>30</v>
      </c>
      <c r="O4" s="69">
        <v>7000</v>
      </c>
      <c r="P4" s="70">
        <f>Table2[[#This Row],[PEMBULATAN]]*O4</f>
        <v>210000</v>
      </c>
    </row>
    <row r="5" spans="1:16" ht="36" customHeight="1" x14ac:dyDescent="0.2">
      <c r="A5" s="15"/>
      <c r="B5" s="15"/>
      <c r="C5" s="9" t="s">
        <v>92</v>
      </c>
      <c r="D5" s="118" t="s">
        <v>90</v>
      </c>
      <c r="E5" s="13">
        <v>44397</v>
      </c>
      <c r="F5" s="118" t="s">
        <v>103</v>
      </c>
      <c r="G5" s="1" t="s">
        <v>104</v>
      </c>
      <c r="H5" s="10" t="s">
        <v>105</v>
      </c>
      <c r="I5" s="1">
        <v>45</v>
      </c>
      <c r="J5" s="1">
        <v>36</v>
      </c>
      <c r="K5" s="1">
        <v>43</v>
      </c>
      <c r="L5" s="1">
        <v>10</v>
      </c>
      <c r="M5" s="1">
        <f t="shared" si="0"/>
        <v>17.414999999999999</v>
      </c>
      <c r="N5" s="8">
        <v>18</v>
      </c>
      <c r="O5" s="69">
        <v>7000</v>
      </c>
      <c r="P5" s="70">
        <f>Table2[[#This Row],[PEMBULATAN]]*O5</f>
        <v>126000</v>
      </c>
    </row>
    <row r="6" spans="1:16" ht="36" customHeight="1" x14ac:dyDescent="0.2">
      <c r="A6" s="15"/>
      <c r="B6" s="15"/>
      <c r="C6" s="80" t="s">
        <v>93</v>
      </c>
      <c r="D6" s="122" t="s">
        <v>90</v>
      </c>
      <c r="E6" s="13">
        <v>44397</v>
      </c>
      <c r="F6" s="118" t="s">
        <v>103</v>
      </c>
      <c r="G6" s="1" t="s">
        <v>104</v>
      </c>
      <c r="H6" s="86" t="s">
        <v>105</v>
      </c>
      <c r="I6" s="18">
        <v>36</v>
      </c>
      <c r="J6" s="18">
        <v>26</v>
      </c>
      <c r="K6" s="18">
        <v>20</v>
      </c>
      <c r="L6" s="18">
        <v>4</v>
      </c>
      <c r="M6" s="82">
        <f t="shared" si="0"/>
        <v>4.68</v>
      </c>
      <c r="N6" s="79">
        <v>5</v>
      </c>
      <c r="O6" s="69">
        <v>7000</v>
      </c>
      <c r="P6" s="70">
        <f>Table2[[#This Row],[PEMBULATAN]]*O6</f>
        <v>35000</v>
      </c>
    </row>
    <row r="7" spans="1:16" ht="36" customHeight="1" x14ac:dyDescent="0.2">
      <c r="A7" s="15"/>
      <c r="B7" s="15"/>
      <c r="C7" s="80" t="s">
        <v>94</v>
      </c>
      <c r="D7" s="122" t="s">
        <v>90</v>
      </c>
      <c r="E7" s="13">
        <v>44397</v>
      </c>
      <c r="F7" s="118" t="s">
        <v>103</v>
      </c>
      <c r="G7" s="1" t="s">
        <v>104</v>
      </c>
      <c r="H7" s="86" t="s">
        <v>105</v>
      </c>
      <c r="I7" s="18">
        <v>40</v>
      </c>
      <c r="J7" s="18">
        <v>40</v>
      </c>
      <c r="K7" s="18">
        <v>69</v>
      </c>
      <c r="L7" s="18">
        <v>15</v>
      </c>
      <c r="M7" s="82">
        <f t="shared" si="0"/>
        <v>27.6</v>
      </c>
      <c r="N7" s="79">
        <v>28</v>
      </c>
      <c r="O7" s="69">
        <v>7000</v>
      </c>
      <c r="P7" s="70">
        <f>Table2[[#This Row],[PEMBULATAN]]*O7</f>
        <v>196000</v>
      </c>
    </row>
    <row r="8" spans="1:16" ht="36" customHeight="1" x14ac:dyDescent="0.2">
      <c r="A8" s="15"/>
      <c r="B8" s="15"/>
      <c r="C8" s="80" t="s">
        <v>95</v>
      </c>
      <c r="D8" s="122" t="s">
        <v>90</v>
      </c>
      <c r="E8" s="13">
        <v>44397</v>
      </c>
      <c r="F8" s="118" t="s">
        <v>103</v>
      </c>
      <c r="G8" s="1" t="s">
        <v>104</v>
      </c>
      <c r="H8" s="86" t="s">
        <v>105</v>
      </c>
      <c r="I8" s="18">
        <v>60</v>
      </c>
      <c r="J8" s="18">
        <v>36</v>
      </c>
      <c r="K8" s="18">
        <v>34</v>
      </c>
      <c r="L8" s="18">
        <v>10</v>
      </c>
      <c r="M8" s="82">
        <f t="shared" si="0"/>
        <v>18.36</v>
      </c>
      <c r="N8" s="79">
        <v>19</v>
      </c>
      <c r="O8" s="69">
        <v>7000</v>
      </c>
      <c r="P8" s="70">
        <f>Table2[[#This Row],[PEMBULATAN]]*O8</f>
        <v>133000</v>
      </c>
    </row>
    <row r="9" spans="1:16" ht="36" customHeight="1" x14ac:dyDescent="0.2">
      <c r="A9" s="15"/>
      <c r="B9" s="15"/>
      <c r="C9" s="80" t="s">
        <v>96</v>
      </c>
      <c r="D9" s="122" t="s">
        <v>90</v>
      </c>
      <c r="E9" s="13">
        <v>44397</v>
      </c>
      <c r="F9" s="118" t="s">
        <v>103</v>
      </c>
      <c r="G9" s="1" t="s">
        <v>104</v>
      </c>
      <c r="H9" s="86" t="s">
        <v>105</v>
      </c>
      <c r="I9" s="18">
        <v>46</v>
      </c>
      <c r="J9" s="18">
        <v>46</v>
      </c>
      <c r="K9" s="18">
        <v>33</v>
      </c>
      <c r="L9" s="18">
        <v>8</v>
      </c>
      <c r="M9" s="82">
        <f t="shared" si="0"/>
        <v>17.457000000000001</v>
      </c>
      <c r="N9" s="79">
        <v>18</v>
      </c>
      <c r="O9" s="69">
        <v>7000</v>
      </c>
      <c r="P9" s="70">
        <f>Table2[[#This Row],[PEMBULATAN]]*O9</f>
        <v>126000</v>
      </c>
    </row>
    <row r="10" spans="1:16" ht="36" customHeight="1" x14ac:dyDescent="0.2">
      <c r="A10" s="15"/>
      <c r="B10" s="15"/>
      <c r="C10" s="80" t="s">
        <v>97</v>
      </c>
      <c r="D10" s="122" t="s">
        <v>90</v>
      </c>
      <c r="E10" s="13">
        <v>44397</v>
      </c>
      <c r="F10" s="118" t="s">
        <v>103</v>
      </c>
      <c r="G10" s="1" t="s">
        <v>104</v>
      </c>
      <c r="H10" s="86" t="s">
        <v>105</v>
      </c>
      <c r="I10" s="18">
        <v>50</v>
      </c>
      <c r="J10" s="18">
        <v>18</v>
      </c>
      <c r="K10" s="18">
        <v>30</v>
      </c>
      <c r="L10" s="18">
        <v>11</v>
      </c>
      <c r="M10" s="82">
        <f t="shared" si="0"/>
        <v>6.75</v>
      </c>
      <c r="N10" s="79">
        <v>11</v>
      </c>
      <c r="O10" s="69">
        <v>7000</v>
      </c>
      <c r="P10" s="70">
        <f>Table2[[#This Row],[PEMBULATAN]]*O10</f>
        <v>77000</v>
      </c>
    </row>
    <row r="11" spans="1:16" ht="36" customHeight="1" x14ac:dyDescent="0.2">
      <c r="A11" s="15"/>
      <c r="B11" s="15"/>
      <c r="C11" s="80" t="s">
        <v>98</v>
      </c>
      <c r="D11" s="122" t="s">
        <v>90</v>
      </c>
      <c r="E11" s="13">
        <v>44397</v>
      </c>
      <c r="F11" s="118" t="s">
        <v>103</v>
      </c>
      <c r="G11" s="1" t="s">
        <v>104</v>
      </c>
      <c r="H11" s="86" t="s">
        <v>105</v>
      </c>
      <c r="I11" s="18">
        <v>90</v>
      </c>
      <c r="J11" s="18">
        <v>30</v>
      </c>
      <c r="K11" s="18">
        <v>40</v>
      </c>
      <c r="L11" s="18">
        <v>11</v>
      </c>
      <c r="M11" s="82">
        <f t="shared" si="0"/>
        <v>27</v>
      </c>
      <c r="N11" s="79">
        <v>27</v>
      </c>
      <c r="O11" s="69">
        <v>7000</v>
      </c>
      <c r="P11" s="70">
        <f>Table2[[#This Row],[PEMBULATAN]]*O11</f>
        <v>189000</v>
      </c>
    </row>
    <row r="12" spans="1:16" ht="36" customHeight="1" x14ac:dyDescent="0.2">
      <c r="A12" s="15"/>
      <c r="B12" s="15"/>
      <c r="C12" s="80" t="s">
        <v>99</v>
      </c>
      <c r="D12" s="122" t="s">
        <v>90</v>
      </c>
      <c r="E12" s="13">
        <v>44397</v>
      </c>
      <c r="F12" s="118" t="s">
        <v>103</v>
      </c>
      <c r="G12" s="1" t="s">
        <v>104</v>
      </c>
      <c r="H12" s="86" t="s">
        <v>105</v>
      </c>
      <c r="I12" s="18">
        <v>35</v>
      </c>
      <c r="J12" s="18">
        <v>37</v>
      </c>
      <c r="K12" s="18">
        <v>42</v>
      </c>
      <c r="L12" s="18">
        <v>9</v>
      </c>
      <c r="M12" s="82">
        <f t="shared" si="0"/>
        <v>13.5975</v>
      </c>
      <c r="N12" s="79">
        <v>14</v>
      </c>
      <c r="O12" s="69">
        <v>7000</v>
      </c>
      <c r="P12" s="70">
        <f>Table2[[#This Row],[PEMBULATAN]]*O12</f>
        <v>98000</v>
      </c>
    </row>
    <row r="13" spans="1:16" ht="36" customHeight="1" x14ac:dyDescent="0.2">
      <c r="A13" s="15"/>
      <c r="B13" s="15"/>
      <c r="C13" s="80" t="s">
        <v>100</v>
      </c>
      <c r="D13" s="122" t="s">
        <v>90</v>
      </c>
      <c r="E13" s="13">
        <v>44397</v>
      </c>
      <c r="F13" s="118" t="s">
        <v>103</v>
      </c>
      <c r="G13" s="1" t="s">
        <v>104</v>
      </c>
      <c r="H13" s="86" t="s">
        <v>105</v>
      </c>
      <c r="I13" s="18">
        <v>33</v>
      </c>
      <c r="J13" s="18">
        <v>24</v>
      </c>
      <c r="K13" s="18">
        <v>22</v>
      </c>
      <c r="L13" s="18">
        <v>6</v>
      </c>
      <c r="M13" s="82">
        <f t="shared" si="0"/>
        <v>4.3559999999999999</v>
      </c>
      <c r="N13" s="79">
        <v>6</v>
      </c>
      <c r="O13" s="69">
        <v>7000</v>
      </c>
      <c r="P13" s="70">
        <f>Table2[[#This Row],[PEMBULATAN]]*O13</f>
        <v>42000</v>
      </c>
    </row>
    <row r="14" spans="1:16" ht="36" customHeight="1" x14ac:dyDescent="0.2">
      <c r="A14" s="15"/>
      <c r="B14" s="15"/>
      <c r="C14" s="80" t="s">
        <v>101</v>
      </c>
      <c r="D14" s="122" t="s">
        <v>90</v>
      </c>
      <c r="E14" s="13">
        <v>44397</v>
      </c>
      <c r="F14" s="118" t="s">
        <v>103</v>
      </c>
      <c r="G14" s="1" t="s">
        <v>104</v>
      </c>
      <c r="H14" s="86" t="s">
        <v>105</v>
      </c>
      <c r="I14" s="18">
        <v>70</v>
      </c>
      <c r="J14" s="18">
        <v>34</v>
      </c>
      <c r="K14" s="18">
        <v>82</v>
      </c>
      <c r="L14" s="18">
        <v>31</v>
      </c>
      <c r="M14" s="82">
        <f t="shared" si="0"/>
        <v>48.79</v>
      </c>
      <c r="N14" s="79">
        <v>49</v>
      </c>
      <c r="O14" s="69">
        <v>7000</v>
      </c>
      <c r="P14" s="70">
        <f>Table2[[#This Row],[PEMBULATAN]]*O14</f>
        <v>343000</v>
      </c>
    </row>
    <row r="15" spans="1:16" ht="36" customHeight="1" x14ac:dyDescent="0.2">
      <c r="A15" s="15"/>
      <c r="B15" s="15" t="s">
        <v>9</v>
      </c>
      <c r="C15" s="80" t="s">
        <v>102</v>
      </c>
      <c r="D15" s="122" t="s">
        <v>90</v>
      </c>
      <c r="E15" s="13">
        <v>44397</v>
      </c>
      <c r="F15" s="118" t="s">
        <v>103</v>
      </c>
      <c r="G15" s="1" t="s">
        <v>104</v>
      </c>
      <c r="H15" s="86" t="s">
        <v>105</v>
      </c>
      <c r="I15" s="18">
        <v>23</v>
      </c>
      <c r="J15" s="18">
        <v>20</v>
      </c>
      <c r="K15" s="18">
        <v>10</v>
      </c>
      <c r="L15" s="18">
        <v>4</v>
      </c>
      <c r="M15" s="82">
        <f t="shared" si="0"/>
        <v>1.1499999999999999</v>
      </c>
      <c r="N15" s="79">
        <v>4</v>
      </c>
      <c r="O15" s="69">
        <v>7000</v>
      </c>
      <c r="P15" s="70">
        <f>Table2[[#This Row],[PEMBULATAN]]*O15</f>
        <v>28000</v>
      </c>
    </row>
    <row r="16" spans="1:16" ht="22.5" customHeight="1" x14ac:dyDescent="0.2">
      <c r="A16" s="111" t="s">
        <v>35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3"/>
      <c r="M16" s="78">
        <f>SUBTOTAL(109,Table2[KG VOLUME])</f>
        <v>225.52175</v>
      </c>
      <c r="N16" s="73">
        <f>SUM(N3:N15)</f>
        <v>238</v>
      </c>
      <c r="O16" s="114">
        <f>SUM(P3:P15)</f>
        <v>1666000</v>
      </c>
      <c r="P16" s="115"/>
    </row>
    <row r="17" spans="1:16" x14ac:dyDescent="0.2">
      <c r="A17" s="11"/>
      <c r="H17" s="68"/>
      <c r="N17" s="67" t="s">
        <v>36</v>
      </c>
      <c r="P17" s="74">
        <f>O16*1%</f>
        <v>16660</v>
      </c>
    </row>
    <row r="18" spans="1:16" x14ac:dyDescent="0.2">
      <c r="A18" s="11"/>
      <c r="B18" s="61" t="s">
        <v>49</v>
      </c>
      <c r="C18" s="60"/>
      <c r="D18" s="62" t="s">
        <v>50</v>
      </c>
      <c r="H18" s="68"/>
      <c r="N18" s="67" t="s">
        <v>37</v>
      </c>
      <c r="P18" s="76">
        <v>0</v>
      </c>
    </row>
    <row r="19" spans="1:16" ht="15.75" thickBot="1" x14ac:dyDescent="0.25">
      <c r="A19" s="11"/>
      <c r="H19" s="68"/>
      <c r="N19" s="67" t="s">
        <v>38</v>
      </c>
      <c r="P19" s="76">
        <v>0</v>
      </c>
    </row>
    <row r="20" spans="1:16" x14ac:dyDescent="0.2">
      <c r="A20" s="11"/>
      <c r="H20" s="68"/>
      <c r="N20" s="71" t="s">
        <v>39</v>
      </c>
      <c r="O20" s="72"/>
      <c r="P20" s="75">
        <f>O16+P17</f>
        <v>1682660</v>
      </c>
    </row>
    <row r="21" spans="1:16" x14ac:dyDescent="0.2">
      <c r="B21" s="61"/>
      <c r="C21" s="60"/>
      <c r="D21" s="62"/>
    </row>
  </sheetData>
  <mergeCells count="3">
    <mergeCell ref="A3:A4"/>
    <mergeCell ref="A16:L16"/>
    <mergeCell ref="O16:P16"/>
  </mergeCells>
  <conditionalFormatting sqref="B3">
    <cfRule type="duplicateValues" dxfId="144" priority="21"/>
  </conditionalFormatting>
  <conditionalFormatting sqref="B4">
    <cfRule type="duplicateValues" dxfId="143" priority="20"/>
  </conditionalFormatting>
  <printOptions horizontalCentered="1"/>
  <pageMargins left="0.31496062992125984" right="0.31496062992125984" top="0.35433070866141736" bottom="0.55118110236220474" header="0.31496062992125984" footer="0.31496062992125984"/>
  <pageSetup paperSize="9" scale="90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2" sqref="O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2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53</v>
      </c>
      <c r="N2" s="66" t="s">
        <v>7</v>
      </c>
      <c r="O2" s="66" t="s">
        <v>54</v>
      </c>
      <c r="P2" s="66" t="s">
        <v>55</v>
      </c>
    </row>
    <row r="3" spans="1:16" ht="42" customHeight="1" x14ac:dyDescent="0.2">
      <c r="A3" s="14" t="s">
        <v>81</v>
      </c>
      <c r="B3" s="83" t="s">
        <v>106</v>
      </c>
      <c r="C3" s="9" t="s">
        <v>107</v>
      </c>
      <c r="D3" s="1" t="s">
        <v>3</v>
      </c>
      <c r="E3" s="13">
        <v>44398</v>
      </c>
      <c r="F3" s="9" t="s">
        <v>103</v>
      </c>
      <c r="G3" s="1" t="s">
        <v>104</v>
      </c>
      <c r="H3" s="10" t="s">
        <v>105</v>
      </c>
      <c r="I3" s="1">
        <v>39</v>
      </c>
      <c r="J3" s="1">
        <v>34</v>
      </c>
      <c r="K3" s="1">
        <v>48</v>
      </c>
      <c r="L3" s="1">
        <v>5</v>
      </c>
      <c r="M3" s="1">
        <f t="shared" ref="M3" si="0">I3*J3*K3/4000</f>
        <v>15.912000000000001</v>
      </c>
      <c r="N3" s="8">
        <v>16</v>
      </c>
      <c r="O3" s="69">
        <v>7000</v>
      </c>
      <c r="P3" s="70">
        <f>Table22[[#This Row],[PEMBULATAN]]*O3</f>
        <v>112000</v>
      </c>
    </row>
    <row r="4" spans="1:16" ht="22.5" customHeight="1" x14ac:dyDescent="0.2">
      <c r="A4" s="111" t="s">
        <v>35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/>
      <c r="M4" s="78">
        <f>SUBTOTAL(109,Table22[KG VOLUME])</f>
        <v>15.912000000000001</v>
      </c>
      <c r="N4" s="73">
        <f>SUM(N3:N3)</f>
        <v>16</v>
      </c>
      <c r="O4" s="114">
        <f>SUM(P3:P3)</f>
        <v>112000</v>
      </c>
      <c r="P4" s="115"/>
    </row>
    <row r="5" spans="1:16" x14ac:dyDescent="0.2">
      <c r="A5" s="11"/>
      <c r="H5" s="68"/>
      <c r="N5" s="67" t="s">
        <v>36</v>
      </c>
      <c r="P5" s="74">
        <f>O4*1%</f>
        <v>1120</v>
      </c>
    </row>
    <row r="6" spans="1:16" x14ac:dyDescent="0.2">
      <c r="A6" s="11"/>
      <c r="H6" s="68"/>
      <c r="N6" s="67" t="s">
        <v>37</v>
      </c>
      <c r="P6" s="76">
        <v>0</v>
      </c>
    </row>
    <row r="7" spans="1:16" ht="15.75" thickBot="1" x14ac:dyDescent="0.25">
      <c r="A7" s="11"/>
      <c r="H7" s="68"/>
      <c r="N7" s="67" t="s">
        <v>38</v>
      </c>
      <c r="P7" s="76">
        <v>0</v>
      </c>
    </row>
    <row r="8" spans="1:16" x14ac:dyDescent="0.2">
      <c r="A8" s="11"/>
      <c r="H8" s="68"/>
      <c r="N8" s="71" t="s">
        <v>39</v>
      </c>
      <c r="O8" s="72"/>
      <c r="P8" s="75">
        <f>O4+P5</f>
        <v>113120</v>
      </c>
    </row>
    <row r="9" spans="1:16" x14ac:dyDescent="0.2">
      <c r="B9" s="61" t="s">
        <v>49</v>
      </c>
      <c r="C9" s="60"/>
      <c r="D9" s="62" t="s">
        <v>50</v>
      </c>
    </row>
    <row r="11" spans="1:16" x14ac:dyDescent="0.2">
      <c r="A11" s="11"/>
      <c r="H11" s="68"/>
      <c r="P11" s="77"/>
    </row>
    <row r="12" spans="1:16" x14ac:dyDescent="0.2">
      <c r="A12" s="11"/>
      <c r="H12" s="68"/>
      <c r="O12" s="63"/>
      <c r="P12" s="77"/>
    </row>
    <row r="13" spans="1:16" x14ac:dyDescent="0.2">
      <c r="A13" s="11"/>
      <c r="H13" s="68"/>
    </row>
    <row r="14" spans="1:16" x14ac:dyDescent="0.2">
      <c r="A14" s="11"/>
      <c r="H14" s="68"/>
    </row>
    <row r="15" spans="1:16" x14ac:dyDescent="0.2">
      <c r="A15" s="11"/>
      <c r="H15" s="68"/>
    </row>
    <row r="16" spans="1:16" x14ac:dyDescent="0.2">
      <c r="A16" s="11"/>
      <c r="H16" s="68"/>
    </row>
    <row r="17" spans="1:8" x14ac:dyDescent="0.2">
      <c r="A17" s="11"/>
      <c r="H17" s="68"/>
    </row>
    <row r="18" spans="1:8" x14ac:dyDescent="0.2">
      <c r="A18" s="11"/>
      <c r="H18" s="68"/>
    </row>
    <row r="19" spans="1:8" x14ac:dyDescent="0.2">
      <c r="A19" s="11"/>
      <c r="H19" s="68"/>
    </row>
    <row r="20" spans="1:8" x14ac:dyDescent="0.2">
      <c r="A20" s="11"/>
      <c r="H20" s="68"/>
    </row>
    <row r="21" spans="1:8" x14ac:dyDescent="0.2">
      <c r="A21" s="11"/>
      <c r="H21" s="68"/>
    </row>
    <row r="22" spans="1:8" x14ac:dyDescent="0.2">
      <c r="A22" s="11"/>
      <c r="H22" s="68"/>
    </row>
    <row r="23" spans="1:8" x14ac:dyDescent="0.2">
      <c r="A23" s="11"/>
      <c r="H23" s="68"/>
    </row>
    <row r="24" spans="1:8" x14ac:dyDescent="0.2">
      <c r="A24" s="11"/>
      <c r="H24" s="68"/>
    </row>
  </sheetData>
  <mergeCells count="2">
    <mergeCell ref="A4:L4"/>
    <mergeCell ref="O4:P4"/>
  </mergeCells>
  <conditionalFormatting sqref="B3">
    <cfRule type="duplicateValues" dxfId="132" priority="18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"/>
  <cols>
    <col min="1" max="1" width="7.7109375" style="4" customWidth="1"/>
    <col min="2" max="2" width="19.7109375" style="2" customWidth="1"/>
    <col min="3" max="3" width="15" style="2" customWidth="1"/>
    <col min="4" max="4" width="9.42578125" style="3" customWidth="1"/>
    <col min="5" max="5" width="9" style="12" customWidth="1"/>
    <col min="6" max="6" width="11.140625" style="3" customWidth="1"/>
    <col min="7" max="7" width="9.7109375" style="3" customWidth="1"/>
    <col min="8" max="8" width="17.28515625" style="6" customWidth="1"/>
    <col min="9" max="11" width="4" style="3" customWidth="1"/>
    <col min="12" max="12" width="5.42578125" style="3" customWidth="1"/>
    <col min="13" max="13" width="8.42578125" style="3" customWidth="1"/>
    <col min="14" max="14" width="13.85546875" style="17" customWidth="1"/>
    <col min="15" max="15" width="7.7109375" style="17" customWidth="1"/>
    <col min="16" max="16" width="13.140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56</v>
      </c>
      <c r="N2" s="66" t="s">
        <v>7</v>
      </c>
      <c r="O2" s="66" t="s">
        <v>54</v>
      </c>
      <c r="P2" s="66" t="s">
        <v>55</v>
      </c>
    </row>
    <row r="3" spans="1:16" ht="24" customHeight="1" x14ac:dyDescent="0.2">
      <c r="A3" s="110" t="s">
        <v>82</v>
      </c>
      <c r="B3" s="81" t="s">
        <v>108</v>
      </c>
      <c r="C3" s="9" t="s">
        <v>109</v>
      </c>
      <c r="D3" s="1" t="s">
        <v>3</v>
      </c>
      <c r="E3" s="13">
        <v>44399</v>
      </c>
      <c r="F3" s="9" t="s">
        <v>103</v>
      </c>
      <c r="G3" s="1" t="s">
        <v>104</v>
      </c>
      <c r="H3" s="10" t="s">
        <v>105</v>
      </c>
      <c r="I3" s="1">
        <v>42</v>
      </c>
      <c r="J3" s="1">
        <v>42</v>
      </c>
      <c r="K3" s="1">
        <v>22</v>
      </c>
      <c r="L3" s="1">
        <v>6</v>
      </c>
      <c r="M3" s="1">
        <f t="shared" ref="M3:M14" si="0">I3*J3*K3/4000</f>
        <v>9.702</v>
      </c>
      <c r="N3" s="8">
        <v>10</v>
      </c>
      <c r="O3" s="69">
        <v>7000</v>
      </c>
      <c r="P3" s="70">
        <f>Table224[[#This Row],[PEMBULATAN]]*O3</f>
        <v>70000</v>
      </c>
    </row>
    <row r="4" spans="1:16" ht="24" customHeight="1" x14ac:dyDescent="0.2">
      <c r="A4" s="110"/>
      <c r="B4" s="15" t="s">
        <v>110</v>
      </c>
      <c r="C4" s="9" t="s">
        <v>111</v>
      </c>
      <c r="D4" s="1" t="s">
        <v>3</v>
      </c>
      <c r="E4" s="13">
        <v>44399</v>
      </c>
      <c r="F4" s="9" t="s">
        <v>103</v>
      </c>
      <c r="G4" s="1" t="s">
        <v>104</v>
      </c>
      <c r="H4" s="10" t="s">
        <v>105</v>
      </c>
      <c r="I4" s="1">
        <v>33</v>
      </c>
      <c r="J4" s="1">
        <v>24</v>
      </c>
      <c r="K4" s="1">
        <v>13</v>
      </c>
      <c r="L4" s="1">
        <v>6</v>
      </c>
      <c r="M4" s="1">
        <f t="shared" si="0"/>
        <v>2.5739999999999998</v>
      </c>
      <c r="N4" s="8">
        <v>6</v>
      </c>
      <c r="O4" s="69">
        <v>7000</v>
      </c>
      <c r="P4" s="70">
        <f>Table224[[#This Row],[PEMBULATAN]]*O4</f>
        <v>42000</v>
      </c>
    </row>
    <row r="5" spans="1:16" ht="24" customHeight="1" x14ac:dyDescent="0.2">
      <c r="A5" s="15"/>
      <c r="B5" s="15"/>
      <c r="C5" s="9" t="s">
        <v>112</v>
      </c>
      <c r="D5" s="1" t="s">
        <v>3</v>
      </c>
      <c r="E5" s="13">
        <v>44399</v>
      </c>
      <c r="F5" s="9" t="s">
        <v>103</v>
      </c>
      <c r="G5" s="1" t="s">
        <v>104</v>
      </c>
      <c r="H5" s="10" t="s">
        <v>105</v>
      </c>
      <c r="I5" s="1">
        <v>42</v>
      </c>
      <c r="J5" s="1">
        <v>40</v>
      </c>
      <c r="K5" s="1">
        <v>26</v>
      </c>
      <c r="L5" s="1">
        <v>10</v>
      </c>
      <c r="M5" s="1">
        <f t="shared" si="0"/>
        <v>10.92</v>
      </c>
      <c r="N5" s="8">
        <v>11</v>
      </c>
      <c r="O5" s="69">
        <v>7000</v>
      </c>
      <c r="P5" s="70">
        <f>Table224[[#This Row],[PEMBULATAN]]*O5</f>
        <v>77000</v>
      </c>
    </row>
    <row r="6" spans="1:16" ht="24" customHeight="1" x14ac:dyDescent="0.2">
      <c r="A6" s="15"/>
      <c r="B6" s="15"/>
      <c r="C6" s="9" t="s">
        <v>113</v>
      </c>
      <c r="D6" s="1" t="s">
        <v>3</v>
      </c>
      <c r="E6" s="13">
        <v>44399</v>
      </c>
      <c r="F6" s="9" t="s">
        <v>103</v>
      </c>
      <c r="G6" s="1" t="s">
        <v>104</v>
      </c>
      <c r="H6" s="10" t="s">
        <v>105</v>
      </c>
      <c r="I6" s="1">
        <v>162</v>
      </c>
      <c r="J6" s="1">
        <v>40</v>
      </c>
      <c r="K6" s="1">
        <v>32</v>
      </c>
      <c r="L6" s="1">
        <v>17</v>
      </c>
      <c r="M6" s="1">
        <f t="shared" si="0"/>
        <v>51.84</v>
      </c>
      <c r="N6" s="8">
        <v>52</v>
      </c>
      <c r="O6" s="69">
        <v>7000</v>
      </c>
      <c r="P6" s="70">
        <f>Table224[[#This Row],[PEMBULATAN]]*O6</f>
        <v>364000</v>
      </c>
    </row>
    <row r="7" spans="1:16" ht="24" customHeight="1" x14ac:dyDescent="0.2">
      <c r="A7" s="15"/>
      <c r="B7" s="15"/>
      <c r="C7" s="9" t="s">
        <v>114</v>
      </c>
      <c r="D7" s="1" t="s">
        <v>3</v>
      </c>
      <c r="E7" s="13">
        <v>44399</v>
      </c>
      <c r="F7" s="9" t="s">
        <v>103</v>
      </c>
      <c r="G7" s="1" t="s">
        <v>104</v>
      </c>
      <c r="H7" s="10" t="s">
        <v>105</v>
      </c>
      <c r="I7" s="1">
        <v>50</v>
      </c>
      <c r="J7" s="1">
        <v>40</v>
      </c>
      <c r="K7" s="1">
        <v>24</v>
      </c>
      <c r="L7" s="1">
        <v>11</v>
      </c>
      <c r="M7" s="1">
        <f t="shared" si="0"/>
        <v>12</v>
      </c>
      <c r="N7" s="8">
        <v>12</v>
      </c>
      <c r="O7" s="69">
        <v>7000</v>
      </c>
      <c r="P7" s="70">
        <f>Table224[[#This Row],[PEMBULATAN]]*O7</f>
        <v>84000</v>
      </c>
    </row>
    <row r="8" spans="1:16" ht="24" customHeight="1" x14ac:dyDescent="0.2">
      <c r="A8" s="15"/>
      <c r="B8" s="15"/>
      <c r="C8" s="9" t="s">
        <v>115</v>
      </c>
      <c r="D8" s="1" t="s">
        <v>3</v>
      </c>
      <c r="E8" s="13">
        <v>44399</v>
      </c>
      <c r="F8" s="9" t="s">
        <v>103</v>
      </c>
      <c r="G8" s="1" t="s">
        <v>104</v>
      </c>
      <c r="H8" s="10" t="s">
        <v>105</v>
      </c>
      <c r="I8" s="1">
        <v>30</v>
      </c>
      <c r="J8" s="1">
        <v>23</v>
      </c>
      <c r="K8" s="1">
        <v>20</v>
      </c>
      <c r="L8" s="1">
        <v>7</v>
      </c>
      <c r="M8" s="1">
        <f t="shared" si="0"/>
        <v>3.45</v>
      </c>
      <c r="N8" s="8">
        <v>7</v>
      </c>
      <c r="O8" s="69">
        <v>7000</v>
      </c>
      <c r="P8" s="70">
        <f>Table224[[#This Row],[PEMBULATAN]]*O8</f>
        <v>49000</v>
      </c>
    </row>
    <row r="9" spans="1:16" ht="24" customHeight="1" x14ac:dyDescent="0.2">
      <c r="A9" s="15"/>
      <c r="B9" s="15"/>
      <c r="C9" s="9" t="s">
        <v>116</v>
      </c>
      <c r="D9" s="1" t="s">
        <v>3</v>
      </c>
      <c r="E9" s="13">
        <v>44399</v>
      </c>
      <c r="F9" s="9" t="s">
        <v>103</v>
      </c>
      <c r="G9" s="1" t="s">
        <v>104</v>
      </c>
      <c r="H9" s="10" t="s">
        <v>105</v>
      </c>
      <c r="I9" s="1">
        <v>153</v>
      </c>
      <c r="J9" s="1">
        <v>22</v>
      </c>
      <c r="K9" s="1">
        <v>22</v>
      </c>
      <c r="L9" s="1">
        <v>9</v>
      </c>
      <c r="M9" s="1">
        <f t="shared" si="0"/>
        <v>18.513000000000002</v>
      </c>
      <c r="N9" s="8">
        <v>19</v>
      </c>
      <c r="O9" s="69">
        <v>7000</v>
      </c>
      <c r="P9" s="70">
        <f>Table224[[#This Row],[PEMBULATAN]]*O9</f>
        <v>133000</v>
      </c>
    </row>
    <row r="10" spans="1:16" ht="24" customHeight="1" x14ac:dyDescent="0.2">
      <c r="A10" s="15"/>
      <c r="B10" s="15"/>
      <c r="C10" s="87" t="s">
        <v>117</v>
      </c>
      <c r="D10" s="88" t="s">
        <v>3</v>
      </c>
      <c r="E10" s="89">
        <v>44399</v>
      </c>
      <c r="F10" s="90" t="s">
        <v>103</v>
      </c>
      <c r="G10" s="91" t="s">
        <v>104</v>
      </c>
      <c r="H10" s="116" t="s">
        <v>105</v>
      </c>
      <c r="I10" s="88">
        <v>76</v>
      </c>
      <c r="J10" s="88">
        <v>76</v>
      </c>
      <c r="K10" s="88">
        <v>33</v>
      </c>
      <c r="L10" s="88">
        <v>35</v>
      </c>
      <c r="M10" s="88">
        <f t="shared" si="0"/>
        <v>47.652000000000001</v>
      </c>
      <c r="N10" s="93">
        <v>48</v>
      </c>
      <c r="O10" s="69">
        <v>7000</v>
      </c>
      <c r="P10" s="70">
        <f>Table224[[#This Row],[PEMBULATAN]]*O10</f>
        <v>336000</v>
      </c>
    </row>
    <row r="11" spans="1:16" ht="24" customHeight="1" x14ac:dyDescent="0.2">
      <c r="A11" s="15"/>
      <c r="B11" s="15"/>
      <c r="C11" s="87" t="s">
        <v>118</v>
      </c>
      <c r="D11" s="88" t="s">
        <v>3</v>
      </c>
      <c r="E11" s="89">
        <v>44399</v>
      </c>
      <c r="F11" s="90" t="s">
        <v>103</v>
      </c>
      <c r="G11" s="91" t="s">
        <v>104</v>
      </c>
      <c r="H11" s="116" t="s">
        <v>105</v>
      </c>
      <c r="I11" s="88">
        <v>53</v>
      </c>
      <c r="J11" s="88">
        <v>41</v>
      </c>
      <c r="K11" s="88">
        <v>40</v>
      </c>
      <c r="L11" s="88">
        <v>25</v>
      </c>
      <c r="M11" s="88">
        <f t="shared" si="0"/>
        <v>21.73</v>
      </c>
      <c r="N11" s="93">
        <v>25</v>
      </c>
      <c r="O11" s="69">
        <v>7000</v>
      </c>
      <c r="P11" s="70">
        <f>Table224[[#This Row],[PEMBULATAN]]*O11</f>
        <v>175000</v>
      </c>
    </row>
    <row r="12" spans="1:16" ht="24" customHeight="1" x14ac:dyDescent="0.2">
      <c r="A12" s="15"/>
      <c r="B12" s="15"/>
      <c r="C12" s="87" t="s">
        <v>119</v>
      </c>
      <c r="D12" s="88" t="s">
        <v>3</v>
      </c>
      <c r="E12" s="89">
        <v>44399</v>
      </c>
      <c r="F12" s="90" t="s">
        <v>103</v>
      </c>
      <c r="G12" s="91" t="s">
        <v>104</v>
      </c>
      <c r="H12" s="116" t="s">
        <v>105</v>
      </c>
      <c r="I12" s="88">
        <v>46</v>
      </c>
      <c r="J12" s="88">
        <v>35</v>
      </c>
      <c r="K12" s="88">
        <v>16</v>
      </c>
      <c r="L12" s="88">
        <v>5</v>
      </c>
      <c r="M12" s="88">
        <f t="shared" si="0"/>
        <v>6.44</v>
      </c>
      <c r="N12" s="93">
        <v>7</v>
      </c>
      <c r="O12" s="69">
        <v>7000</v>
      </c>
      <c r="P12" s="70">
        <f>Table224[[#This Row],[PEMBULATAN]]*O12</f>
        <v>49000</v>
      </c>
    </row>
    <row r="13" spans="1:16" ht="24" customHeight="1" x14ac:dyDescent="0.2">
      <c r="A13" s="15"/>
      <c r="B13" s="15"/>
      <c r="C13" s="87" t="s">
        <v>120</v>
      </c>
      <c r="D13" s="88" t="s">
        <v>3</v>
      </c>
      <c r="E13" s="89">
        <v>44399</v>
      </c>
      <c r="F13" s="90" t="s">
        <v>103</v>
      </c>
      <c r="G13" s="91" t="s">
        <v>104</v>
      </c>
      <c r="H13" s="116" t="s">
        <v>105</v>
      </c>
      <c r="I13" s="88">
        <v>68</v>
      </c>
      <c r="J13" s="88">
        <v>50</v>
      </c>
      <c r="K13" s="88">
        <v>30</v>
      </c>
      <c r="L13" s="88">
        <v>17</v>
      </c>
      <c r="M13" s="88">
        <f t="shared" si="0"/>
        <v>25.5</v>
      </c>
      <c r="N13" s="93">
        <v>26</v>
      </c>
      <c r="O13" s="69">
        <v>7000</v>
      </c>
      <c r="P13" s="70">
        <f>Table224[[#This Row],[PEMBULATAN]]*O13</f>
        <v>182000</v>
      </c>
    </row>
    <row r="14" spans="1:16" ht="24" customHeight="1" x14ac:dyDescent="0.2">
      <c r="A14" s="15"/>
      <c r="B14" s="15"/>
      <c r="C14" s="87" t="s">
        <v>121</v>
      </c>
      <c r="D14" s="88" t="s">
        <v>3</v>
      </c>
      <c r="E14" s="89">
        <v>44399</v>
      </c>
      <c r="F14" s="90" t="s">
        <v>103</v>
      </c>
      <c r="G14" s="91" t="s">
        <v>104</v>
      </c>
      <c r="H14" s="116" t="s">
        <v>105</v>
      </c>
      <c r="I14" s="88">
        <v>105</v>
      </c>
      <c r="J14" s="88">
        <v>30</v>
      </c>
      <c r="K14" s="88">
        <v>17</v>
      </c>
      <c r="L14" s="88">
        <v>6</v>
      </c>
      <c r="M14" s="88">
        <f t="shared" si="0"/>
        <v>13.387499999999999</v>
      </c>
      <c r="N14" s="93">
        <v>14</v>
      </c>
      <c r="O14" s="69">
        <v>7000</v>
      </c>
      <c r="P14" s="70">
        <f>Table224[[#This Row],[PEMBULATAN]]*O14</f>
        <v>98000</v>
      </c>
    </row>
    <row r="15" spans="1:16" ht="24.75" customHeight="1" x14ac:dyDescent="0.2">
      <c r="A15" s="111" t="s">
        <v>35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3"/>
      <c r="M15" s="78">
        <f>SUBTOTAL(109,Table224[KG
VOLUME])</f>
        <v>223.70849999999999</v>
      </c>
      <c r="N15" s="73">
        <f>SUM(N3:N14)</f>
        <v>237</v>
      </c>
      <c r="O15" s="114">
        <f>SUM(P3:P14)</f>
        <v>1659000</v>
      </c>
      <c r="P15" s="115"/>
    </row>
    <row r="16" spans="1:16" x14ac:dyDescent="0.2">
      <c r="A16" s="11"/>
      <c r="H16" s="68"/>
      <c r="N16" s="67" t="s">
        <v>36</v>
      </c>
      <c r="P16" s="74">
        <f>O15*1%</f>
        <v>16590</v>
      </c>
    </row>
    <row r="17" spans="1:16" x14ac:dyDescent="0.2">
      <c r="A17" s="11"/>
      <c r="B17" s="61" t="s">
        <v>49</v>
      </c>
      <c r="C17" s="60"/>
      <c r="D17" s="62" t="s">
        <v>50</v>
      </c>
      <c r="H17" s="68"/>
      <c r="N17" s="67" t="s">
        <v>37</v>
      </c>
      <c r="P17" s="76">
        <v>0</v>
      </c>
    </row>
    <row r="18" spans="1:16" ht="15.75" thickBot="1" x14ac:dyDescent="0.25">
      <c r="A18" s="11"/>
      <c r="H18" s="68"/>
      <c r="N18" s="67" t="s">
        <v>38</v>
      </c>
      <c r="P18" s="76">
        <v>0</v>
      </c>
    </row>
    <row r="19" spans="1:16" x14ac:dyDescent="0.2">
      <c r="A19" s="11"/>
      <c r="H19" s="68"/>
      <c r="N19" s="71" t="s">
        <v>39</v>
      </c>
      <c r="O19" s="72"/>
      <c r="P19" s="75">
        <f>O15+P16</f>
        <v>1675590</v>
      </c>
    </row>
    <row r="20" spans="1:16" x14ac:dyDescent="0.2">
      <c r="B20" s="61"/>
      <c r="C20" s="60"/>
      <c r="D20" s="62"/>
    </row>
    <row r="22" spans="1:16" x14ac:dyDescent="0.2">
      <c r="A22" s="11"/>
      <c r="H22" s="68"/>
      <c r="O22" s="63"/>
      <c r="P22" s="77"/>
    </row>
    <row r="23" spans="1:16" x14ac:dyDescent="0.2">
      <c r="A23" s="11"/>
      <c r="H23" s="68"/>
      <c r="P23" s="77"/>
    </row>
    <row r="24" spans="1:16" x14ac:dyDescent="0.2">
      <c r="A24" s="11"/>
      <c r="H24" s="68"/>
      <c r="P24" s="77"/>
    </row>
    <row r="25" spans="1:16" x14ac:dyDescent="0.2">
      <c r="A25" s="11"/>
      <c r="H25" s="68"/>
      <c r="P25" s="77"/>
    </row>
    <row r="26" spans="1:16" x14ac:dyDescent="0.2">
      <c r="A26" s="11"/>
      <c r="H26" s="68"/>
    </row>
  </sheetData>
  <mergeCells count="3">
    <mergeCell ref="A3:A4"/>
    <mergeCell ref="A15:L15"/>
    <mergeCell ref="O15:P15"/>
  </mergeCells>
  <conditionalFormatting sqref="B3">
    <cfRule type="duplicateValues" dxfId="116" priority="14"/>
  </conditionalFormatting>
  <printOptions horizontalCentered="1"/>
  <pageMargins left="0.31496062992125984" right="0.31496062992125984" top="0.59055118110236227" bottom="0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I25" sqref="I25"/>
    </sheetView>
  </sheetViews>
  <sheetFormatPr defaultRowHeight="15" x14ac:dyDescent="0.2"/>
  <cols>
    <col min="1" max="1" width="7.7109375" style="4" customWidth="1"/>
    <col min="2" max="2" width="19.7109375" style="2" customWidth="1"/>
    <col min="3" max="3" width="15" style="2" customWidth="1"/>
    <col min="4" max="4" width="9.42578125" style="3" customWidth="1"/>
    <col min="5" max="5" width="9" style="12" customWidth="1"/>
    <col min="6" max="6" width="9.28515625" style="3" customWidth="1"/>
    <col min="7" max="7" width="9.7109375" style="3" customWidth="1"/>
    <col min="8" max="8" width="16.85546875" style="6" customWidth="1"/>
    <col min="9" max="11" width="4" style="3" customWidth="1"/>
    <col min="12" max="12" width="5.42578125" style="3" customWidth="1"/>
    <col min="13" max="13" width="8.42578125" style="3" customWidth="1"/>
    <col min="14" max="14" width="13.85546875" style="17" customWidth="1"/>
    <col min="15" max="15" width="7.7109375" style="17" customWidth="1"/>
    <col min="16" max="16" width="13.140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56</v>
      </c>
      <c r="N2" s="66" t="s">
        <v>7</v>
      </c>
      <c r="O2" s="66" t="s">
        <v>54</v>
      </c>
      <c r="P2" s="66" t="s">
        <v>55</v>
      </c>
    </row>
    <row r="3" spans="1:16" ht="24" customHeight="1" x14ac:dyDescent="0.2">
      <c r="A3" s="110" t="s">
        <v>83</v>
      </c>
      <c r="B3" s="14" t="s">
        <v>122</v>
      </c>
      <c r="C3" s="9" t="s">
        <v>123</v>
      </c>
      <c r="D3" s="1" t="s">
        <v>3</v>
      </c>
      <c r="E3" s="13">
        <v>44400</v>
      </c>
      <c r="F3" s="118" t="s">
        <v>103</v>
      </c>
      <c r="G3" s="1" t="s">
        <v>104</v>
      </c>
      <c r="H3" s="10" t="s">
        <v>105</v>
      </c>
      <c r="I3" s="1">
        <v>66</v>
      </c>
      <c r="J3" s="1">
        <v>30</v>
      </c>
      <c r="K3" s="1">
        <v>26</v>
      </c>
      <c r="L3" s="1">
        <v>21</v>
      </c>
      <c r="M3" s="1">
        <f t="shared" ref="M3:M20" si="0">I3*J3*K3/4000</f>
        <v>12.87</v>
      </c>
      <c r="N3" s="8">
        <v>21</v>
      </c>
      <c r="O3" s="69">
        <v>7000</v>
      </c>
      <c r="P3" s="70">
        <f>Table2245[[#This Row],[PEMBULATAN]]*O3</f>
        <v>147000</v>
      </c>
    </row>
    <row r="4" spans="1:16" ht="24" customHeight="1" x14ac:dyDescent="0.2">
      <c r="A4" s="110"/>
      <c r="B4" s="15"/>
      <c r="C4" s="9" t="s">
        <v>124</v>
      </c>
      <c r="D4" s="1" t="s">
        <v>3</v>
      </c>
      <c r="E4" s="13">
        <v>44400</v>
      </c>
      <c r="F4" s="118" t="s">
        <v>103</v>
      </c>
      <c r="G4" s="1" t="s">
        <v>104</v>
      </c>
      <c r="H4" s="10" t="s">
        <v>105</v>
      </c>
      <c r="I4" s="1">
        <v>55</v>
      </c>
      <c r="J4" s="1">
        <v>46</v>
      </c>
      <c r="K4" s="1">
        <v>30</v>
      </c>
      <c r="L4" s="1">
        <v>10</v>
      </c>
      <c r="M4" s="1">
        <f t="shared" si="0"/>
        <v>18.975000000000001</v>
      </c>
      <c r="N4" s="8">
        <v>19</v>
      </c>
      <c r="O4" s="69">
        <v>7000</v>
      </c>
      <c r="P4" s="70">
        <f>Table2245[[#This Row],[PEMBULATAN]]*O4</f>
        <v>133000</v>
      </c>
    </row>
    <row r="5" spans="1:16" ht="24" customHeight="1" x14ac:dyDescent="0.2">
      <c r="A5" s="15"/>
      <c r="B5" s="15"/>
      <c r="C5" s="9" t="s">
        <v>125</v>
      </c>
      <c r="D5" s="1" t="s">
        <v>3</v>
      </c>
      <c r="E5" s="13">
        <v>44400</v>
      </c>
      <c r="F5" s="118" t="s">
        <v>103</v>
      </c>
      <c r="G5" s="1" t="s">
        <v>104</v>
      </c>
      <c r="H5" s="10" t="s">
        <v>105</v>
      </c>
      <c r="I5" s="1">
        <v>50</v>
      </c>
      <c r="J5" s="1">
        <v>43</v>
      </c>
      <c r="K5" s="1">
        <v>40</v>
      </c>
      <c r="L5" s="1">
        <v>13</v>
      </c>
      <c r="M5" s="1">
        <f t="shared" si="0"/>
        <v>21.5</v>
      </c>
      <c r="N5" s="8">
        <v>22</v>
      </c>
      <c r="O5" s="69">
        <v>7000</v>
      </c>
      <c r="P5" s="70">
        <f>Table2245[[#This Row],[PEMBULATAN]]*O5</f>
        <v>154000</v>
      </c>
    </row>
    <row r="6" spans="1:16" ht="24" customHeight="1" x14ac:dyDescent="0.2">
      <c r="A6" s="15"/>
      <c r="B6" s="15"/>
      <c r="C6" s="9" t="s">
        <v>126</v>
      </c>
      <c r="D6" s="1" t="s">
        <v>3</v>
      </c>
      <c r="E6" s="13">
        <v>44400</v>
      </c>
      <c r="F6" s="118" t="s">
        <v>103</v>
      </c>
      <c r="G6" s="1" t="s">
        <v>104</v>
      </c>
      <c r="H6" s="10" t="s">
        <v>105</v>
      </c>
      <c r="I6" s="1">
        <v>60</v>
      </c>
      <c r="J6" s="1">
        <v>40</v>
      </c>
      <c r="K6" s="1">
        <v>24</v>
      </c>
      <c r="L6" s="1">
        <v>11</v>
      </c>
      <c r="M6" s="1">
        <f t="shared" si="0"/>
        <v>14.4</v>
      </c>
      <c r="N6" s="8">
        <v>15</v>
      </c>
      <c r="O6" s="69">
        <v>7000</v>
      </c>
      <c r="P6" s="70">
        <f>Table2245[[#This Row],[PEMBULATAN]]*O6</f>
        <v>105000</v>
      </c>
    </row>
    <row r="7" spans="1:16" ht="24" customHeight="1" x14ac:dyDescent="0.2">
      <c r="A7" s="15"/>
      <c r="B7" s="15"/>
      <c r="C7" s="87" t="s">
        <v>127</v>
      </c>
      <c r="D7" s="88" t="s">
        <v>3</v>
      </c>
      <c r="E7" s="89">
        <v>44400</v>
      </c>
      <c r="F7" s="117" t="s">
        <v>103</v>
      </c>
      <c r="G7" s="91" t="s">
        <v>104</v>
      </c>
      <c r="H7" s="116" t="s">
        <v>105</v>
      </c>
      <c r="I7" s="88">
        <v>42</v>
      </c>
      <c r="J7" s="88">
        <v>33</v>
      </c>
      <c r="K7" s="88">
        <v>25</v>
      </c>
      <c r="L7" s="88">
        <v>9</v>
      </c>
      <c r="M7" s="88">
        <f t="shared" si="0"/>
        <v>8.6624999999999996</v>
      </c>
      <c r="N7" s="93">
        <v>9</v>
      </c>
      <c r="O7" s="69">
        <v>7000</v>
      </c>
      <c r="P7" s="70">
        <f>Table2245[[#This Row],[PEMBULATAN]]*O7</f>
        <v>63000</v>
      </c>
    </row>
    <row r="8" spans="1:16" ht="24" customHeight="1" x14ac:dyDescent="0.2">
      <c r="A8" s="15"/>
      <c r="B8" s="15"/>
      <c r="C8" s="87" t="s">
        <v>128</v>
      </c>
      <c r="D8" s="88" t="s">
        <v>3</v>
      </c>
      <c r="E8" s="89">
        <v>44400</v>
      </c>
      <c r="F8" s="117" t="s">
        <v>103</v>
      </c>
      <c r="G8" s="91" t="s">
        <v>104</v>
      </c>
      <c r="H8" s="116" t="s">
        <v>105</v>
      </c>
      <c r="I8" s="88">
        <v>46</v>
      </c>
      <c r="J8" s="88">
        <v>33</v>
      </c>
      <c r="K8" s="88">
        <v>26</v>
      </c>
      <c r="L8" s="88">
        <v>9</v>
      </c>
      <c r="M8" s="88">
        <f t="shared" si="0"/>
        <v>9.8670000000000009</v>
      </c>
      <c r="N8" s="93">
        <v>10</v>
      </c>
      <c r="O8" s="69">
        <v>7000</v>
      </c>
      <c r="P8" s="70">
        <f>Table2245[[#This Row],[PEMBULATAN]]*O8</f>
        <v>70000</v>
      </c>
    </row>
    <row r="9" spans="1:16" ht="24" customHeight="1" x14ac:dyDescent="0.2">
      <c r="A9" s="15"/>
      <c r="B9" s="15"/>
      <c r="C9" s="87" t="s">
        <v>129</v>
      </c>
      <c r="D9" s="88" t="s">
        <v>3</v>
      </c>
      <c r="E9" s="89">
        <v>44400</v>
      </c>
      <c r="F9" s="117" t="s">
        <v>103</v>
      </c>
      <c r="G9" s="91" t="s">
        <v>104</v>
      </c>
      <c r="H9" s="116" t="s">
        <v>105</v>
      </c>
      <c r="I9" s="88">
        <v>30</v>
      </c>
      <c r="J9" s="88">
        <v>45</v>
      </c>
      <c r="K9" s="88">
        <v>25</v>
      </c>
      <c r="L9" s="88">
        <v>9</v>
      </c>
      <c r="M9" s="88">
        <f t="shared" si="0"/>
        <v>8.4375</v>
      </c>
      <c r="N9" s="93">
        <v>9</v>
      </c>
      <c r="O9" s="69">
        <v>7000</v>
      </c>
      <c r="P9" s="70">
        <f>Table2245[[#This Row],[PEMBULATAN]]*O9</f>
        <v>63000</v>
      </c>
    </row>
    <row r="10" spans="1:16" ht="24" customHeight="1" x14ac:dyDescent="0.2">
      <c r="A10" s="15"/>
      <c r="B10" s="15"/>
      <c r="C10" s="87" t="s">
        <v>130</v>
      </c>
      <c r="D10" s="88" t="s">
        <v>3</v>
      </c>
      <c r="E10" s="89">
        <v>44400</v>
      </c>
      <c r="F10" s="117" t="s">
        <v>103</v>
      </c>
      <c r="G10" s="91" t="s">
        <v>104</v>
      </c>
      <c r="H10" s="116" t="s">
        <v>105</v>
      </c>
      <c r="I10" s="88">
        <v>125</v>
      </c>
      <c r="J10" s="88">
        <v>24</v>
      </c>
      <c r="K10" s="88">
        <v>52</v>
      </c>
      <c r="L10" s="88">
        <v>16</v>
      </c>
      <c r="M10" s="88">
        <f t="shared" si="0"/>
        <v>39</v>
      </c>
      <c r="N10" s="93">
        <v>39</v>
      </c>
      <c r="O10" s="69">
        <v>7000</v>
      </c>
      <c r="P10" s="70">
        <f>Table2245[[#This Row],[PEMBULATAN]]*O10</f>
        <v>273000</v>
      </c>
    </row>
    <row r="11" spans="1:16" ht="24" customHeight="1" x14ac:dyDescent="0.2">
      <c r="A11" s="15"/>
      <c r="B11" s="15"/>
      <c r="C11" s="87" t="s">
        <v>131</v>
      </c>
      <c r="D11" s="88" t="s">
        <v>3</v>
      </c>
      <c r="E11" s="89">
        <v>44400</v>
      </c>
      <c r="F11" s="117" t="s">
        <v>103</v>
      </c>
      <c r="G11" s="91" t="s">
        <v>104</v>
      </c>
      <c r="H11" s="116" t="s">
        <v>105</v>
      </c>
      <c r="I11" s="88">
        <v>62</v>
      </c>
      <c r="J11" s="88">
        <v>52</v>
      </c>
      <c r="K11" s="88">
        <v>28</v>
      </c>
      <c r="L11" s="88">
        <v>26</v>
      </c>
      <c r="M11" s="88">
        <f t="shared" si="0"/>
        <v>22.568000000000001</v>
      </c>
      <c r="N11" s="93">
        <v>26</v>
      </c>
      <c r="O11" s="69">
        <v>7000</v>
      </c>
      <c r="P11" s="70">
        <f>Table2245[[#This Row],[PEMBULATAN]]*O11</f>
        <v>182000</v>
      </c>
    </row>
    <row r="12" spans="1:16" ht="24" customHeight="1" x14ac:dyDescent="0.2">
      <c r="A12" s="15"/>
      <c r="B12" s="15"/>
      <c r="C12" s="87" t="s">
        <v>132</v>
      </c>
      <c r="D12" s="88" t="s">
        <v>3</v>
      </c>
      <c r="E12" s="89">
        <v>44400</v>
      </c>
      <c r="F12" s="117" t="s">
        <v>103</v>
      </c>
      <c r="G12" s="91" t="s">
        <v>104</v>
      </c>
      <c r="H12" s="116" t="s">
        <v>105</v>
      </c>
      <c r="I12" s="88">
        <v>42</v>
      </c>
      <c r="J12" s="88">
        <v>27</v>
      </c>
      <c r="K12" s="88">
        <v>23</v>
      </c>
      <c r="L12" s="88">
        <v>9</v>
      </c>
      <c r="M12" s="88">
        <f t="shared" si="0"/>
        <v>6.5205000000000002</v>
      </c>
      <c r="N12" s="93">
        <v>9</v>
      </c>
      <c r="O12" s="69">
        <v>7000</v>
      </c>
      <c r="P12" s="70">
        <f>Table2245[[#This Row],[PEMBULATAN]]*O12</f>
        <v>63000</v>
      </c>
    </row>
    <row r="13" spans="1:16" ht="24" customHeight="1" x14ac:dyDescent="0.2">
      <c r="A13" s="15"/>
      <c r="B13" s="15"/>
      <c r="C13" s="87" t="s">
        <v>133</v>
      </c>
      <c r="D13" s="88" t="s">
        <v>3</v>
      </c>
      <c r="E13" s="89">
        <v>44400</v>
      </c>
      <c r="F13" s="117" t="s">
        <v>103</v>
      </c>
      <c r="G13" s="91" t="s">
        <v>104</v>
      </c>
      <c r="H13" s="116" t="s">
        <v>105</v>
      </c>
      <c r="I13" s="88">
        <v>48</v>
      </c>
      <c r="J13" s="88">
        <v>34</v>
      </c>
      <c r="K13" s="88">
        <v>12</v>
      </c>
      <c r="L13" s="88">
        <v>11</v>
      </c>
      <c r="M13" s="88">
        <f t="shared" si="0"/>
        <v>4.8959999999999999</v>
      </c>
      <c r="N13" s="93">
        <v>11</v>
      </c>
      <c r="O13" s="69">
        <v>7000</v>
      </c>
      <c r="P13" s="70">
        <f>Table2245[[#This Row],[PEMBULATAN]]*O13</f>
        <v>77000</v>
      </c>
    </row>
    <row r="14" spans="1:16" ht="24" customHeight="1" x14ac:dyDescent="0.2">
      <c r="A14" s="15"/>
      <c r="B14" s="16"/>
      <c r="C14" s="87" t="s">
        <v>134</v>
      </c>
      <c r="D14" s="88" t="s">
        <v>3</v>
      </c>
      <c r="E14" s="89">
        <v>44400</v>
      </c>
      <c r="F14" s="117" t="s">
        <v>103</v>
      </c>
      <c r="G14" s="91" t="s">
        <v>104</v>
      </c>
      <c r="H14" s="116" t="s">
        <v>105</v>
      </c>
      <c r="I14" s="88">
        <v>48</v>
      </c>
      <c r="J14" s="88">
        <v>85</v>
      </c>
      <c r="K14" s="88">
        <v>30</v>
      </c>
      <c r="L14" s="88">
        <v>28</v>
      </c>
      <c r="M14" s="88">
        <f t="shared" si="0"/>
        <v>30.6</v>
      </c>
      <c r="N14" s="93">
        <v>31</v>
      </c>
      <c r="O14" s="69">
        <v>7000</v>
      </c>
      <c r="P14" s="70">
        <f>Table2245[[#This Row],[PEMBULATAN]]*O14</f>
        <v>217000</v>
      </c>
    </row>
    <row r="15" spans="1:16" ht="24" customHeight="1" x14ac:dyDescent="0.2">
      <c r="A15" s="15"/>
      <c r="B15" s="15" t="s">
        <v>135</v>
      </c>
      <c r="C15" s="87" t="s">
        <v>136</v>
      </c>
      <c r="D15" s="88" t="s">
        <v>3</v>
      </c>
      <c r="E15" s="89">
        <v>44400</v>
      </c>
      <c r="F15" s="117" t="s">
        <v>103</v>
      </c>
      <c r="G15" s="91" t="s">
        <v>104</v>
      </c>
      <c r="H15" s="116" t="s">
        <v>105</v>
      </c>
      <c r="I15" s="88">
        <v>42</v>
      </c>
      <c r="J15" s="88">
        <v>48</v>
      </c>
      <c r="K15" s="88">
        <v>25</v>
      </c>
      <c r="L15" s="88">
        <v>19</v>
      </c>
      <c r="M15" s="88">
        <f t="shared" si="0"/>
        <v>12.6</v>
      </c>
      <c r="N15" s="93">
        <v>19</v>
      </c>
      <c r="O15" s="69">
        <v>7000</v>
      </c>
      <c r="P15" s="70">
        <f>Table2245[[#This Row],[PEMBULATAN]]*O15</f>
        <v>133000</v>
      </c>
    </row>
    <row r="16" spans="1:16" ht="24" customHeight="1" x14ac:dyDescent="0.2">
      <c r="A16" s="15"/>
      <c r="B16" s="15"/>
      <c r="C16" s="87" t="s">
        <v>137</v>
      </c>
      <c r="D16" s="88" t="s">
        <v>3</v>
      </c>
      <c r="E16" s="89">
        <v>44400</v>
      </c>
      <c r="F16" s="117" t="s">
        <v>103</v>
      </c>
      <c r="G16" s="91" t="s">
        <v>104</v>
      </c>
      <c r="H16" s="116" t="s">
        <v>105</v>
      </c>
      <c r="I16" s="88">
        <v>66</v>
      </c>
      <c r="J16" s="88">
        <v>35</v>
      </c>
      <c r="K16" s="88">
        <v>30</v>
      </c>
      <c r="L16" s="88">
        <v>19</v>
      </c>
      <c r="M16" s="88">
        <f t="shared" si="0"/>
        <v>17.324999999999999</v>
      </c>
      <c r="N16" s="93">
        <v>19</v>
      </c>
      <c r="O16" s="69">
        <v>7000</v>
      </c>
      <c r="P16" s="70">
        <f>Table2245[[#This Row],[PEMBULATAN]]*O16</f>
        <v>133000</v>
      </c>
    </row>
    <row r="17" spans="1:16" ht="24" customHeight="1" x14ac:dyDescent="0.2">
      <c r="A17" s="15"/>
      <c r="B17" s="16"/>
      <c r="C17" s="87" t="s">
        <v>138</v>
      </c>
      <c r="D17" s="88" t="s">
        <v>3</v>
      </c>
      <c r="E17" s="89">
        <v>44400</v>
      </c>
      <c r="F17" s="117" t="s">
        <v>103</v>
      </c>
      <c r="G17" s="91" t="s">
        <v>104</v>
      </c>
      <c r="H17" s="116" t="s">
        <v>105</v>
      </c>
      <c r="I17" s="88">
        <v>66</v>
      </c>
      <c r="J17" s="88">
        <v>40</v>
      </c>
      <c r="K17" s="88">
        <v>37</v>
      </c>
      <c r="L17" s="88">
        <v>15</v>
      </c>
      <c r="M17" s="88">
        <f t="shared" si="0"/>
        <v>24.42</v>
      </c>
      <c r="N17" s="93">
        <v>25</v>
      </c>
      <c r="O17" s="69">
        <v>7000</v>
      </c>
      <c r="P17" s="70">
        <f>Table2245[[#This Row],[PEMBULATAN]]*O17</f>
        <v>175000</v>
      </c>
    </row>
    <row r="18" spans="1:16" ht="24" customHeight="1" x14ac:dyDescent="0.2">
      <c r="A18" s="15"/>
      <c r="B18" s="81" t="s">
        <v>139</v>
      </c>
      <c r="C18" s="87" t="s">
        <v>140</v>
      </c>
      <c r="D18" s="88" t="s">
        <v>3</v>
      </c>
      <c r="E18" s="89">
        <v>44400</v>
      </c>
      <c r="F18" s="117" t="s">
        <v>103</v>
      </c>
      <c r="G18" s="91" t="s">
        <v>104</v>
      </c>
      <c r="H18" s="116" t="s">
        <v>105</v>
      </c>
      <c r="I18" s="88">
        <v>58</v>
      </c>
      <c r="J18" s="88">
        <v>28</v>
      </c>
      <c r="K18" s="88">
        <v>84</v>
      </c>
      <c r="L18" s="88">
        <v>23</v>
      </c>
      <c r="M18" s="88">
        <f t="shared" si="0"/>
        <v>34.103999999999999</v>
      </c>
      <c r="N18" s="93">
        <v>34</v>
      </c>
      <c r="O18" s="69">
        <v>7000</v>
      </c>
      <c r="P18" s="70">
        <f>Table2245[[#This Row],[PEMBULATAN]]*O18</f>
        <v>238000</v>
      </c>
    </row>
    <row r="19" spans="1:16" ht="24" customHeight="1" x14ac:dyDescent="0.2">
      <c r="A19" s="15"/>
      <c r="B19" s="15" t="s">
        <v>141</v>
      </c>
      <c r="C19" s="9" t="s">
        <v>142</v>
      </c>
      <c r="D19" s="1" t="s">
        <v>3</v>
      </c>
      <c r="E19" s="13">
        <v>44400</v>
      </c>
      <c r="F19" s="118" t="s">
        <v>103</v>
      </c>
      <c r="G19" s="1" t="s">
        <v>104</v>
      </c>
      <c r="H19" s="10" t="s">
        <v>105</v>
      </c>
      <c r="I19" s="1">
        <v>59</v>
      </c>
      <c r="J19" s="1">
        <v>67</v>
      </c>
      <c r="K19" s="1">
        <v>26</v>
      </c>
      <c r="L19" s="1">
        <v>17</v>
      </c>
      <c r="M19" s="1">
        <f t="shared" si="0"/>
        <v>25.694500000000001</v>
      </c>
      <c r="N19" s="8">
        <v>26</v>
      </c>
      <c r="O19" s="69">
        <v>7000</v>
      </c>
      <c r="P19" s="70">
        <f>Table2245[[#This Row],[PEMBULATAN]]*O19</f>
        <v>182000</v>
      </c>
    </row>
    <row r="20" spans="1:16" ht="24" customHeight="1" x14ac:dyDescent="0.2">
      <c r="A20" s="15"/>
      <c r="B20" s="15"/>
      <c r="C20" s="9" t="s">
        <v>143</v>
      </c>
      <c r="D20" s="1" t="s">
        <v>3</v>
      </c>
      <c r="E20" s="13">
        <v>44400</v>
      </c>
      <c r="F20" s="118" t="s">
        <v>103</v>
      </c>
      <c r="G20" s="1" t="s">
        <v>104</v>
      </c>
      <c r="H20" s="10" t="s">
        <v>105</v>
      </c>
      <c r="I20" s="1">
        <v>35</v>
      </c>
      <c r="J20" s="1">
        <v>72</v>
      </c>
      <c r="K20" s="1">
        <v>84</v>
      </c>
      <c r="L20" s="1">
        <v>31</v>
      </c>
      <c r="M20" s="1">
        <f t="shared" si="0"/>
        <v>52.92</v>
      </c>
      <c r="N20" s="8">
        <v>53</v>
      </c>
      <c r="O20" s="69">
        <v>7000</v>
      </c>
      <c r="P20" s="70">
        <f>Table2245[[#This Row],[PEMBULATAN]]*O20</f>
        <v>371000</v>
      </c>
    </row>
    <row r="21" spans="1:16" ht="24.75" customHeight="1" x14ac:dyDescent="0.2">
      <c r="A21" s="111" t="s">
        <v>35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3"/>
      <c r="M21" s="78">
        <f>SUBTOTAL(109,Table2245[KG
VOLUME])</f>
        <v>365.35999999999996</v>
      </c>
      <c r="N21" s="73">
        <f>SUM(N3:N20)</f>
        <v>397</v>
      </c>
      <c r="O21" s="114">
        <f>SUM(P3:P20)</f>
        <v>2779000</v>
      </c>
      <c r="P21" s="115"/>
    </row>
    <row r="22" spans="1:16" x14ac:dyDescent="0.2">
      <c r="A22" s="11"/>
      <c r="H22" s="68"/>
      <c r="N22" s="67" t="s">
        <v>36</v>
      </c>
      <c r="P22" s="74">
        <f>O21*1%</f>
        <v>27790</v>
      </c>
    </row>
    <row r="23" spans="1:16" x14ac:dyDescent="0.2">
      <c r="A23" s="11"/>
      <c r="B23" s="61" t="s">
        <v>49</v>
      </c>
      <c r="C23" s="60"/>
      <c r="D23" s="62" t="s">
        <v>50</v>
      </c>
      <c r="H23" s="68"/>
      <c r="N23" s="67" t="s">
        <v>37</v>
      </c>
      <c r="P23" s="76">
        <v>0</v>
      </c>
    </row>
    <row r="24" spans="1:16" ht="15.75" thickBot="1" x14ac:dyDescent="0.25">
      <c r="A24" s="11"/>
      <c r="H24" s="68"/>
      <c r="N24" s="67" t="s">
        <v>38</v>
      </c>
      <c r="P24" s="76">
        <v>0</v>
      </c>
    </row>
    <row r="25" spans="1:16" x14ac:dyDescent="0.2">
      <c r="A25" s="11"/>
      <c r="H25" s="68"/>
      <c r="N25" s="71" t="s">
        <v>39</v>
      </c>
      <c r="O25" s="72"/>
      <c r="P25" s="75">
        <f>O21+P22</f>
        <v>2806790</v>
      </c>
    </row>
    <row r="26" spans="1:16" x14ac:dyDescent="0.2">
      <c r="B26" s="61"/>
      <c r="C26" s="60"/>
      <c r="D26" s="62"/>
    </row>
    <row r="28" spans="1:16" x14ac:dyDescent="0.2">
      <c r="A28" s="11"/>
      <c r="H28" s="68"/>
      <c r="O28" s="63"/>
      <c r="P28" s="77"/>
    </row>
    <row r="29" spans="1:16" x14ac:dyDescent="0.2">
      <c r="A29" s="11"/>
      <c r="H29" s="68"/>
      <c r="P29" s="77"/>
    </row>
    <row r="30" spans="1:16" x14ac:dyDescent="0.2">
      <c r="A30" s="11"/>
      <c r="H30" s="68"/>
      <c r="P30" s="77"/>
    </row>
    <row r="31" spans="1:16" x14ac:dyDescent="0.2">
      <c r="A31" s="11"/>
      <c r="H31" s="68"/>
      <c r="P31" s="77"/>
    </row>
    <row r="32" spans="1:16" x14ac:dyDescent="0.2">
      <c r="A32" s="11"/>
      <c r="H32" s="68"/>
    </row>
  </sheetData>
  <mergeCells count="3">
    <mergeCell ref="A3:A4"/>
    <mergeCell ref="A21:L21"/>
    <mergeCell ref="O21:P21"/>
  </mergeCells>
  <conditionalFormatting sqref="B3">
    <cfRule type="duplicateValues" dxfId="103" priority="1"/>
  </conditionalFormatting>
  <printOptions horizontalCentered="1"/>
  <pageMargins left="0.31496062992125984" right="0.31496062992125984" top="0.59055118110236227" bottom="0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110" zoomScaleNormal="110" workbookViewId="0">
      <pane xSplit="3" ySplit="2" topLeftCell="D23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defaultRowHeight="15" x14ac:dyDescent="0.2"/>
  <cols>
    <col min="1" max="1" width="7.7109375" style="4" customWidth="1"/>
    <col min="2" max="2" width="18" style="2" customWidth="1"/>
    <col min="3" max="3" width="15" style="2" customWidth="1"/>
    <col min="4" max="4" width="9.42578125" style="3" customWidth="1"/>
    <col min="5" max="5" width="9" style="12" customWidth="1"/>
    <col min="6" max="6" width="9.28515625" style="3" customWidth="1"/>
    <col min="7" max="7" width="9.7109375" style="3" customWidth="1"/>
    <col min="8" max="8" width="16.28515625" style="6" customWidth="1"/>
    <col min="9" max="11" width="4" style="3" customWidth="1"/>
    <col min="12" max="12" width="5.42578125" style="3" customWidth="1"/>
    <col min="13" max="13" width="8.42578125" style="3" customWidth="1"/>
    <col min="14" max="14" width="14" style="17" customWidth="1"/>
    <col min="15" max="15" width="7.7109375" style="17" customWidth="1"/>
    <col min="16" max="16" width="13.140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56</v>
      </c>
      <c r="N2" s="66" t="s">
        <v>7</v>
      </c>
      <c r="O2" s="66" t="s">
        <v>54</v>
      </c>
      <c r="P2" s="66" t="s">
        <v>55</v>
      </c>
    </row>
    <row r="3" spans="1:16" ht="24" customHeight="1" x14ac:dyDescent="0.2">
      <c r="A3" s="110" t="s">
        <v>84</v>
      </c>
      <c r="B3" s="14" t="s">
        <v>144</v>
      </c>
      <c r="C3" s="9" t="s">
        <v>145</v>
      </c>
      <c r="D3" s="1" t="s">
        <v>3</v>
      </c>
      <c r="E3" s="13">
        <v>44401</v>
      </c>
      <c r="F3" s="9" t="s">
        <v>103</v>
      </c>
      <c r="G3" s="1" t="s">
        <v>104</v>
      </c>
      <c r="H3" s="10" t="s">
        <v>105</v>
      </c>
      <c r="I3" s="1">
        <v>47</v>
      </c>
      <c r="J3" s="1">
        <v>46</v>
      </c>
      <c r="K3" s="1">
        <v>37</v>
      </c>
      <c r="L3" s="1">
        <v>12</v>
      </c>
      <c r="M3" s="1">
        <f t="shared" ref="M3:M31" si="0">I3*J3*K3/4000</f>
        <v>19.9985</v>
      </c>
      <c r="N3" s="8">
        <v>20</v>
      </c>
      <c r="O3" s="69">
        <v>7000</v>
      </c>
      <c r="P3" s="70">
        <f>Table22456[[#This Row],[PEMBULATAN]]*O3</f>
        <v>140000</v>
      </c>
    </row>
    <row r="4" spans="1:16" ht="24" customHeight="1" x14ac:dyDescent="0.2">
      <c r="A4" s="110"/>
      <c r="B4" s="15"/>
      <c r="C4" s="9" t="s">
        <v>146</v>
      </c>
      <c r="D4" s="1" t="s">
        <v>3</v>
      </c>
      <c r="E4" s="13">
        <v>44401</v>
      </c>
      <c r="F4" s="9" t="s">
        <v>103</v>
      </c>
      <c r="G4" s="1" t="s">
        <v>104</v>
      </c>
      <c r="H4" s="10" t="s">
        <v>105</v>
      </c>
      <c r="I4" s="1">
        <v>55</v>
      </c>
      <c r="J4" s="1">
        <v>19</v>
      </c>
      <c r="K4" s="1">
        <v>19</v>
      </c>
      <c r="L4" s="1">
        <v>6</v>
      </c>
      <c r="M4" s="1">
        <f t="shared" si="0"/>
        <v>4.9637500000000001</v>
      </c>
      <c r="N4" s="8">
        <v>6</v>
      </c>
      <c r="O4" s="69">
        <v>7000</v>
      </c>
      <c r="P4" s="70">
        <f>Table22456[[#This Row],[PEMBULATAN]]*O4</f>
        <v>42000</v>
      </c>
    </row>
    <row r="5" spans="1:16" ht="24" customHeight="1" x14ac:dyDescent="0.2">
      <c r="A5" s="15"/>
      <c r="B5" s="15"/>
      <c r="C5" s="9" t="s">
        <v>147</v>
      </c>
      <c r="D5" s="1" t="s">
        <v>3</v>
      </c>
      <c r="E5" s="13">
        <v>44401</v>
      </c>
      <c r="F5" s="9" t="s">
        <v>103</v>
      </c>
      <c r="G5" s="1" t="s">
        <v>104</v>
      </c>
      <c r="H5" s="10" t="s">
        <v>105</v>
      </c>
      <c r="I5" s="1">
        <v>88</v>
      </c>
      <c r="J5" s="1">
        <v>22</v>
      </c>
      <c r="K5" s="1">
        <v>33</v>
      </c>
      <c r="L5" s="1">
        <v>17</v>
      </c>
      <c r="M5" s="1">
        <f t="shared" si="0"/>
        <v>15.972</v>
      </c>
      <c r="N5" s="8">
        <v>17</v>
      </c>
      <c r="O5" s="69">
        <v>7000</v>
      </c>
      <c r="P5" s="70">
        <f>Table22456[[#This Row],[PEMBULATAN]]*O5</f>
        <v>119000</v>
      </c>
    </row>
    <row r="6" spans="1:16" ht="24" customHeight="1" x14ac:dyDescent="0.2">
      <c r="A6" s="15"/>
      <c r="B6" s="15"/>
      <c r="C6" s="9" t="s">
        <v>148</v>
      </c>
      <c r="D6" s="1" t="s">
        <v>3</v>
      </c>
      <c r="E6" s="13">
        <v>44401</v>
      </c>
      <c r="F6" s="118" t="s">
        <v>103</v>
      </c>
      <c r="G6" s="1" t="s">
        <v>104</v>
      </c>
      <c r="H6" s="10" t="s">
        <v>105</v>
      </c>
      <c r="I6" s="1">
        <v>44</v>
      </c>
      <c r="J6" s="1">
        <v>20</v>
      </c>
      <c r="K6" s="1">
        <v>100</v>
      </c>
      <c r="L6" s="1">
        <v>15</v>
      </c>
      <c r="M6" s="1">
        <f t="shared" si="0"/>
        <v>22</v>
      </c>
      <c r="N6" s="8">
        <v>22</v>
      </c>
      <c r="O6" s="69">
        <v>7000</v>
      </c>
      <c r="P6" s="70">
        <f>Table22456[[#This Row],[PEMBULATAN]]*O6</f>
        <v>154000</v>
      </c>
    </row>
    <row r="7" spans="1:16" ht="24" customHeight="1" x14ac:dyDescent="0.2">
      <c r="A7" s="15"/>
      <c r="B7" s="15"/>
      <c r="C7" s="80" t="s">
        <v>149</v>
      </c>
      <c r="D7" s="18" t="s">
        <v>3</v>
      </c>
      <c r="E7" s="13">
        <v>44401</v>
      </c>
      <c r="F7" s="118" t="s">
        <v>103</v>
      </c>
      <c r="G7" s="1" t="s">
        <v>104</v>
      </c>
      <c r="H7" s="86" t="s">
        <v>105</v>
      </c>
      <c r="I7" s="18">
        <v>52</v>
      </c>
      <c r="J7" s="18">
        <v>22</v>
      </c>
      <c r="K7" s="18">
        <v>42</v>
      </c>
      <c r="L7" s="18">
        <v>8</v>
      </c>
      <c r="M7" s="18">
        <f t="shared" si="0"/>
        <v>12.012</v>
      </c>
      <c r="N7" s="79">
        <v>12</v>
      </c>
      <c r="O7" s="69">
        <v>7000</v>
      </c>
      <c r="P7" s="70">
        <f>Table22456[[#This Row],[PEMBULATAN]]*O7</f>
        <v>84000</v>
      </c>
    </row>
    <row r="8" spans="1:16" ht="24" customHeight="1" x14ac:dyDescent="0.2">
      <c r="A8" s="15"/>
      <c r="B8" s="15"/>
      <c r="C8" s="80" t="s">
        <v>150</v>
      </c>
      <c r="D8" s="18" t="s">
        <v>3</v>
      </c>
      <c r="E8" s="13">
        <v>44401</v>
      </c>
      <c r="F8" s="118" t="s">
        <v>103</v>
      </c>
      <c r="G8" s="1" t="s">
        <v>104</v>
      </c>
      <c r="H8" s="86" t="s">
        <v>105</v>
      </c>
      <c r="I8" s="18">
        <v>48</v>
      </c>
      <c r="J8" s="18">
        <v>48</v>
      </c>
      <c r="K8" s="18">
        <v>25</v>
      </c>
      <c r="L8" s="18">
        <v>10</v>
      </c>
      <c r="M8" s="18">
        <f t="shared" si="0"/>
        <v>14.4</v>
      </c>
      <c r="N8" s="79">
        <v>15</v>
      </c>
      <c r="O8" s="69">
        <v>7000</v>
      </c>
      <c r="P8" s="70">
        <f>Table22456[[#This Row],[PEMBULATAN]]*O8</f>
        <v>105000</v>
      </c>
    </row>
    <row r="9" spans="1:16" ht="24" customHeight="1" x14ac:dyDescent="0.2">
      <c r="A9" s="15"/>
      <c r="B9" s="15"/>
      <c r="C9" s="80" t="s">
        <v>151</v>
      </c>
      <c r="D9" s="18" t="s">
        <v>3</v>
      </c>
      <c r="E9" s="13">
        <v>44401</v>
      </c>
      <c r="F9" s="118" t="s">
        <v>103</v>
      </c>
      <c r="G9" s="1" t="s">
        <v>104</v>
      </c>
      <c r="H9" s="86" t="s">
        <v>105</v>
      </c>
      <c r="I9" s="18">
        <v>35</v>
      </c>
      <c r="J9" s="18">
        <v>35</v>
      </c>
      <c r="K9" s="18">
        <v>35</v>
      </c>
      <c r="L9" s="18">
        <v>19</v>
      </c>
      <c r="M9" s="18">
        <f t="shared" si="0"/>
        <v>10.71875</v>
      </c>
      <c r="N9" s="79">
        <v>19</v>
      </c>
      <c r="O9" s="69">
        <v>7000</v>
      </c>
      <c r="P9" s="70">
        <f>Table22456[[#This Row],[PEMBULATAN]]*O9</f>
        <v>133000</v>
      </c>
    </row>
    <row r="10" spans="1:16" ht="24" customHeight="1" x14ac:dyDescent="0.2">
      <c r="A10" s="15"/>
      <c r="B10" s="15"/>
      <c r="C10" s="80" t="s">
        <v>152</v>
      </c>
      <c r="D10" s="18" t="s">
        <v>3</v>
      </c>
      <c r="E10" s="13">
        <v>44401</v>
      </c>
      <c r="F10" s="118" t="s">
        <v>103</v>
      </c>
      <c r="G10" s="1" t="s">
        <v>104</v>
      </c>
      <c r="H10" s="86" t="s">
        <v>105</v>
      </c>
      <c r="I10" s="18">
        <v>30</v>
      </c>
      <c r="J10" s="18">
        <v>18</v>
      </c>
      <c r="K10" s="18">
        <v>27</v>
      </c>
      <c r="L10" s="18">
        <v>9</v>
      </c>
      <c r="M10" s="18">
        <f t="shared" si="0"/>
        <v>3.645</v>
      </c>
      <c r="N10" s="79">
        <v>9</v>
      </c>
      <c r="O10" s="69">
        <v>7000</v>
      </c>
      <c r="P10" s="70">
        <f>Table22456[[#This Row],[PEMBULATAN]]*O10</f>
        <v>63000</v>
      </c>
    </row>
    <row r="11" spans="1:16" ht="24" customHeight="1" x14ac:dyDescent="0.2">
      <c r="A11" s="15"/>
      <c r="B11" s="15"/>
      <c r="C11" s="80" t="s">
        <v>153</v>
      </c>
      <c r="D11" s="18" t="s">
        <v>3</v>
      </c>
      <c r="E11" s="13">
        <v>44401</v>
      </c>
      <c r="F11" s="118" t="s">
        <v>103</v>
      </c>
      <c r="G11" s="1" t="s">
        <v>104</v>
      </c>
      <c r="H11" s="86" t="s">
        <v>105</v>
      </c>
      <c r="I11" s="18">
        <v>23</v>
      </c>
      <c r="J11" s="18">
        <v>29</v>
      </c>
      <c r="K11" s="18">
        <v>32</v>
      </c>
      <c r="L11" s="18">
        <v>4</v>
      </c>
      <c r="M11" s="18">
        <f t="shared" si="0"/>
        <v>5.3360000000000003</v>
      </c>
      <c r="N11" s="79">
        <v>6</v>
      </c>
      <c r="O11" s="69">
        <v>7000</v>
      </c>
      <c r="P11" s="70">
        <f>Table22456[[#This Row],[PEMBULATAN]]*O11</f>
        <v>42000</v>
      </c>
    </row>
    <row r="12" spans="1:16" ht="24" customHeight="1" x14ac:dyDescent="0.2">
      <c r="A12" s="15"/>
      <c r="B12" s="15"/>
      <c r="C12" s="80" t="s">
        <v>154</v>
      </c>
      <c r="D12" s="18" t="s">
        <v>3</v>
      </c>
      <c r="E12" s="13">
        <v>44401</v>
      </c>
      <c r="F12" s="118" t="s">
        <v>103</v>
      </c>
      <c r="G12" s="1" t="s">
        <v>104</v>
      </c>
      <c r="H12" s="86" t="s">
        <v>105</v>
      </c>
      <c r="I12" s="18">
        <v>59</v>
      </c>
      <c r="J12" s="18">
        <v>40</v>
      </c>
      <c r="K12" s="18">
        <v>27</v>
      </c>
      <c r="L12" s="18">
        <v>15</v>
      </c>
      <c r="M12" s="18">
        <f t="shared" si="0"/>
        <v>15.93</v>
      </c>
      <c r="N12" s="79">
        <v>16</v>
      </c>
      <c r="O12" s="69">
        <v>7000</v>
      </c>
      <c r="P12" s="70">
        <f>Table22456[[#This Row],[PEMBULATAN]]*O12</f>
        <v>112000</v>
      </c>
    </row>
    <row r="13" spans="1:16" ht="24" customHeight="1" x14ac:dyDescent="0.2">
      <c r="A13" s="15"/>
      <c r="B13" s="15"/>
      <c r="C13" s="80" t="s">
        <v>155</v>
      </c>
      <c r="D13" s="18" t="s">
        <v>3</v>
      </c>
      <c r="E13" s="13">
        <v>44401</v>
      </c>
      <c r="F13" s="118" t="s">
        <v>103</v>
      </c>
      <c r="G13" s="1" t="s">
        <v>104</v>
      </c>
      <c r="H13" s="86" t="s">
        <v>105</v>
      </c>
      <c r="I13" s="18">
        <v>55</v>
      </c>
      <c r="J13" s="18">
        <v>41</v>
      </c>
      <c r="K13" s="18">
        <v>35</v>
      </c>
      <c r="L13" s="18">
        <v>33</v>
      </c>
      <c r="M13" s="18">
        <f t="shared" si="0"/>
        <v>19.731249999999999</v>
      </c>
      <c r="N13" s="79">
        <v>33</v>
      </c>
      <c r="O13" s="69">
        <v>7000</v>
      </c>
      <c r="P13" s="70">
        <f>Table22456[[#This Row],[PEMBULATAN]]*O13</f>
        <v>231000</v>
      </c>
    </row>
    <row r="14" spans="1:16" ht="24" customHeight="1" x14ac:dyDescent="0.2">
      <c r="A14" s="15"/>
      <c r="B14" s="15"/>
      <c r="C14" s="80" t="s">
        <v>156</v>
      </c>
      <c r="D14" s="18" t="s">
        <v>3</v>
      </c>
      <c r="E14" s="13">
        <v>44401</v>
      </c>
      <c r="F14" s="118" t="s">
        <v>103</v>
      </c>
      <c r="G14" s="1" t="s">
        <v>104</v>
      </c>
      <c r="H14" s="86" t="s">
        <v>105</v>
      </c>
      <c r="I14" s="18">
        <v>42</v>
      </c>
      <c r="J14" s="18">
        <v>38</v>
      </c>
      <c r="K14" s="18">
        <v>32</v>
      </c>
      <c r="L14" s="18">
        <v>22</v>
      </c>
      <c r="M14" s="18">
        <f t="shared" si="0"/>
        <v>12.768000000000001</v>
      </c>
      <c r="N14" s="79">
        <v>22</v>
      </c>
      <c r="O14" s="69">
        <v>7000</v>
      </c>
      <c r="P14" s="70">
        <f>Table22456[[#This Row],[PEMBULATAN]]*O14</f>
        <v>154000</v>
      </c>
    </row>
    <row r="15" spans="1:16" ht="24" customHeight="1" x14ac:dyDescent="0.2">
      <c r="A15" s="15"/>
      <c r="B15" s="15"/>
      <c r="C15" s="80" t="s">
        <v>157</v>
      </c>
      <c r="D15" s="18" t="s">
        <v>3</v>
      </c>
      <c r="E15" s="13">
        <v>44401</v>
      </c>
      <c r="F15" s="118" t="s">
        <v>103</v>
      </c>
      <c r="G15" s="1" t="s">
        <v>104</v>
      </c>
      <c r="H15" s="86" t="s">
        <v>105</v>
      </c>
      <c r="I15" s="18">
        <v>63</v>
      </c>
      <c r="J15" s="18">
        <v>46</v>
      </c>
      <c r="K15" s="18">
        <v>45</v>
      </c>
      <c r="L15" s="18">
        <v>10</v>
      </c>
      <c r="M15" s="18">
        <f t="shared" si="0"/>
        <v>32.602499999999999</v>
      </c>
      <c r="N15" s="79">
        <v>33</v>
      </c>
      <c r="O15" s="69">
        <v>7000</v>
      </c>
      <c r="P15" s="70">
        <f>Table22456[[#This Row],[PEMBULATAN]]*O15</f>
        <v>231000</v>
      </c>
    </row>
    <row r="16" spans="1:16" ht="24" customHeight="1" x14ac:dyDescent="0.2">
      <c r="A16" s="15"/>
      <c r="B16" s="15"/>
      <c r="C16" s="80" t="s">
        <v>158</v>
      </c>
      <c r="D16" s="18" t="s">
        <v>3</v>
      </c>
      <c r="E16" s="13">
        <v>44401</v>
      </c>
      <c r="F16" s="118" t="s">
        <v>103</v>
      </c>
      <c r="G16" s="1" t="s">
        <v>104</v>
      </c>
      <c r="H16" s="86" t="s">
        <v>105</v>
      </c>
      <c r="I16" s="18">
        <v>73</v>
      </c>
      <c r="J16" s="18">
        <v>27</v>
      </c>
      <c r="K16" s="18">
        <v>42</v>
      </c>
      <c r="L16" s="18">
        <v>9</v>
      </c>
      <c r="M16" s="18">
        <f t="shared" si="0"/>
        <v>20.695499999999999</v>
      </c>
      <c r="N16" s="79">
        <v>21</v>
      </c>
      <c r="O16" s="69">
        <v>7000</v>
      </c>
      <c r="P16" s="70">
        <f>Table22456[[#This Row],[PEMBULATAN]]*O16</f>
        <v>147000</v>
      </c>
    </row>
    <row r="17" spans="1:16" ht="24" customHeight="1" x14ac:dyDescent="0.2">
      <c r="A17" s="15"/>
      <c r="B17" s="15"/>
      <c r="C17" s="80" t="s">
        <v>159</v>
      </c>
      <c r="D17" s="18" t="s">
        <v>3</v>
      </c>
      <c r="E17" s="13">
        <v>44401</v>
      </c>
      <c r="F17" s="118" t="s">
        <v>103</v>
      </c>
      <c r="G17" s="1" t="s">
        <v>104</v>
      </c>
      <c r="H17" s="86" t="s">
        <v>105</v>
      </c>
      <c r="I17" s="18">
        <v>57</v>
      </c>
      <c r="J17" s="18">
        <v>43</v>
      </c>
      <c r="K17" s="18">
        <v>40</v>
      </c>
      <c r="L17" s="18">
        <v>13</v>
      </c>
      <c r="M17" s="18">
        <f t="shared" si="0"/>
        <v>24.51</v>
      </c>
      <c r="N17" s="79">
        <v>25</v>
      </c>
      <c r="O17" s="69">
        <v>7000</v>
      </c>
      <c r="P17" s="70">
        <f>Table22456[[#This Row],[PEMBULATAN]]*O17</f>
        <v>175000</v>
      </c>
    </row>
    <row r="18" spans="1:16" ht="24" customHeight="1" x14ac:dyDescent="0.2">
      <c r="A18" s="15"/>
      <c r="B18" s="15"/>
      <c r="C18" s="80" t="s">
        <v>160</v>
      </c>
      <c r="D18" s="18" t="s">
        <v>3</v>
      </c>
      <c r="E18" s="13">
        <v>44401</v>
      </c>
      <c r="F18" s="118" t="s">
        <v>103</v>
      </c>
      <c r="G18" s="1" t="s">
        <v>104</v>
      </c>
      <c r="H18" s="86" t="s">
        <v>105</v>
      </c>
      <c r="I18" s="18">
        <v>127</v>
      </c>
      <c r="J18" s="18">
        <v>57</v>
      </c>
      <c r="K18" s="18">
        <v>21</v>
      </c>
      <c r="L18" s="18">
        <v>20</v>
      </c>
      <c r="M18" s="18">
        <f t="shared" si="0"/>
        <v>38.004750000000001</v>
      </c>
      <c r="N18" s="79">
        <v>38</v>
      </c>
      <c r="O18" s="69">
        <v>7000</v>
      </c>
      <c r="P18" s="70">
        <f>Table22456[[#This Row],[PEMBULATAN]]*O18</f>
        <v>266000</v>
      </c>
    </row>
    <row r="19" spans="1:16" ht="24" customHeight="1" x14ac:dyDescent="0.2">
      <c r="A19" s="15"/>
      <c r="B19" s="15"/>
      <c r="C19" s="80" t="s">
        <v>161</v>
      </c>
      <c r="D19" s="18" t="s">
        <v>3</v>
      </c>
      <c r="E19" s="13">
        <v>44401</v>
      </c>
      <c r="F19" s="118" t="s">
        <v>103</v>
      </c>
      <c r="G19" s="1" t="s">
        <v>104</v>
      </c>
      <c r="H19" s="86" t="s">
        <v>105</v>
      </c>
      <c r="I19" s="18">
        <v>50</v>
      </c>
      <c r="J19" s="18">
        <v>39</v>
      </c>
      <c r="K19" s="18">
        <v>36</v>
      </c>
      <c r="L19" s="18">
        <v>21</v>
      </c>
      <c r="M19" s="18">
        <f t="shared" si="0"/>
        <v>17.55</v>
      </c>
      <c r="N19" s="79">
        <v>21</v>
      </c>
      <c r="O19" s="69">
        <v>7000</v>
      </c>
      <c r="P19" s="70">
        <f>Table22456[[#This Row],[PEMBULATAN]]*O19</f>
        <v>147000</v>
      </c>
    </row>
    <row r="20" spans="1:16" ht="24" customHeight="1" x14ac:dyDescent="0.2">
      <c r="A20" s="15"/>
      <c r="B20" s="15"/>
      <c r="C20" s="80" t="s">
        <v>162</v>
      </c>
      <c r="D20" s="18" t="s">
        <v>3</v>
      </c>
      <c r="E20" s="13">
        <v>44401</v>
      </c>
      <c r="F20" s="118" t="s">
        <v>103</v>
      </c>
      <c r="G20" s="1" t="s">
        <v>104</v>
      </c>
      <c r="H20" s="86" t="s">
        <v>105</v>
      </c>
      <c r="I20" s="18">
        <v>50</v>
      </c>
      <c r="J20" s="18">
        <v>55</v>
      </c>
      <c r="K20" s="18">
        <v>45</v>
      </c>
      <c r="L20" s="18">
        <v>36</v>
      </c>
      <c r="M20" s="18">
        <f t="shared" si="0"/>
        <v>30.9375</v>
      </c>
      <c r="N20" s="79">
        <v>36</v>
      </c>
      <c r="O20" s="69">
        <v>7000</v>
      </c>
      <c r="P20" s="70">
        <f>Table22456[[#This Row],[PEMBULATAN]]*O20</f>
        <v>252000</v>
      </c>
    </row>
    <row r="21" spans="1:16" ht="24" customHeight="1" x14ac:dyDescent="0.2">
      <c r="A21" s="15"/>
      <c r="B21" s="16"/>
      <c r="C21" s="80" t="s">
        <v>163</v>
      </c>
      <c r="D21" s="18" t="s">
        <v>3</v>
      </c>
      <c r="E21" s="13">
        <v>44401</v>
      </c>
      <c r="F21" s="118" t="s">
        <v>103</v>
      </c>
      <c r="G21" s="1" t="s">
        <v>104</v>
      </c>
      <c r="H21" s="86" t="s">
        <v>105</v>
      </c>
      <c r="I21" s="18">
        <v>79</v>
      </c>
      <c r="J21" s="18">
        <v>40</v>
      </c>
      <c r="K21" s="18">
        <v>38</v>
      </c>
      <c r="L21" s="18">
        <v>23</v>
      </c>
      <c r="M21" s="18">
        <f t="shared" si="0"/>
        <v>30.02</v>
      </c>
      <c r="N21" s="79">
        <v>30</v>
      </c>
      <c r="O21" s="69">
        <v>7000</v>
      </c>
      <c r="P21" s="70">
        <f>Table22456[[#This Row],[PEMBULATAN]]*O21</f>
        <v>210000</v>
      </c>
    </row>
    <row r="22" spans="1:16" ht="24" customHeight="1" x14ac:dyDescent="0.2">
      <c r="A22" s="15"/>
      <c r="B22" s="14" t="s">
        <v>164</v>
      </c>
      <c r="C22" s="80" t="s">
        <v>165</v>
      </c>
      <c r="D22" s="18" t="s">
        <v>3</v>
      </c>
      <c r="E22" s="13">
        <v>44401</v>
      </c>
      <c r="F22" s="118" t="s">
        <v>103</v>
      </c>
      <c r="G22" s="1" t="s">
        <v>104</v>
      </c>
      <c r="H22" s="86" t="s">
        <v>105</v>
      </c>
      <c r="I22" s="18">
        <v>52</v>
      </c>
      <c r="J22" s="18">
        <v>75</v>
      </c>
      <c r="K22" s="18">
        <v>57</v>
      </c>
      <c r="L22" s="18">
        <v>9</v>
      </c>
      <c r="M22" s="18">
        <f t="shared" si="0"/>
        <v>55.575000000000003</v>
      </c>
      <c r="N22" s="79">
        <v>56</v>
      </c>
      <c r="O22" s="69">
        <v>7000</v>
      </c>
      <c r="P22" s="70">
        <f>Table22456[[#This Row],[PEMBULATAN]]*O22</f>
        <v>392000</v>
      </c>
    </row>
    <row r="23" spans="1:16" ht="24" customHeight="1" x14ac:dyDescent="0.2">
      <c r="A23" s="15"/>
      <c r="B23" s="15"/>
      <c r="C23" s="80" t="s">
        <v>166</v>
      </c>
      <c r="D23" s="18" t="s">
        <v>3</v>
      </c>
      <c r="E23" s="13">
        <v>44401</v>
      </c>
      <c r="F23" s="118" t="s">
        <v>103</v>
      </c>
      <c r="G23" s="1" t="s">
        <v>104</v>
      </c>
      <c r="H23" s="86" t="s">
        <v>105</v>
      </c>
      <c r="I23" s="18">
        <v>75</v>
      </c>
      <c r="J23" s="18">
        <v>50</v>
      </c>
      <c r="K23" s="18">
        <v>58</v>
      </c>
      <c r="L23" s="18">
        <v>9</v>
      </c>
      <c r="M23" s="18">
        <f t="shared" si="0"/>
        <v>54.375</v>
      </c>
      <c r="N23" s="79">
        <v>55</v>
      </c>
      <c r="O23" s="69">
        <v>7000</v>
      </c>
      <c r="P23" s="70">
        <f>Table22456[[#This Row],[PEMBULATAN]]*O23</f>
        <v>385000</v>
      </c>
    </row>
    <row r="24" spans="1:16" ht="24" customHeight="1" x14ac:dyDescent="0.2">
      <c r="A24" s="15"/>
      <c r="B24" s="16"/>
      <c r="C24" s="80" t="s">
        <v>167</v>
      </c>
      <c r="D24" s="18" t="s">
        <v>3</v>
      </c>
      <c r="E24" s="13">
        <v>44401</v>
      </c>
      <c r="F24" s="118" t="s">
        <v>103</v>
      </c>
      <c r="G24" s="1" t="s">
        <v>104</v>
      </c>
      <c r="H24" s="86" t="s">
        <v>105</v>
      </c>
      <c r="I24" s="18">
        <v>58</v>
      </c>
      <c r="J24" s="18">
        <v>80</v>
      </c>
      <c r="K24" s="18">
        <v>49</v>
      </c>
      <c r="L24" s="18">
        <v>9</v>
      </c>
      <c r="M24" s="18">
        <f t="shared" si="0"/>
        <v>56.84</v>
      </c>
      <c r="N24" s="79">
        <v>57</v>
      </c>
      <c r="O24" s="69">
        <v>7000</v>
      </c>
      <c r="P24" s="70">
        <f>Table22456[[#This Row],[PEMBULATAN]]*O24</f>
        <v>399000</v>
      </c>
    </row>
    <row r="25" spans="1:16" ht="24" customHeight="1" x14ac:dyDescent="0.2">
      <c r="A25" s="15"/>
      <c r="B25" s="14" t="s">
        <v>168</v>
      </c>
      <c r="C25" s="9" t="s">
        <v>169</v>
      </c>
      <c r="D25" s="1" t="s">
        <v>3</v>
      </c>
      <c r="E25" s="13">
        <v>44401</v>
      </c>
      <c r="F25" s="118" t="s">
        <v>103</v>
      </c>
      <c r="G25" s="1" t="s">
        <v>104</v>
      </c>
      <c r="H25" s="10" t="s">
        <v>105</v>
      </c>
      <c r="I25" s="1">
        <v>39</v>
      </c>
      <c r="J25" s="1">
        <v>39</v>
      </c>
      <c r="K25" s="1">
        <v>39</v>
      </c>
      <c r="L25" s="1">
        <v>21</v>
      </c>
      <c r="M25" s="1">
        <f t="shared" si="0"/>
        <v>14.829750000000001</v>
      </c>
      <c r="N25" s="8">
        <v>21</v>
      </c>
      <c r="O25" s="69">
        <v>7000</v>
      </c>
      <c r="P25" s="70">
        <f>Table22456[[#This Row],[PEMBULATAN]]*O25</f>
        <v>147000</v>
      </c>
    </row>
    <row r="26" spans="1:16" ht="24" customHeight="1" x14ac:dyDescent="0.2">
      <c r="A26" s="15"/>
      <c r="B26" s="15"/>
      <c r="C26" s="9" t="s">
        <v>170</v>
      </c>
      <c r="D26" s="1" t="s">
        <v>3</v>
      </c>
      <c r="E26" s="13">
        <v>44401</v>
      </c>
      <c r="F26" s="118" t="s">
        <v>103</v>
      </c>
      <c r="G26" s="1" t="s">
        <v>104</v>
      </c>
      <c r="H26" s="10" t="s">
        <v>105</v>
      </c>
      <c r="I26" s="1">
        <v>39</v>
      </c>
      <c r="J26" s="1">
        <v>39</v>
      </c>
      <c r="K26" s="1">
        <v>39</v>
      </c>
      <c r="L26" s="1">
        <v>21</v>
      </c>
      <c r="M26" s="1">
        <f t="shared" si="0"/>
        <v>14.829750000000001</v>
      </c>
      <c r="N26" s="8">
        <v>21</v>
      </c>
      <c r="O26" s="69">
        <v>7000</v>
      </c>
      <c r="P26" s="70">
        <f>Table22456[[#This Row],[PEMBULATAN]]*O26</f>
        <v>147000</v>
      </c>
    </row>
    <row r="27" spans="1:16" ht="24" customHeight="1" x14ac:dyDescent="0.2">
      <c r="A27" s="15"/>
      <c r="B27" s="15"/>
      <c r="C27" s="9" t="s">
        <v>171</v>
      </c>
      <c r="D27" s="1" t="s">
        <v>3</v>
      </c>
      <c r="E27" s="13">
        <v>44401</v>
      </c>
      <c r="F27" s="118" t="s">
        <v>103</v>
      </c>
      <c r="G27" s="1" t="s">
        <v>104</v>
      </c>
      <c r="H27" s="10" t="s">
        <v>105</v>
      </c>
      <c r="I27" s="1">
        <v>39</v>
      </c>
      <c r="J27" s="1">
        <v>39</v>
      </c>
      <c r="K27" s="1">
        <v>39</v>
      </c>
      <c r="L27" s="1">
        <v>21</v>
      </c>
      <c r="M27" s="1">
        <f t="shared" si="0"/>
        <v>14.829750000000001</v>
      </c>
      <c r="N27" s="8">
        <v>21</v>
      </c>
      <c r="O27" s="69">
        <v>7000</v>
      </c>
      <c r="P27" s="70">
        <f>Table22456[[#This Row],[PEMBULATAN]]*O27</f>
        <v>147000</v>
      </c>
    </row>
    <row r="28" spans="1:16" ht="24" customHeight="1" x14ac:dyDescent="0.2">
      <c r="A28" s="15"/>
      <c r="B28" s="15"/>
      <c r="C28" s="9" t="s">
        <v>172</v>
      </c>
      <c r="D28" s="1" t="s">
        <v>3</v>
      </c>
      <c r="E28" s="13">
        <v>44401</v>
      </c>
      <c r="F28" s="118" t="s">
        <v>103</v>
      </c>
      <c r="G28" s="1" t="s">
        <v>104</v>
      </c>
      <c r="H28" s="10" t="s">
        <v>105</v>
      </c>
      <c r="I28" s="1">
        <v>39</v>
      </c>
      <c r="J28" s="1">
        <v>39</v>
      </c>
      <c r="K28" s="1">
        <v>39</v>
      </c>
      <c r="L28" s="1">
        <v>21</v>
      </c>
      <c r="M28" s="1">
        <f t="shared" si="0"/>
        <v>14.829750000000001</v>
      </c>
      <c r="N28" s="8">
        <v>21</v>
      </c>
      <c r="O28" s="69">
        <v>7000</v>
      </c>
      <c r="P28" s="70">
        <f>Table22456[[#This Row],[PEMBULATAN]]*O28</f>
        <v>147000</v>
      </c>
    </row>
    <row r="29" spans="1:16" ht="24" customHeight="1" x14ac:dyDescent="0.2">
      <c r="A29" s="15"/>
      <c r="B29" s="16"/>
      <c r="C29" s="9" t="s">
        <v>173</v>
      </c>
      <c r="D29" s="1" t="s">
        <v>3</v>
      </c>
      <c r="E29" s="13">
        <v>44401</v>
      </c>
      <c r="F29" s="118" t="s">
        <v>103</v>
      </c>
      <c r="G29" s="1" t="s">
        <v>104</v>
      </c>
      <c r="H29" s="10" t="s">
        <v>105</v>
      </c>
      <c r="I29" s="1">
        <v>39</v>
      </c>
      <c r="J29" s="1">
        <v>39</v>
      </c>
      <c r="K29" s="1">
        <v>39</v>
      </c>
      <c r="L29" s="1">
        <v>21</v>
      </c>
      <c r="M29" s="1">
        <f t="shared" si="0"/>
        <v>14.829750000000001</v>
      </c>
      <c r="N29" s="8">
        <v>21</v>
      </c>
      <c r="O29" s="69">
        <v>7000</v>
      </c>
      <c r="P29" s="70">
        <f>Table22456[[#This Row],[PEMBULATAN]]*O29</f>
        <v>147000</v>
      </c>
    </row>
    <row r="30" spans="1:16" ht="24" customHeight="1" x14ac:dyDescent="0.2">
      <c r="A30" s="15"/>
      <c r="B30" s="15" t="s">
        <v>174</v>
      </c>
      <c r="C30" s="9" t="s">
        <v>175</v>
      </c>
      <c r="D30" s="1" t="s">
        <v>3</v>
      </c>
      <c r="E30" s="13">
        <v>44401</v>
      </c>
      <c r="F30" s="118" t="s">
        <v>103</v>
      </c>
      <c r="G30" s="1" t="s">
        <v>104</v>
      </c>
      <c r="H30" s="10" t="s">
        <v>105</v>
      </c>
      <c r="I30" s="1">
        <v>40</v>
      </c>
      <c r="J30" s="1">
        <v>40</v>
      </c>
      <c r="K30" s="1">
        <v>36</v>
      </c>
      <c r="L30" s="1">
        <v>10</v>
      </c>
      <c r="M30" s="1">
        <f t="shared" si="0"/>
        <v>14.4</v>
      </c>
      <c r="N30" s="8">
        <v>15</v>
      </c>
      <c r="O30" s="69">
        <v>7000</v>
      </c>
      <c r="P30" s="70">
        <f>Table22456[[#This Row],[PEMBULATAN]]*O30</f>
        <v>105000</v>
      </c>
    </row>
    <row r="31" spans="1:16" ht="24" customHeight="1" x14ac:dyDescent="0.2">
      <c r="A31" s="15"/>
      <c r="B31" s="15"/>
      <c r="C31" s="9" t="s">
        <v>176</v>
      </c>
      <c r="D31" s="1" t="s">
        <v>3</v>
      </c>
      <c r="E31" s="13">
        <v>44401</v>
      </c>
      <c r="F31" s="118" t="s">
        <v>103</v>
      </c>
      <c r="G31" s="1" t="s">
        <v>104</v>
      </c>
      <c r="H31" s="10" t="s">
        <v>105</v>
      </c>
      <c r="I31" s="1">
        <v>22</v>
      </c>
      <c r="J31" s="1">
        <v>20</v>
      </c>
      <c r="K31" s="1">
        <v>17</v>
      </c>
      <c r="L31" s="1">
        <v>4</v>
      </c>
      <c r="M31" s="1">
        <f t="shared" si="0"/>
        <v>1.87</v>
      </c>
      <c r="N31" s="8">
        <v>4</v>
      </c>
      <c r="O31" s="69">
        <v>7000</v>
      </c>
      <c r="P31" s="70">
        <f>Table22456[[#This Row],[PEMBULATAN]]*O31</f>
        <v>28000</v>
      </c>
    </row>
    <row r="32" spans="1:16" ht="24.75" customHeight="1" x14ac:dyDescent="0.2">
      <c r="A32" s="111" t="s">
        <v>35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3"/>
      <c r="M32" s="78">
        <f>SUBTOTAL(109,Table22456[KG
VOLUME])</f>
        <v>609.00424999999996</v>
      </c>
      <c r="N32" s="73">
        <f>SUM(N3:N31)</f>
        <v>693</v>
      </c>
      <c r="O32" s="114">
        <f>SUM(P3:P31)</f>
        <v>4851000</v>
      </c>
      <c r="P32" s="115"/>
    </row>
    <row r="33" spans="1:16" x14ac:dyDescent="0.2">
      <c r="A33" s="11"/>
      <c r="H33" s="68"/>
      <c r="N33" s="67" t="s">
        <v>36</v>
      </c>
      <c r="P33" s="74">
        <f>O32*1%</f>
        <v>48510</v>
      </c>
    </row>
    <row r="34" spans="1:16" x14ac:dyDescent="0.2">
      <c r="A34" s="11"/>
      <c r="B34" s="61" t="s">
        <v>49</v>
      </c>
      <c r="C34" s="60"/>
      <c r="D34" s="62" t="s">
        <v>50</v>
      </c>
      <c r="H34" s="68"/>
      <c r="N34" s="67" t="s">
        <v>37</v>
      </c>
      <c r="P34" s="76">
        <v>0</v>
      </c>
    </row>
    <row r="35" spans="1:16" ht="15.75" thickBot="1" x14ac:dyDescent="0.25">
      <c r="A35" s="11"/>
      <c r="H35" s="68"/>
      <c r="N35" s="67" t="s">
        <v>38</v>
      </c>
      <c r="P35" s="76">
        <v>0</v>
      </c>
    </row>
    <row r="36" spans="1:16" x14ac:dyDescent="0.2">
      <c r="A36" s="11"/>
      <c r="H36" s="68"/>
      <c r="N36" s="71" t="s">
        <v>39</v>
      </c>
      <c r="O36" s="72"/>
      <c r="P36" s="75">
        <f>O32+P33</f>
        <v>4899510</v>
      </c>
    </row>
    <row r="37" spans="1:16" x14ac:dyDescent="0.2">
      <c r="B37" s="61"/>
      <c r="C37" s="60"/>
      <c r="D37" s="62"/>
    </row>
    <row r="39" spans="1:16" x14ac:dyDescent="0.2">
      <c r="A39" s="11"/>
      <c r="H39" s="68"/>
      <c r="O39" s="63"/>
      <c r="P39" s="77"/>
    </row>
    <row r="40" spans="1:16" x14ac:dyDescent="0.2">
      <c r="A40" s="11"/>
      <c r="H40" s="68"/>
      <c r="P40" s="77"/>
    </row>
    <row r="41" spans="1:16" x14ac:dyDescent="0.2">
      <c r="A41" s="11"/>
      <c r="H41" s="68"/>
      <c r="P41" s="77"/>
    </row>
    <row r="42" spans="1:16" x14ac:dyDescent="0.2">
      <c r="A42" s="11"/>
      <c r="H42" s="68"/>
      <c r="P42" s="77"/>
    </row>
    <row r="43" spans="1:16" x14ac:dyDescent="0.2">
      <c r="A43" s="11"/>
      <c r="H43" s="68"/>
    </row>
  </sheetData>
  <mergeCells count="3">
    <mergeCell ref="A3:A4"/>
    <mergeCell ref="A32:L32"/>
    <mergeCell ref="O32:P32"/>
  </mergeCells>
  <conditionalFormatting sqref="B3">
    <cfRule type="duplicateValues" dxfId="90" priority="1"/>
  </conditionalFormatting>
  <printOptions horizontalCentered="1"/>
  <pageMargins left="0.31496062992125984" right="0.31496062992125984" top="0.59055118110236227" bottom="0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110" zoomScaleNormal="110" workbookViewId="0">
      <pane xSplit="3" ySplit="2" topLeftCell="D8" activePane="bottomRight" state="frozen"/>
      <selection pane="topRight" activeCell="B1" sqref="B1"/>
      <selection pane="bottomLeft" activeCell="A3" sqref="A3"/>
      <selection pane="bottomRight" activeCell="L12" sqref="L12"/>
    </sheetView>
  </sheetViews>
  <sheetFormatPr defaultRowHeight="15" x14ac:dyDescent="0.2"/>
  <cols>
    <col min="1" max="1" width="7.7109375" style="4" customWidth="1"/>
    <col min="2" max="2" width="19.7109375" style="2" customWidth="1"/>
    <col min="3" max="3" width="15" style="2" customWidth="1"/>
    <col min="4" max="4" width="9.42578125" style="3" customWidth="1"/>
    <col min="5" max="5" width="9" style="12" customWidth="1"/>
    <col min="6" max="6" width="9.28515625" style="3" customWidth="1"/>
    <col min="7" max="7" width="9.7109375" style="3" customWidth="1"/>
    <col min="8" max="8" width="14.85546875" style="6" customWidth="1"/>
    <col min="9" max="11" width="4" style="3" customWidth="1"/>
    <col min="12" max="12" width="5.42578125" style="3" customWidth="1"/>
    <col min="13" max="13" width="8.42578125" style="3" customWidth="1"/>
    <col min="14" max="14" width="13.85546875" style="17" customWidth="1"/>
    <col min="15" max="15" width="7.7109375" style="17" customWidth="1"/>
    <col min="16" max="16" width="13.140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56</v>
      </c>
      <c r="N2" s="66" t="s">
        <v>7</v>
      </c>
      <c r="O2" s="66" t="s">
        <v>54</v>
      </c>
      <c r="P2" s="66" t="s">
        <v>55</v>
      </c>
    </row>
    <row r="3" spans="1:16" ht="24" customHeight="1" x14ac:dyDescent="0.2">
      <c r="A3" s="110" t="s">
        <v>85</v>
      </c>
      <c r="B3" s="14" t="s">
        <v>57</v>
      </c>
      <c r="C3" s="9" t="s">
        <v>58</v>
      </c>
      <c r="D3" s="1" t="s">
        <v>3</v>
      </c>
      <c r="E3" s="13">
        <v>44402</v>
      </c>
      <c r="F3" s="118" t="s">
        <v>72</v>
      </c>
      <c r="G3" s="118" t="s">
        <v>73</v>
      </c>
      <c r="H3" s="119" t="s">
        <v>177</v>
      </c>
      <c r="I3" s="1">
        <v>30</v>
      </c>
      <c r="J3" s="1">
        <v>40</v>
      </c>
      <c r="K3" s="1">
        <v>18</v>
      </c>
      <c r="L3" s="1">
        <v>6</v>
      </c>
      <c r="M3" s="1">
        <f t="shared" ref="M3:M18" si="0">I3*J3*K3/4000</f>
        <v>5.4</v>
      </c>
      <c r="N3" s="8">
        <v>6</v>
      </c>
      <c r="O3" s="69">
        <v>7000</v>
      </c>
      <c r="P3" s="70">
        <f>Table224567[[#This Row],[PEMBULATAN]]*O3</f>
        <v>42000</v>
      </c>
    </row>
    <row r="4" spans="1:16" ht="24" customHeight="1" x14ac:dyDescent="0.2">
      <c r="A4" s="110"/>
      <c r="B4" s="15"/>
      <c r="C4" s="9" t="s">
        <v>59</v>
      </c>
      <c r="D4" s="1" t="s">
        <v>3</v>
      </c>
      <c r="E4" s="13">
        <v>44402</v>
      </c>
      <c r="F4" s="118" t="s">
        <v>72</v>
      </c>
      <c r="G4" s="118" t="s">
        <v>73</v>
      </c>
      <c r="H4" s="119" t="s">
        <v>177</v>
      </c>
      <c r="I4" s="1">
        <v>58</v>
      </c>
      <c r="J4" s="1">
        <v>59</v>
      </c>
      <c r="K4" s="1">
        <v>12</v>
      </c>
      <c r="L4" s="1">
        <v>18</v>
      </c>
      <c r="M4" s="1">
        <f t="shared" si="0"/>
        <v>10.266</v>
      </c>
      <c r="N4" s="8">
        <v>18</v>
      </c>
      <c r="O4" s="69">
        <v>7000</v>
      </c>
      <c r="P4" s="70">
        <f>Table224567[[#This Row],[PEMBULATAN]]*O4</f>
        <v>126000</v>
      </c>
    </row>
    <row r="5" spans="1:16" ht="24" customHeight="1" x14ac:dyDescent="0.2">
      <c r="A5" s="15"/>
      <c r="B5" s="15"/>
      <c r="C5" s="9" t="s">
        <v>60</v>
      </c>
      <c r="D5" s="1" t="s">
        <v>3</v>
      </c>
      <c r="E5" s="13">
        <v>44402</v>
      </c>
      <c r="F5" s="118" t="s">
        <v>72</v>
      </c>
      <c r="G5" s="118" t="s">
        <v>73</v>
      </c>
      <c r="H5" s="119" t="s">
        <v>177</v>
      </c>
      <c r="I5" s="1">
        <v>80</v>
      </c>
      <c r="J5" s="1">
        <v>30</v>
      </c>
      <c r="K5" s="1">
        <v>46</v>
      </c>
      <c r="L5" s="1">
        <v>13</v>
      </c>
      <c r="M5" s="1">
        <f t="shared" si="0"/>
        <v>27.6</v>
      </c>
      <c r="N5" s="8">
        <v>28</v>
      </c>
      <c r="O5" s="69">
        <v>7000</v>
      </c>
      <c r="P5" s="70">
        <f>Table224567[[#This Row],[PEMBULATAN]]*O5</f>
        <v>196000</v>
      </c>
    </row>
    <row r="6" spans="1:16" ht="24" customHeight="1" x14ac:dyDescent="0.2">
      <c r="A6" s="15"/>
      <c r="B6" s="15"/>
      <c r="C6" s="9" t="s">
        <v>61</v>
      </c>
      <c r="D6" s="1" t="s">
        <v>3</v>
      </c>
      <c r="E6" s="13">
        <v>44402</v>
      </c>
      <c r="F6" s="118" t="s">
        <v>72</v>
      </c>
      <c r="G6" s="118" t="s">
        <v>73</v>
      </c>
      <c r="H6" s="119" t="s">
        <v>177</v>
      </c>
      <c r="I6" s="1">
        <v>70</v>
      </c>
      <c r="J6" s="1">
        <v>46</v>
      </c>
      <c r="K6" s="1">
        <v>21</v>
      </c>
      <c r="L6" s="1">
        <v>8</v>
      </c>
      <c r="M6" s="1">
        <f t="shared" si="0"/>
        <v>16.905000000000001</v>
      </c>
      <c r="N6" s="8">
        <v>17</v>
      </c>
      <c r="O6" s="69">
        <v>7000</v>
      </c>
      <c r="P6" s="70">
        <f>Table224567[[#This Row],[PEMBULATAN]]*O6</f>
        <v>119000</v>
      </c>
    </row>
    <row r="7" spans="1:16" ht="24" customHeight="1" x14ac:dyDescent="0.2">
      <c r="A7" s="15"/>
      <c r="B7" s="15"/>
      <c r="C7" s="80" t="s">
        <v>62</v>
      </c>
      <c r="D7" s="18" t="s">
        <v>3</v>
      </c>
      <c r="E7" s="13">
        <v>44402</v>
      </c>
      <c r="F7" s="118" t="s">
        <v>72</v>
      </c>
      <c r="G7" s="118" t="s">
        <v>73</v>
      </c>
      <c r="H7" s="120" t="s">
        <v>177</v>
      </c>
      <c r="I7" s="18">
        <v>40</v>
      </c>
      <c r="J7" s="18">
        <v>62</v>
      </c>
      <c r="K7" s="18">
        <v>90</v>
      </c>
      <c r="L7" s="18">
        <v>30</v>
      </c>
      <c r="M7" s="18">
        <f t="shared" si="0"/>
        <v>55.8</v>
      </c>
      <c r="N7" s="79">
        <v>56</v>
      </c>
      <c r="O7" s="69">
        <v>7000</v>
      </c>
      <c r="P7" s="70">
        <f>Table224567[[#This Row],[PEMBULATAN]]*O7</f>
        <v>392000</v>
      </c>
    </row>
    <row r="8" spans="1:16" ht="24" customHeight="1" x14ac:dyDescent="0.2">
      <c r="A8" s="15"/>
      <c r="B8" s="15"/>
      <c r="C8" s="80" t="s">
        <v>63</v>
      </c>
      <c r="D8" s="18" t="s">
        <v>3</v>
      </c>
      <c r="E8" s="13">
        <v>44402</v>
      </c>
      <c r="F8" s="118" t="s">
        <v>72</v>
      </c>
      <c r="G8" s="118" t="s">
        <v>73</v>
      </c>
      <c r="H8" s="120" t="s">
        <v>177</v>
      </c>
      <c r="I8" s="18">
        <v>35</v>
      </c>
      <c r="J8" s="18">
        <v>38</v>
      </c>
      <c r="K8" s="18">
        <v>18</v>
      </c>
      <c r="L8" s="18">
        <v>5</v>
      </c>
      <c r="M8" s="18">
        <f t="shared" si="0"/>
        <v>5.9850000000000003</v>
      </c>
      <c r="N8" s="79">
        <v>6</v>
      </c>
      <c r="O8" s="69">
        <v>7000</v>
      </c>
      <c r="P8" s="70">
        <f>Table224567[[#This Row],[PEMBULATAN]]*O8</f>
        <v>42000</v>
      </c>
    </row>
    <row r="9" spans="1:16" ht="24" customHeight="1" x14ac:dyDescent="0.2">
      <c r="A9" s="15"/>
      <c r="B9" s="15"/>
      <c r="C9" s="80" t="s">
        <v>64</v>
      </c>
      <c r="D9" s="18" t="s">
        <v>3</v>
      </c>
      <c r="E9" s="13">
        <v>44402</v>
      </c>
      <c r="F9" s="118" t="s">
        <v>72</v>
      </c>
      <c r="G9" s="118" t="s">
        <v>73</v>
      </c>
      <c r="H9" s="120" t="s">
        <v>177</v>
      </c>
      <c r="I9" s="18">
        <v>88</v>
      </c>
      <c r="J9" s="18">
        <v>60</v>
      </c>
      <c r="K9" s="18">
        <v>10</v>
      </c>
      <c r="L9" s="18">
        <v>6</v>
      </c>
      <c r="M9" s="18">
        <f t="shared" si="0"/>
        <v>13.2</v>
      </c>
      <c r="N9" s="79">
        <v>13</v>
      </c>
      <c r="O9" s="69">
        <v>7000</v>
      </c>
      <c r="P9" s="70">
        <f>Table224567[[#This Row],[PEMBULATAN]]*O9</f>
        <v>91000</v>
      </c>
    </row>
    <row r="10" spans="1:16" ht="24" customHeight="1" x14ac:dyDescent="0.2">
      <c r="A10" s="15"/>
      <c r="B10" s="15"/>
      <c r="C10" s="80" t="s">
        <v>65</v>
      </c>
      <c r="D10" s="18" t="s">
        <v>3</v>
      </c>
      <c r="E10" s="13">
        <v>44402</v>
      </c>
      <c r="F10" s="118" t="s">
        <v>72</v>
      </c>
      <c r="G10" s="118" t="s">
        <v>73</v>
      </c>
      <c r="H10" s="120" t="s">
        <v>177</v>
      </c>
      <c r="I10" s="18">
        <v>60</v>
      </c>
      <c r="J10" s="18">
        <v>34</v>
      </c>
      <c r="K10" s="18">
        <v>20</v>
      </c>
      <c r="L10" s="18">
        <v>8</v>
      </c>
      <c r="M10" s="18">
        <f t="shared" si="0"/>
        <v>10.199999999999999</v>
      </c>
      <c r="N10" s="79">
        <v>10</v>
      </c>
      <c r="O10" s="69">
        <v>7000</v>
      </c>
      <c r="P10" s="70">
        <f>Table224567[[#This Row],[PEMBULATAN]]*O10</f>
        <v>70000</v>
      </c>
    </row>
    <row r="11" spans="1:16" ht="24" customHeight="1" x14ac:dyDescent="0.2">
      <c r="A11" s="15"/>
      <c r="B11" s="15"/>
      <c r="C11" s="80" t="s">
        <v>66</v>
      </c>
      <c r="D11" s="18" t="s">
        <v>3</v>
      </c>
      <c r="E11" s="13">
        <v>44402</v>
      </c>
      <c r="F11" s="118" t="s">
        <v>72</v>
      </c>
      <c r="G11" s="118" t="s">
        <v>73</v>
      </c>
      <c r="H11" s="120" t="s">
        <v>177</v>
      </c>
      <c r="I11" s="18">
        <v>35</v>
      </c>
      <c r="J11" s="18">
        <v>30</v>
      </c>
      <c r="K11" s="18">
        <v>30</v>
      </c>
      <c r="L11" s="18">
        <v>11</v>
      </c>
      <c r="M11" s="18">
        <f t="shared" si="0"/>
        <v>7.875</v>
      </c>
      <c r="N11" s="79">
        <v>11</v>
      </c>
      <c r="O11" s="69">
        <v>7000</v>
      </c>
      <c r="P11" s="70">
        <f>Table224567[[#This Row],[PEMBULATAN]]*O11</f>
        <v>77000</v>
      </c>
    </row>
    <row r="12" spans="1:16" ht="24" customHeight="1" x14ac:dyDescent="0.2">
      <c r="A12" s="15"/>
      <c r="B12" s="15"/>
      <c r="C12" s="80" t="s">
        <v>67</v>
      </c>
      <c r="D12" s="18" t="s">
        <v>3</v>
      </c>
      <c r="E12" s="13">
        <v>44402</v>
      </c>
      <c r="F12" s="118" t="s">
        <v>72</v>
      </c>
      <c r="G12" s="118" t="s">
        <v>73</v>
      </c>
      <c r="H12" s="120" t="s">
        <v>177</v>
      </c>
      <c r="I12" s="18">
        <v>44</v>
      </c>
      <c r="J12" s="18">
        <v>70</v>
      </c>
      <c r="K12" s="18">
        <v>60</v>
      </c>
      <c r="L12" s="18">
        <v>30</v>
      </c>
      <c r="M12" s="18">
        <f t="shared" si="0"/>
        <v>46.2</v>
      </c>
      <c r="N12" s="79">
        <v>46</v>
      </c>
      <c r="O12" s="69">
        <v>7000</v>
      </c>
      <c r="P12" s="70">
        <f>Table224567[[#This Row],[PEMBULATAN]]*O12</f>
        <v>322000</v>
      </c>
    </row>
    <row r="13" spans="1:16" ht="24" customHeight="1" x14ac:dyDescent="0.2">
      <c r="A13" s="15"/>
      <c r="B13" s="15"/>
      <c r="C13" s="80" t="s">
        <v>68</v>
      </c>
      <c r="D13" s="18" t="s">
        <v>3</v>
      </c>
      <c r="E13" s="13">
        <v>44402</v>
      </c>
      <c r="F13" s="118" t="s">
        <v>72</v>
      </c>
      <c r="G13" s="118" t="s">
        <v>73</v>
      </c>
      <c r="H13" s="120" t="s">
        <v>177</v>
      </c>
      <c r="I13" s="18">
        <v>53</v>
      </c>
      <c r="J13" s="18">
        <v>43</v>
      </c>
      <c r="K13" s="18">
        <v>26</v>
      </c>
      <c r="L13" s="18">
        <v>13</v>
      </c>
      <c r="M13" s="18">
        <f t="shared" si="0"/>
        <v>14.813499999999999</v>
      </c>
      <c r="N13" s="79">
        <v>15</v>
      </c>
      <c r="O13" s="69">
        <v>7000</v>
      </c>
      <c r="P13" s="70">
        <f>Table224567[[#This Row],[PEMBULATAN]]*O13</f>
        <v>105000</v>
      </c>
    </row>
    <row r="14" spans="1:16" ht="24" customHeight="1" x14ac:dyDescent="0.2">
      <c r="A14" s="15"/>
      <c r="B14" s="15"/>
      <c r="C14" s="9" t="s">
        <v>69</v>
      </c>
      <c r="D14" s="1" t="s">
        <v>3</v>
      </c>
      <c r="E14" s="13">
        <v>44402</v>
      </c>
      <c r="F14" s="118" t="s">
        <v>72</v>
      </c>
      <c r="G14" s="118" t="s">
        <v>73</v>
      </c>
      <c r="H14" s="119" t="s">
        <v>177</v>
      </c>
      <c r="I14" s="1">
        <v>104</v>
      </c>
      <c r="J14" s="1">
        <v>27</v>
      </c>
      <c r="K14" s="1">
        <v>15</v>
      </c>
      <c r="L14" s="1">
        <v>6</v>
      </c>
      <c r="M14" s="1">
        <f t="shared" si="0"/>
        <v>10.53</v>
      </c>
      <c r="N14" s="8">
        <v>11</v>
      </c>
      <c r="O14" s="69">
        <v>7000</v>
      </c>
      <c r="P14" s="70">
        <f>Table224567[[#This Row],[PEMBULATAN]]*O14</f>
        <v>77000</v>
      </c>
    </row>
    <row r="15" spans="1:16" ht="24" customHeight="1" x14ac:dyDescent="0.2">
      <c r="A15" s="15"/>
      <c r="B15" s="15"/>
      <c r="C15" s="9" t="s">
        <v>70</v>
      </c>
      <c r="D15" s="1" t="s">
        <v>3</v>
      </c>
      <c r="E15" s="13">
        <v>44402</v>
      </c>
      <c r="F15" s="118" t="s">
        <v>72</v>
      </c>
      <c r="G15" s="118" t="s">
        <v>73</v>
      </c>
      <c r="H15" s="119" t="s">
        <v>177</v>
      </c>
      <c r="I15" s="1">
        <v>48</v>
      </c>
      <c r="J15" s="1">
        <v>33</v>
      </c>
      <c r="K15" s="1">
        <v>23</v>
      </c>
      <c r="L15" s="1">
        <v>5</v>
      </c>
      <c r="M15" s="1">
        <f t="shared" si="0"/>
        <v>9.1080000000000005</v>
      </c>
      <c r="N15" s="8">
        <v>9</v>
      </c>
      <c r="O15" s="69">
        <v>7000</v>
      </c>
      <c r="P15" s="70">
        <f>Table224567[[#This Row],[PEMBULATAN]]*O15</f>
        <v>63000</v>
      </c>
    </row>
    <row r="16" spans="1:16" ht="24" customHeight="1" x14ac:dyDescent="0.2">
      <c r="A16" s="15"/>
      <c r="B16" s="16"/>
      <c r="C16" s="9" t="s">
        <v>71</v>
      </c>
      <c r="D16" s="1" t="s">
        <v>3</v>
      </c>
      <c r="E16" s="13">
        <v>44402</v>
      </c>
      <c r="F16" s="118" t="s">
        <v>72</v>
      </c>
      <c r="G16" s="118" t="s">
        <v>73</v>
      </c>
      <c r="H16" s="119" t="s">
        <v>177</v>
      </c>
      <c r="I16" s="1">
        <v>44</v>
      </c>
      <c r="J16" s="1">
        <v>30</v>
      </c>
      <c r="K16" s="1">
        <v>28</v>
      </c>
      <c r="L16" s="1">
        <v>5</v>
      </c>
      <c r="M16" s="1">
        <f t="shared" si="0"/>
        <v>9.24</v>
      </c>
      <c r="N16" s="8">
        <v>9</v>
      </c>
      <c r="O16" s="69">
        <v>7000</v>
      </c>
      <c r="P16" s="70">
        <f>Table224567[[#This Row],[PEMBULATAN]]*O16</f>
        <v>63000</v>
      </c>
    </row>
    <row r="17" spans="1:16" ht="24" customHeight="1" x14ac:dyDescent="0.2">
      <c r="A17" s="15"/>
      <c r="B17" s="16" t="s">
        <v>74</v>
      </c>
      <c r="C17" s="9" t="s">
        <v>75</v>
      </c>
      <c r="D17" s="1" t="s">
        <v>3</v>
      </c>
      <c r="E17" s="13">
        <v>44402</v>
      </c>
      <c r="F17" s="118" t="s">
        <v>72</v>
      </c>
      <c r="G17" s="118" t="s">
        <v>73</v>
      </c>
      <c r="H17" s="119" t="s">
        <v>177</v>
      </c>
      <c r="I17" s="1">
        <v>47</v>
      </c>
      <c r="J17" s="1">
        <v>49</v>
      </c>
      <c r="K17" s="1">
        <v>80</v>
      </c>
      <c r="L17" s="1">
        <v>9</v>
      </c>
      <c r="M17" s="1">
        <f t="shared" si="0"/>
        <v>46.06</v>
      </c>
      <c r="N17" s="8">
        <v>46</v>
      </c>
      <c r="O17" s="69">
        <v>7000</v>
      </c>
      <c r="P17" s="70">
        <f>Table224567[[#This Row],[PEMBULATAN]]*O17</f>
        <v>322000</v>
      </c>
    </row>
    <row r="18" spans="1:16" ht="24" customHeight="1" x14ac:dyDescent="0.2">
      <c r="A18" s="15"/>
      <c r="B18" s="15" t="s">
        <v>76</v>
      </c>
      <c r="C18" s="9" t="s">
        <v>77</v>
      </c>
      <c r="D18" s="1" t="s">
        <v>3</v>
      </c>
      <c r="E18" s="13">
        <v>44402</v>
      </c>
      <c r="F18" s="118" t="s">
        <v>72</v>
      </c>
      <c r="G18" s="118" t="s">
        <v>73</v>
      </c>
      <c r="H18" s="119" t="s">
        <v>177</v>
      </c>
      <c r="I18" s="1">
        <v>46</v>
      </c>
      <c r="J18" s="1">
        <v>50</v>
      </c>
      <c r="K18" s="1">
        <v>65</v>
      </c>
      <c r="L18" s="1">
        <v>20</v>
      </c>
      <c r="M18" s="1">
        <f t="shared" si="0"/>
        <v>37.375</v>
      </c>
      <c r="N18" s="8">
        <v>38</v>
      </c>
      <c r="O18" s="69">
        <v>7000</v>
      </c>
      <c r="P18" s="70">
        <f>Table224567[[#This Row],[PEMBULATAN]]*O18</f>
        <v>266000</v>
      </c>
    </row>
    <row r="19" spans="1:16" ht="24.75" customHeight="1" x14ac:dyDescent="0.2">
      <c r="A19" s="111" t="s">
        <v>35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3"/>
      <c r="M19" s="78">
        <f>SUBTOTAL(109,Table224567[KG
VOLUME])</f>
        <v>326.5575</v>
      </c>
      <c r="N19" s="73">
        <f>SUM(N3:N18)</f>
        <v>339</v>
      </c>
      <c r="O19" s="114">
        <f>SUM(P3:P18)</f>
        <v>2373000</v>
      </c>
      <c r="P19" s="115"/>
    </row>
    <row r="20" spans="1:16" x14ac:dyDescent="0.2">
      <c r="A20" s="11"/>
      <c r="H20" s="68"/>
      <c r="N20" s="67" t="s">
        <v>36</v>
      </c>
      <c r="P20" s="74">
        <f>O19*1%</f>
        <v>23730</v>
      </c>
    </row>
    <row r="21" spans="1:16" x14ac:dyDescent="0.2">
      <c r="A21" s="11"/>
      <c r="B21" s="61" t="s">
        <v>49</v>
      </c>
      <c r="C21" s="60"/>
      <c r="D21" s="62" t="s">
        <v>50</v>
      </c>
      <c r="H21" s="68"/>
      <c r="N21" s="67" t="s">
        <v>37</v>
      </c>
      <c r="P21" s="76">
        <v>0</v>
      </c>
    </row>
    <row r="22" spans="1:16" ht="15.75" thickBot="1" x14ac:dyDescent="0.25">
      <c r="A22" s="11"/>
      <c r="H22" s="68"/>
      <c r="N22" s="67" t="s">
        <v>38</v>
      </c>
      <c r="P22" s="76">
        <v>0</v>
      </c>
    </row>
    <row r="23" spans="1:16" x14ac:dyDescent="0.2">
      <c r="A23" s="11"/>
      <c r="H23" s="68"/>
      <c r="N23" s="71" t="s">
        <v>39</v>
      </c>
      <c r="O23" s="72"/>
      <c r="P23" s="75">
        <f>O19+P20</f>
        <v>2396730</v>
      </c>
    </row>
    <row r="24" spans="1:16" x14ac:dyDescent="0.2">
      <c r="B24" s="61"/>
      <c r="C24" s="60"/>
      <c r="D24" s="62"/>
    </row>
    <row r="26" spans="1:16" x14ac:dyDescent="0.2">
      <c r="A26" s="11"/>
      <c r="H26" s="68"/>
      <c r="O26" s="63"/>
      <c r="P26" s="77"/>
    </row>
    <row r="27" spans="1:16" x14ac:dyDescent="0.2">
      <c r="A27" s="11"/>
      <c r="H27" s="68"/>
      <c r="P27" s="77"/>
    </row>
    <row r="28" spans="1:16" x14ac:dyDescent="0.2">
      <c r="A28" s="11"/>
      <c r="H28" s="68"/>
      <c r="P28" s="77"/>
    </row>
    <row r="29" spans="1:16" x14ac:dyDescent="0.2">
      <c r="A29" s="11"/>
      <c r="H29" s="68"/>
      <c r="P29" s="77"/>
    </row>
    <row r="30" spans="1:16" x14ac:dyDescent="0.2">
      <c r="A30" s="11"/>
      <c r="H30" s="68"/>
    </row>
  </sheetData>
  <mergeCells count="3">
    <mergeCell ref="A3:A4"/>
    <mergeCell ref="A19:L19"/>
    <mergeCell ref="O19:P19"/>
  </mergeCells>
  <conditionalFormatting sqref="B3">
    <cfRule type="duplicateValues" dxfId="77" priority="1"/>
  </conditionalFormatting>
  <printOptions horizontalCentered="1"/>
  <pageMargins left="0.31496062992125984" right="0.31496062992125984" top="0.59055118110236227" bottom="0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defaultRowHeight="15" x14ac:dyDescent="0.2"/>
  <cols>
    <col min="1" max="1" width="7.7109375" style="4" customWidth="1"/>
    <col min="2" max="2" width="19.7109375" style="2" customWidth="1"/>
    <col min="3" max="3" width="15" style="2" customWidth="1"/>
    <col min="4" max="4" width="9.42578125" style="3" customWidth="1"/>
    <col min="5" max="5" width="9" style="12" customWidth="1"/>
    <col min="6" max="6" width="11.42578125" style="3" customWidth="1"/>
    <col min="7" max="7" width="10.42578125" style="3" customWidth="1"/>
    <col min="8" max="8" width="14.5703125" style="6" customWidth="1"/>
    <col min="9" max="11" width="4" style="3" customWidth="1"/>
    <col min="12" max="12" width="5.42578125" style="3" customWidth="1"/>
    <col min="13" max="13" width="8.42578125" style="3" customWidth="1"/>
    <col min="14" max="14" width="13.85546875" style="17" customWidth="1"/>
    <col min="15" max="15" width="7.7109375" style="17" customWidth="1"/>
    <col min="16" max="16" width="13.140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56</v>
      </c>
      <c r="N2" s="66" t="s">
        <v>7</v>
      </c>
      <c r="O2" s="66" t="s">
        <v>54</v>
      </c>
      <c r="P2" s="66" t="s">
        <v>55</v>
      </c>
    </row>
    <row r="3" spans="1:16" ht="24" customHeight="1" x14ac:dyDescent="0.2">
      <c r="A3" s="110" t="s">
        <v>86</v>
      </c>
      <c r="B3" s="14" t="s">
        <v>178</v>
      </c>
      <c r="C3" s="9" t="s">
        <v>179</v>
      </c>
      <c r="D3" s="1" t="s">
        <v>3</v>
      </c>
      <c r="E3" s="13">
        <v>44403</v>
      </c>
      <c r="F3" s="9" t="s">
        <v>72</v>
      </c>
      <c r="G3" s="1" t="s">
        <v>73</v>
      </c>
      <c r="H3" s="119" t="s">
        <v>177</v>
      </c>
      <c r="I3" s="1">
        <v>48</v>
      </c>
      <c r="J3" s="1">
        <v>26</v>
      </c>
      <c r="K3" s="1">
        <v>50</v>
      </c>
      <c r="L3" s="1">
        <v>10</v>
      </c>
      <c r="M3" s="1">
        <f t="shared" ref="M3:M14" si="0">I3*J3*K3/4000</f>
        <v>15.6</v>
      </c>
      <c r="N3" s="8">
        <v>16</v>
      </c>
      <c r="O3" s="69">
        <v>7000</v>
      </c>
      <c r="P3" s="70">
        <f>Table2245678[[#This Row],[PEMBULATAN]]*O3</f>
        <v>112000</v>
      </c>
    </row>
    <row r="4" spans="1:16" ht="24" customHeight="1" x14ac:dyDescent="0.2">
      <c r="A4" s="110"/>
      <c r="B4" s="15"/>
      <c r="C4" s="9" t="s">
        <v>180</v>
      </c>
      <c r="D4" s="1" t="s">
        <v>3</v>
      </c>
      <c r="E4" s="13">
        <v>44403</v>
      </c>
      <c r="F4" s="9" t="s">
        <v>72</v>
      </c>
      <c r="G4" s="1" t="s">
        <v>73</v>
      </c>
      <c r="H4" s="119" t="s">
        <v>177</v>
      </c>
      <c r="I4" s="1">
        <v>64</v>
      </c>
      <c r="J4" s="1">
        <v>28</v>
      </c>
      <c r="K4" s="1">
        <v>30</v>
      </c>
      <c r="L4" s="1">
        <v>8</v>
      </c>
      <c r="M4" s="1">
        <f t="shared" si="0"/>
        <v>13.44</v>
      </c>
      <c r="N4" s="8">
        <v>14</v>
      </c>
      <c r="O4" s="69">
        <v>7000</v>
      </c>
      <c r="P4" s="70">
        <f>Table2245678[[#This Row],[PEMBULATAN]]*O4</f>
        <v>98000</v>
      </c>
    </row>
    <row r="5" spans="1:16" ht="24" customHeight="1" x14ac:dyDescent="0.2">
      <c r="A5" s="15"/>
      <c r="B5" s="15"/>
      <c r="C5" s="9" t="s">
        <v>181</v>
      </c>
      <c r="D5" s="1" t="s">
        <v>3</v>
      </c>
      <c r="E5" s="13">
        <v>44403</v>
      </c>
      <c r="F5" s="9" t="s">
        <v>72</v>
      </c>
      <c r="G5" s="1" t="s">
        <v>73</v>
      </c>
      <c r="H5" s="119" t="s">
        <v>177</v>
      </c>
      <c r="I5" s="1">
        <v>115</v>
      </c>
      <c r="J5" s="1">
        <v>56</v>
      </c>
      <c r="K5" s="1">
        <v>26</v>
      </c>
      <c r="L5" s="1">
        <v>28</v>
      </c>
      <c r="M5" s="1">
        <f t="shared" si="0"/>
        <v>41.86</v>
      </c>
      <c r="N5" s="8">
        <v>42</v>
      </c>
      <c r="O5" s="69">
        <v>7000</v>
      </c>
      <c r="P5" s="70">
        <f>Table2245678[[#This Row],[PEMBULATAN]]*O5</f>
        <v>294000</v>
      </c>
    </row>
    <row r="6" spans="1:16" ht="24" customHeight="1" x14ac:dyDescent="0.2">
      <c r="A6" s="15"/>
      <c r="B6" s="15"/>
      <c r="C6" s="9" t="s">
        <v>182</v>
      </c>
      <c r="D6" s="1" t="s">
        <v>3</v>
      </c>
      <c r="E6" s="13">
        <v>44403</v>
      </c>
      <c r="F6" s="9" t="s">
        <v>72</v>
      </c>
      <c r="G6" s="1" t="s">
        <v>73</v>
      </c>
      <c r="H6" s="119" t="s">
        <v>177</v>
      </c>
      <c r="I6" s="1">
        <v>38</v>
      </c>
      <c r="J6" s="1">
        <v>36</v>
      </c>
      <c r="K6" s="1">
        <v>20</v>
      </c>
      <c r="L6" s="1">
        <v>6</v>
      </c>
      <c r="M6" s="1">
        <f t="shared" si="0"/>
        <v>6.84</v>
      </c>
      <c r="N6" s="8">
        <v>7</v>
      </c>
      <c r="O6" s="69">
        <v>7000</v>
      </c>
      <c r="P6" s="70">
        <f>Table2245678[[#This Row],[PEMBULATAN]]*O6</f>
        <v>49000</v>
      </c>
    </row>
    <row r="7" spans="1:16" ht="24" customHeight="1" x14ac:dyDescent="0.2">
      <c r="A7" s="15"/>
      <c r="B7" s="15"/>
      <c r="C7" s="80" t="s">
        <v>183</v>
      </c>
      <c r="D7" s="18" t="s">
        <v>3</v>
      </c>
      <c r="E7" s="13">
        <v>44403</v>
      </c>
      <c r="F7" s="9" t="s">
        <v>72</v>
      </c>
      <c r="G7" s="1" t="s">
        <v>73</v>
      </c>
      <c r="H7" s="120" t="s">
        <v>177</v>
      </c>
      <c r="I7" s="18">
        <v>170</v>
      </c>
      <c r="J7" s="18">
        <v>50</v>
      </c>
      <c r="K7" s="18">
        <v>94</v>
      </c>
      <c r="L7" s="18">
        <v>50</v>
      </c>
      <c r="M7" s="18">
        <f t="shared" si="0"/>
        <v>199.75</v>
      </c>
      <c r="N7" s="79">
        <v>200</v>
      </c>
      <c r="O7" s="69">
        <v>7000</v>
      </c>
      <c r="P7" s="70">
        <f>Table2245678[[#This Row],[PEMBULATAN]]*O7</f>
        <v>1400000</v>
      </c>
    </row>
    <row r="8" spans="1:16" ht="24" customHeight="1" x14ac:dyDescent="0.2">
      <c r="A8" s="15"/>
      <c r="B8" s="15"/>
      <c r="C8" s="80" t="s">
        <v>184</v>
      </c>
      <c r="D8" s="18" t="s">
        <v>3</v>
      </c>
      <c r="E8" s="13">
        <v>44403</v>
      </c>
      <c r="F8" s="9" t="s">
        <v>72</v>
      </c>
      <c r="G8" s="1" t="s">
        <v>73</v>
      </c>
      <c r="H8" s="120" t="s">
        <v>177</v>
      </c>
      <c r="I8" s="18">
        <v>67</v>
      </c>
      <c r="J8" s="18">
        <v>40</v>
      </c>
      <c r="K8" s="18">
        <v>30</v>
      </c>
      <c r="L8" s="18">
        <v>25</v>
      </c>
      <c r="M8" s="18">
        <f t="shared" si="0"/>
        <v>20.100000000000001</v>
      </c>
      <c r="N8" s="79">
        <v>25</v>
      </c>
      <c r="O8" s="69">
        <v>7000</v>
      </c>
      <c r="P8" s="70">
        <f>Table2245678[[#This Row],[PEMBULATAN]]*O8</f>
        <v>175000</v>
      </c>
    </row>
    <row r="9" spans="1:16" ht="24" customHeight="1" x14ac:dyDescent="0.2">
      <c r="A9" s="15"/>
      <c r="B9" s="15"/>
      <c r="C9" s="80" t="s">
        <v>185</v>
      </c>
      <c r="D9" s="18" t="s">
        <v>3</v>
      </c>
      <c r="E9" s="13">
        <v>44403</v>
      </c>
      <c r="F9" s="9" t="s">
        <v>72</v>
      </c>
      <c r="G9" s="1" t="s">
        <v>73</v>
      </c>
      <c r="H9" s="120" t="s">
        <v>177</v>
      </c>
      <c r="I9" s="18">
        <v>56</v>
      </c>
      <c r="J9" s="18">
        <v>38</v>
      </c>
      <c r="K9" s="18">
        <v>20</v>
      </c>
      <c r="L9" s="18">
        <v>5</v>
      </c>
      <c r="M9" s="18">
        <f t="shared" si="0"/>
        <v>10.64</v>
      </c>
      <c r="N9" s="79">
        <v>11</v>
      </c>
      <c r="O9" s="69">
        <v>7000</v>
      </c>
      <c r="P9" s="70">
        <f>Table2245678[[#This Row],[PEMBULATAN]]*O9</f>
        <v>77000</v>
      </c>
    </row>
    <row r="10" spans="1:16" ht="24" customHeight="1" x14ac:dyDescent="0.2">
      <c r="A10" s="15"/>
      <c r="B10" s="15"/>
      <c r="C10" s="80" t="s">
        <v>186</v>
      </c>
      <c r="D10" s="18" t="s">
        <v>3</v>
      </c>
      <c r="E10" s="13">
        <v>44403</v>
      </c>
      <c r="F10" s="9" t="s">
        <v>72</v>
      </c>
      <c r="G10" s="1" t="s">
        <v>73</v>
      </c>
      <c r="H10" s="120" t="s">
        <v>177</v>
      </c>
      <c r="I10" s="18">
        <v>46</v>
      </c>
      <c r="J10" s="18">
        <v>44</v>
      </c>
      <c r="K10" s="18">
        <v>28</v>
      </c>
      <c r="L10" s="18">
        <v>17</v>
      </c>
      <c r="M10" s="18">
        <f t="shared" si="0"/>
        <v>14.167999999999999</v>
      </c>
      <c r="N10" s="79">
        <v>17</v>
      </c>
      <c r="O10" s="69">
        <v>7000</v>
      </c>
      <c r="P10" s="70">
        <f>Table2245678[[#This Row],[PEMBULATAN]]*O10</f>
        <v>119000</v>
      </c>
    </row>
    <row r="11" spans="1:16" ht="24" customHeight="1" x14ac:dyDescent="0.2">
      <c r="A11" s="15"/>
      <c r="B11" s="15"/>
      <c r="C11" s="80" t="s">
        <v>187</v>
      </c>
      <c r="D11" s="18" t="s">
        <v>3</v>
      </c>
      <c r="E11" s="13">
        <v>44403</v>
      </c>
      <c r="F11" s="9" t="s">
        <v>72</v>
      </c>
      <c r="G11" s="1" t="s">
        <v>73</v>
      </c>
      <c r="H11" s="120" t="s">
        <v>177</v>
      </c>
      <c r="I11" s="18">
        <v>45</v>
      </c>
      <c r="J11" s="18">
        <v>43</v>
      </c>
      <c r="K11" s="18">
        <v>36</v>
      </c>
      <c r="L11" s="18">
        <v>8</v>
      </c>
      <c r="M11" s="18">
        <f t="shared" si="0"/>
        <v>17.414999999999999</v>
      </c>
      <c r="N11" s="79">
        <v>18</v>
      </c>
      <c r="O11" s="69">
        <v>7000</v>
      </c>
      <c r="P11" s="70">
        <f>Table2245678[[#This Row],[PEMBULATAN]]*O11</f>
        <v>126000</v>
      </c>
    </row>
    <row r="12" spans="1:16" ht="24" customHeight="1" x14ac:dyDescent="0.2">
      <c r="A12" s="15"/>
      <c r="B12" s="16"/>
      <c r="C12" s="9" t="s">
        <v>188</v>
      </c>
      <c r="D12" s="1" t="s">
        <v>3</v>
      </c>
      <c r="E12" s="13">
        <v>44403</v>
      </c>
      <c r="F12" s="9" t="s">
        <v>72</v>
      </c>
      <c r="G12" s="1" t="s">
        <v>73</v>
      </c>
      <c r="H12" s="119" t="s">
        <v>177</v>
      </c>
      <c r="I12" s="1">
        <v>36</v>
      </c>
      <c r="J12" s="1">
        <v>30</v>
      </c>
      <c r="K12" s="1">
        <v>18</v>
      </c>
      <c r="L12" s="1">
        <v>14</v>
      </c>
      <c r="M12" s="1">
        <f t="shared" si="0"/>
        <v>4.8600000000000003</v>
      </c>
      <c r="N12" s="8">
        <v>14</v>
      </c>
      <c r="O12" s="69">
        <v>7000</v>
      </c>
      <c r="P12" s="70">
        <f>Table2245678[[#This Row],[PEMBULATAN]]*O12</f>
        <v>98000</v>
      </c>
    </row>
    <row r="13" spans="1:16" ht="24" customHeight="1" x14ac:dyDescent="0.2">
      <c r="A13" s="15"/>
      <c r="B13" s="15" t="s">
        <v>189</v>
      </c>
      <c r="C13" s="9" t="s">
        <v>190</v>
      </c>
      <c r="D13" s="1" t="s">
        <v>3</v>
      </c>
      <c r="E13" s="13">
        <v>44403</v>
      </c>
      <c r="F13" s="9" t="s">
        <v>72</v>
      </c>
      <c r="G13" s="1" t="s">
        <v>73</v>
      </c>
      <c r="H13" s="119" t="s">
        <v>177</v>
      </c>
      <c r="I13" s="1">
        <v>60</v>
      </c>
      <c r="J13" s="1">
        <v>32</v>
      </c>
      <c r="K13" s="1">
        <v>58</v>
      </c>
      <c r="L13" s="1">
        <v>23</v>
      </c>
      <c r="M13" s="1">
        <f t="shared" si="0"/>
        <v>27.84</v>
      </c>
      <c r="N13" s="8">
        <v>28</v>
      </c>
      <c r="O13" s="69">
        <v>7000</v>
      </c>
      <c r="P13" s="70">
        <f>Table2245678[[#This Row],[PEMBULATAN]]*O13</f>
        <v>196000</v>
      </c>
    </row>
    <row r="14" spans="1:16" ht="24" customHeight="1" x14ac:dyDescent="0.2">
      <c r="A14" s="15"/>
      <c r="B14" s="15"/>
      <c r="C14" s="9" t="s">
        <v>191</v>
      </c>
      <c r="D14" s="1" t="s">
        <v>3</v>
      </c>
      <c r="E14" s="13">
        <v>44403</v>
      </c>
      <c r="F14" s="9" t="s">
        <v>72</v>
      </c>
      <c r="G14" s="1" t="s">
        <v>73</v>
      </c>
      <c r="H14" s="119" t="s">
        <v>177</v>
      </c>
      <c r="I14" s="1">
        <v>40</v>
      </c>
      <c r="J14" s="1">
        <v>15</v>
      </c>
      <c r="K14" s="1">
        <v>25</v>
      </c>
      <c r="L14" s="1">
        <v>4</v>
      </c>
      <c r="M14" s="1">
        <f t="shared" si="0"/>
        <v>3.75</v>
      </c>
      <c r="N14" s="8">
        <v>4</v>
      </c>
      <c r="O14" s="69">
        <v>7000</v>
      </c>
      <c r="P14" s="70">
        <f>Table2245678[[#This Row],[PEMBULATAN]]*O14</f>
        <v>28000</v>
      </c>
    </row>
    <row r="15" spans="1:16" ht="24.75" customHeight="1" x14ac:dyDescent="0.2">
      <c r="A15" s="111" t="s">
        <v>35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3"/>
      <c r="M15" s="78">
        <f>SUBTOTAL(109,Table2245678[KG
VOLUME])</f>
        <v>376.26300000000003</v>
      </c>
      <c r="N15" s="73">
        <f>SUM(N3:N14)</f>
        <v>396</v>
      </c>
      <c r="O15" s="114">
        <f>SUM(P3:P14)</f>
        <v>2772000</v>
      </c>
      <c r="P15" s="115"/>
    </row>
    <row r="16" spans="1:16" x14ac:dyDescent="0.2">
      <c r="A16" s="11"/>
      <c r="H16" s="68"/>
      <c r="N16" s="67" t="s">
        <v>36</v>
      </c>
      <c r="P16" s="74">
        <f>O15*1%</f>
        <v>27720</v>
      </c>
    </row>
    <row r="17" spans="1:16" x14ac:dyDescent="0.2">
      <c r="A17" s="11"/>
      <c r="B17" s="61" t="s">
        <v>49</v>
      </c>
      <c r="C17" s="60"/>
      <c r="D17" s="62" t="s">
        <v>50</v>
      </c>
      <c r="H17" s="68"/>
      <c r="N17" s="67" t="s">
        <v>37</v>
      </c>
      <c r="P17" s="76">
        <v>0</v>
      </c>
    </row>
    <row r="18" spans="1:16" ht="15.75" thickBot="1" x14ac:dyDescent="0.25">
      <c r="A18" s="11"/>
      <c r="H18" s="68"/>
      <c r="N18" s="67" t="s">
        <v>38</v>
      </c>
      <c r="P18" s="76">
        <v>0</v>
      </c>
    </row>
    <row r="19" spans="1:16" x14ac:dyDescent="0.2">
      <c r="A19" s="11"/>
      <c r="H19" s="68"/>
      <c r="N19" s="71" t="s">
        <v>39</v>
      </c>
      <c r="O19" s="72"/>
      <c r="P19" s="75">
        <f>O15+P16</f>
        <v>2799720</v>
      </c>
    </row>
    <row r="20" spans="1:16" x14ac:dyDescent="0.2">
      <c r="B20" s="61"/>
      <c r="C20" s="60"/>
      <c r="D20" s="62"/>
    </row>
    <row r="22" spans="1:16" x14ac:dyDescent="0.2">
      <c r="A22" s="11"/>
      <c r="H22" s="68"/>
      <c r="O22" s="63"/>
      <c r="P22" s="77"/>
    </row>
    <row r="23" spans="1:16" x14ac:dyDescent="0.2">
      <c r="A23" s="11"/>
      <c r="H23" s="68"/>
      <c r="P23" s="77"/>
    </row>
    <row r="24" spans="1:16" x14ac:dyDescent="0.2">
      <c r="A24" s="11"/>
      <c r="H24" s="68"/>
      <c r="P24" s="77"/>
    </row>
    <row r="25" spans="1:16" x14ac:dyDescent="0.2">
      <c r="A25" s="11"/>
      <c r="H25" s="68"/>
      <c r="P25" s="77"/>
    </row>
    <row r="26" spans="1:16" x14ac:dyDescent="0.2">
      <c r="A26" s="11"/>
      <c r="H26" s="68"/>
    </row>
  </sheetData>
  <mergeCells count="3">
    <mergeCell ref="A3:A4"/>
    <mergeCell ref="A15:L15"/>
    <mergeCell ref="O15:P15"/>
  </mergeCells>
  <conditionalFormatting sqref="B3">
    <cfRule type="duplicateValues" dxfId="66" priority="1"/>
  </conditionalFormatting>
  <printOptions horizontalCentered="1"/>
  <pageMargins left="0.31496062992125984" right="0.31496062992125984" top="0.59055118110236227" bottom="0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O21" sqref="O21"/>
    </sheetView>
  </sheetViews>
  <sheetFormatPr defaultRowHeight="15" x14ac:dyDescent="0.2"/>
  <cols>
    <col min="1" max="1" width="7.7109375" style="4" customWidth="1"/>
    <col min="2" max="2" width="19.7109375" style="2" customWidth="1"/>
    <col min="3" max="3" width="15" style="2" customWidth="1"/>
    <col min="4" max="4" width="9.42578125" style="3" customWidth="1"/>
    <col min="5" max="5" width="9" style="12" customWidth="1"/>
    <col min="6" max="6" width="9.28515625" style="3" customWidth="1"/>
    <col min="7" max="7" width="9.7109375" style="3" customWidth="1"/>
    <col min="8" max="8" width="14.140625" style="6" customWidth="1"/>
    <col min="9" max="11" width="4" style="3" customWidth="1"/>
    <col min="12" max="12" width="5.42578125" style="3" customWidth="1"/>
    <col min="13" max="13" width="8.42578125" style="3" customWidth="1"/>
    <col min="14" max="14" width="13.85546875" style="17" customWidth="1"/>
    <col min="15" max="15" width="7.7109375" style="17" customWidth="1"/>
    <col min="16" max="16" width="13.140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51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46</v>
      </c>
      <c r="J2" s="7" t="s">
        <v>47</v>
      </c>
      <c r="K2" s="7" t="s">
        <v>48</v>
      </c>
      <c r="L2" s="66" t="s">
        <v>52</v>
      </c>
      <c r="M2" s="66" t="s">
        <v>56</v>
      </c>
      <c r="N2" s="66" t="s">
        <v>7</v>
      </c>
      <c r="O2" s="66" t="s">
        <v>54</v>
      </c>
      <c r="P2" s="66" t="s">
        <v>55</v>
      </c>
    </row>
    <row r="3" spans="1:16" ht="24" customHeight="1" x14ac:dyDescent="0.2">
      <c r="A3" s="110" t="s">
        <v>87</v>
      </c>
      <c r="B3" s="14" t="s">
        <v>192</v>
      </c>
      <c r="C3" s="9" t="s">
        <v>193</v>
      </c>
      <c r="D3" s="1" t="s">
        <v>3</v>
      </c>
      <c r="E3" s="13">
        <v>44404</v>
      </c>
      <c r="F3" s="121" t="s">
        <v>72</v>
      </c>
      <c r="G3" s="1" t="s">
        <v>73</v>
      </c>
      <c r="H3" s="10" t="s">
        <v>177</v>
      </c>
      <c r="I3" s="1">
        <v>33</v>
      </c>
      <c r="J3" s="1">
        <v>23</v>
      </c>
      <c r="K3" s="1">
        <v>30</v>
      </c>
      <c r="L3" s="1">
        <v>11</v>
      </c>
      <c r="M3" s="1">
        <f t="shared" ref="M3:M19" si="0">I3*J3*K3/4000</f>
        <v>5.6924999999999999</v>
      </c>
      <c r="N3" s="8">
        <v>11</v>
      </c>
      <c r="O3" s="69">
        <v>7000</v>
      </c>
      <c r="P3" s="70">
        <f>Table22456789[[#This Row],[PEMBULATAN]]*O3</f>
        <v>77000</v>
      </c>
    </row>
    <row r="4" spans="1:16" ht="24" customHeight="1" x14ac:dyDescent="0.2">
      <c r="A4" s="110"/>
      <c r="B4" s="15"/>
      <c r="C4" s="9" t="s">
        <v>194</v>
      </c>
      <c r="D4" s="1" t="s">
        <v>3</v>
      </c>
      <c r="E4" s="13">
        <v>44404</v>
      </c>
      <c r="F4" s="121" t="s">
        <v>72</v>
      </c>
      <c r="G4" s="1" t="s">
        <v>73</v>
      </c>
      <c r="H4" s="10" t="s">
        <v>177</v>
      </c>
      <c r="I4" s="1">
        <v>75</v>
      </c>
      <c r="J4" s="1">
        <v>35</v>
      </c>
      <c r="K4" s="1">
        <v>56</v>
      </c>
      <c r="L4" s="1">
        <v>19</v>
      </c>
      <c r="M4" s="1">
        <f t="shared" si="0"/>
        <v>36.75</v>
      </c>
      <c r="N4" s="8">
        <v>37</v>
      </c>
      <c r="O4" s="69">
        <v>7000</v>
      </c>
      <c r="P4" s="70">
        <f>Table22456789[[#This Row],[PEMBULATAN]]*O4</f>
        <v>259000</v>
      </c>
    </row>
    <row r="5" spans="1:16" ht="24" customHeight="1" x14ac:dyDescent="0.2">
      <c r="A5" s="15"/>
      <c r="B5" s="15"/>
      <c r="C5" s="9" t="s">
        <v>195</v>
      </c>
      <c r="D5" s="1" t="s">
        <v>3</v>
      </c>
      <c r="E5" s="13">
        <v>44404</v>
      </c>
      <c r="F5" s="121" t="s">
        <v>72</v>
      </c>
      <c r="G5" s="1" t="s">
        <v>73</v>
      </c>
      <c r="H5" s="10" t="s">
        <v>177</v>
      </c>
      <c r="I5" s="1">
        <v>53</v>
      </c>
      <c r="J5" s="1">
        <v>37</v>
      </c>
      <c r="K5" s="1">
        <v>53</v>
      </c>
      <c r="L5" s="1">
        <v>15</v>
      </c>
      <c r="M5" s="1">
        <f t="shared" si="0"/>
        <v>25.983250000000002</v>
      </c>
      <c r="N5" s="8">
        <v>26</v>
      </c>
      <c r="O5" s="69">
        <v>7000</v>
      </c>
      <c r="P5" s="70">
        <f>Table22456789[[#This Row],[PEMBULATAN]]*O5</f>
        <v>182000</v>
      </c>
    </row>
    <row r="6" spans="1:16" ht="24" customHeight="1" x14ac:dyDescent="0.2">
      <c r="A6" s="15"/>
      <c r="B6" s="15"/>
      <c r="C6" s="9" t="s">
        <v>196</v>
      </c>
      <c r="D6" s="1" t="s">
        <v>3</v>
      </c>
      <c r="E6" s="13">
        <v>44404</v>
      </c>
      <c r="F6" s="121" t="s">
        <v>72</v>
      </c>
      <c r="G6" s="1" t="s">
        <v>73</v>
      </c>
      <c r="H6" s="10" t="s">
        <v>177</v>
      </c>
      <c r="I6" s="1">
        <v>60</v>
      </c>
      <c r="J6" s="1">
        <v>34</v>
      </c>
      <c r="K6" s="1">
        <v>10</v>
      </c>
      <c r="L6" s="1">
        <v>2</v>
      </c>
      <c r="M6" s="1">
        <f t="shared" si="0"/>
        <v>5.0999999999999996</v>
      </c>
      <c r="N6" s="8">
        <v>5</v>
      </c>
      <c r="O6" s="69">
        <v>7000</v>
      </c>
      <c r="P6" s="70">
        <f>Table22456789[[#This Row],[PEMBULATAN]]*O6</f>
        <v>35000</v>
      </c>
    </row>
    <row r="7" spans="1:16" ht="24" customHeight="1" x14ac:dyDescent="0.2">
      <c r="A7" s="15"/>
      <c r="B7" s="15"/>
      <c r="C7" s="80" t="s">
        <v>197</v>
      </c>
      <c r="D7" s="18" t="s">
        <v>3</v>
      </c>
      <c r="E7" s="13">
        <v>44404</v>
      </c>
      <c r="F7" s="121" t="s">
        <v>72</v>
      </c>
      <c r="G7" s="1" t="s">
        <v>73</v>
      </c>
      <c r="H7" s="86" t="s">
        <v>177</v>
      </c>
      <c r="I7" s="18">
        <v>186</v>
      </c>
      <c r="J7" s="18">
        <v>17</v>
      </c>
      <c r="K7" s="18">
        <v>9</v>
      </c>
      <c r="L7" s="18">
        <v>5</v>
      </c>
      <c r="M7" s="18">
        <f t="shared" si="0"/>
        <v>7.1144999999999996</v>
      </c>
      <c r="N7" s="79">
        <v>7</v>
      </c>
      <c r="O7" s="69">
        <v>7000</v>
      </c>
      <c r="P7" s="70">
        <f>Table22456789[[#This Row],[PEMBULATAN]]*O7</f>
        <v>49000</v>
      </c>
    </row>
    <row r="8" spans="1:16" ht="24" customHeight="1" x14ac:dyDescent="0.2">
      <c r="A8" s="15"/>
      <c r="B8" s="15"/>
      <c r="C8" s="80" t="s">
        <v>198</v>
      </c>
      <c r="D8" s="18" t="s">
        <v>3</v>
      </c>
      <c r="E8" s="13">
        <v>44404</v>
      </c>
      <c r="F8" s="121" t="s">
        <v>72</v>
      </c>
      <c r="G8" s="1" t="s">
        <v>73</v>
      </c>
      <c r="H8" s="86" t="s">
        <v>177</v>
      </c>
      <c r="I8" s="18">
        <v>53</v>
      </c>
      <c r="J8" s="18">
        <v>35</v>
      </c>
      <c r="K8" s="18">
        <v>23</v>
      </c>
      <c r="L8" s="18">
        <v>13</v>
      </c>
      <c r="M8" s="18">
        <f t="shared" si="0"/>
        <v>10.66625</v>
      </c>
      <c r="N8" s="79">
        <v>13</v>
      </c>
      <c r="O8" s="69">
        <v>7000</v>
      </c>
      <c r="P8" s="70">
        <f>Table22456789[[#This Row],[PEMBULATAN]]*O8</f>
        <v>91000</v>
      </c>
    </row>
    <row r="9" spans="1:16" ht="24" customHeight="1" x14ac:dyDescent="0.2">
      <c r="A9" s="15"/>
      <c r="B9" s="15"/>
      <c r="C9" s="80" t="s">
        <v>199</v>
      </c>
      <c r="D9" s="18" t="s">
        <v>3</v>
      </c>
      <c r="E9" s="13">
        <v>44404</v>
      </c>
      <c r="F9" s="121" t="s">
        <v>72</v>
      </c>
      <c r="G9" s="1" t="s">
        <v>73</v>
      </c>
      <c r="H9" s="86" t="s">
        <v>177</v>
      </c>
      <c r="I9" s="18">
        <v>62</v>
      </c>
      <c r="J9" s="18">
        <v>41</v>
      </c>
      <c r="K9" s="18">
        <v>33</v>
      </c>
      <c r="L9" s="18">
        <v>12</v>
      </c>
      <c r="M9" s="18">
        <f t="shared" si="0"/>
        <v>20.971499999999999</v>
      </c>
      <c r="N9" s="79">
        <v>21</v>
      </c>
      <c r="O9" s="69">
        <v>7000</v>
      </c>
      <c r="P9" s="70">
        <f>Table22456789[[#This Row],[PEMBULATAN]]*O9</f>
        <v>147000</v>
      </c>
    </row>
    <row r="10" spans="1:16" ht="24" customHeight="1" x14ac:dyDescent="0.2">
      <c r="A10" s="15"/>
      <c r="B10" s="15"/>
      <c r="C10" s="80" t="s">
        <v>200</v>
      </c>
      <c r="D10" s="18" t="s">
        <v>3</v>
      </c>
      <c r="E10" s="13">
        <v>44404</v>
      </c>
      <c r="F10" s="121" t="s">
        <v>72</v>
      </c>
      <c r="G10" s="1" t="s">
        <v>73</v>
      </c>
      <c r="H10" s="86" t="s">
        <v>177</v>
      </c>
      <c r="I10" s="18">
        <v>40</v>
      </c>
      <c r="J10" s="18">
        <v>26</v>
      </c>
      <c r="K10" s="18">
        <v>28</v>
      </c>
      <c r="L10" s="18">
        <v>5</v>
      </c>
      <c r="M10" s="18">
        <f t="shared" si="0"/>
        <v>7.28</v>
      </c>
      <c r="N10" s="79">
        <v>7</v>
      </c>
      <c r="O10" s="69">
        <v>7000</v>
      </c>
      <c r="P10" s="70">
        <f>Table22456789[[#This Row],[PEMBULATAN]]*O10</f>
        <v>49000</v>
      </c>
    </row>
    <row r="11" spans="1:16" ht="24" customHeight="1" x14ac:dyDescent="0.2">
      <c r="A11" s="15"/>
      <c r="B11" s="15"/>
      <c r="C11" s="80" t="s">
        <v>201</v>
      </c>
      <c r="D11" s="18" t="s">
        <v>3</v>
      </c>
      <c r="E11" s="13">
        <v>44404</v>
      </c>
      <c r="F11" s="121" t="s">
        <v>72</v>
      </c>
      <c r="G11" s="1" t="s">
        <v>73</v>
      </c>
      <c r="H11" s="86" t="s">
        <v>177</v>
      </c>
      <c r="I11" s="18">
        <v>45</v>
      </c>
      <c r="J11" s="18">
        <v>38</v>
      </c>
      <c r="K11" s="18">
        <v>27</v>
      </c>
      <c r="L11" s="18">
        <v>7</v>
      </c>
      <c r="M11" s="18">
        <f t="shared" si="0"/>
        <v>11.5425</v>
      </c>
      <c r="N11" s="79">
        <v>12</v>
      </c>
      <c r="O11" s="69">
        <v>7000</v>
      </c>
      <c r="P11" s="70">
        <f>Table22456789[[#This Row],[PEMBULATAN]]*O11</f>
        <v>84000</v>
      </c>
    </row>
    <row r="12" spans="1:16" ht="24" customHeight="1" x14ac:dyDescent="0.2">
      <c r="A12" s="15"/>
      <c r="B12" s="15"/>
      <c r="C12" s="80" t="s">
        <v>202</v>
      </c>
      <c r="D12" s="18" t="s">
        <v>3</v>
      </c>
      <c r="E12" s="13">
        <v>44404</v>
      </c>
      <c r="F12" s="121" t="s">
        <v>72</v>
      </c>
      <c r="G12" s="1" t="s">
        <v>73</v>
      </c>
      <c r="H12" s="86" t="s">
        <v>177</v>
      </c>
      <c r="I12" s="18">
        <v>30</v>
      </c>
      <c r="J12" s="18">
        <v>40</v>
      </c>
      <c r="K12" s="18">
        <v>40</v>
      </c>
      <c r="L12" s="18">
        <v>20</v>
      </c>
      <c r="M12" s="18">
        <f t="shared" si="0"/>
        <v>12</v>
      </c>
      <c r="N12" s="79">
        <v>20</v>
      </c>
      <c r="O12" s="69">
        <v>7000</v>
      </c>
      <c r="P12" s="70">
        <f>Table22456789[[#This Row],[PEMBULATAN]]*O12</f>
        <v>140000</v>
      </c>
    </row>
    <row r="13" spans="1:16" ht="24" customHeight="1" x14ac:dyDescent="0.2">
      <c r="A13" s="15"/>
      <c r="B13" s="15"/>
      <c r="C13" s="80" t="s">
        <v>203</v>
      </c>
      <c r="D13" s="18" t="s">
        <v>3</v>
      </c>
      <c r="E13" s="13">
        <v>44404</v>
      </c>
      <c r="F13" s="121" t="s">
        <v>72</v>
      </c>
      <c r="G13" s="1" t="s">
        <v>73</v>
      </c>
      <c r="H13" s="86" t="s">
        <v>177</v>
      </c>
      <c r="I13" s="18">
        <v>108</v>
      </c>
      <c r="J13" s="18">
        <v>46</v>
      </c>
      <c r="K13" s="18">
        <v>17</v>
      </c>
      <c r="L13" s="18">
        <v>5</v>
      </c>
      <c r="M13" s="18">
        <f t="shared" si="0"/>
        <v>21.114000000000001</v>
      </c>
      <c r="N13" s="79">
        <v>21</v>
      </c>
      <c r="O13" s="69">
        <v>7000</v>
      </c>
      <c r="P13" s="70">
        <f>Table22456789[[#This Row],[PEMBULATAN]]*O13</f>
        <v>147000</v>
      </c>
    </row>
    <row r="14" spans="1:16" ht="24" customHeight="1" x14ac:dyDescent="0.2">
      <c r="A14" s="15"/>
      <c r="B14" s="15"/>
      <c r="C14" s="80" t="s">
        <v>204</v>
      </c>
      <c r="D14" s="18" t="s">
        <v>3</v>
      </c>
      <c r="E14" s="13">
        <v>44404</v>
      </c>
      <c r="F14" s="121" t="s">
        <v>72</v>
      </c>
      <c r="G14" s="1" t="s">
        <v>73</v>
      </c>
      <c r="H14" s="86" t="s">
        <v>177</v>
      </c>
      <c r="I14" s="18">
        <v>36</v>
      </c>
      <c r="J14" s="18">
        <v>26</v>
      </c>
      <c r="K14" s="18">
        <v>18</v>
      </c>
      <c r="L14" s="18">
        <v>6</v>
      </c>
      <c r="M14" s="18">
        <f t="shared" si="0"/>
        <v>4.2119999999999997</v>
      </c>
      <c r="N14" s="79">
        <v>6</v>
      </c>
      <c r="O14" s="69">
        <v>7000</v>
      </c>
      <c r="P14" s="70">
        <f>Table22456789[[#This Row],[PEMBULATAN]]*O14</f>
        <v>42000</v>
      </c>
    </row>
    <row r="15" spans="1:16" ht="24" customHeight="1" x14ac:dyDescent="0.2">
      <c r="A15" s="15"/>
      <c r="B15" s="16"/>
      <c r="C15" s="80" t="s">
        <v>205</v>
      </c>
      <c r="D15" s="18" t="s">
        <v>3</v>
      </c>
      <c r="E15" s="13">
        <v>44404</v>
      </c>
      <c r="F15" s="121" t="s">
        <v>72</v>
      </c>
      <c r="G15" s="1" t="s">
        <v>73</v>
      </c>
      <c r="H15" s="86" t="s">
        <v>177</v>
      </c>
      <c r="I15" s="18">
        <v>40</v>
      </c>
      <c r="J15" s="18">
        <v>40</v>
      </c>
      <c r="K15" s="18">
        <v>28</v>
      </c>
      <c r="L15" s="18">
        <v>9</v>
      </c>
      <c r="M15" s="18">
        <f t="shared" si="0"/>
        <v>11.2</v>
      </c>
      <c r="N15" s="79">
        <v>11</v>
      </c>
      <c r="O15" s="69">
        <v>7000</v>
      </c>
      <c r="P15" s="70">
        <f>Table22456789[[#This Row],[PEMBULATAN]]*O15</f>
        <v>77000</v>
      </c>
    </row>
    <row r="16" spans="1:16" ht="24" customHeight="1" x14ac:dyDescent="0.2">
      <c r="A16" s="15"/>
      <c r="B16" s="15" t="s">
        <v>206</v>
      </c>
      <c r="C16" s="80" t="s">
        <v>207</v>
      </c>
      <c r="D16" s="18" t="s">
        <v>3</v>
      </c>
      <c r="E16" s="13">
        <v>44404</v>
      </c>
      <c r="F16" s="121" t="s">
        <v>72</v>
      </c>
      <c r="G16" s="1" t="s">
        <v>73</v>
      </c>
      <c r="H16" s="86" t="s">
        <v>177</v>
      </c>
      <c r="I16" s="18">
        <v>100</v>
      </c>
      <c r="J16" s="18">
        <v>18</v>
      </c>
      <c r="K16" s="18">
        <v>61</v>
      </c>
      <c r="L16" s="18">
        <v>19</v>
      </c>
      <c r="M16" s="18">
        <f t="shared" si="0"/>
        <v>27.45</v>
      </c>
      <c r="N16" s="79">
        <v>28</v>
      </c>
      <c r="O16" s="69">
        <v>7000</v>
      </c>
      <c r="P16" s="70">
        <f>Table22456789[[#This Row],[PEMBULATAN]]*O16</f>
        <v>196000</v>
      </c>
    </row>
    <row r="17" spans="1:16" ht="24" customHeight="1" x14ac:dyDescent="0.2">
      <c r="A17" s="15"/>
      <c r="B17" s="16"/>
      <c r="C17" s="9" t="s">
        <v>208</v>
      </c>
      <c r="D17" s="1" t="s">
        <v>3</v>
      </c>
      <c r="E17" s="13">
        <v>44404</v>
      </c>
      <c r="F17" s="121" t="s">
        <v>72</v>
      </c>
      <c r="G17" s="1" t="s">
        <v>73</v>
      </c>
      <c r="H17" s="10" t="s">
        <v>177</v>
      </c>
      <c r="I17" s="1">
        <v>30</v>
      </c>
      <c r="J17" s="1">
        <v>50</v>
      </c>
      <c r="K17" s="1">
        <v>34</v>
      </c>
      <c r="L17" s="1">
        <v>12</v>
      </c>
      <c r="M17" s="1">
        <f t="shared" si="0"/>
        <v>12.75</v>
      </c>
      <c r="N17" s="8">
        <v>13</v>
      </c>
      <c r="O17" s="69">
        <v>7000</v>
      </c>
      <c r="P17" s="70">
        <f>Table22456789[[#This Row],[PEMBULATAN]]*O17</f>
        <v>91000</v>
      </c>
    </row>
    <row r="18" spans="1:16" ht="24" customHeight="1" x14ac:dyDescent="0.2">
      <c r="A18" s="15"/>
      <c r="B18" s="15" t="s">
        <v>209</v>
      </c>
      <c r="C18" s="9" t="s">
        <v>210</v>
      </c>
      <c r="D18" s="1" t="s">
        <v>3</v>
      </c>
      <c r="E18" s="13">
        <v>44404</v>
      </c>
      <c r="F18" s="121" t="s">
        <v>72</v>
      </c>
      <c r="G18" s="1" t="s">
        <v>73</v>
      </c>
      <c r="H18" s="10" t="s">
        <v>177</v>
      </c>
      <c r="I18" s="1">
        <v>44</v>
      </c>
      <c r="J18" s="1">
        <v>25</v>
      </c>
      <c r="K18" s="1">
        <v>28</v>
      </c>
      <c r="L18" s="1">
        <v>17</v>
      </c>
      <c r="M18" s="1">
        <f t="shared" si="0"/>
        <v>7.7</v>
      </c>
      <c r="N18" s="8">
        <v>17</v>
      </c>
      <c r="O18" s="69">
        <v>7000</v>
      </c>
      <c r="P18" s="70">
        <f>Table22456789[[#This Row],[PEMBULATAN]]*O18</f>
        <v>119000</v>
      </c>
    </row>
    <row r="19" spans="1:16" ht="24" customHeight="1" x14ac:dyDescent="0.2">
      <c r="A19" s="15"/>
      <c r="B19" s="15"/>
      <c r="C19" s="9" t="s">
        <v>211</v>
      </c>
      <c r="D19" s="1" t="s">
        <v>3</v>
      </c>
      <c r="E19" s="13">
        <v>44404</v>
      </c>
      <c r="F19" s="121" t="s">
        <v>72</v>
      </c>
      <c r="G19" s="1" t="s">
        <v>73</v>
      </c>
      <c r="H19" s="10" t="s">
        <v>177</v>
      </c>
      <c r="I19" s="1">
        <v>42</v>
      </c>
      <c r="J19" s="1">
        <v>30</v>
      </c>
      <c r="K19" s="1">
        <v>42</v>
      </c>
      <c r="L19" s="1">
        <v>24</v>
      </c>
      <c r="M19" s="1">
        <f t="shared" si="0"/>
        <v>13.23</v>
      </c>
      <c r="N19" s="8">
        <v>24</v>
      </c>
      <c r="O19" s="69">
        <v>7000</v>
      </c>
      <c r="P19" s="70">
        <f>Table22456789[[#This Row],[PEMBULATAN]]*O19</f>
        <v>168000</v>
      </c>
    </row>
    <row r="20" spans="1:16" ht="24.75" customHeight="1" x14ac:dyDescent="0.2">
      <c r="A20" s="111" t="s">
        <v>35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3"/>
      <c r="M20" s="78">
        <f>SUBTOTAL(109,Table22456789[KG
VOLUME])</f>
        <v>240.75649999999996</v>
      </c>
      <c r="N20" s="73">
        <f>SUM(N3:N19)</f>
        <v>279</v>
      </c>
      <c r="O20" s="114">
        <f>SUM(P3:P19)</f>
        <v>1953000</v>
      </c>
      <c r="P20" s="115"/>
    </row>
    <row r="21" spans="1:16" x14ac:dyDescent="0.2">
      <c r="A21" s="11"/>
      <c r="H21" s="68"/>
      <c r="N21" s="67" t="s">
        <v>36</v>
      </c>
      <c r="P21" s="74">
        <f>O20*1%</f>
        <v>19530</v>
      </c>
    </row>
    <row r="22" spans="1:16" x14ac:dyDescent="0.2">
      <c r="A22" s="11"/>
      <c r="B22" s="61" t="s">
        <v>49</v>
      </c>
      <c r="C22" s="60"/>
      <c r="D22" s="62" t="s">
        <v>50</v>
      </c>
      <c r="H22" s="68"/>
      <c r="N22" s="67" t="s">
        <v>37</v>
      </c>
      <c r="P22" s="76">
        <v>0</v>
      </c>
    </row>
    <row r="23" spans="1:16" ht="15.75" thickBot="1" x14ac:dyDescent="0.25">
      <c r="A23" s="11"/>
      <c r="H23" s="68"/>
      <c r="N23" s="67" t="s">
        <v>38</v>
      </c>
      <c r="P23" s="76">
        <v>0</v>
      </c>
    </row>
    <row r="24" spans="1:16" x14ac:dyDescent="0.2">
      <c r="A24" s="11"/>
      <c r="H24" s="68"/>
      <c r="N24" s="71" t="s">
        <v>39</v>
      </c>
      <c r="O24" s="72"/>
      <c r="P24" s="75">
        <f>O20+P21</f>
        <v>1972530</v>
      </c>
    </row>
    <row r="25" spans="1:16" x14ac:dyDescent="0.2">
      <c r="B25" s="61"/>
      <c r="C25" s="60"/>
      <c r="D25" s="62"/>
    </row>
    <row r="27" spans="1:16" x14ac:dyDescent="0.2">
      <c r="A27" s="11"/>
      <c r="H27" s="68"/>
      <c r="O27" s="63"/>
      <c r="P27" s="77"/>
    </row>
    <row r="28" spans="1:16" x14ac:dyDescent="0.2">
      <c r="A28" s="11"/>
      <c r="H28" s="68"/>
      <c r="P28" s="77"/>
    </row>
    <row r="29" spans="1:16" x14ac:dyDescent="0.2">
      <c r="A29" s="11"/>
      <c r="H29" s="68"/>
      <c r="P29" s="77"/>
    </row>
    <row r="30" spans="1:16" x14ac:dyDescent="0.2">
      <c r="A30" s="11"/>
      <c r="H30" s="68"/>
      <c r="P30" s="77"/>
    </row>
    <row r="31" spans="1:16" x14ac:dyDescent="0.2">
      <c r="A31" s="11"/>
      <c r="H31" s="68"/>
    </row>
  </sheetData>
  <mergeCells count="3">
    <mergeCell ref="A3:A4"/>
    <mergeCell ref="A20:L20"/>
    <mergeCell ref="O20:P20"/>
  </mergeCells>
  <conditionalFormatting sqref="B3">
    <cfRule type="duplicateValues" dxfId="53" priority="1"/>
  </conditionalFormatting>
  <printOptions horizontalCentered="1"/>
  <pageMargins left="0.31496062992125984" right="0.31496062992125984" top="0.59055118110236227" bottom="0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004_Sicepat_Batam</vt:lpstr>
      <vt:lpstr>BKI032210027110</vt:lpstr>
      <vt:lpstr>BKI032210027326</vt:lpstr>
      <vt:lpstr>BKI032210027102</vt:lpstr>
      <vt:lpstr>BKI032210027268</vt:lpstr>
      <vt:lpstr>BKI032210027276</vt:lpstr>
      <vt:lpstr>BKI032210027755</vt:lpstr>
      <vt:lpstr>BKI032210027763</vt:lpstr>
      <vt:lpstr>BKI032210027987</vt:lpstr>
      <vt:lpstr>BKI032210028785</vt:lpstr>
      <vt:lpstr>'004_Sicepat_Batam'!Print_Titles</vt:lpstr>
      <vt:lpstr>BKI032210027102!Print_Titles</vt:lpstr>
      <vt:lpstr>BKI032210027268!Print_Titles</vt:lpstr>
      <vt:lpstr>BKI032210027276!Print_Titles</vt:lpstr>
      <vt:lpstr>BKI032210027755!Print_Titles</vt:lpstr>
      <vt:lpstr>BKI032210027763!Print_Titles</vt:lpstr>
      <vt:lpstr>BKI032210027987!Print_Titles</vt:lpstr>
      <vt:lpstr>BKI032210028785!Print_Titles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2021-08-09T07:13:29Z</cp:lastPrinted>
  <dcterms:created xsi:type="dcterms:W3CDTF">2021-07-02T11:08:00Z</dcterms:created>
  <dcterms:modified xsi:type="dcterms:W3CDTF">2021-08-09T09:00:05Z</dcterms:modified>
</cp:coreProperties>
</file>