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 firstSheet="3" activeTab="9"/>
  </bookViews>
  <sheets>
    <sheet name="008_Sicepat" sheetId="2" r:id="rId1"/>
    <sheet name="BKI032210028605" sheetId="1" r:id="rId2"/>
    <sheet name="BKI032210028803" sheetId="4" r:id="rId3"/>
    <sheet name="BKI032210028787" sheetId="7" r:id="rId4"/>
    <sheet name="BKI032210028928" sheetId="5" r:id="rId5"/>
    <sheet name="BKI032210028894" sheetId="11" r:id="rId6"/>
    <sheet name="BKI032210028944" sheetId="10" r:id="rId7"/>
    <sheet name="BKI032210029579" sheetId="12" r:id="rId8"/>
    <sheet name="BKI032210029231" sheetId="9" r:id="rId9"/>
    <sheet name="BKI032210029603" sheetId="13" r:id="rId10"/>
  </sheets>
  <definedNames>
    <definedName name="_xlnm.Print_Titles" localSheetId="0">'008_Sicepat'!$2:$17</definedName>
    <definedName name="_xlnm.Print_Titles" localSheetId="1">BKI032210028605!$1:$2</definedName>
    <definedName name="_xlnm.Print_Titles" localSheetId="8">BKI032210029231!$2:$2</definedName>
    <definedName name="_xlnm.Print_Titles" localSheetId="7">BKI032210029579!$2:$2</definedName>
  </definedNames>
  <calcPr calcId="162913"/>
</workbook>
</file>

<file path=xl/calcChain.xml><?xml version="1.0" encoding="utf-8"?>
<calcChain xmlns="http://schemas.openxmlformats.org/spreadsheetml/2006/main">
  <c r="J32" i="2" l="1"/>
  <c r="A20" i="2" l="1"/>
  <c r="A21" i="2" s="1"/>
  <c r="A22" i="2" s="1"/>
  <c r="A23" i="2" s="1"/>
  <c r="A24" i="2" s="1"/>
  <c r="A25" i="2" s="1"/>
  <c r="A26" i="2" s="1"/>
  <c r="J25" i="2"/>
  <c r="J26" i="2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P17" i="13"/>
  <c r="P13" i="13"/>
  <c r="P9" i="13"/>
  <c r="N21" i="13"/>
  <c r="P19" i="13"/>
  <c r="P18" i="13"/>
  <c r="P14" i="13"/>
  <c r="P10" i="13"/>
  <c r="P6" i="13"/>
  <c r="P20" i="13"/>
  <c r="P16" i="13"/>
  <c r="P15" i="13"/>
  <c r="P12" i="13"/>
  <c r="P11" i="13"/>
  <c r="P8" i="13"/>
  <c r="P7" i="13"/>
  <c r="P4" i="13"/>
  <c r="P3" i="13"/>
  <c r="M21" i="13"/>
  <c r="O38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P5" i="13" l="1"/>
  <c r="O21" i="13" s="1"/>
  <c r="P22" i="13" s="1"/>
  <c r="P25" i="13" s="1"/>
  <c r="A19" i="2" l="1"/>
  <c r="J24" i="2"/>
  <c r="J22" i="2"/>
  <c r="J23" i="2"/>
  <c r="J21" i="2"/>
  <c r="J20" i="2"/>
  <c r="J19" i="2"/>
  <c r="N19" i="11" l="1"/>
  <c r="M18" i="11"/>
  <c r="M17" i="11"/>
  <c r="M16" i="11"/>
  <c r="M15" i="11"/>
  <c r="M14" i="11"/>
  <c r="M13" i="11"/>
  <c r="M12" i="11"/>
  <c r="M11" i="11"/>
  <c r="P11" i="11" s="1"/>
  <c r="M10" i="11"/>
  <c r="M9" i="11"/>
  <c r="M8" i="11"/>
  <c r="M7" i="11"/>
  <c r="P7" i="11" s="1"/>
  <c r="M6" i="11"/>
  <c r="M5" i="11"/>
  <c r="M4" i="11"/>
  <c r="M3" i="11"/>
  <c r="M38" i="12"/>
  <c r="P14" i="11"/>
  <c r="P18" i="11"/>
  <c r="P17" i="11"/>
  <c r="P16" i="11"/>
  <c r="P15" i="11"/>
  <c r="P13" i="11"/>
  <c r="P12" i="11"/>
  <c r="P10" i="11"/>
  <c r="P9" i="11"/>
  <c r="P8" i="11"/>
  <c r="P6" i="11"/>
  <c r="P5" i="11"/>
  <c r="P4" i="1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N37" i="9"/>
  <c r="N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3" i="9"/>
  <c r="M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O18" i="10" l="1"/>
  <c r="P19" i="10" s="1"/>
  <c r="P22" i="10" s="1"/>
  <c r="M19" i="11"/>
  <c r="P3" i="11"/>
  <c r="O19" i="11" s="1"/>
  <c r="P20" i="11" s="1"/>
  <c r="P23" i="11" s="1"/>
  <c r="M18" i="10"/>
  <c r="O37" i="9"/>
  <c r="P38" i="9" s="1"/>
  <c r="P41" i="9" s="1"/>
  <c r="M7" i="5"/>
  <c r="M6" i="5"/>
  <c r="M5" i="5"/>
  <c r="M4" i="5"/>
  <c r="M3" i="5"/>
  <c r="M13" i="7"/>
  <c r="M12" i="7"/>
  <c r="M11" i="7"/>
  <c r="M10" i="7"/>
  <c r="M9" i="7"/>
  <c r="M8" i="7"/>
  <c r="M7" i="7"/>
  <c r="M6" i="7"/>
  <c r="M5" i="7"/>
  <c r="M4" i="7"/>
  <c r="M3" i="7"/>
  <c r="N14" i="7"/>
  <c r="P13" i="7"/>
  <c r="P12" i="7"/>
  <c r="P11" i="7"/>
  <c r="P10" i="7"/>
  <c r="P9" i="7"/>
  <c r="P8" i="7"/>
  <c r="P7" i="7"/>
  <c r="P6" i="7"/>
  <c r="P5" i="7"/>
  <c r="P4" i="7"/>
  <c r="P3" i="7"/>
  <c r="P27" i="4"/>
  <c r="O28" i="4" s="1"/>
  <c r="P3" i="12" l="1"/>
  <c r="N38" i="12"/>
  <c r="O14" i="7"/>
  <c r="P15" i="7" s="1"/>
  <c r="P18" i="7" s="1"/>
  <c r="M14" i="7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P39" i="12" l="1"/>
  <c r="P42" i="12" s="1"/>
  <c r="P14" i="4"/>
  <c r="P13" i="4"/>
  <c r="P12" i="4"/>
  <c r="P11" i="4"/>
  <c r="P10" i="4"/>
  <c r="P15" i="4"/>
  <c r="P3" i="4"/>
  <c r="P6" i="1"/>
  <c r="N8" i="5"/>
  <c r="M8" i="5"/>
  <c r="P7" i="5"/>
  <c r="P6" i="5"/>
  <c r="P5" i="5"/>
  <c r="P4" i="5"/>
  <c r="P3" i="5"/>
  <c r="O8" i="5" l="1"/>
  <c r="P9" i="5" s="1"/>
  <c r="P12" i="5" s="1"/>
  <c r="N28" i="4" l="1"/>
  <c r="N23" i="1" l="1"/>
  <c r="P4" i="4"/>
  <c r="P5" i="4"/>
  <c r="P6" i="4"/>
  <c r="P7" i="4"/>
  <c r="P8" i="4"/>
  <c r="P9" i="4"/>
  <c r="P16" i="4"/>
  <c r="P17" i="4"/>
  <c r="P18" i="4"/>
  <c r="P19" i="4"/>
  <c r="P20" i="4"/>
  <c r="P21" i="4"/>
  <c r="P22" i="4"/>
  <c r="P23" i="4"/>
  <c r="P24" i="4"/>
  <c r="P25" i="4"/>
  <c r="P26" i="4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M23" i="1" l="1"/>
  <c r="P3" i="1" l="1"/>
  <c r="O23" i="1" s="1"/>
  <c r="I43" i="2"/>
  <c r="I30" i="2"/>
  <c r="I29" i="2"/>
  <c r="I32" i="2" s="1"/>
  <c r="J18" i="2"/>
  <c r="J27" i="2" s="1"/>
  <c r="J29" i="2" l="1"/>
  <c r="M28" i="4"/>
  <c r="P24" i="1" l="1"/>
  <c r="P27" i="1" s="1"/>
  <c r="P29" i="4"/>
  <c r="P32" i="4" s="1"/>
</calcChain>
</file>

<file path=xl/sharedStrings.xml><?xml version="1.0" encoding="utf-8"?>
<sst xmlns="http://schemas.openxmlformats.org/spreadsheetml/2006/main" count="1028" uniqueCount="282">
  <si>
    <t>NOMOR</t>
  </si>
  <si>
    <t>TUJUAN</t>
  </si>
  <si>
    <t>KETERANGAN</t>
  </si>
  <si>
    <t>DMP BTH</t>
  </si>
  <si>
    <t>KAPAL</t>
  </si>
  <si>
    <t>Pick Up</t>
  </si>
  <si>
    <t>ETD Kapal</t>
  </si>
  <si>
    <t>PEMBULATAN</t>
  </si>
  <si>
    <t>Surat Muatan Darat</t>
  </si>
  <si>
    <t xml:space="preserve"> 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</si>
  <si>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</si>
  <si>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</si>
  <si>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</si>
  <si>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</si>
  <si>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</si>
  <si>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</si>
  <si>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</si>
  <si>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</si>
  <si>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</si>
  <si>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</si>
  <si>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</si>
  <si>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</si>
  <si>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</si>
  <si>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</si>
  <si>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</si>
  <si>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</si>
  <si>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</si>
  <si>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</si>
  <si>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</si>
  <si>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</si>
  <si>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</si>
  <si>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</si>
  <si>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</si>
  <si>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</si>
  <si>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</si>
  <si>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SICEPAT EXPRESBATAMORCHARD         (SORTATION)</t>
  </si>
  <si>
    <t>BATAM KOTA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</si>
  <si>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</si>
  <si>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</si>
  <si>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</si>
  <si>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</si>
  <si>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</si>
  <si>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</si>
  <si>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</si>
  <si>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</si>
  <si>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</si>
  <si>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</si>
  <si>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</si>
  <si>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</si>
  <si>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</si>
  <si>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</si>
  <si>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</si>
  <si>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</si>
  <si>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</si>
  <si>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</si>
  <si>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</si>
  <si>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</si>
  <si>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</si>
  <si>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DMD/2107/31/RBMA4859</t>
  </si>
  <si>
    <t>DMD/2107/31/DBNM4732</t>
  </si>
  <si>
    <t>DMD/2107/31/ITMP8163</t>
  </si>
  <si>
    <t>DMD/2107/31/SHFD3490</t>
  </si>
  <si>
    <t>BKI032210028605</t>
  </si>
  <si>
    <t>GSK210730RTV621</t>
  </si>
  <si>
    <t>GSK210730USF047</t>
  </si>
  <si>
    <t>GSK210730GFA864</t>
  </si>
  <si>
    <t>GSK210730GPZ478</t>
  </si>
  <si>
    <t>GSK210731GQO026</t>
  </si>
  <si>
    <t>GSK210731XJU190</t>
  </si>
  <si>
    <t>GSK210731AZK682</t>
  </si>
  <si>
    <t>GSK210731IAK187</t>
  </si>
  <si>
    <t>GSK210731XZE450</t>
  </si>
  <si>
    <t>GSK210731ZDV603</t>
  </si>
  <si>
    <t>GSK210731DTW021</t>
  </si>
  <si>
    <t>GSK210731PNL985</t>
  </si>
  <si>
    <t>GSK210731FSE045</t>
  </si>
  <si>
    <t>GSK210731NLX348</t>
  </si>
  <si>
    <t>GSK210731UIJ379</t>
  </si>
  <si>
    <t>GSK210731TVD193</t>
  </si>
  <si>
    <t>GSK210731MDB970</t>
  </si>
  <si>
    <t>GSK210731ZYX380</t>
  </si>
  <si>
    <t>GSK210731BHX136</t>
  </si>
  <si>
    <t>GSK210730OLN832</t>
  </si>
  <si>
    <t>KMP SEMBILANG</t>
  </si>
  <si>
    <t>6/8/2021 17:30 POD by JAKA</t>
  </si>
  <si>
    <t>BKI032210028803</t>
  </si>
  <si>
    <t>DMD/2108/01/KIFO2601</t>
  </si>
  <si>
    <t>DMD/2108/01/VUMP4159</t>
  </si>
  <si>
    <t>DMD/2108/01/TUEK9406</t>
  </si>
  <si>
    <t>GSK210731BMV498</t>
  </si>
  <si>
    <t>GSK210731ZVM853</t>
  </si>
  <si>
    <t>GSK210731WNK587</t>
  </si>
  <si>
    <t>GSK210731OAR016</t>
  </si>
  <si>
    <t>GSK210731MVU387</t>
  </si>
  <si>
    <t>GSK210731OAX124</t>
  </si>
  <si>
    <t>GSK210731CTM841</t>
  </si>
  <si>
    <t>GSK210731VSE702</t>
  </si>
  <si>
    <t>GSK210731NGA763</t>
  </si>
  <si>
    <t>GSK210731WFO281</t>
  </si>
  <si>
    <t>GSK210731ZOX976</t>
  </si>
  <si>
    <t>GSK210731SQE736</t>
  </si>
  <si>
    <t>GSK210801BST082</t>
  </si>
  <si>
    <t>GSK210731PQM085</t>
  </si>
  <si>
    <t>GSK210731NGY584</t>
  </si>
  <si>
    <t>GSK210731KQL816</t>
  </si>
  <si>
    <t>GSK210801DXC614</t>
  </si>
  <si>
    <t>GSK210801WLD596</t>
  </si>
  <si>
    <t>GSK210801PCQ128</t>
  </si>
  <si>
    <t>GSK210801AWS874</t>
  </si>
  <si>
    <t>GSK210801ZKB294</t>
  </si>
  <si>
    <t>GSK210801EAG795</t>
  </si>
  <si>
    <t>GSK210730NPD679</t>
  </si>
  <si>
    <t>GSK210730TCE254</t>
  </si>
  <si>
    <t>GSK210801WAU634</t>
  </si>
  <si>
    <t>DMP BTH (BATAM)</t>
  </si>
  <si>
    <t>KMP SATRIA 77</t>
  </si>
  <si>
    <t>DMD/2108/01/UIGK6780</t>
  </si>
  <si>
    <t>DMD/2108/01/DLPE8024</t>
  </si>
  <si>
    <t>DMD/2108/01/TCXP6490</t>
  </si>
  <si>
    <t>BKI032210028787</t>
  </si>
  <si>
    <t>GSK210801VKW321</t>
  </si>
  <si>
    <t>GSK210801IRH871</t>
  </si>
  <si>
    <t>GSK210801YMF132</t>
  </si>
  <si>
    <t>GSK210801GOE916</t>
  </si>
  <si>
    <t>GSK210801XWF830</t>
  </si>
  <si>
    <t>GSK210801LXZ407</t>
  </si>
  <si>
    <t>GSK210801OBG210</t>
  </si>
  <si>
    <t>GSK210801UPR120</t>
  </si>
  <si>
    <t>GSK210801QOT367</t>
  </si>
  <si>
    <t>GSK210801KWX507</t>
  </si>
  <si>
    <t>GSK210801NED916</t>
  </si>
  <si>
    <t>DMD/2108/02/QRKH9056</t>
  </si>
  <si>
    <t>BKI032210028928</t>
  </si>
  <si>
    <t>GSK210801ELI481</t>
  </si>
  <si>
    <t>GSK210802TEH387</t>
  </si>
  <si>
    <t>GSK210802XBG415</t>
  </si>
  <si>
    <t>GSK210802HKJ465</t>
  </si>
  <si>
    <t>GSK210802INF034</t>
  </si>
  <si>
    <t>BKI032210029231</t>
  </si>
  <si>
    <t>DMD/2108/06/LNIV4627</t>
  </si>
  <si>
    <t>GSK210806DQV462</t>
  </si>
  <si>
    <t>KMP SATRIA</t>
  </si>
  <si>
    <t>15/08/2021 POD by Restu</t>
  </si>
  <si>
    <t>DMD/2108/06/QMZV2680</t>
  </si>
  <si>
    <t>GSK210806PBD572</t>
  </si>
  <si>
    <t>GSK210806UMR724</t>
  </si>
  <si>
    <t>GSK210806EDS298</t>
  </si>
  <si>
    <t>GSK210806QLO068</t>
  </si>
  <si>
    <t>GSK210806DXP248</t>
  </si>
  <si>
    <t>GSK210806RVD496</t>
  </si>
  <si>
    <t>GSK210806BPL547</t>
  </si>
  <si>
    <t>GSK210806XNL308</t>
  </si>
  <si>
    <t>GSK210806CWB579</t>
  </si>
  <si>
    <t>GSK210806QFO520</t>
  </si>
  <si>
    <t>GSK210806AZE401</t>
  </si>
  <si>
    <t>GSK210806AKG610</t>
  </si>
  <si>
    <t>DMD/2108/06/VBPH/9385</t>
  </si>
  <si>
    <t>GSK210805CTM201</t>
  </si>
  <si>
    <t>GSK210806XEK657</t>
  </si>
  <si>
    <t>GSK210804ZSU957</t>
  </si>
  <si>
    <t>GSK210806YHW049</t>
  </si>
  <si>
    <t>GSK210806IAF530</t>
  </si>
  <si>
    <t>GSK210806ZEK247</t>
  </si>
  <si>
    <t>GSK210806PYJ539</t>
  </si>
  <si>
    <t>GSK210806QGE915</t>
  </si>
  <si>
    <t>GSK210806EIR395</t>
  </si>
  <si>
    <t>GSK210806EGU437</t>
  </si>
  <si>
    <t>GSK210806GVQ370</t>
  </si>
  <si>
    <t>GSK210806GYM485</t>
  </si>
  <si>
    <t>GSK210806CIH753</t>
  </si>
  <si>
    <t>GSK210806TPE146</t>
  </si>
  <si>
    <t>GSK210806CNK019</t>
  </si>
  <si>
    <t>GSK210806ZAX715</t>
  </si>
  <si>
    <t>GSK210806KJZ584</t>
  </si>
  <si>
    <t>GSK210806QCN324</t>
  </si>
  <si>
    <t>GSK210804LZK284</t>
  </si>
  <si>
    <t>GSK210806CEU517</t>
  </si>
  <si>
    <t>GSK210806OTE536</t>
  </si>
  <si>
    <t>BKI032210028944</t>
  </si>
  <si>
    <t>DMD/2108/04/PJGX2459</t>
  </si>
  <si>
    <t>GSK210804EWH537</t>
  </si>
  <si>
    <t>GSK210804SBC284</t>
  </si>
  <si>
    <t>GSK210804SBG365</t>
  </si>
  <si>
    <t>GSK210804CEH593</t>
  </si>
  <si>
    <t>GSK210804HLA431</t>
  </si>
  <si>
    <t>GSK210804HAG612</t>
  </si>
  <si>
    <t>GSK210803TLM749</t>
  </si>
  <si>
    <t>GSK210804BIM579</t>
  </si>
  <si>
    <t>GSK210804NRC260</t>
  </si>
  <si>
    <t>GSK210804CEW904</t>
  </si>
  <si>
    <t>GSK210802SXI549</t>
  </si>
  <si>
    <t>GSK210804FCS402</t>
  </si>
  <si>
    <t>GSK210804CWS859</t>
  </si>
  <si>
    <t>DMD/2108/04/ABNR0276</t>
  </si>
  <si>
    <t>GSK210804GBR836</t>
  </si>
  <si>
    <t>DMD/2108/04/QGSO3721</t>
  </si>
  <si>
    <t>GSK210804CMU724</t>
  </si>
  <si>
    <t>KM SEMBILANG</t>
  </si>
  <si>
    <t>11/8/2021 POD by Restu</t>
  </si>
  <si>
    <t>DMD/2108/03/GJLU4681</t>
  </si>
  <si>
    <t>GSK210803GQA910</t>
  </si>
  <si>
    <t>GSK210803HMU504</t>
  </si>
  <si>
    <t>GSK210803TLI861</t>
  </si>
  <si>
    <t>GSK210803ZGT397</t>
  </si>
  <si>
    <t>GSK210803EZL365</t>
  </si>
  <si>
    <t>GSK210803OQK306</t>
  </si>
  <si>
    <t>GSK210803FUY812</t>
  </si>
  <si>
    <t>GSK210803GDP869</t>
  </si>
  <si>
    <t>GSK210803ABM517</t>
  </si>
  <si>
    <t>GSK210803BEK507</t>
  </si>
  <si>
    <t>GSK210803QMD826</t>
  </si>
  <si>
    <t>GSK210803HPX184</t>
  </si>
  <si>
    <t>GSK210803XIG674</t>
  </si>
  <si>
    <t>GSK210803QEO289</t>
  </si>
  <si>
    <t>GSK210803XKB271</t>
  </si>
  <si>
    <t>DMD/2108/03/CDOE4253</t>
  </si>
  <si>
    <t>GSK210803QAP263</t>
  </si>
  <si>
    <t>BKI032210028894</t>
  </si>
  <si>
    <t>BKI032210029579</t>
  </si>
  <si>
    <t>DMD/2108/05/VKBM4302</t>
  </si>
  <si>
    <t>GSK210805LAV296</t>
  </si>
  <si>
    <t>GSK210805BMJ680</t>
  </si>
  <si>
    <t>GSK210805VIT845</t>
  </si>
  <si>
    <t>GSK210805PDX309</t>
  </si>
  <si>
    <t>GSK210805EOR427</t>
  </si>
  <si>
    <t>GSK210805TCF374</t>
  </si>
  <si>
    <t>GSK210805WUT741</t>
  </si>
  <si>
    <t>GSK210804RXT706</t>
  </si>
  <si>
    <t>GSK210804IET183</t>
  </si>
  <si>
    <t>GSK210804NZA809</t>
  </si>
  <si>
    <t>GSK210803NLQ395</t>
  </si>
  <si>
    <t>GSK210805ZJR385</t>
  </si>
  <si>
    <t>GSK210803JLA837</t>
  </si>
  <si>
    <t>GSK210805TIH276</t>
  </si>
  <si>
    <t>GSK210805KYD692</t>
  </si>
  <si>
    <t>GSK210804BOG964</t>
  </si>
  <si>
    <t>GSK210805UZH134</t>
  </si>
  <si>
    <t>GSK210805JET947</t>
  </si>
  <si>
    <t>GSK210805BIL079</t>
  </si>
  <si>
    <t>GSK210805YUE283</t>
  </si>
  <si>
    <t>GSK210805MXK679</t>
  </si>
  <si>
    <t>GSK210805JDV436</t>
  </si>
  <si>
    <t>GSK210805IVZ284</t>
  </si>
  <si>
    <t>GSK210805UWB702</t>
  </si>
  <si>
    <t>DMD/2108/05/CXIN0615</t>
  </si>
  <si>
    <t>GSK210804DGC381</t>
  </si>
  <si>
    <t>DMD/2108/05/SPCD7509</t>
  </si>
  <si>
    <t>GSK210804QID471</t>
  </si>
  <si>
    <t>GSK210804JEI093</t>
  </si>
  <si>
    <t>GSK210805YHC301</t>
  </si>
  <si>
    <t>GSK210804VDI097</t>
  </si>
  <si>
    <t>GSK210804ZMP416</t>
  </si>
  <si>
    <t>GSK210804QNI693</t>
  </si>
  <si>
    <t>GSK210804RCW569</t>
  </si>
  <si>
    <t>GSK210805YUN037</t>
  </si>
  <si>
    <t>GSK210805FVD201</t>
  </si>
  <si>
    <t>GSK210804GVZ406</t>
  </si>
  <si>
    <t>BKI032210029603</t>
  </si>
  <si>
    <t>DMD/2108/07/EUNL4502</t>
  </si>
  <si>
    <t>GSK210807EIN352</t>
  </si>
  <si>
    <t>GSK210807OLW610</t>
  </si>
  <si>
    <t>GSK210806LAD079</t>
  </si>
  <si>
    <t>GSK210806KQP240</t>
  </si>
  <si>
    <t>GSK210807HNL968</t>
  </si>
  <si>
    <t>GSK210807RJL918</t>
  </si>
  <si>
    <t>GSK210807FBJ836</t>
  </si>
  <si>
    <t>GSK210807PKA896</t>
  </si>
  <si>
    <t>GSK210807ZAL619</t>
  </si>
  <si>
    <t>GSK210807YIK240</t>
  </si>
  <si>
    <t>GSK210807KPG974</t>
  </si>
  <si>
    <t>GSK210807GPD214</t>
  </si>
  <si>
    <t>GSK210806MNQ547</t>
  </si>
  <si>
    <t>GSK210807BQV673</t>
  </si>
  <si>
    <t>GSK210807CGJ658</t>
  </si>
  <si>
    <t>GSK210807TOP167</t>
  </si>
  <si>
    <t>DMD/2108/07/JLAF0531</t>
  </si>
  <si>
    <t>GSK210807IKO736</t>
  </si>
  <si>
    <t>DMD/2108/07/PEKV2304</t>
  </si>
  <si>
    <t>GSK210807LST783</t>
  </si>
  <si>
    <t xml:space="preserve"> 008/PCI/K1/ViII/21</t>
  </si>
  <si>
    <t xml:space="preserve"> 24 Agustus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</si>
  <si>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Enam Juta Enam Ratus Tiga Puluh Dua Ribu Enam Ratus Sembilan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</si>
</sst>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  <numFmt numFmtId="170" formatCode="0.0"/>
    <numFmt numFmtId="171" formatCode="dd/mm/yy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7" fontId="8" fillId="0" borderId="5" xfId="3" applyNumberFormat="1" applyFont="1" applyBorder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5" fontId="5" fillId="0" borderId="0" xfId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left" vertical="center" wrapText="1"/>
    </xf>
    <xf numFmtId="166" fontId="2" fillId="0" borderId="1" xfId="0" applyNumberFormat="1" applyFont="1" applyFill="1" applyBorder="1" applyAlignment="1">
      <alignment horizontal="left" vertical="center" wrapText="1"/>
    </xf>
    <xf numFmtId="166" fontId="17" fillId="0" borderId="1" xfId="0" applyNumberFormat="1" applyFont="1" applyFill="1" applyBorder="1" applyAlignment="1">
      <alignment horizontal="left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6" fontId="17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70" fontId="0" fillId="0" borderId="1" xfId="0" applyNumberFormat="1" applyFont="1" applyBorder="1" applyAlignment="1">
      <alignment vertical="center"/>
    </xf>
    <xf numFmtId="165" fontId="9" fillId="0" borderId="0" xfId="1" applyFont="1"/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171" fontId="2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6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71" formatCode="dd/mm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49</xdr:row>
      <xdr:rowOff>95250</xdr:rowOff>
    </xdr:from>
    <xdr:to>
      <xdr:col>17</xdr:col>
      <xdr:colOff>221316</xdr:colOff>
      <xdr:row>54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9400" y="112014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37</xdr:row>
      <xdr:rowOff>133350</xdr:rowOff>
    </xdr:from>
    <xdr:to>
      <xdr:col>15</xdr:col>
      <xdr:colOff>552450</xdr:colOff>
      <xdr:row>42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77350" y="87915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885825</xdr:colOff>
      <xdr:row>42</xdr:row>
      <xdr:rowOff>48929</xdr:rowOff>
    </xdr:from>
    <xdr:to>
      <xdr:col>16</xdr:col>
      <xdr:colOff>161925</xdr:colOff>
      <xdr:row>48</xdr:row>
      <xdr:rowOff>95249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148317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C2:N22" totalsRowShown="0" headerRowDxfId="159" dataDxfId="157" headerRowBorderDxfId="158">
  <tableColumns count="12">
    <tableColumn id="1" name="NOMOR" dataDxfId="156" dataCellStyle="Normal"/>
    <tableColumn id="3" name="TUJUAN" dataDxfId="155" dataCellStyle="Normal"/>
    <tableColumn id="16" name="Pick Up" dataDxfId="154"/>
    <tableColumn id="14" name="KAPAL" dataDxfId="153"/>
    <tableColumn id="15" name="ETD Kapal" dataDxfId="152"/>
    <tableColumn id="10" name="KETERANGAN" dataDxfId="151" dataCellStyle="Normal"/>
    <tableColumn id="5" name="P" dataDxfId="150" dataCellStyle="Normal"/>
    <tableColumn id="6" name="L" dataDxfId="149" dataCellStyle="Normal"/>
    <tableColumn id="7" name="T" dataDxfId="148" dataCellStyle="Normal"/>
    <tableColumn id="4" name="ACT KG" dataDxfId="147" dataCellStyle="Normal"/>
    <tableColumn id="8" name="KG VOLUME" dataDxfId="146" dataCellStyle="Normal"/>
    <tableColumn id="19" name="PEMBULATAN" dataDxfId="14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C2:N27" totalsRowShown="0" headerRowDxfId="140" dataDxfId="138" headerRowBorderDxfId="139">
  <tableColumns count="12">
    <tableColumn id="1" name="NOMOR" dataDxfId="137" dataCellStyle="Normal"/>
    <tableColumn id="3" name="TUJUAN" dataDxfId="136" dataCellStyle="Normal"/>
    <tableColumn id="16" name="Pick Up" dataDxfId="135"/>
    <tableColumn id="14" name="KAPAL" dataDxfId="134"/>
    <tableColumn id="15" name="ETD Kapal" dataDxfId="133"/>
    <tableColumn id="10" name="KETERANGAN" dataDxfId="132" dataCellStyle="Normal"/>
    <tableColumn id="5" name="P" dataDxfId="131" dataCellStyle="Normal"/>
    <tableColumn id="6" name="L" dataDxfId="130" dataCellStyle="Normal"/>
    <tableColumn id="7" name="T" dataDxfId="129" dataCellStyle="Normal"/>
    <tableColumn id="4" name="ACT KG" dataDxfId="128" dataCellStyle="Normal"/>
    <tableColumn id="8" name="KG VOLUME" dataDxfId="127" dataCellStyle="Normal">
      <calculatedColumnFormula>I3*J3*K3/4000</calculatedColumnFormula>
    </tableColumn>
    <tableColumn id="19" name="PEMBULATAN" dataDxfId="12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5" name="Table226" displayName="Table226" ref="C2:N13" totalsRowShown="0" headerRowDxfId="122" dataDxfId="120" headerRowBorderDxfId="121">
  <tableColumns count="12">
    <tableColumn id="1" name="NOMOR" dataDxfId="119" dataCellStyle="Normal"/>
    <tableColumn id="3" name="TUJUAN" dataDxfId="118" dataCellStyle="Normal"/>
    <tableColumn id="16" name="Pick Up" dataDxfId="117"/>
    <tableColumn id="14" name="KAPAL" dataDxfId="116"/>
    <tableColumn id="15" name="ETD Kapal" dataDxfId="115"/>
    <tableColumn id="10" name="KETERANGAN" dataDxfId="114" dataCellStyle="Normal"/>
    <tableColumn id="5" name="P" dataDxfId="113" dataCellStyle="Normal"/>
    <tableColumn id="6" name="L" dataDxfId="112" dataCellStyle="Normal"/>
    <tableColumn id="7" name="T" dataDxfId="111" dataCellStyle="Normal"/>
    <tableColumn id="4" name="ACT KG" dataDxfId="110" dataCellStyle="Normal"/>
    <tableColumn id="8" name="KG VOLUME" dataDxfId="109" dataCellStyle="Normal">
      <calculatedColumnFormula>I3*J3*K3/4000</calculatedColumnFormula>
    </tableColumn>
    <tableColumn id="19" name="PEMBULATAN" dataDxfId="10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" displayName="Table224" ref="C2:N7" totalsRowShown="0" headerRowDxfId="104" dataDxfId="102" headerRowBorderDxfId="103">
  <tableColumns count="12">
    <tableColumn id="1" name="NOMOR" dataDxfId="101" dataCellStyle="Normal"/>
    <tableColumn id="3" name="TUJUAN" dataDxfId="100" dataCellStyle="Normal"/>
    <tableColumn id="16" name="Pick Up" dataDxfId="99"/>
    <tableColumn id="14" name="KAPAL" dataDxfId="98"/>
    <tableColumn id="15" name="ETD Kapal" dataDxfId="97"/>
    <tableColumn id="10" name="KETERANGAN" dataDxfId="96" dataCellStyle="Normal"/>
    <tableColumn id="5" name="P" dataDxfId="95" dataCellStyle="Normal"/>
    <tableColumn id="6" name="L" dataDxfId="94" dataCellStyle="Normal"/>
    <tableColumn id="7" name="T" dataDxfId="93" dataCellStyle="Normal"/>
    <tableColumn id="4" name="ACT KG" dataDxfId="92" dataCellStyle="Normal"/>
    <tableColumn id="8" name="KG VOLUME" dataDxfId="91" dataCellStyle="Normal">
      <calculatedColumnFormula>I3*J3*K3/4000</calculatedColumnFormula>
    </tableColumn>
    <tableColumn id="19" name="PEMBULATAN" dataDxfId="9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9" name="Table224578910" displayName="Table224578910" ref="C2:N18" totalsRowShown="0" headerRowDxfId="86" dataDxfId="84" headerRowBorderDxfId="85">
  <tableColumns count="12">
    <tableColumn id="1" name="NOMOR" dataDxfId="83" dataCellStyle="Normal"/>
    <tableColumn id="3" name="TUJUAN" dataDxfId="82" dataCellStyle="Normal"/>
    <tableColumn id="16" name="Pick Up" dataDxfId="81"/>
    <tableColumn id="14" name="KAPAL" dataDxfId="80"/>
    <tableColumn id="15" name="ETD Kapal" dataDxfId="79"/>
    <tableColumn id="10" name="KETERANGAN" dataDxfId="78" dataCellStyle="Normal"/>
    <tableColumn id="5" name="P" dataDxfId="77" dataCellStyle="Normal"/>
    <tableColumn id="6" name="L" dataDxfId="76" dataCellStyle="Normal"/>
    <tableColumn id="7" name="T" dataDxfId="75" dataCellStyle="Normal"/>
    <tableColumn id="4" name="ACT KG" dataDxfId="74" dataCellStyle="Normal"/>
    <tableColumn id="8" name="KG VOLUME" dataDxfId="73" dataCellStyle="Normal">
      <calculatedColumnFormula>I3*J3*K3/4000</calculatedColumnFormula>
    </tableColumn>
    <tableColumn id="19" name="PEMBULATAN" dataDxfId="7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8" name="Table2245789" displayName="Table2245789" ref="C2:N17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>
      <calculatedColumnFormula>I3*J3*K3/4000</calculatedColumnFormula>
    </tableColumn>
    <tableColumn id="19" name="PEMBULATAN" dataDxfId="5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10" name="Table22457891011" displayName="Table22457891011" ref="C2:N37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>
      <calculatedColumnFormula>I3*J3*K3/4000</calculatedColumnFormula>
    </tableColumn>
    <tableColumn id="19" name="PEMBULATAN" dataDxfId="36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7" name="Table224578" displayName="Table224578" ref="C2:N36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>
      <calculatedColumnFormula>I3*J3*K3/4000</calculatedColumnFormula>
    </tableColumn>
    <tableColumn id="19" name="PEMBULATAN" dataDxfId="18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1" name="Table2245789101112" displayName="Table2245789101112" ref="C2:N20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>
      <calculatedColumnFormula>I3*J3*K3/4000</calculatedColumnFormula>
    </tableColumn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50"/>
  <sheetViews>
    <sheetView topLeftCell="A11" workbookViewId="0">
      <selection activeCell="L16" sqref="L16"/>
    </sheetView>
  </sheetViews>
  <sheetFormatPr defaultRowHeight="15.75" x14ac:dyDescent="0.25"/>
  <cols>
    <col min="1" max="1" width="6.42578125" style="20" customWidth="1"/>
    <col min="2" max="2" width="11.5703125" style="20" customWidth="1"/>
    <col min="3" max="3" width="10" style="20" customWidth="1"/>
    <col min="4" max="4" width="29.140625" style="20" customWidth="1"/>
    <col min="5" max="5" width="13.85546875" style="20" customWidth="1"/>
    <col min="6" max="6" width="6.85546875" style="20" bestFit="1" customWidth="1"/>
    <col min="7" max="7" width="5.28515625" style="20" customWidth="1"/>
    <col min="8" max="8" width="14.140625" style="21" bestFit="1" customWidth="1"/>
    <col min="9" max="9" width="1.5703125" style="21" customWidth="1"/>
    <col min="10" max="10" width="18.140625" style="20" customWidth="1"/>
    <col min="11" max="11" width="9.140625" style="20"/>
    <col min="12" max="12" width="15.7109375" style="20" bestFit="1" customWidth="1"/>
    <col min="13" max="16384" width="9.140625" style="20"/>
  </cols>
  <sheetData>
    <row r="2" spans="1:10" x14ac:dyDescent="0.25">
      <c r="A2" s="19" t="s">
        <v>10</v>
      </c>
    </row>
    <row r="3" spans="1:10" x14ac:dyDescent="0.25">
      <c r="A3" s="22" t="s">
        <v>11</v>
      </c>
    </row>
    <row r="4" spans="1:10" x14ac:dyDescent="0.25">
      <c r="A4" s="22" t="s">
        <v>12</v>
      </c>
    </row>
    <row r="5" spans="1:10" x14ac:dyDescent="0.25">
      <c r="A5" s="22" t="s">
        <v>13</v>
      </c>
    </row>
    <row r="6" spans="1:10" x14ac:dyDescent="0.25">
      <c r="A6" s="22" t="s">
        <v>14</v>
      </c>
    </row>
    <row r="7" spans="1:10" x14ac:dyDescent="0.25">
      <c r="A7" s="22" t="s">
        <v>15</v>
      </c>
    </row>
    <row r="9" spans="1:10" ht="16.5" thickBot="1" x14ac:dyDescent="0.3">
      <c r="A9" s="23"/>
      <c r="B9" s="23"/>
      <c r="C9" s="23"/>
      <c r="D9" s="23"/>
      <c r="E9" s="23"/>
      <c r="F9" s="23"/>
      <c r="G9" s="23"/>
      <c r="H9" s="24"/>
      <c r="I9" s="24"/>
      <c r="J9" s="23"/>
    </row>
    <row r="10" spans="1:10" ht="23.25" customHeight="1" thickBot="1" x14ac:dyDescent="0.3">
      <c r="A10" s="121" t="s">
        <v>16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2" spans="1:10" x14ac:dyDescent="0.25">
      <c r="A12" s="20" t="s">
        <v>17</v>
      </c>
      <c r="B12" s="20" t="s">
        <v>18</v>
      </c>
      <c r="H12" s="21" t="s">
        <v>19</v>
      </c>
      <c r="I12" s="25" t="s">
        <v>20</v>
      </c>
      <c r="J12" s="26" t="s">
        <v>279</v>
      </c>
    </row>
    <row r="13" spans="1:10" x14ac:dyDescent="0.25">
      <c r="H13" s="21" t="s">
        <v>21</v>
      </c>
      <c r="I13" s="25" t="s">
        <v>20</v>
      </c>
      <c r="J13" s="27" t="s">
        <v>280</v>
      </c>
    </row>
    <row r="14" spans="1:10" x14ac:dyDescent="0.25">
      <c r="H14" s="21" t="s">
        <v>22</v>
      </c>
      <c r="I14" s="25" t="s">
        <v>20</v>
      </c>
      <c r="J14" s="20" t="s">
        <v>23</v>
      </c>
    </row>
    <row r="15" spans="1:10" x14ac:dyDescent="0.25">
      <c r="A15" s="20" t="s">
        <v>24</v>
      </c>
      <c r="B15" s="26" t="s">
        <v>25</v>
      </c>
      <c r="C15" s="26"/>
      <c r="I15" s="25"/>
    </row>
    <row r="16" spans="1:10" ht="16.5" thickBot="1" x14ac:dyDescent="0.3"/>
    <row r="17" spans="1:18" ht="26.25" customHeight="1" x14ac:dyDescent="0.25">
      <c r="A17" s="28" t="s">
        <v>26</v>
      </c>
      <c r="B17" s="29" t="s">
        <v>27</v>
      </c>
      <c r="C17" s="29" t="s">
        <v>28</v>
      </c>
      <c r="D17" s="29" t="s">
        <v>29</v>
      </c>
      <c r="E17" s="29" t="s">
        <v>30</v>
      </c>
      <c r="F17" s="30" t="s">
        <v>31</v>
      </c>
      <c r="G17" s="30" t="s">
        <v>32</v>
      </c>
      <c r="H17" s="124" t="s">
        <v>33</v>
      </c>
      <c r="I17" s="125"/>
      <c r="J17" s="31" t="s">
        <v>34</v>
      </c>
    </row>
    <row r="18" spans="1:18" ht="67.5" customHeight="1" x14ac:dyDescent="0.25">
      <c r="A18" s="32">
        <v>1</v>
      </c>
      <c r="B18" s="33">
        <v>44408</v>
      </c>
      <c r="C18" s="34" t="s">
        <v>62</v>
      </c>
      <c r="D18" s="35" t="s">
        <v>35</v>
      </c>
      <c r="E18" s="35" t="s">
        <v>36</v>
      </c>
      <c r="F18" s="36">
        <v>20</v>
      </c>
      <c r="G18" s="37">
        <v>524</v>
      </c>
      <c r="H18" s="116">
        <v>7000</v>
      </c>
      <c r="I18" s="117"/>
      <c r="J18" s="38">
        <f>G18*H18</f>
        <v>3668000</v>
      </c>
      <c r="L18"/>
    </row>
    <row r="19" spans="1:18" ht="67.5" customHeight="1" x14ac:dyDescent="0.25">
      <c r="A19" s="32">
        <f>A18+1</f>
        <v>2</v>
      </c>
      <c r="B19" s="33">
        <v>44409</v>
      </c>
      <c r="C19" s="34" t="s">
        <v>85</v>
      </c>
      <c r="D19" s="35" t="s">
        <v>35</v>
      </c>
      <c r="E19" s="35" t="s">
        <v>36</v>
      </c>
      <c r="F19" s="36">
        <v>25</v>
      </c>
      <c r="G19" s="36">
        <v>443</v>
      </c>
      <c r="H19" s="116">
        <v>7000</v>
      </c>
      <c r="I19" s="117"/>
      <c r="J19" s="38">
        <f t="shared" ref="J19:J25" si="0">G19*H19</f>
        <v>3101000</v>
      </c>
      <c r="L19"/>
    </row>
    <row r="20" spans="1:18" ht="67.5" customHeight="1" x14ac:dyDescent="0.25">
      <c r="A20" s="32">
        <f t="shared" ref="A20:A26" si="1">A19+1</f>
        <v>3</v>
      </c>
      <c r="B20" s="33">
        <v>44409</v>
      </c>
      <c r="C20" s="34" t="s">
        <v>119</v>
      </c>
      <c r="D20" s="35" t="s">
        <v>35</v>
      </c>
      <c r="E20" s="35" t="s">
        <v>36</v>
      </c>
      <c r="F20" s="36">
        <v>11</v>
      </c>
      <c r="G20" s="36">
        <v>239</v>
      </c>
      <c r="H20" s="116">
        <v>7000</v>
      </c>
      <c r="I20" s="117"/>
      <c r="J20" s="38">
        <f t="shared" si="0"/>
        <v>1673000</v>
      </c>
      <c r="L20"/>
    </row>
    <row r="21" spans="1:18" ht="67.5" customHeight="1" x14ac:dyDescent="0.25">
      <c r="A21" s="32">
        <f t="shared" si="1"/>
        <v>4</v>
      </c>
      <c r="B21" s="33">
        <v>44410</v>
      </c>
      <c r="C21" s="34" t="s">
        <v>132</v>
      </c>
      <c r="D21" s="35" t="s">
        <v>35</v>
      </c>
      <c r="E21" s="35" t="s">
        <v>36</v>
      </c>
      <c r="F21" s="36">
        <v>5</v>
      </c>
      <c r="G21" s="36">
        <v>131</v>
      </c>
      <c r="H21" s="116">
        <v>7000</v>
      </c>
      <c r="I21" s="117"/>
      <c r="J21" s="38">
        <f t="shared" si="0"/>
        <v>917000</v>
      </c>
      <c r="L21"/>
    </row>
    <row r="22" spans="1:18" ht="67.5" customHeight="1" x14ac:dyDescent="0.25">
      <c r="A22" s="32">
        <f t="shared" si="1"/>
        <v>5</v>
      </c>
      <c r="B22" s="33">
        <v>44411</v>
      </c>
      <c r="C22" s="34" t="s">
        <v>217</v>
      </c>
      <c r="D22" s="35" t="s">
        <v>35</v>
      </c>
      <c r="E22" s="35" t="s">
        <v>36</v>
      </c>
      <c r="F22" s="36">
        <v>16</v>
      </c>
      <c r="G22" s="36">
        <v>324</v>
      </c>
      <c r="H22" s="116">
        <v>7000</v>
      </c>
      <c r="I22" s="117"/>
      <c r="J22" s="38">
        <f>G22*H22</f>
        <v>2268000</v>
      </c>
      <c r="L22"/>
    </row>
    <row r="23" spans="1:18" ht="67.5" customHeight="1" x14ac:dyDescent="0.25">
      <c r="A23" s="32">
        <f t="shared" si="1"/>
        <v>6</v>
      </c>
      <c r="B23" s="33">
        <v>44412</v>
      </c>
      <c r="C23" s="34" t="s">
        <v>178</v>
      </c>
      <c r="D23" s="35" t="s">
        <v>35</v>
      </c>
      <c r="E23" s="35" t="s">
        <v>36</v>
      </c>
      <c r="F23" s="36">
        <v>15</v>
      </c>
      <c r="G23" s="36">
        <v>412</v>
      </c>
      <c r="H23" s="116">
        <v>7000</v>
      </c>
      <c r="I23" s="117"/>
      <c r="J23" s="38">
        <f>G23*H23</f>
        <v>2884000</v>
      </c>
      <c r="L23"/>
    </row>
    <row r="24" spans="1:18" ht="67.5" customHeight="1" x14ac:dyDescent="0.25">
      <c r="A24" s="32">
        <f t="shared" si="1"/>
        <v>7</v>
      </c>
      <c r="B24" s="33">
        <v>44413</v>
      </c>
      <c r="C24" s="34" t="s">
        <v>218</v>
      </c>
      <c r="D24" s="35" t="s">
        <v>35</v>
      </c>
      <c r="E24" s="35" t="s">
        <v>36</v>
      </c>
      <c r="F24" s="36">
        <v>35</v>
      </c>
      <c r="G24" s="36">
        <v>749</v>
      </c>
      <c r="H24" s="116">
        <v>7000</v>
      </c>
      <c r="I24" s="117"/>
      <c r="J24" s="38">
        <f>G24*H24</f>
        <v>5243000</v>
      </c>
      <c r="L24"/>
    </row>
    <row r="25" spans="1:18" ht="67.5" customHeight="1" x14ac:dyDescent="0.25">
      <c r="A25" s="32">
        <f t="shared" si="1"/>
        <v>8</v>
      </c>
      <c r="B25" s="33">
        <v>44414</v>
      </c>
      <c r="C25" s="34" t="s">
        <v>138</v>
      </c>
      <c r="D25" s="35" t="s">
        <v>35</v>
      </c>
      <c r="E25" s="35" t="s">
        <v>36</v>
      </c>
      <c r="F25" s="36">
        <v>34</v>
      </c>
      <c r="G25" s="36">
        <v>612</v>
      </c>
      <c r="H25" s="116">
        <v>7000</v>
      </c>
      <c r="I25" s="117"/>
      <c r="J25" s="38">
        <f t="shared" si="0"/>
        <v>4284000</v>
      </c>
      <c r="L25"/>
    </row>
    <row r="26" spans="1:18" ht="67.5" customHeight="1" x14ac:dyDescent="0.25">
      <c r="A26" s="32">
        <f t="shared" si="1"/>
        <v>9</v>
      </c>
      <c r="B26" s="33">
        <v>44415</v>
      </c>
      <c r="C26" s="34" t="s">
        <v>257</v>
      </c>
      <c r="D26" s="35" t="s">
        <v>35</v>
      </c>
      <c r="E26" s="35" t="s">
        <v>36</v>
      </c>
      <c r="F26" s="36">
        <v>18</v>
      </c>
      <c r="G26" s="36">
        <v>333</v>
      </c>
      <c r="H26" s="116">
        <v>7000</v>
      </c>
      <c r="I26" s="117"/>
      <c r="J26" s="38">
        <f t="shared" ref="J26" si="2">G26*H26</f>
        <v>2331000</v>
      </c>
      <c r="L26"/>
    </row>
    <row r="27" spans="1:18" ht="32.25" customHeight="1" thickBot="1" x14ac:dyDescent="0.3">
      <c r="A27" s="126" t="s">
        <v>37</v>
      </c>
      <c r="B27" s="127"/>
      <c r="C27" s="127"/>
      <c r="D27" s="127"/>
      <c r="E27" s="127"/>
      <c r="F27" s="127"/>
      <c r="G27" s="127"/>
      <c r="H27" s="127"/>
      <c r="I27" s="128"/>
      <c r="J27" s="39">
        <f>SUM(J18:J26)</f>
        <v>26369000</v>
      </c>
    </row>
    <row r="28" spans="1:18" x14ac:dyDescent="0.25">
      <c r="A28" s="129"/>
      <c r="B28" s="129"/>
      <c r="C28" s="40"/>
      <c r="D28" s="40"/>
      <c r="E28" s="40"/>
      <c r="F28" s="40"/>
      <c r="G28" s="40"/>
      <c r="H28" s="41"/>
      <c r="I28" s="41"/>
      <c r="J28" s="42"/>
    </row>
    <row r="29" spans="1:18" x14ac:dyDescent="0.25">
      <c r="A29" s="40"/>
      <c r="B29" s="40"/>
      <c r="C29" s="40"/>
      <c r="D29" s="40"/>
      <c r="E29" s="40"/>
      <c r="F29" s="40"/>
      <c r="G29" s="40"/>
      <c r="H29" s="43" t="s">
        <v>38</v>
      </c>
      <c r="I29" s="44" t="e">
        <f>#REF!*1%</f>
        <v>#REF!</v>
      </c>
      <c r="J29" s="42">
        <f>J27*1%</f>
        <v>263690</v>
      </c>
    </row>
    <row r="30" spans="1:18" x14ac:dyDescent="0.25">
      <c r="A30" s="40"/>
      <c r="B30" s="40"/>
      <c r="C30" s="40"/>
      <c r="D30" s="40"/>
      <c r="E30" s="40"/>
      <c r="F30" s="40"/>
      <c r="G30" s="40"/>
      <c r="H30" s="43" t="s">
        <v>39</v>
      </c>
      <c r="I30" s="42">
        <f>I28*10%</f>
        <v>0</v>
      </c>
      <c r="J30" s="42">
        <v>0</v>
      </c>
    </row>
    <row r="31" spans="1:18" ht="16.5" thickBot="1" x14ac:dyDescent="0.3">
      <c r="E31" s="19"/>
      <c r="F31" s="19"/>
      <c r="G31" s="19"/>
      <c r="H31" s="45" t="s">
        <v>40</v>
      </c>
      <c r="I31" s="46">
        <v>0</v>
      </c>
      <c r="J31" s="46">
        <v>0</v>
      </c>
      <c r="R31" s="20" t="s">
        <v>9</v>
      </c>
    </row>
    <row r="32" spans="1:18" x14ac:dyDescent="0.25">
      <c r="E32" s="19"/>
      <c r="F32" s="19"/>
      <c r="G32" s="19"/>
      <c r="H32" s="47" t="s">
        <v>41</v>
      </c>
      <c r="I32" s="48" t="e">
        <f>I27+I29</f>
        <v>#REF!</v>
      </c>
      <c r="J32" s="48">
        <f>J27+J29</f>
        <v>26632690</v>
      </c>
      <c r="L32" s="108"/>
    </row>
    <row r="33" spans="1:10" x14ac:dyDescent="0.25">
      <c r="E33" s="19"/>
      <c r="F33" s="19"/>
      <c r="G33" s="19"/>
      <c r="H33" s="47"/>
      <c r="I33" s="48"/>
      <c r="J33" s="48"/>
    </row>
    <row r="34" spans="1:10" x14ac:dyDescent="0.25">
      <c r="A34" s="19" t="s">
        <v>281</v>
      </c>
      <c r="D34" s="19"/>
      <c r="E34" s="19"/>
      <c r="F34" s="19"/>
      <c r="G34" s="19"/>
      <c r="H34" s="47"/>
      <c r="I34" s="47"/>
      <c r="J34" s="48"/>
    </row>
    <row r="35" spans="1:10" x14ac:dyDescent="0.25">
      <c r="A35" s="49"/>
      <c r="D35" s="19"/>
      <c r="E35" s="19"/>
      <c r="F35" s="19"/>
      <c r="G35" s="19"/>
      <c r="H35" s="47"/>
      <c r="I35" s="47"/>
      <c r="J35" s="48"/>
    </row>
    <row r="36" spans="1:10" x14ac:dyDescent="0.25">
      <c r="D36" s="19"/>
      <c r="E36" s="19"/>
      <c r="F36" s="19"/>
      <c r="G36" s="19"/>
      <c r="H36" s="47"/>
      <c r="I36" s="47"/>
      <c r="J36" s="48"/>
    </row>
    <row r="37" spans="1:10" x14ac:dyDescent="0.25">
      <c r="A37" s="50" t="s">
        <v>42</v>
      </c>
    </row>
    <row r="38" spans="1:10" x14ac:dyDescent="0.25">
      <c r="A38" s="51" t="s">
        <v>43</v>
      </c>
      <c r="B38" s="52"/>
      <c r="C38" s="52"/>
      <c r="D38" s="53"/>
      <c r="E38" s="53"/>
      <c r="F38" s="53"/>
      <c r="G38" s="53"/>
    </row>
    <row r="39" spans="1:10" x14ac:dyDescent="0.25">
      <c r="A39" s="51" t="s">
        <v>44</v>
      </c>
      <c r="B39" s="52"/>
      <c r="C39" s="52"/>
      <c r="D39" s="53"/>
      <c r="E39" s="53"/>
      <c r="F39" s="53"/>
      <c r="G39" s="53"/>
    </row>
    <row r="40" spans="1:10" x14ac:dyDescent="0.25">
      <c r="A40" s="54" t="s">
        <v>45</v>
      </c>
      <c r="B40" s="55"/>
      <c r="C40" s="55"/>
      <c r="D40" s="53"/>
      <c r="E40" s="53"/>
      <c r="F40" s="53"/>
      <c r="G40" s="53"/>
    </row>
    <row r="41" spans="1:10" x14ac:dyDescent="0.25">
      <c r="A41" s="56" t="s">
        <v>10</v>
      </c>
      <c r="B41" s="57"/>
      <c r="C41" s="57"/>
      <c r="D41" s="53"/>
      <c r="E41" s="53"/>
      <c r="F41" s="53"/>
      <c r="G41" s="53"/>
    </row>
    <row r="42" spans="1:10" x14ac:dyDescent="0.25">
      <c r="A42" s="58"/>
      <c r="B42" s="58"/>
      <c r="C42" s="58"/>
    </row>
    <row r="43" spans="1:10" x14ac:dyDescent="0.25">
      <c r="H43" s="59" t="s">
        <v>46</v>
      </c>
      <c r="I43" s="118" t="str">
        <f>+J13</f>
        <v xml:space="preserve"> 24 Agustus 2021</v>
      </c>
      <c r="J43" s="119"/>
    </row>
    <row r="47" spans="1:10" ht="18" customHeight="1" x14ac:dyDescent="0.25"/>
    <row r="48" spans="1:10" ht="17.25" customHeight="1" x14ac:dyDescent="0.25"/>
    <row r="50" spans="8:10" x14ac:dyDescent="0.25">
      <c r="H50" s="120" t="s">
        <v>47</v>
      </c>
      <c r="I50" s="120"/>
      <c r="J50" s="120"/>
    </row>
  </sheetData>
  <mergeCells count="15">
    <mergeCell ref="H24:I24"/>
    <mergeCell ref="I43:J43"/>
    <mergeCell ref="H50:J50"/>
    <mergeCell ref="A10:J10"/>
    <mergeCell ref="H17:I17"/>
    <mergeCell ref="H18:I18"/>
    <mergeCell ref="A27:I27"/>
    <mergeCell ref="A28:B28"/>
    <mergeCell ref="H19:I19"/>
    <mergeCell ref="H20:I20"/>
    <mergeCell ref="H21:I21"/>
    <mergeCell ref="H25:I25"/>
    <mergeCell ref="H23:I23"/>
    <mergeCell ref="H22:I22"/>
    <mergeCell ref="H26:I2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P41"/>
  <sheetViews>
    <sheetView tabSelected="1"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257</v>
      </c>
      <c r="B3" s="81" t="s">
        <v>258</v>
      </c>
      <c r="C3" s="9" t="s">
        <v>259</v>
      </c>
      <c r="D3" s="94" t="s">
        <v>114</v>
      </c>
      <c r="E3" s="13">
        <v>44415</v>
      </c>
      <c r="F3" s="94" t="s">
        <v>141</v>
      </c>
      <c r="G3" s="13">
        <v>44419</v>
      </c>
      <c r="H3" s="10" t="s">
        <v>142</v>
      </c>
      <c r="I3" s="1">
        <v>39</v>
      </c>
      <c r="J3" s="1">
        <v>40</v>
      </c>
      <c r="K3" s="1">
        <v>38</v>
      </c>
      <c r="L3" s="1">
        <v>21</v>
      </c>
      <c r="M3" s="109">
        <f t="shared" ref="M3:M20" si="0">I3*J3*K3/4000</f>
        <v>14.82</v>
      </c>
      <c r="N3" s="8">
        <v>21</v>
      </c>
      <c r="O3" s="69">
        <v>7000</v>
      </c>
      <c r="P3" s="70">
        <f>Table2245789101112[[#This Row],[PEMBULATAN]]*O3</f>
        <v>147000</v>
      </c>
    </row>
    <row r="4" spans="1:16" ht="26.25" customHeight="1" x14ac:dyDescent="0.2">
      <c r="A4" s="130"/>
      <c r="B4" s="93"/>
      <c r="C4" s="9" t="s">
        <v>260</v>
      </c>
      <c r="D4" s="94" t="s">
        <v>114</v>
      </c>
      <c r="E4" s="13">
        <v>44415</v>
      </c>
      <c r="F4" s="94" t="s">
        <v>141</v>
      </c>
      <c r="G4" s="13">
        <v>44419</v>
      </c>
      <c r="H4" s="10" t="s">
        <v>142</v>
      </c>
      <c r="I4" s="1">
        <v>31</v>
      </c>
      <c r="J4" s="1">
        <v>30</v>
      </c>
      <c r="K4" s="1">
        <v>8</v>
      </c>
      <c r="L4" s="1">
        <v>1</v>
      </c>
      <c r="M4" s="109">
        <f t="shared" si="0"/>
        <v>1.86</v>
      </c>
      <c r="N4" s="8">
        <v>2</v>
      </c>
      <c r="O4" s="69">
        <v>7000</v>
      </c>
      <c r="P4" s="70">
        <f>Table2245789101112[[#This Row],[PEMBULATAN]]*O4</f>
        <v>14000</v>
      </c>
    </row>
    <row r="5" spans="1:16" ht="26.25" customHeight="1" x14ac:dyDescent="0.2">
      <c r="A5" s="15"/>
      <c r="B5" s="15"/>
      <c r="C5" s="9" t="s">
        <v>261</v>
      </c>
      <c r="D5" s="94" t="s">
        <v>114</v>
      </c>
      <c r="E5" s="13">
        <v>44415</v>
      </c>
      <c r="F5" s="94" t="s">
        <v>141</v>
      </c>
      <c r="G5" s="13">
        <v>44419</v>
      </c>
      <c r="H5" s="10" t="s">
        <v>142</v>
      </c>
      <c r="I5" s="1">
        <v>40</v>
      </c>
      <c r="J5" s="1">
        <v>38</v>
      </c>
      <c r="K5" s="1">
        <v>24</v>
      </c>
      <c r="L5" s="1">
        <v>6</v>
      </c>
      <c r="M5" s="109">
        <f t="shared" si="0"/>
        <v>9.1199999999999992</v>
      </c>
      <c r="N5" s="8">
        <v>9</v>
      </c>
      <c r="O5" s="69">
        <v>7000</v>
      </c>
      <c r="P5" s="70">
        <f>Table2245789101112[[#This Row],[PEMBULATAN]]*O5</f>
        <v>63000</v>
      </c>
    </row>
    <row r="6" spans="1:16" ht="26.25" customHeight="1" x14ac:dyDescent="0.2">
      <c r="A6" s="15"/>
      <c r="B6" s="15"/>
      <c r="C6" s="80" t="s">
        <v>262</v>
      </c>
      <c r="D6" s="104" t="s">
        <v>114</v>
      </c>
      <c r="E6" s="13">
        <v>44415</v>
      </c>
      <c r="F6" s="94" t="s">
        <v>141</v>
      </c>
      <c r="G6" s="13">
        <v>44419</v>
      </c>
      <c r="H6" s="101" t="s">
        <v>142</v>
      </c>
      <c r="I6" s="18">
        <v>48</v>
      </c>
      <c r="J6" s="18">
        <v>47</v>
      </c>
      <c r="K6" s="18">
        <v>24</v>
      </c>
      <c r="L6" s="18">
        <v>10</v>
      </c>
      <c r="M6" s="112">
        <f t="shared" si="0"/>
        <v>13.536</v>
      </c>
      <c r="N6" s="79">
        <v>14</v>
      </c>
      <c r="O6" s="69">
        <v>7000</v>
      </c>
      <c r="P6" s="70">
        <f>Table2245789101112[[#This Row],[PEMBULATAN]]*O6</f>
        <v>98000</v>
      </c>
    </row>
    <row r="7" spans="1:16" ht="26.25" customHeight="1" x14ac:dyDescent="0.2">
      <c r="A7" s="15"/>
      <c r="B7" s="15"/>
      <c r="C7" s="80" t="s">
        <v>263</v>
      </c>
      <c r="D7" s="104" t="s">
        <v>114</v>
      </c>
      <c r="E7" s="13">
        <v>44415</v>
      </c>
      <c r="F7" s="94" t="s">
        <v>141</v>
      </c>
      <c r="G7" s="13">
        <v>44419</v>
      </c>
      <c r="H7" s="101" t="s">
        <v>142</v>
      </c>
      <c r="I7" s="18">
        <v>37</v>
      </c>
      <c r="J7" s="18">
        <v>35</v>
      </c>
      <c r="K7" s="18">
        <v>36</v>
      </c>
      <c r="L7" s="18">
        <v>13</v>
      </c>
      <c r="M7" s="112">
        <f t="shared" si="0"/>
        <v>11.654999999999999</v>
      </c>
      <c r="N7" s="79">
        <v>13</v>
      </c>
      <c r="O7" s="69">
        <v>7000</v>
      </c>
      <c r="P7" s="70">
        <f>Table2245789101112[[#This Row],[PEMBULATAN]]*O7</f>
        <v>91000</v>
      </c>
    </row>
    <row r="8" spans="1:16" ht="26.25" customHeight="1" x14ac:dyDescent="0.2">
      <c r="A8" s="15"/>
      <c r="B8" s="15"/>
      <c r="C8" s="80" t="s">
        <v>264</v>
      </c>
      <c r="D8" s="104" t="s">
        <v>114</v>
      </c>
      <c r="E8" s="13">
        <v>44415</v>
      </c>
      <c r="F8" s="94" t="s">
        <v>141</v>
      </c>
      <c r="G8" s="13">
        <v>44419</v>
      </c>
      <c r="H8" s="101" t="s">
        <v>142</v>
      </c>
      <c r="I8" s="18">
        <v>39</v>
      </c>
      <c r="J8" s="18">
        <v>43</v>
      </c>
      <c r="K8" s="18">
        <v>27</v>
      </c>
      <c r="L8" s="18">
        <v>8</v>
      </c>
      <c r="M8" s="112">
        <f t="shared" si="0"/>
        <v>11.319750000000001</v>
      </c>
      <c r="N8" s="79">
        <v>12</v>
      </c>
      <c r="O8" s="69">
        <v>7000</v>
      </c>
      <c r="P8" s="70">
        <f>Table2245789101112[[#This Row],[PEMBULATAN]]*O8</f>
        <v>84000</v>
      </c>
    </row>
    <row r="9" spans="1:16" ht="26.25" customHeight="1" x14ac:dyDescent="0.2">
      <c r="A9" s="15"/>
      <c r="B9" s="15"/>
      <c r="C9" s="80" t="s">
        <v>265</v>
      </c>
      <c r="D9" s="104" t="s">
        <v>114</v>
      </c>
      <c r="E9" s="13">
        <v>44415</v>
      </c>
      <c r="F9" s="94" t="s">
        <v>141</v>
      </c>
      <c r="G9" s="13">
        <v>44419</v>
      </c>
      <c r="H9" s="101" t="s">
        <v>142</v>
      </c>
      <c r="I9" s="18">
        <v>44</v>
      </c>
      <c r="J9" s="18">
        <v>40</v>
      </c>
      <c r="K9" s="18">
        <v>28</v>
      </c>
      <c r="L9" s="18">
        <v>7</v>
      </c>
      <c r="M9" s="112">
        <f t="shared" si="0"/>
        <v>12.32</v>
      </c>
      <c r="N9" s="79">
        <v>13</v>
      </c>
      <c r="O9" s="69">
        <v>7000</v>
      </c>
      <c r="P9" s="70">
        <f>Table2245789101112[[#This Row],[PEMBULATAN]]*O9</f>
        <v>91000</v>
      </c>
    </row>
    <row r="10" spans="1:16" ht="26.25" customHeight="1" x14ac:dyDescent="0.2">
      <c r="A10" s="15"/>
      <c r="B10" s="15"/>
      <c r="C10" s="80" t="s">
        <v>266</v>
      </c>
      <c r="D10" s="104" t="s">
        <v>114</v>
      </c>
      <c r="E10" s="13">
        <v>44415</v>
      </c>
      <c r="F10" s="94" t="s">
        <v>141</v>
      </c>
      <c r="G10" s="13">
        <v>44419</v>
      </c>
      <c r="H10" s="101" t="s">
        <v>142</v>
      </c>
      <c r="I10" s="18">
        <v>51</v>
      </c>
      <c r="J10" s="18">
        <v>54</v>
      </c>
      <c r="K10" s="18">
        <v>93</v>
      </c>
      <c r="L10" s="18">
        <v>14</v>
      </c>
      <c r="M10" s="112">
        <f t="shared" si="0"/>
        <v>64.030500000000004</v>
      </c>
      <c r="N10" s="79">
        <v>64</v>
      </c>
      <c r="O10" s="69">
        <v>7000</v>
      </c>
      <c r="P10" s="70">
        <f>Table2245789101112[[#This Row],[PEMBULATAN]]*O10</f>
        <v>448000</v>
      </c>
    </row>
    <row r="11" spans="1:16" ht="26.25" customHeight="1" x14ac:dyDescent="0.2">
      <c r="A11" s="15"/>
      <c r="B11" s="15"/>
      <c r="C11" s="80" t="s">
        <v>267</v>
      </c>
      <c r="D11" s="104" t="s">
        <v>114</v>
      </c>
      <c r="E11" s="13">
        <v>44415</v>
      </c>
      <c r="F11" s="94" t="s">
        <v>141</v>
      </c>
      <c r="G11" s="13">
        <v>44419</v>
      </c>
      <c r="H11" s="101" t="s">
        <v>142</v>
      </c>
      <c r="I11" s="18">
        <v>40</v>
      </c>
      <c r="J11" s="18">
        <v>32</v>
      </c>
      <c r="K11" s="18">
        <v>43</v>
      </c>
      <c r="L11" s="18">
        <v>15</v>
      </c>
      <c r="M11" s="112">
        <f t="shared" si="0"/>
        <v>13.76</v>
      </c>
      <c r="N11" s="79">
        <v>15</v>
      </c>
      <c r="O11" s="69">
        <v>7000</v>
      </c>
      <c r="P11" s="70">
        <f>Table2245789101112[[#This Row],[PEMBULATAN]]*O11</f>
        <v>105000</v>
      </c>
    </row>
    <row r="12" spans="1:16" ht="26.25" customHeight="1" x14ac:dyDescent="0.2">
      <c r="A12" s="15"/>
      <c r="B12" s="15"/>
      <c r="C12" s="80" t="s">
        <v>268</v>
      </c>
      <c r="D12" s="104" t="s">
        <v>114</v>
      </c>
      <c r="E12" s="13">
        <v>44415</v>
      </c>
      <c r="F12" s="94" t="s">
        <v>141</v>
      </c>
      <c r="G12" s="13">
        <v>44419</v>
      </c>
      <c r="H12" s="101" t="s">
        <v>142</v>
      </c>
      <c r="I12" s="18">
        <v>74</v>
      </c>
      <c r="J12" s="18">
        <v>41</v>
      </c>
      <c r="K12" s="18">
        <v>18</v>
      </c>
      <c r="L12" s="18">
        <v>12</v>
      </c>
      <c r="M12" s="112">
        <f t="shared" si="0"/>
        <v>13.653</v>
      </c>
      <c r="N12" s="79">
        <v>14</v>
      </c>
      <c r="O12" s="69">
        <v>7000</v>
      </c>
      <c r="P12" s="70">
        <f>Table2245789101112[[#This Row],[PEMBULATAN]]*O12</f>
        <v>98000</v>
      </c>
    </row>
    <row r="13" spans="1:16" ht="26.25" customHeight="1" x14ac:dyDescent="0.2">
      <c r="A13" s="15"/>
      <c r="B13" s="15"/>
      <c r="C13" s="80" t="s">
        <v>269</v>
      </c>
      <c r="D13" s="104" t="s">
        <v>114</v>
      </c>
      <c r="E13" s="13">
        <v>44415</v>
      </c>
      <c r="F13" s="94" t="s">
        <v>141</v>
      </c>
      <c r="G13" s="13">
        <v>44419</v>
      </c>
      <c r="H13" s="101" t="s">
        <v>142</v>
      </c>
      <c r="I13" s="18">
        <v>80</v>
      </c>
      <c r="J13" s="18">
        <v>42</v>
      </c>
      <c r="K13" s="18">
        <v>31</v>
      </c>
      <c r="L13" s="18">
        <v>10</v>
      </c>
      <c r="M13" s="112">
        <f t="shared" si="0"/>
        <v>26.04</v>
      </c>
      <c r="N13" s="79">
        <v>26</v>
      </c>
      <c r="O13" s="69">
        <v>7000</v>
      </c>
      <c r="P13" s="70">
        <f>Table2245789101112[[#This Row],[PEMBULATAN]]*O13</f>
        <v>182000</v>
      </c>
    </row>
    <row r="14" spans="1:16" ht="26.25" customHeight="1" x14ac:dyDescent="0.2">
      <c r="A14" s="15"/>
      <c r="B14" s="15"/>
      <c r="C14" s="80" t="s">
        <v>270</v>
      </c>
      <c r="D14" s="104" t="s">
        <v>114</v>
      </c>
      <c r="E14" s="13">
        <v>44415</v>
      </c>
      <c r="F14" s="94" t="s">
        <v>141</v>
      </c>
      <c r="G14" s="13">
        <v>44419</v>
      </c>
      <c r="H14" s="101" t="s">
        <v>142</v>
      </c>
      <c r="I14" s="18">
        <v>101</v>
      </c>
      <c r="J14" s="18">
        <v>60</v>
      </c>
      <c r="K14" s="18">
        <v>17</v>
      </c>
      <c r="L14" s="18">
        <v>17</v>
      </c>
      <c r="M14" s="112">
        <f t="shared" si="0"/>
        <v>25.754999999999999</v>
      </c>
      <c r="N14" s="79">
        <v>26</v>
      </c>
      <c r="O14" s="69">
        <v>7000</v>
      </c>
      <c r="P14" s="70">
        <f>Table2245789101112[[#This Row],[PEMBULATAN]]*O14</f>
        <v>182000</v>
      </c>
    </row>
    <row r="15" spans="1:16" ht="26.25" customHeight="1" x14ac:dyDescent="0.2">
      <c r="A15" s="15"/>
      <c r="B15" s="15"/>
      <c r="C15" s="80" t="s">
        <v>271</v>
      </c>
      <c r="D15" s="104" t="s">
        <v>114</v>
      </c>
      <c r="E15" s="13">
        <v>44415</v>
      </c>
      <c r="F15" s="94" t="s">
        <v>141</v>
      </c>
      <c r="G15" s="13">
        <v>44419</v>
      </c>
      <c r="H15" s="101" t="s">
        <v>142</v>
      </c>
      <c r="I15" s="18">
        <v>144</v>
      </c>
      <c r="J15" s="18">
        <v>40</v>
      </c>
      <c r="K15" s="18">
        <v>18</v>
      </c>
      <c r="L15" s="18">
        <v>5</v>
      </c>
      <c r="M15" s="112">
        <f t="shared" si="0"/>
        <v>25.92</v>
      </c>
      <c r="N15" s="79">
        <v>26</v>
      </c>
      <c r="O15" s="69">
        <v>7000</v>
      </c>
      <c r="P15" s="70">
        <f>Table2245789101112[[#This Row],[PEMBULATAN]]*O15</f>
        <v>182000</v>
      </c>
    </row>
    <row r="16" spans="1:16" ht="26.25" customHeight="1" x14ac:dyDescent="0.2">
      <c r="A16" s="15"/>
      <c r="B16" s="15"/>
      <c r="C16" s="80" t="s">
        <v>272</v>
      </c>
      <c r="D16" s="104" t="s">
        <v>114</v>
      </c>
      <c r="E16" s="13">
        <v>44415</v>
      </c>
      <c r="F16" s="94" t="s">
        <v>141</v>
      </c>
      <c r="G16" s="13">
        <v>44419</v>
      </c>
      <c r="H16" s="101" t="s">
        <v>142</v>
      </c>
      <c r="I16" s="18">
        <v>147</v>
      </c>
      <c r="J16" s="18">
        <v>40</v>
      </c>
      <c r="K16" s="18">
        <v>15</v>
      </c>
      <c r="L16" s="18">
        <v>10</v>
      </c>
      <c r="M16" s="112">
        <f t="shared" si="0"/>
        <v>22.05</v>
      </c>
      <c r="N16" s="79">
        <v>22</v>
      </c>
      <c r="O16" s="69">
        <v>7000</v>
      </c>
      <c r="P16" s="70">
        <f>Table2245789101112[[#This Row],[PEMBULATAN]]*O16</f>
        <v>154000</v>
      </c>
    </row>
    <row r="17" spans="1:16" ht="26.25" customHeight="1" x14ac:dyDescent="0.2">
      <c r="A17" s="15"/>
      <c r="B17" s="15"/>
      <c r="C17" s="80" t="s">
        <v>273</v>
      </c>
      <c r="D17" s="104" t="s">
        <v>114</v>
      </c>
      <c r="E17" s="13">
        <v>44415</v>
      </c>
      <c r="F17" s="94" t="s">
        <v>141</v>
      </c>
      <c r="G17" s="13">
        <v>44419</v>
      </c>
      <c r="H17" s="101" t="s">
        <v>142</v>
      </c>
      <c r="I17" s="18">
        <v>78</v>
      </c>
      <c r="J17" s="18">
        <v>31</v>
      </c>
      <c r="K17" s="18">
        <v>22</v>
      </c>
      <c r="L17" s="18">
        <v>20</v>
      </c>
      <c r="M17" s="112">
        <f t="shared" si="0"/>
        <v>13.298999999999999</v>
      </c>
      <c r="N17" s="79">
        <v>20</v>
      </c>
      <c r="O17" s="69">
        <v>7000</v>
      </c>
      <c r="P17" s="70">
        <f>Table2245789101112[[#This Row],[PEMBULATAN]]*O17</f>
        <v>140000</v>
      </c>
    </row>
    <row r="18" spans="1:16" ht="26.25" customHeight="1" x14ac:dyDescent="0.2">
      <c r="A18" s="15"/>
      <c r="B18" s="16"/>
      <c r="C18" s="80" t="s">
        <v>274</v>
      </c>
      <c r="D18" s="104" t="s">
        <v>114</v>
      </c>
      <c r="E18" s="13">
        <v>44415</v>
      </c>
      <c r="F18" s="94" t="s">
        <v>141</v>
      </c>
      <c r="G18" s="13">
        <v>44419</v>
      </c>
      <c r="H18" s="101" t="s">
        <v>142</v>
      </c>
      <c r="I18" s="18">
        <v>34</v>
      </c>
      <c r="J18" s="18">
        <v>15</v>
      </c>
      <c r="K18" s="18">
        <v>32</v>
      </c>
      <c r="L18" s="18">
        <v>6</v>
      </c>
      <c r="M18" s="112">
        <f t="shared" si="0"/>
        <v>4.08</v>
      </c>
      <c r="N18" s="79">
        <v>6</v>
      </c>
      <c r="O18" s="69">
        <v>7000</v>
      </c>
      <c r="P18" s="70">
        <f>Table2245789101112[[#This Row],[PEMBULATAN]]*O18</f>
        <v>42000</v>
      </c>
    </row>
    <row r="19" spans="1:16" ht="26.25" customHeight="1" x14ac:dyDescent="0.2">
      <c r="A19" s="15"/>
      <c r="B19" s="102" t="s">
        <v>275</v>
      </c>
      <c r="C19" s="80" t="s">
        <v>276</v>
      </c>
      <c r="D19" s="104" t="s">
        <v>114</v>
      </c>
      <c r="E19" s="13">
        <v>44415</v>
      </c>
      <c r="F19" s="94" t="s">
        <v>141</v>
      </c>
      <c r="G19" s="13">
        <v>44419</v>
      </c>
      <c r="H19" s="101" t="s">
        <v>142</v>
      </c>
      <c r="I19" s="18">
        <v>37</v>
      </c>
      <c r="J19" s="18">
        <v>32</v>
      </c>
      <c r="K19" s="18">
        <v>10</v>
      </c>
      <c r="L19" s="18">
        <v>1</v>
      </c>
      <c r="M19" s="112">
        <f t="shared" si="0"/>
        <v>2.96</v>
      </c>
      <c r="N19" s="79">
        <v>3</v>
      </c>
      <c r="O19" s="69">
        <v>7000</v>
      </c>
      <c r="P19" s="70">
        <f>Table2245789101112[[#This Row],[PEMBULATAN]]*O19</f>
        <v>21000</v>
      </c>
    </row>
    <row r="20" spans="1:16" ht="26.25" customHeight="1" x14ac:dyDescent="0.2">
      <c r="A20" s="15"/>
      <c r="B20" s="15" t="s">
        <v>277</v>
      </c>
      <c r="C20" s="80" t="s">
        <v>278</v>
      </c>
      <c r="D20" s="104" t="s">
        <v>114</v>
      </c>
      <c r="E20" s="13">
        <v>44415</v>
      </c>
      <c r="F20" s="94" t="s">
        <v>141</v>
      </c>
      <c r="G20" s="13">
        <v>44419</v>
      </c>
      <c r="H20" s="101" t="s">
        <v>142</v>
      </c>
      <c r="I20" s="18">
        <v>88</v>
      </c>
      <c r="J20" s="18">
        <v>43</v>
      </c>
      <c r="K20" s="18">
        <v>28</v>
      </c>
      <c r="L20" s="18">
        <v>25</v>
      </c>
      <c r="M20" s="112">
        <f t="shared" si="0"/>
        <v>26.488</v>
      </c>
      <c r="N20" s="79">
        <v>27</v>
      </c>
      <c r="O20" s="69">
        <v>7000</v>
      </c>
      <c r="P20" s="70">
        <f>Table2245789101112[[#This Row],[PEMBULATAN]]*O20</f>
        <v>189000</v>
      </c>
    </row>
    <row r="21" spans="1:16" ht="22.5" customHeight="1" x14ac:dyDescent="0.2">
      <c r="A21" s="131" t="s">
        <v>37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3"/>
      <c r="M21" s="106">
        <f>SUBTOTAL(109,Table2245789101112[KG VOLUME])</f>
        <v>312.66624999999993</v>
      </c>
      <c r="N21" s="73">
        <f>SUM(N3:N20)</f>
        <v>333</v>
      </c>
      <c r="O21" s="134">
        <f>SUM(P3:P20)</f>
        <v>2331000</v>
      </c>
      <c r="P21" s="135"/>
    </row>
    <row r="22" spans="1:16" x14ac:dyDescent="0.2">
      <c r="A22" s="11"/>
      <c r="B22" s="61" t="s">
        <v>51</v>
      </c>
      <c r="C22" s="60"/>
      <c r="D22" s="62" t="s">
        <v>52</v>
      </c>
      <c r="H22" s="68"/>
      <c r="N22" s="67" t="s">
        <v>38</v>
      </c>
      <c r="P22" s="74">
        <f>O21*1%</f>
        <v>23310</v>
      </c>
    </row>
    <row r="23" spans="1:16" x14ac:dyDescent="0.2">
      <c r="A23" s="11"/>
      <c r="H23" s="68"/>
      <c r="N23" s="67" t="s">
        <v>39</v>
      </c>
      <c r="P23" s="76">
        <v>0</v>
      </c>
    </row>
    <row r="24" spans="1:16" ht="15.75" thickBot="1" x14ac:dyDescent="0.25">
      <c r="A24" s="11"/>
      <c r="H24" s="68"/>
      <c r="N24" s="67" t="s">
        <v>40</v>
      </c>
      <c r="P24" s="76">
        <v>0</v>
      </c>
    </row>
    <row r="25" spans="1:16" x14ac:dyDescent="0.2">
      <c r="A25" s="11"/>
      <c r="H25" s="68"/>
      <c r="N25" s="71" t="s">
        <v>41</v>
      </c>
      <c r="O25" s="72"/>
      <c r="P25" s="75">
        <f>O21+P22</f>
        <v>2354310</v>
      </c>
    </row>
    <row r="26" spans="1:16" x14ac:dyDescent="0.2">
      <c r="B26" s="61"/>
      <c r="C26" s="60"/>
      <c r="D26" s="62"/>
    </row>
    <row r="28" spans="1:16" x14ac:dyDescent="0.2">
      <c r="A28" s="11"/>
      <c r="H28" s="68"/>
      <c r="P28" s="77"/>
    </row>
    <row r="29" spans="1:16" x14ac:dyDescent="0.2">
      <c r="A29" s="11"/>
      <c r="H29" s="68"/>
      <c r="O29" s="63"/>
      <c r="P29" s="77"/>
    </row>
    <row r="30" spans="1:16" s="3" customFormat="1" x14ac:dyDescent="0.25">
      <c r="A30" s="11"/>
      <c r="B30" s="2"/>
      <c r="C30" s="2"/>
      <c r="E30" s="12"/>
      <c r="H30" s="68"/>
      <c r="N30" s="17"/>
      <c r="O30" s="17"/>
      <c r="P30" s="17"/>
    </row>
    <row r="31" spans="1:16" s="3" customFormat="1" x14ac:dyDescent="0.25">
      <c r="A31" s="11"/>
      <c r="B31" s="2"/>
      <c r="C31" s="2"/>
      <c r="E31" s="12"/>
      <c r="H31" s="68"/>
      <c r="N31" s="17"/>
      <c r="O31" s="17"/>
      <c r="P31" s="17"/>
    </row>
    <row r="32" spans="1:16" s="3" customFormat="1" x14ac:dyDescent="0.25">
      <c r="A32" s="11"/>
      <c r="B32" s="2"/>
      <c r="C32" s="2"/>
      <c r="E32" s="12"/>
      <c r="H32" s="68"/>
      <c r="N32" s="17"/>
      <c r="O32" s="17"/>
      <c r="P32" s="17"/>
    </row>
    <row r="33" spans="1:16" s="3" customFormat="1" x14ac:dyDescent="0.25">
      <c r="A33" s="11"/>
      <c r="B33" s="2"/>
      <c r="C33" s="2"/>
      <c r="E33" s="12"/>
      <c r="H33" s="68"/>
      <c r="N33" s="17"/>
      <c r="O33" s="17"/>
      <c r="P33" s="17"/>
    </row>
    <row r="34" spans="1:16" s="3" customFormat="1" x14ac:dyDescent="0.25">
      <c r="A34" s="11"/>
      <c r="B34" s="2"/>
      <c r="C34" s="2"/>
      <c r="E34" s="12"/>
      <c r="H34" s="68"/>
      <c r="N34" s="17"/>
      <c r="O34" s="17"/>
      <c r="P34" s="17"/>
    </row>
    <row r="35" spans="1:16" s="3" customFormat="1" x14ac:dyDescent="0.25">
      <c r="A35" s="11"/>
      <c r="B35" s="2"/>
      <c r="C35" s="2"/>
      <c r="E35" s="12"/>
      <c r="H35" s="68"/>
      <c r="N35" s="17"/>
      <c r="O35" s="17"/>
      <c r="P35" s="17"/>
    </row>
    <row r="36" spans="1:16" s="3" customFormat="1" x14ac:dyDescent="0.25">
      <c r="A36" s="11"/>
      <c r="B36" s="2"/>
      <c r="C36" s="2"/>
      <c r="E36" s="12"/>
      <c r="H36" s="68"/>
      <c r="N36" s="17"/>
      <c r="O36" s="17"/>
      <c r="P36" s="17"/>
    </row>
    <row r="37" spans="1:16" s="3" customFormat="1" x14ac:dyDescent="0.25">
      <c r="A37" s="11"/>
      <c r="B37" s="2"/>
      <c r="C37" s="2"/>
      <c r="E37" s="12"/>
      <c r="H37" s="68"/>
      <c r="N37" s="17"/>
      <c r="O37" s="17"/>
      <c r="P37" s="17"/>
    </row>
    <row r="38" spans="1:16" s="3" customFormat="1" x14ac:dyDescent="0.25">
      <c r="A38" s="11"/>
      <c r="B38" s="2"/>
      <c r="C38" s="2"/>
      <c r="E38" s="12"/>
      <c r="H38" s="68"/>
      <c r="N38" s="17"/>
      <c r="O38" s="17"/>
      <c r="P38" s="17"/>
    </row>
    <row r="39" spans="1:16" s="3" customFormat="1" x14ac:dyDescent="0.25">
      <c r="A39" s="11"/>
      <c r="B39" s="2"/>
      <c r="C39" s="2"/>
      <c r="E39" s="12"/>
      <c r="H39" s="68"/>
      <c r="N39" s="17"/>
      <c r="O39" s="17"/>
      <c r="P39" s="17"/>
    </row>
    <row r="40" spans="1:16" s="3" customFormat="1" x14ac:dyDescent="0.25">
      <c r="A40" s="11"/>
      <c r="B40" s="2"/>
      <c r="C40" s="2"/>
      <c r="E40" s="12"/>
      <c r="H40" s="68"/>
      <c r="N40" s="17"/>
      <c r="O40" s="17"/>
      <c r="P40" s="17"/>
    </row>
    <row r="41" spans="1:16" s="3" customFormat="1" x14ac:dyDescent="0.25">
      <c r="A41" s="11"/>
      <c r="B41" s="2"/>
      <c r="C41" s="2"/>
      <c r="E41" s="12"/>
      <c r="H41" s="68"/>
      <c r="N41" s="17"/>
      <c r="O41" s="17"/>
      <c r="P41" s="17"/>
    </row>
  </sheetData>
  <mergeCells count="3">
    <mergeCell ref="A3:A4"/>
    <mergeCell ref="A21:L21"/>
    <mergeCell ref="O21:P21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20">
    <cfRule type="duplicateValues" dxfId="15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P27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5" x14ac:dyDescent="0.2"/>
  <cols>
    <col min="1" max="1" width="7.85546875" style="4" customWidth="1"/>
    <col min="2" max="2" width="19.140625" style="2" customWidth="1"/>
    <col min="3" max="3" width="15.28515625" style="2" customWidth="1"/>
    <col min="4" max="4" width="10" style="3" customWidth="1"/>
    <col min="5" max="5" width="7.85546875" style="12" customWidth="1"/>
    <col min="6" max="6" width="8.85546875" style="3" customWidth="1"/>
    <col min="7" max="7" width="9.7109375" style="3" customWidth="1"/>
    <col min="8" max="8" width="14" style="6" customWidth="1"/>
    <col min="9" max="11" width="3.85546875" style="3" customWidth="1"/>
    <col min="12" max="12" width="5.85546875" style="3" customWidth="1"/>
    <col min="13" max="13" width="8.5703125" style="3" customWidth="1"/>
    <col min="14" max="14" width="6.5703125" style="17" customWidth="1"/>
    <col min="15" max="15" width="7.7109375" style="17" customWidth="1"/>
    <col min="16" max="16" width="13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88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8.5" customHeight="1" x14ac:dyDescent="0.2">
      <c r="A3" s="130" t="s">
        <v>62</v>
      </c>
      <c r="B3" s="14" t="s">
        <v>58</v>
      </c>
      <c r="C3" s="82" t="s">
        <v>63</v>
      </c>
      <c r="D3" s="83" t="s">
        <v>3</v>
      </c>
      <c r="E3" s="84">
        <v>44408</v>
      </c>
      <c r="F3" s="95" t="s">
        <v>83</v>
      </c>
      <c r="G3" s="114">
        <v>44411</v>
      </c>
      <c r="H3" s="97" t="s">
        <v>84</v>
      </c>
      <c r="I3" s="83">
        <v>36</v>
      </c>
      <c r="J3" s="83">
        <v>30</v>
      </c>
      <c r="K3" s="83">
        <v>33</v>
      </c>
      <c r="L3" s="83">
        <v>9</v>
      </c>
      <c r="M3" s="111">
        <v>8.91</v>
      </c>
      <c r="N3" s="85">
        <v>9</v>
      </c>
      <c r="O3" s="86">
        <v>7000</v>
      </c>
      <c r="P3" s="87">
        <f>Table2[[#This Row],[PEMBULATAN]]*O3</f>
        <v>63000</v>
      </c>
    </row>
    <row r="4" spans="1:16" ht="28.5" customHeight="1" x14ac:dyDescent="0.2">
      <c r="A4" s="130"/>
      <c r="B4" s="15"/>
      <c r="C4" s="9" t="s">
        <v>64</v>
      </c>
      <c r="D4" s="1" t="s">
        <v>3</v>
      </c>
      <c r="E4" s="13">
        <v>44408</v>
      </c>
      <c r="F4" s="94" t="s">
        <v>83</v>
      </c>
      <c r="G4" s="114">
        <v>44411</v>
      </c>
      <c r="H4" s="98" t="s">
        <v>84</v>
      </c>
      <c r="I4" s="1">
        <v>55</v>
      </c>
      <c r="J4" s="1">
        <v>45</v>
      </c>
      <c r="K4" s="1">
        <v>23</v>
      </c>
      <c r="L4" s="1">
        <v>20</v>
      </c>
      <c r="M4" s="109">
        <v>14.231249999999999</v>
      </c>
      <c r="N4" s="8">
        <v>20</v>
      </c>
      <c r="O4" s="86">
        <v>7000</v>
      </c>
      <c r="P4" s="87">
        <f>Table2[[#This Row],[PEMBULATAN]]*O4</f>
        <v>140000</v>
      </c>
    </row>
    <row r="5" spans="1:16" ht="28.5" customHeight="1" x14ac:dyDescent="0.2">
      <c r="A5" s="15"/>
      <c r="B5" s="15"/>
      <c r="C5" s="9" t="s">
        <v>65</v>
      </c>
      <c r="D5" s="1" t="s">
        <v>3</v>
      </c>
      <c r="E5" s="13">
        <v>44408</v>
      </c>
      <c r="F5" s="94" t="s">
        <v>83</v>
      </c>
      <c r="G5" s="114">
        <v>44411</v>
      </c>
      <c r="H5" s="98" t="s">
        <v>84</v>
      </c>
      <c r="I5" s="1">
        <v>42</v>
      </c>
      <c r="J5" s="1">
        <v>23</v>
      </c>
      <c r="K5" s="1">
        <v>30</v>
      </c>
      <c r="L5" s="1">
        <v>10</v>
      </c>
      <c r="M5" s="109">
        <v>7.2450000000000001</v>
      </c>
      <c r="N5" s="8">
        <v>10</v>
      </c>
      <c r="O5" s="86">
        <v>7000</v>
      </c>
      <c r="P5" s="87">
        <f>Table2[[#This Row],[PEMBULATAN]]*O5</f>
        <v>70000</v>
      </c>
    </row>
    <row r="6" spans="1:16" ht="28.5" customHeight="1" x14ac:dyDescent="0.2">
      <c r="A6" s="15"/>
      <c r="B6" s="15"/>
      <c r="C6" s="80" t="s">
        <v>66</v>
      </c>
      <c r="D6" s="18" t="s">
        <v>3</v>
      </c>
      <c r="E6" s="13">
        <v>44408</v>
      </c>
      <c r="F6" s="94" t="s">
        <v>83</v>
      </c>
      <c r="G6" s="114">
        <v>44411</v>
      </c>
      <c r="H6" s="99" t="s">
        <v>84</v>
      </c>
      <c r="I6" s="18">
        <v>100</v>
      </c>
      <c r="J6" s="18">
        <v>100</v>
      </c>
      <c r="K6" s="18">
        <v>33</v>
      </c>
      <c r="L6" s="18">
        <v>73</v>
      </c>
      <c r="M6" s="112">
        <v>82.5</v>
      </c>
      <c r="N6" s="79">
        <v>83</v>
      </c>
      <c r="O6" s="86">
        <v>7000</v>
      </c>
      <c r="P6" s="87">
        <f>Table2[[#This Row],[PEMBULATAN]]*O6</f>
        <v>581000</v>
      </c>
    </row>
    <row r="7" spans="1:16" ht="28.5" customHeight="1" x14ac:dyDescent="0.2">
      <c r="A7" s="15"/>
      <c r="B7" s="15"/>
      <c r="C7" s="89" t="s">
        <v>67</v>
      </c>
      <c r="D7" s="90" t="s">
        <v>3</v>
      </c>
      <c r="E7" s="91">
        <v>44408</v>
      </c>
      <c r="F7" s="96" t="s">
        <v>83</v>
      </c>
      <c r="G7" s="114">
        <v>44411</v>
      </c>
      <c r="H7" s="100" t="s">
        <v>84</v>
      </c>
      <c r="I7" s="90">
        <v>37</v>
      </c>
      <c r="J7" s="90">
        <v>40</v>
      </c>
      <c r="K7" s="90">
        <v>25</v>
      </c>
      <c r="L7" s="90">
        <v>6</v>
      </c>
      <c r="M7" s="113">
        <v>9.25</v>
      </c>
      <c r="N7" s="92">
        <v>9</v>
      </c>
      <c r="O7" s="86">
        <v>7000</v>
      </c>
      <c r="P7" s="87">
        <f>Table2[[#This Row],[PEMBULATAN]]*O7</f>
        <v>63000</v>
      </c>
    </row>
    <row r="8" spans="1:16" ht="28.5" customHeight="1" x14ac:dyDescent="0.2">
      <c r="A8" s="15"/>
      <c r="B8" s="15"/>
      <c r="C8" s="89" t="s">
        <v>68</v>
      </c>
      <c r="D8" s="90" t="s">
        <v>3</v>
      </c>
      <c r="E8" s="91">
        <v>44408</v>
      </c>
      <c r="F8" s="96" t="s">
        <v>83</v>
      </c>
      <c r="G8" s="114">
        <v>44411</v>
      </c>
      <c r="H8" s="100" t="s">
        <v>84</v>
      </c>
      <c r="I8" s="90">
        <v>60</v>
      </c>
      <c r="J8" s="90">
        <v>45</v>
      </c>
      <c r="K8" s="90">
        <v>55</v>
      </c>
      <c r="L8" s="90">
        <v>36</v>
      </c>
      <c r="M8" s="113">
        <v>37.125</v>
      </c>
      <c r="N8" s="92">
        <v>37</v>
      </c>
      <c r="O8" s="86">
        <v>7000</v>
      </c>
      <c r="P8" s="87">
        <f>Table2[[#This Row],[PEMBULATAN]]*O8</f>
        <v>259000</v>
      </c>
    </row>
    <row r="9" spans="1:16" ht="28.5" customHeight="1" x14ac:dyDescent="0.2">
      <c r="A9" s="15"/>
      <c r="B9" s="15"/>
      <c r="C9" s="89" t="s">
        <v>69</v>
      </c>
      <c r="D9" s="90" t="s">
        <v>3</v>
      </c>
      <c r="E9" s="91">
        <v>44408</v>
      </c>
      <c r="F9" s="96" t="s">
        <v>83</v>
      </c>
      <c r="G9" s="114">
        <v>44411</v>
      </c>
      <c r="H9" s="100" t="s">
        <v>84</v>
      </c>
      <c r="I9" s="90">
        <v>56</v>
      </c>
      <c r="J9" s="90">
        <v>50</v>
      </c>
      <c r="K9" s="90">
        <v>43</v>
      </c>
      <c r="L9" s="90">
        <v>17</v>
      </c>
      <c r="M9" s="113">
        <v>30.1</v>
      </c>
      <c r="N9" s="92">
        <v>30</v>
      </c>
      <c r="O9" s="86">
        <v>7000</v>
      </c>
      <c r="P9" s="87">
        <f>Table2[[#This Row],[PEMBULATAN]]*O9</f>
        <v>210000</v>
      </c>
    </row>
    <row r="10" spans="1:16" ht="28.5" customHeight="1" x14ac:dyDescent="0.2">
      <c r="A10" s="15"/>
      <c r="B10" s="15"/>
      <c r="C10" s="89" t="s">
        <v>70</v>
      </c>
      <c r="D10" s="90" t="s">
        <v>3</v>
      </c>
      <c r="E10" s="91">
        <v>44408</v>
      </c>
      <c r="F10" s="96" t="s">
        <v>83</v>
      </c>
      <c r="G10" s="114">
        <v>44411</v>
      </c>
      <c r="H10" s="100" t="s">
        <v>84</v>
      </c>
      <c r="I10" s="90">
        <v>90</v>
      </c>
      <c r="J10" s="90">
        <v>70</v>
      </c>
      <c r="K10" s="90">
        <v>40</v>
      </c>
      <c r="L10" s="90">
        <v>40</v>
      </c>
      <c r="M10" s="113">
        <v>63</v>
      </c>
      <c r="N10" s="92">
        <v>63</v>
      </c>
      <c r="O10" s="86">
        <v>7000</v>
      </c>
      <c r="P10" s="87">
        <f>Table2[[#This Row],[PEMBULATAN]]*O10</f>
        <v>441000</v>
      </c>
    </row>
    <row r="11" spans="1:16" ht="28.5" customHeight="1" x14ac:dyDescent="0.2">
      <c r="A11" s="15"/>
      <c r="B11" s="15"/>
      <c r="C11" s="89" t="s">
        <v>71</v>
      </c>
      <c r="D11" s="90" t="s">
        <v>3</v>
      </c>
      <c r="E11" s="91">
        <v>44408</v>
      </c>
      <c r="F11" s="96" t="s">
        <v>83</v>
      </c>
      <c r="G11" s="114">
        <v>44411</v>
      </c>
      <c r="H11" s="100" t="s">
        <v>84</v>
      </c>
      <c r="I11" s="90">
        <v>53</v>
      </c>
      <c r="J11" s="90">
        <v>40</v>
      </c>
      <c r="K11" s="90">
        <v>23</v>
      </c>
      <c r="L11" s="90">
        <v>10</v>
      </c>
      <c r="M11" s="113">
        <v>12.19</v>
      </c>
      <c r="N11" s="92">
        <v>12</v>
      </c>
      <c r="O11" s="86">
        <v>7000</v>
      </c>
      <c r="P11" s="87">
        <f>Table2[[#This Row],[PEMBULATAN]]*O11</f>
        <v>84000</v>
      </c>
    </row>
    <row r="12" spans="1:16" ht="28.5" customHeight="1" x14ac:dyDescent="0.2">
      <c r="A12" s="15"/>
      <c r="B12" s="15"/>
      <c r="C12" s="89" t="s">
        <v>72</v>
      </c>
      <c r="D12" s="90" t="s">
        <v>3</v>
      </c>
      <c r="E12" s="91">
        <v>44408</v>
      </c>
      <c r="F12" s="96" t="s">
        <v>83</v>
      </c>
      <c r="G12" s="114">
        <v>44411</v>
      </c>
      <c r="H12" s="100" t="s">
        <v>84</v>
      </c>
      <c r="I12" s="90">
        <v>55</v>
      </c>
      <c r="J12" s="90">
        <v>47</v>
      </c>
      <c r="K12" s="90">
        <v>36</v>
      </c>
      <c r="L12" s="90">
        <v>9</v>
      </c>
      <c r="M12" s="113">
        <v>23.265000000000001</v>
      </c>
      <c r="N12" s="92">
        <v>23</v>
      </c>
      <c r="O12" s="86">
        <v>7000</v>
      </c>
      <c r="P12" s="87">
        <f>Table2[[#This Row],[PEMBULATAN]]*O12</f>
        <v>161000</v>
      </c>
    </row>
    <row r="13" spans="1:16" ht="28.5" customHeight="1" x14ac:dyDescent="0.2">
      <c r="A13" s="15"/>
      <c r="B13" s="15"/>
      <c r="C13" s="89" t="s">
        <v>73</v>
      </c>
      <c r="D13" s="90" t="s">
        <v>3</v>
      </c>
      <c r="E13" s="91">
        <v>44408</v>
      </c>
      <c r="F13" s="96" t="s">
        <v>83</v>
      </c>
      <c r="G13" s="114">
        <v>44411</v>
      </c>
      <c r="H13" s="100" t="s">
        <v>84</v>
      </c>
      <c r="I13" s="90">
        <v>43</v>
      </c>
      <c r="J13" s="90">
        <v>36</v>
      </c>
      <c r="K13" s="90">
        <v>30</v>
      </c>
      <c r="L13" s="90">
        <v>6</v>
      </c>
      <c r="M13" s="113">
        <v>11.61</v>
      </c>
      <c r="N13" s="92">
        <v>12</v>
      </c>
      <c r="O13" s="86">
        <v>7000</v>
      </c>
      <c r="P13" s="87">
        <f>Table2[[#This Row],[PEMBULATAN]]*O13</f>
        <v>84000</v>
      </c>
    </row>
    <row r="14" spans="1:16" ht="28.5" customHeight="1" x14ac:dyDescent="0.2">
      <c r="A14" s="15"/>
      <c r="B14" s="15"/>
      <c r="C14" s="89" t="s">
        <v>74</v>
      </c>
      <c r="D14" s="90" t="s">
        <v>3</v>
      </c>
      <c r="E14" s="91">
        <v>44408</v>
      </c>
      <c r="F14" s="96" t="s">
        <v>83</v>
      </c>
      <c r="G14" s="114">
        <v>44411</v>
      </c>
      <c r="H14" s="100" t="s">
        <v>84</v>
      </c>
      <c r="I14" s="90">
        <v>60</v>
      </c>
      <c r="J14" s="90">
        <v>30</v>
      </c>
      <c r="K14" s="90">
        <v>67</v>
      </c>
      <c r="L14" s="90">
        <v>17</v>
      </c>
      <c r="M14" s="113">
        <v>30.15</v>
      </c>
      <c r="N14" s="92">
        <v>30</v>
      </c>
      <c r="O14" s="86">
        <v>7000</v>
      </c>
      <c r="P14" s="87">
        <f>Table2[[#This Row],[PEMBULATAN]]*O14</f>
        <v>210000</v>
      </c>
    </row>
    <row r="15" spans="1:16" ht="28.5" customHeight="1" x14ac:dyDescent="0.2">
      <c r="A15" s="15"/>
      <c r="B15" s="15"/>
      <c r="C15" s="89" t="s">
        <v>75</v>
      </c>
      <c r="D15" s="90" t="s">
        <v>3</v>
      </c>
      <c r="E15" s="91">
        <v>44408</v>
      </c>
      <c r="F15" s="96" t="s">
        <v>83</v>
      </c>
      <c r="G15" s="114">
        <v>44411</v>
      </c>
      <c r="H15" s="100" t="s">
        <v>84</v>
      </c>
      <c r="I15" s="90">
        <v>95</v>
      </c>
      <c r="J15" s="90">
        <v>52</v>
      </c>
      <c r="K15" s="90">
        <v>23</v>
      </c>
      <c r="L15" s="90">
        <v>18</v>
      </c>
      <c r="M15" s="113">
        <v>28.405000000000001</v>
      </c>
      <c r="N15" s="92">
        <v>29</v>
      </c>
      <c r="O15" s="86">
        <v>7000</v>
      </c>
      <c r="P15" s="87">
        <f>Table2[[#This Row],[PEMBULATAN]]*O15</f>
        <v>203000</v>
      </c>
    </row>
    <row r="16" spans="1:16" ht="28.5" customHeight="1" x14ac:dyDescent="0.2">
      <c r="A16" s="15"/>
      <c r="B16" s="15"/>
      <c r="C16" s="80" t="s">
        <v>76</v>
      </c>
      <c r="D16" s="18" t="s">
        <v>3</v>
      </c>
      <c r="E16" s="13">
        <v>44408</v>
      </c>
      <c r="F16" s="94" t="s">
        <v>83</v>
      </c>
      <c r="G16" s="114">
        <v>44411</v>
      </c>
      <c r="H16" s="99" t="s">
        <v>84</v>
      </c>
      <c r="I16" s="18">
        <v>80</v>
      </c>
      <c r="J16" s="18">
        <v>56</v>
      </c>
      <c r="K16" s="18">
        <v>37</v>
      </c>
      <c r="L16" s="18">
        <v>28</v>
      </c>
      <c r="M16" s="112">
        <v>41.44</v>
      </c>
      <c r="N16" s="79">
        <v>42</v>
      </c>
      <c r="O16" s="86">
        <v>7000</v>
      </c>
      <c r="P16" s="87">
        <f>Table2[[#This Row],[PEMBULATAN]]*O16</f>
        <v>294000</v>
      </c>
    </row>
    <row r="17" spans="1:16" ht="28.5" customHeight="1" x14ac:dyDescent="0.2">
      <c r="A17" s="15"/>
      <c r="B17" s="16"/>
      <c r="C17" s="80" t="s">
        <v>77</v>
      </c>
      <c r="D17" s="18" t="s">
        <v>3</v>
      </c>
      <c r="E17" s="13">
        <v>44408</v>
      </c>
      <c r="F17" s="94" t="s">
        <v>83</v>
      </c>
      <c r="G17" s="114">
        <v>44411</v>
      </c>
      <c r="H17" s="99" t="s">
        <v>84</v>
      </c>
      <c r="I17" s="18">
        <v>30</v>
      </c>
      <c r="J17" s="18">
        <v>20</v>
      </c>
      <c r="K17" s="18">
        <v>15</v>
      </c>
      <c r="L17" s="18">
        <v>5</v>
      </c>
      <c r="M17" s="112">
        <v>2.25</v>
      </c>
      <c r="N17" s="79">
        <v>5</v>
      </c>
      <c r="O17" s="86">
        <v>7000</v>
      </c>
      <c r="P17" s="87">
        <f>Table2[[#This Row],[PEMBULATAN]]*O17</f>
        <v>35000</v>
      </c>
    </row>
    <row r="18" spans="1:16" ht="28.5" customHeight="1" x14ac:dyDescent="0.2">
      <c r="A18" s="15"/>
      <c r="B18" s="102" t="s">
        <v>59</v>
      </c>
      <c r="C18" s="80" t="s">
        <v>78</v>
      </c>
      <c r="D18" s="18" t="s">
        <v>3</v>
      </c>
      <c r="E18" s="13">
        <v>44408</v>
      </c>
      <c r="F18" s="94" t="s">
        <v>83</v>
      </c>
      <c r="G18" s="114">
        <v>44411</v>
      </c>
      <c r="H18" s="99" t="s">
        <v>84</v>
      </c>
      <c r="I18" s="18">
        <v>44</v>
      </c>
      <c r="J18" s="18">
        <v>25</v>
      </c>
      <c r="K18" s="18">
        <v>44</v>
      </c>
      <c r="L18" s="18">
        <v>10</v>
      </c>
      <c r="M18" s="112">
        <v>12.1</v>
      </c>
      <c r="N18" s="79">
        <v>12</v>
      </c>
      <c r="O18" s="86">
        <v>7000</v>
      </c>
      <c r="P18" s="87">
        <f>Table2[[#This Row],[PEMBULATAN]]*O18</f>
        <v>84000</v>
      </c>
    </row>
    <row r="19" spans="1:16" ht="28.5" customHeight="1" x14ac:dyDescent="0.2">
      <c r="A19" s="15"/>
      <c r="B19" s="15" t="s">
        <v>60</v>
      </c>
      <c r="C19" s="80" t="s">
        <v>79</v>
      </c>
      <c r="D19" s="18" t="s">
        <v>3</v>
      </c>
      <c r="E19" s="13">
        <v>44408</v>
      </c>
      <c r="F19" s="94" t="s">
        <v>83</v>
      </c>
      <c r="G19" s="114">
        <v>44411</v>
      </c>
      <c r="H19" s="99" t="s">
        <v>84</v>
      </c>
      <c r="I19" s="18">
        <v>60</v>
      </c>
      <c r="J19" s="18">
        <v>51</v>
      </c>
      <c r="K19" s="18">
        <v>78</v>
      </c>
      <c r="L19" s="18">
        <v>9</v>
      </c>
      <c r="M19" s="112">
        <v>59.67</v>
      </c>
      <c r="N19" s="79">
        <v>60</v>
      </c>
      <c r="O19" s="86">
        <v>7000</v>
      </c>
      <c r="P19" s="87">
        <f>Table2[[#This Row],[PEMBULATAN]]*O19</f>
        <v>420000</v>
      </c>
    </row>
    <row r="20" spans="1:16" ht="28.5" customHeight="1" x14ac:dyDescent="0.2">
      <c r="A20" s="15"/>
      <c r="B20" s="15"/>
      <c r="C20" s="80" t="s">
        <v>80</v>
      </c>
      <c r="D20" s="18" t="s">
        <v>3</v>
      </c>
      <c r="E20" s="13">
        <v>44408</v>
      </c>
      <c r="F20" s="94" t="s">
        <v>83</v>
      </c>
      <c r="G20" s="114">
        <v>44411</v>
      </c>
      <c r="H20" s="99" t="s">
        <v>84</v>
      </c>
      <c r="I20" s="18">
        <v>45</v>
      </c>
      <c r="J20" s="18">
        <v>35</v>
      </c>
      <c r="K20" s="18">
        <v>56</v>
      </c>
      <c r="L20" s="18">
        <v>9</v>
      </c>
      <c r="M20" s="112">
        <v>22.05</v>
      </c>
      <c r="N20" s="79">
        <v>22</v>
      </c>
      <c r="O20" s="86">
        <v>7000</v>
      </c>
      <c r="P20" s="87">
        <f>Table2[[#This Row],[PEMBULATAN]]*O20</f>
        <v>154000</v>
      </c>
    </row>
    <row r="21" spans="1:16" ht="28.5" customHeight="1" x14ac:dyDescent="0.2">
      <c r="A21" s="15"/>
      <c r="B21" s="16"/>
      <c r="C21" s="80" t="s">
        <v>81</v>
      </c>
      <c r="D21" s="18" t="s">
        <v>3</v>
      </c>
      <c r="E21" s="13">
        <v>44408</v>
      </c>
      <c r="F21" s="94" t="s">
        <v>83</v>
      </c>
      <c r="G21" s="114">
        <v>44411</v>
      </c>
      <c r="H21" s="99" t="s">
        <v>84</v>
      </c>
      <c r="I21" s="18">
        <v>44</v>
      </c>
      <c r="J21" s="18">
        <v>23</v>
      </c>
      <c r="K21" s="18">
        <v>20</v>
      </c>
      <c r="L21" s="18">
        <v>10</v>
      </c>
      <c r="M21" s="112">
        <v>5.0599999999999996</v>
      </c>
      <c r="N21" s="79">
        <v>10</v>
      </c>
      <c r="O21" s="86">
        <v>7000</v>
      </c>
      <c r="P21" s="87">
        <f>Table2[[#This Row],[PEMBULATAN]]*O21</f>
        <v>70000</v>
      </c>
    </row>
    <row r="22" spans="1:16" ht="28.5" customHeight="1" x14ac:dyDescent="0.2">
      <c r="A22" s="15"/>
      <c r="B22" s="15" t="s">
        <v>61</v>
      </c>
      <c r="C22" s="80" t="s">
        <v>82</v>
      </c>
      <c r="D22" s="18" t="s">
        <v>3</v>
      </c>
      <c r="E22" s="13">
        <v>44408</v>
      </c>
      <c r="F22" s="94" t="s">
        <v>83</v>
      </c>
      <c r="G22" s="114">
        <v>44411</v>
      </c>
      <c r="H22" s="99" t="s">
        <v>84</v>
      </c>
      <c r="I22" s="18">
        <v>53</v>
      </c>
      <c r="J22" s="18">
        <v>35</v>
      </c>
      <c r="K22" s="18">
        <v>13</v>
      </c>
      <c r="L22" s="18">
        <v>5</v>
      </c>
      <c r="M22" s="112">
        <v>6.0287499999999996</v>
      </c>
      <c r="N22" s="79">
        <v>6</v>
      </c>
      <c r="O22" s="86">
        <v>7000</v>
      </c>
      <c r="P22" s="87">
        <f>Table2[[#This Row],[PEMBULATAN]]*O22</f>
        <v>42000</v>
      </c>
    </row>
    <row r="23" spans="1:16" ht="22.5" customHeight="1" x14ac:dyDescent="0.2">
      <c r="A23" s="131" t="s">
        <v>37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3"/>
      <c r="M23" s="107">
        <f>SUBTOTAL(109,Table2[KG VOLUME])</f>
        <v>506.5800000000001</v>
      </c>
      <c r="N23" s="73">
        <f>SUM(N3:N22)</f>
        <v>524</v>
      </c>
      <c r="O23" s="134">
        <f>SUM(P3:P22)</f>
        <v>3668000</v>
      </c>
      <c r="P23" s="135"/>
    </row>
    <row r="24" spans="1:16" x14ac:dyDescent="0.2">
      <c r="A24" s="11"/>
      <c r="H24" s="68"/>
      <c r="N24" s="67" t="s">
        <v>38</v>
      </c>
      <c r="P24" s="74">
        <f>O23*1%</f>
        <v>36680</v>
      </c>
    </row>
    <row r="25" spans="1:16" x14ac:dyDescent="0.2">
      <c r="B25" s="61" t="s">
        <v>51</v>
      </c>
      <c r="C25" s="60"/>
      <c r="D25" s="62" t="s">
        <v>52</v>
      </c>
      <c r="H25" s="68"/>
      <c r="N25" s="67" t="s">
        <v>39</v>
      </c>
      <c r="P25" s="76">
        <v>0</v>
      </c>
    </row>
    <row r="26" spans="1:16" ht="15.75" thickBot="1" x14ac:dyDescent="0.25">
      <c r="A26" s="11"/>
      <c r="H26" s="68"/>
      <c r="N26" s="67" t="s">
        <v>40</v>
      </c>
      <c r="P26" s="76">
        <v>0</v>
      </c>
    </row>
    <row r="27" spans="1:16" x14ac:dyDescent="0.2">
      <c r="A27" s="11"/>
      <c r="H27" s="68"/>
      <c r="N27" s="71" t="s">
        <v>41</v>
      </c>
      <c r="O27" s="72"/>
      <c r="P27" s="75">
        <f>O23+P24</f>
        <v>3704680</v>
      </c>
    </row>
  </sheetData>
  <mergeCells count="3">
    <mergeCell ref="A3:A4"/>
    <mergeCell ref="A23:L23"/>
    <mergeCell ref="O23:P23"/>
  </mergeCells>
  <conditionalFormatting sqref="B3">
    <cfRule type="duplicateValues" dxfId="161" priority="21"/>
  </conditionalFormatting>
  <conditionalFormatting sqref="B4">
    <cfRule type="duplicateValues" dxfId="160" priority="20"/>
  </conditionalFormatting>
  <printOptions horizontalCentered="1"/>
  <pageMargins left="0.31496062992125984" right="0.31496062992125984" top="0.74803149606299213" bottom="0.55118110236220474" header="0.31496062992125984" footer="0.31496062992125984"/>
  <pageSetup paperSize="9" scale="90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P32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ht="9.75" customHeight="1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3.25" customHeight="1" x14ac:dyDescent="0.2">
      <c r="A3" s="136" t="s">
        <v>85</v>
      </c>
      <c r="B3" s="81" t="s">
        <v>86</v>
      </c>
      <c r="C3" s="9" t="s">
        <v>89</v>
      </c>
      <c r="D3" s="94" t="s">
        <v>114</v>
      </c>
      <c r="E3" s="13">
        <v>44409</v>
      </c>
      <c r="F3" s="94" t="s">
        <v>115</v>
      </c>
      <c r="G3" s="13">
        <v>44411</v>
      </c>
      <c r="H3" s="10" t="s">
        <v>84</v>
      </c>
      <c r="I3" s="1">
        <v>31</v>
      </c>
      <c r="J3" s="1">
        <v>28</v>
      </c>
      <c r="K3" s="1">
        <v>23</v>
      </c>
      <c r="L3" s="1">
        <v>7</v>
      </c>
      <c r="M3" s="1">
        <f>I3*J3*K3/4000</f>
        <v>4.9909999999999997</v>
      </c>
      <c r="N3" s="8">
        <v>7</v>
      </c>
      <c r="O3" s="69">
        <v>7000</v>
      </c>
      <c r="P3" s="70">
        <f>Table22[[#This Row],[PEMBULATAN]]*O3</f>
        <v>49000</v>
      </c>
    </row>
    <row r="4" spans="1:16" ht="23.25" customHeight="1" x14ac:dyDescent="0.2">
      <c r="A4" s="130"/>
      <c r="B4" s="93"/>
      <c r="C4" s="9" t="s">
        <v>90</v>
      </c>
      <c r="D4" s="94" t="s">
        <v>114</v>
      </c>
      <c r="E4" s="13">
        <v>44409</v>
      </c>
      <c r="F4" s="94" t="s">
        <v>115</v>
      </c>
      <c r="G4" s="13">
        <v>44411</v>
      </c>
      <c r="H4" s="10" t="s">
        <v>84</v>
      </c>
      <c r="I4" s="1">
        <v>31</v>
      </c>
      <c r="J4" s="1">
        <v>28</v>
      </c>
      <c r="K4" s="1">
        <v>22</v>
      </c>
      <c r="L4" s="1">
        <v>7</v>
      </c>
      <c r="M4" s="1">
        <f t="shared" ref="M4:M27" si="0">I4*J4*K4/4000</f>
        <v>4.774</v>
      </c>
      <c r="N4" s="8">
        <v>7</v>
      </c>
      <c r="O4" s="69">
        <v>7000</v>
      </c>
      <c r="P4" s="70">
        <f>Table22[[#This Row],[PEMBULATAN]]*O4</f>
        <v>49000</v>
      </c>
    </row>
    <row r="5" spans="1:16" ht="23.25" customHeight="1" x14ac:dyDescent="0.2">
      <c r="A5" s="15"/>
      <c r="B5" s="15"/>
      <c r="C5" s="9" t="s">
        <v>91</v>
      </c>
      <c r="D5" s="94" t="s">
        <v>114</v>
      </c>
      <c r="E5" s="13">
        <v>44409</v>
      </c>
      <c r="F5" s="94" t="s">
        <v>115</v>
      </c>
      <c r="G5" s="13">
        <v>44411</v>
      </c>
      <c r="H5" s="10" t="s">
        <v>84</v>
      </c>
      <c r="I5" s="1">
        <v>31</v>
      </c>
      <c r="J5" s="1">
        <v>28</v>
      </c>
      <c r="K5" s="1">
        <v>21</v>
      </c>
      <c r="L5" s="1">
        <v>7</v>
      </c>
      <c r="M5" s="1">
        <f t="shared" si="0"/>
        <v>4.5570000000000004</v>
      </c>
      <c r="N5" s="8">
        <v>7</v>
      </c>
      <c r="O5" s="69">
        <v>7000</v>
      </c>
      <c r="P5" s="70">
        <f>Table22[[#This Row],[PEMBULATAN]]*O5</f>
        <v>49000</v>
      </c>
    </row>
    <row r="6" spans="1:16" ht="23.25" customHeight="1" x14ac:dyDescent="0.2">
      <c r="A6" s="15"/>
      <c r="B6" s="15"/>
      <c r="C6" s="80" t="s">
        <v>92</v>
      </c>
      <c r="D6" s="104" t="s">
        <v>114</v>
      </c>
      <c r="E6" s="13">
        <v>44409</v>
      </c>
      <c r="F6" s="94" t="s">
        <v>115</v>
      </c>
      <c r="G6" s="13">
        <v>44411</v>
      </c>
      <c r="H6" s="101" t="s">
        <v>84</v>
      </c>
      <c r="I6" s="18">
        <v>35</v>
      </c>
      <c r="J6" s="18">
        <v>18</v>
      </c>
      <c r="K6" s="18">
        <v>34</v>
      </c>
      <c r="L6" s="18">
        <v>12</v>
      </c>
      <c r="M6" s="18">
        <f t="shared" si="0"/>
        <v>5.3550000000000004</v>
      </c>
      <c r="N6" s="79">
        <v>12</v>
      </c>
      <c r="O6" s="69">
        <v>7000</v>
      </c>
      <c r="P6" s="70">
        <f>Table22[[#This Row],[PEMBULATAN]]*O6</f>
        <v>84000</v>
      </c>
    </row>
    <row r="7" spans="1:16" ht="23.25" customHeight="1" x14ac:dyDescent="0.2">
      <c r="A7" s="15"/>
      <c r="B7" s="15"/>
      <c r="C7" s="80" t="s">
        <v>93</v>
      </c>
      <c r="D7" s="104" t="s">
        <v>114</v>
      </c>
      <c r="E7" s="13">
        <v>44409</v>
      </c>
      <c r="F7" s="94" t="s">
        <v>115</v>
      </c>
      <c r="G7" s="13">
        <v>44411</v>
      </c>
      <c r="H7" s="101" t="s">
        <v>84</v>
      </c>
      <c r="I7" s="18">
        <v>40</v>
      </c>
      <c r="J7" s="18">
        <v>28</v>
      </c>
      <c r="K7" s="18">
        <v>32</v>
      </c>
      <c r="L7" s="18">
        <v>9</v>
      </c>
      <c r="M7" s="18">
        <f t="shared" si="0"/>
        <v>8.9600000000000009</v>
      </c>
      <c r="N7" s="79">
        <v>9</v>
      </c>
      <c r="O7" s="69">
        <v>7000</v>
      </c>
      <c r="P7" s="70">
        <f>Table22[[#This Row],[PEMBULATAN]]*O7</f>
        <v>63000</v>
      </c>
    </row>
    <row r="8" spans="1:16" ht="23.25" customHeight="1" x14ac:dyDescent="0.2">
      <c r="A8" s="15"/>
      <c r="B8" s="15"/>
      <c r="C8" s="80" t="s">
        <v>94</v>
      </c>
      <c r="D8" s="104" t="s">
        <v>114</v>
      </c>
      <c r="E8" s="13">
        <v>44409</v>
      </c>
      <c r="F8" s="94" t="s">
        <v>115</v>
      </c>
      <c r="G8" s="13">
        <v>44411</v>
      </c>
      <c r="H8" s="101" t="s">
        <v>84</v>
      </c>
      <c r="I8" s="18">
        <v>40</v>
      </c>
      <c r="J8" s="18">
        <v>28</v>
      </c>
      <c r="K8" s="18">
        <v>32</v>
      </c>
      <c r="L8" s="18">
        <v>9</v>
      </c>
      <c r="M8" s="18">
        <f t="shared" si="0"/>
        <v>8.9600000000000009</v>
      </c>
      <c r="N8" s="79">
        <v>9</v>
      </c>
      <c r="O8" s="69">
        <v>7000</v>
      </c>
      <c r="P8" s="70">
        <f>Table22[[#This Row],[PEMBULATAN]]*O8</f>
        <v>63000</v>
      </c>
    </row>
    <row r="9" spans="1:16" ht="23.25" customHeight="1" x14ac:dyDescent="0.2">
      <c r="A9" s="15"/>
      <c r="B9" s="15"/>
      <c r="C9" s="80" t="s">
        <v>95</v>
      </c>
      <c r="D9" s="104" t="s">
        <v>114</v>
      </c>
      <c r="E9" s="13">
        <v>44409</v>
      </c>
      <c r="F9" s="94" t="s">
        <v>115</v>
      </c>
      <c r="G9" s="13">
        <v>44411</v>
      </c>
      <c r="H9" s="101" t="s">
        <v>84</v>
      </c>
      <c r="I9" s="18">
        <v>40</v>
      </c>
      <c r="J9" s="18">
        <v>10</v>
      </c>
      <c r="K9" s="18">
        <v>33</v>
      </c>
      <c r="L9" s="18">
        <v>10</v>
      </c>
      <c r="M9" s="18">
        <f t="shared" si="0"/>
        <v>3.3</v>
      </c>
      <c r="N9" s="79">
        <v>10</v>
      </c>
      <c r="O9" s="69">
        <v>7000</v>
      </c>
      <c r="P9" s="70">
        <f>Table22[[#This Row],[PEMBULATAN]]*O9</f>
        <v>70000</v>
      </c>
    </row>
    <row r="10" spans="1:16" ht="23.25" customHeight="1" x14ac:dyDescent="0.2">
      <c r="A10" s="15"/>
      <c r="B10" s="15"/>
      <c r="C10" s="89" t="s">
        <v>96</v>
      </c>
      <c r="D10" s="105" t="s">
        <v>114</v>
      </c>
      <c r="E10" s="91">
        <v>44409</v>
      </c>
      <c r="F10" s="96" t="s">
        <v>115</v>
      </c>
      <c r="G10" s="91">
        <v>44411</v>
      </c>
      <c r="H10" s="103" t="s">
        <v>84</v>
      </c>
      <c r="I10" s="90">
        <v>46</v>
      </c>
      <c r="J10" s="90">
        <v>13</v>
      </c>
      <c r="K10" s="90">
        <v>30</v>
      </c>
      <c r="L10" s="90">
        <v>11</v>
      </c>
      <c r="M10" s="90">
        <f t="shared" si="0"/>
        <v>4.4850000000000003</v>
      </c>
      <c r="N10" s="92">
        <v>11</v>
      </c>
      <c r="O10" s="69">
        <v>7000</v>
      </c>
      <c r="P10" s="70">
        <f>Table22[[#This Row],[PEMBULATAN]]*O10</f>
        <v>77000</v>
      </c>
    </row>
    <row r="11" spans="1:16" ht="23.25" customHeight="1" x14ac:dyDescent="0.2">
      <c r="A11" s="15"/>
      <c r="B11" s="15"/>
      <c r="C11" s="89" t="s">
        <v>97</v>
      </c>
      <c r="D11" s="105" t="s">
        <v>114</v>
      </c>
      <c r="E11" s="91">
        <v>44409</v>
      </c>
      <c r="F11" s="96" t="s">
        <v>115</v>
      </c>
      <c r="G11" s="91">
        <v>44411</v>
      </c>
      <c r="H11" s="103" t="s">
        <v>84</v>
      </c>
      <c r="I11" s="90">
        <v>40</v>
      </c>
      <c r="J11" s="90">
        <v>10</v>
      </c>
      <c r="K11" s="90">
        <v>33</v>
      </c>
      <c r="L11" s="90">
        <v>10</v>
      </c>
      <c r="M11" s="90">
        <f t="shared" si="0"/>
        <v>3.3</v>
      </c>
      <c r="N11" s="92">
        <v>10</v>
      </c>
      <c r="O11" s="69">
        <v>7000</v>
      </c>
      <c r="P11" s="70">
        <f>Table22[[#This Row],[PEMBULATAN]]*O11</f>
        <v>70000</v>
      </c>
    </row>
    <row r="12" spans="1:16" ht="23.25" customHeight="1" x14ac:dyDescent="0.2">
      <c r="A12" s="15"/>
      <c r="B12" s="15"/>
      <c r="C12" s="89" t="s">
        <v>98</v>
      </c>
      <c r="D12" s="105" t="s">
        <v>114</v>
      </c>
      <c r="E12" s="91">
        <v>44409</v>
      </c>
      <c r="F12" s="96" t="s">
        <v>115</v>
      </c>
      <c r="G12" s="91">
        <v>44411</v>
      </c>
      <c r="H12" s="103" t="s">
        <v>84</v>
      </c>
      <c r="I12" s="90">
        <v>40</v>
      </c>
      <c r="J12" s="90">
        <v>28</v>
      </c>
      <c r="K12" s="90">
        <v>32</v>
      </c>
      <c r="L12" s="90">
        <v>9</v>
      </c>
      <c r="M12" s="90">
        <f t="shared" si="0"/>
        <v>8.9600000000000009</v>
      </c>
      <c r="N12" s="92">
        <v>9</v>
      </c>
      <c r="O12" s="69">
        <v>7000</v>
      </c>
      <c r="P12" s="70">
        <f>Table22[[#This Row],[PEMBULATAN]]*O12</f>
        <v>63000</v>
      </c>
    </row>
    <row r="13" spans="1:16" ht="23.25" customHeight="1" x14ac:dyDescent="0.2">
      <c r="A13" s="15"/>
      <c r="B13" s="15"/>
      <c r="C13" s="89" t="s">
        <v>99</v>
      </c>
      <c r="D13" s="105" t="s">
        <v>114</v>
      </c>
      <c r="E13" s="91">
        <v>44409</v>
      </c>
      <c r="F13" s="96" t="s">
        <v>115</v>
      </c>
      <c r="G13" s="91">
        <v>44411</v>
      </c>
      <c r="H13" s="103" t="s">
        <v>84</v>
      </c>
      <c r="I13" s="90">
        <v>42</v>
      </c>
      <c r="J13" s="90">
        <v>13</v>
      </c>
      <c r="K13" s="90">
        <v>28</v>
      </c>
      <c r="L13" s="90">
        <v>10</v>
      </c>
      <c r="M13" s="90">
        <f t="shared" si="0"/>
        <v>3.8220000000000001</v>
      </c>
      <c r="N13" s="92">
        <v>10</v>
      </c>
      <c r="O13" s="69">
        <v>7000</v>
      </c>
      <c r="P13" s="70">
        <f>Table22[[#This Row],[PEMBULATAN]]*O13</f>
        <v>70000</v>
      </c>
    </row>
    <row r="14" spans="1:16" ht="23.25" customHeight="1" x14ac:dyDescent="0.2">
      <c r="A14" s="15"/>
      <c r="B14" s="15"/>
      <c r="C14" s="89" t="s">
        <v>100</v>
      </c>
      <c r="D14" s="105" t="s">
        <v>114</v>
      </c>
      <c r="E14" s="91">
        <v>44409</v>
      </c>
      <c r="F14" s="96" t="s">
        <v>115</v>
      </c>
      <c r="G14" s="91">
        <v>44411</v>
      </c>
      <c r="H14" s="103" t="s">
        <v>84</v>
      </c>
      <c r="I14" s="90">
        <v>42</v>
      </c>
      <c r="J14" s="90">
        <v>13</v>
      </c>
      <c r="K14" s="90">
        <v>28</v>
      </c>
      <c r="L14" s="90">
        <v>10</v>
      </c>
      <c r="M14" s="90">
        <f t="shared" si="0"/>
        <v>3.8220000000000001</v>
      </c>
      <c r="N14" s="92">
        <v>10</v>
      </c>
      <c r="O14" s="69">
        <v>7000</v>
      </c>
      <c r="P14" s="70">
        <f>Table22[[#This Row],[PEMBULATAN]]*O14</f>
        <v>70000</v>
      </c>
    </row>
    <row r="15" spans="1:16" ht="23.25" customHeight="1" x14ac:dyDescent="0.2">
      <c r="A15" s="15"/>
      <c r="B15" s="16"/>
      <c r="C15" s="80" t="s">
        <v>101</v>
      </c>
      <c r="D15" s="104" t="s">
        <v>114</v>
      </c>
      <c r="E15" s="13">
        <v>44409</v>
      </c>
      <c r="F15" s="94" t="s">
        <v>115</v>
      </c>
      <c r="G15" s="13">
        <v>44411</v>
      </c>
      <c r="H15" s="101" t="s">
        <v>84</v>
      </c>
      <c r="I15" s="18">
        <v>46</v>
      </c>
      <c r="J15" s="18">
        <v>45</v>
      </c>
      <c r="K15" s="18">
        <v>44</v>
      </c>
      <c r="L15" s="18">
        <v>10</v>
      </c>
      <c r="M15" s="18">
        <f t="shared" si="0"/>
        <v>22.77</v>
      </c>
      <c r="N15" s="79">
        <v>23</v>
      </c>
      <c r="O15" s="69">
        <v>7000</v>
      </c>
      <c r="P15" s="70">
        <f>Table22[[#This Row],[PEMBULATAN]]*O15</f>
        <v>161000</v>
      </c>
    </row>
    <row r="16" spans="1:16" ht="23.25" customHeight="1" x14ac:dyDescent="0.2">
      <c r="A16" s="15"/>
      <c r="B16" s="15" t="s">
        <v>87</v>
      </c>
      <c r="C16" s="80" t="s">
        <v>102</v>
      </c>
      <c r="D16" s="104" t="s">
        <v>114</v>
      </c>
      <c r="E16" s="13">
        <v>44409</v>
      </c>
      <c r="F16" s="94" t="s">
        <v>115</v>
      </c>
      <c r="G16" s="13">
        <v>44411</v>
      </c>
      <c r="H16" s="101" t="s">
        <v>84</v>
      </c>
      <c r="I16" s="18">
        <v>52</v>
      </c>
      <c r="J16" s="18">
        <v>19</v>
      </c>
      <c r="K16" s="18">
        <v>52</v>
      </c>
      <c r="L16" s="18">
        <v>21</v>
      </c>
      <c r="M16" s="18">
        <f t="shared" si="0"/>
        <v>12.843999999999999</v>
      </c>
      <c r="N16" s="79">
        <v>21</v>
      </c>
      <c r="O16" s="69">
        <v>7000</v>
      </c>
      <c r="P16" s="70">
        <f>Table22[[#This Row],[PEMBULATAN]]*O16</f>
        <v>147000</v>
      </c>
    </row>
    <row r="17" spans="1:16" ht="23.25" customHeight="1" x14ac:dyDescent="0.2">
      <c r="A17" s="15"/>
      <c r="B17" s="15"/>
      <c r="C17" s="80" t="s">
        <v>103</v>
      </c>
      <c r="D17" s="104" t="s">
        <v>114</v>
      </c>
      <c r="E17" s="13">
        <v>44409</v>
      </c>
      <c r="F17" s="94" t="s">
        <v>115</v>
      </c>
      <c r="G17" s="13">
        <v>44411</v>
      </c>
      <c r="H17" s="101" t="s">
        <v>84</v>
      </c>
      <c r="I17" s="18">
        <v>82</v>
      </c>
      <c r="J17" s="18">
        <v>40</v>
      </c>
      <c r="K17" s="18">
        <v>41</v>
      </c>
      <c r="L17" s="18">
        <v>23</v>
      </c>
      <c r="M17" s="18">
        <f t="shared" si="0"/>
        <v>33.619999999999997</v>
      </c>
      <c r="N17" s="79">
        <v>34</v>
      </c>
      <c r="O17" s="69">
        <v>7000</v>
      </c>
      <c r="P17" s="70">
        <f>Table22[[#This Row],[PEMBULATAN]]*O17</f>
        <v>238000</v>
      </c>
    </row>
    <row r="18" spans="1:16" ht="23.25" customHeight="1" x14ac:dyDescent="0.2">
      <c r="A18" s="15"/>
      <c r="B18" s="15"/>
      <c r="C18" s="80" t="s">
        <v>104</v>
      </c>
      <c r="D18" s="104" t="s">
        <v>114</v>
      </c>
      <c r="E18" s="13">
        <v>44409</v>
      </c>
      <c r="F18" s="94" t="s">
        <v>115</v>
      </c>
      <c r="G18" s="13">
        <v>44411</v>
      </c>
      <c r="H18" s="101" t="s">
        <v>84</v>
      </c>
      <c r="I18" s="18">
        <v>45</v>
      </c>
      <c r="J18" s="18">
        <v>36</v>
      </c>
      <c r="K18" s="18">
        <v>24</v>
      </c>
      <c r="L18" s="18">
        <v>8</v>
      </c>
      <c r="M18" s="18">
        <f t="shared" si="0"/>
        <v>9.7200000000000006</v>
      </c>
      <c r="N18" s="79">
        <v>10</v>
      </c>
      <c r="O18" s="69">
        <v>7000</v>
      </c>
      <c r="P18" s="70">
        <f>Table22[[#This Row],[PEMBULATAN]]*O18</f>
        <v>70000</v>
      </c>
    </row>
    <row r="19" spans="1:16" ht="23.25" customHeight="1" x14ac:dyDescent="0.2">
      <c r="A19" s="15"/>
      <c r="B19" s="15"/>
      <c r="C19" s="80" t="s">
        <v>105</v>
      </c>
      <c r="D19" s="104" t="s">
        <v>114</v>
      </c>
      <c r="E19" s="13">
        <v>44409</v>
      </c>
      <c r="F19" s="94" t="s">
        <v>115</v>
      </c>
      <c r="G19" s="13">
        <v>44411</v>
      </c>
      <c r="H19" s="101" t="s">
        <v>84</v>
      </c>
      <c r="I19" s="18">
        <v>56</v>
      </c>
      <c r="J19" s="18">
        <v>56</v>
      </c>
      <c r="K19" s="18">
        <v>20</v>
      </c>
      <c r="L19" s="18">
        <v>9</v>
      </c>
      <c r="M19" s="18">
        <f t="shared" si="0"/>
        <v>15.68</v>
      </c>
      <c r="N19" s="79">
        <v>16</v>
      </c>
      <c r="O19" s="69">
        <v>7000</v>
      </c>
      <c r="P19" s="70">
        <f>Table22[[#This Row],[PEMBULATAN]]*O19</f>
        <v>112000</v>
      </c>
    </row>
    <row r="20" spans="1:16" ht="23.25" customHeight="1" x14ac:dyDescent="0.2">
      <c r="A20" s="15"/>
      <c r="B20" s="15"/>
      <c r="C20" s="80" t="s">
        <v>106</v>
      </c>
      <c r="D20" s="104" t="s">
        <v>114</v>
      </c>
      <c r="E20" s="13">
        <v>44409</v>
      </c>
      <c r="F20" s="94" t="s">
        <v>115</v>
      </c>
      <c r="G20" s="13">
        <v>44411</v>
      </c>
      <c r="H20" s="101" t="s">
        <v>84</v>
      </c>
      <c r="I20" s="18">
        <v>57</v>
      </c>
      <c r="J20" s="18">
        <v>22</v>
      </c>
      <c r="K20" s="18">
        <v>36</v>
      </c>
      <c r="L20" s="18">
        <v>14</v>
      </c>
      <c r="M20" s="18">
        <f t="shared" si="0"/>
        <v>11.286</v>
      </c>
      <c r="N20" s="79">
        <v>14</v>
      </c>
      <c r="O20" s="69">
        <v>7000</v>
      </c>
      <c r="P20" s="70">
        <f>Table22[[#This Row],[PEMBULATAN]]*O20</f>
        <v>98000</v>
      </c>
    </row>
    <row r="21" spans="1:16" ht="23.25" customHeight="1" x14ac:dyDescent="0.2">
      <c r="A21" s="15"/>
      <c r="B21" s="15"/>
      <c r="C21" s="80" t="s">
        <v>107</v>
      </c>
      <c r="D21" s="104" t="s">
        <v>114</v>
      </c>
      <c r="E21" s="13">
        <v>44409</v>
      </c>
      <c r="F21" s="94" t="s">
        <v>115</v>
      </c>
      <c r="G21" s="13">
        <v>44411</v>
      </c>
      <c r="H21" s="101" t="s">
        <v>84</v>
      </c>
      <c r="I21" s="18">
        <v>165</v>
      </c>
      <c r="J21" s="18">
        <v>28</v>
      </c>
      <c r="K21" s="18">
        <v>12</v>
      </c>
      <c r="L21" s="18">
        <v>30</v>
      </c>
      <c r="M21" s="18">
        <f t="shared" si="0"/>
        <v>13.86</v>
      </c>
      <c r="N21" s="79">
        <v>30</v>
      </c>
      <c r="O21" s="69">
        <v>7000</v>
      </c>
      <c r="P21" s="70">
        <f>Table22[[#This Row],[PEMBULATAN]]*O21</f>
        <v>210000</v>
      </c>
    </row>
    <row r="22" spans="1:16" ht="23.25" customHeight="1" x14ac:dyDescent="0.2">
      <c r="A22" s="15"/>
      <c r="B22" s="15"/>
      <c r="C22" s="80" t="s">
        <v>108</v>
      </c>
      <c r="D22" s="104" t="s">
        <v>114</v>
      </c>
      <c r="E22" s="13">
        <v>44409</v>
      </c>
      <c r="F22" s="94" t="s">
        <v>115</v>
      </c>
      <c r="G22" s="13">
        <v>44411</v>
      </c>
      <c r="H22" s="101" t="s">
        <v>84</v>
      </c>
      <c r="I22" s="18">
        <v>84</v>
      </c>
      <c r="J22" s="18">
        <v>66</v>
      </c>
      <c r="K22" s="18">
        <v>29</v>
      </c>
      <c r="L22" s="18">
        <v>26</v>
      </c>
      <c r="M22" s="18">
        <f t="shared" si="0"/>
        <v>40.194000000000003</v>
      </c>
      <c r="N22" s="79">
        <v>40</v>
      </c>
      <c r="O22" s="69">
        <v>7000</v>
      </c>
      <c r="P22" s="70">
        <f>Table22[[#This Row],[PEMBULATAN]]*O22</f>
        <v>280000</v>
      </c>
    </row>
    <row r="23" spans="1:16" ht="23.25" customHeight="1" x14ac:dyDescent="0.2">
      <c r="A23" s="15"/>
      <c r="B23" s="15"/>
      <c r="C23" s="9" t="s">
        <v>109</v>
      </c>
      <c r="D23" s="94" t="s">
        <v>114</v>
      </c>
      <c r="E23" s="13">
        <v>44409</v>
      </c>
      <c r="F23" s="94" t="s">
        <v>115</v>
      </c>
      <c r="G23" s="13">
        <v>44411</v>
      </c>
      <c r="H23" s="10" t="s">
        <v>84</v>
      </c>
      <c r="I23" s="1">
        <v>66</v>
      </c>
      <c r="J23" s="1">
        <v>47</v>
      </c>
      <c r="K23" s="1">
        <v>29</v>
      </c>
      <c r="L23" s="1">
        <v>7</v>
      </c>
      <c r="M23" s="1">
        <f t="shared" si="0"/>
        <v>22.4895</v>
      </c>
      <c r="N23" s="8">
        <v>23</v>
      </c>
      <c r="O23" s="69">
        <v>7000</v>
      </c>
      <c r="P23" s="70">
        <f>Table22[[#This Row],[PEMBULATAN]]*O23</f>
        <v>161000</v>
      </c>
    </row>
    <row r="24" spans="1:16" ht="23.25" customHeight="1" x14ac:dyDescent="0.2">
      <c r="A24" s="15"/>
      <c r="B24" s="16"/>
      <c r="C24" s="9" t="s">
        <v>110</v>
      </c>
      <c r="D24" s="94" t="s">
        <v>114</v>
      </c>
      <c r="E24" s="13">
        <v>44409</v>
      </c>
      <c r="F24" s="94" t="s">
        <v>115</v>
      </c>
      <c r="G24" s="13">
        <v>44411</v>
      </c>
      <c r="H24" s="10" t="s">
        <v>84</v>
      </c>
      <c r="I24" s="1">
        <v>64</v>
      </c>
      <c r="J24" s="1">
        <v>40</v>
      </c>
      <c r="K24" s="1">
        <v>55</v>
      </c>
      <c r="L24" s="1">
        <v>12</v>
      </c>
      <c r="M24" s="1">
        <f t="shared" si="0"/>
        <v>35.200000000000003</v>
      </c>
      <c r="N24" s="8">
        <v>35</v>
      </c>
      <c r="O24" s="69">
        <v>7000</v>
      </c>
      <c r="P24" s="70">
        <f>Table22[[#This Row],[PEMBULATAN]]*O24</f>
        <v>245000</v>
      </c>
    </row>
    <row r="25" spans="1:16" ht="23.25" customHeight="1" x14ac:dyDescent="0.2">
      <c r="A25" s="15"/>
      <c r="B25" s="15" t="s">
        <v>88</v>
      </c>
      <c r="C25" s="9" t="s">
        <v>111</v>
      </c>
      <c r="D25" s="94" t="s">
        <v>114</v>
      </c>
      <c r="E25" s="13">
        <v>44409</v>
      </c>
      <c r="F25" s="94" t="s">
        <v>115</v>
      </c>
      <c r="G25" s="13">
        <v>44411</v>
      </c>
      <c r="H25" s="10" t="s">
        <v>84</v>
      </c>
      <c r="I25" s="1">
        <v>160</v>
      </c>
      <c r="J25" s="1">
        <v>34</v>
      </c>
      <c r="K25" s="1">
        <v>48</v>
      </c>
      <c r="L25" s="1">
        <v>18</v>
      </c>
      <c r="M25" s="1">
        <f t="shared" si="0"/>
        <v>65.28</v>
      </c>
      <c r="N25" s="8">
        <v>65</v>
      </c>
      <c r="O25" s="69">
        <v>7000</v>
      </c>
      <c r="P25" s="70">
        <f>Table22[[#This Row],[PEMBULATAN]]*O25</f>
        <v>455000</v>
      </c>
    </row>
    <row r="26" spans="1:16" ht="23.25" customHeight="1" x14ac:dyDescent="0.2">
      <c r="A26" s="15"/>
      <c r="B26" s="15"/>
      <c r="C26" s="9" t="s">
        <v>112</v>
      </c>
      <c r="D26" s="94" t="s">
        <v>114</v>
      </c>
      <c r="E26" s="13">
        <v>44409</v>
      </c>
      <c r="F26" s="94" t="s">
        <v>115</v>
      </c>
      <c r="G26" s="13">
        <v>44411</v>
      </c>
      <c r="H26" s="10" t="s">
        <v>84</v>
      </c>
      <c r="I26" s="1">
        <v>43</v>
      </c>
      <c r="J26" s="1">
        <v>44</v>
      </c>
      <c r="K26" s="1">
        <v>27</v>
      </c>
      <c r="L26" s="1">
        <v>10</v>
      </c>
      <c r="M26" s="1">
        <f t="shared" si="0"/>
        <v>12.771000000000001</v>
      </c>
      <c r="N26" s="8">
        <v>13</v>
      </c>
      <c r="O26" s="69">
        <v>7000</v>
      </c>
      <c r="P26" s="70">
        <f>Table22[[#This Row],[PEMBULATAN]]*O26</f>
        <v>91000</v>
      </c>
    </row>
    <row r="27" spans="1:16" ht="23.25" customHeight="1" x14ac:dyDescent="0.2">
      <c r="A27" s="15"/>
      <c r="B27" s="15"/>
      <c r="C27" s="9" t="s">
        <v>113</v>
      </c>
      <c r="D27" s="94" t="s">
        <v>114</v>
      </c>
      <c r="E27" s="13">
        <v>44409</v>
      </c>
      <c r="F27" s="94" t="s">
        <v>115</v>
      </c>
      <c r="G27" s="13">
        <v>44411</v>
      </c>
      <c r="H27" s="10" t="s">
        <v>84</v>
      </c>
      <c r="I27" s="1">
        <v>40</v>
      </c>
      <c r="J27" s="1">
        <v>10</v>
      </c>
      <c r="K27" s="1">
        <v>27</v>
      </c>
      <c r="L27" s="1">
        <v>8</v>
      </c>
      <c r="M27" s="1">
        <f t="shared" si="0"/>
        <v>2.7</v>
      </c>
      <c r="N27" s="8">
        <v>8</v>
      </c>
      <c r="O27" s="69">
        <v>7000</v>
      </c>
      <c r="P27" s="70">
        <f>Table22[[#This Row],[PEMBULATAN]]*O27</f>
        <v>56000</v>
      </c>
    </row>
    <row r="28" spans="1:16" ht="18" customHeight="1" x14ac:dyDescent="0.2">
      <c r="A28" s="131" t="s">
        <v>37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3"/>
      <c r="M28" s="106">
        <f>SUBTOTAL(109,Table22[KG VOLUME])</f>
        <v>363.70050000000003</v>
      </c>
      <c r="N28" s="73">
        <f>SUM(N3:N27)</f>
        <v>443</v>
      </c>
      <c r="O28" s="134">
        <f>SUM(P3:P27)</f>
        <v>3101000</v>
      </c>
      <c r="P28" s="135"/>
    </row>
    <row r="29" spans="1:16" x14ac:dyDescent="0.2">
      <c r="A29" s="11"/>
      <c r="B29" s="61" t="s">
        <v>51</v>
      </c>
      <c r="C29" s="60"/>
      <c r="D29" s="62" t="s">
        <v>52</v>
      </c>
      <c r="H29" s="68"/>
      <c r="N29" s="67" t="s">
        <v>38</v>
      </c>
      <c r="P29" s="74">
        <f>O28*1%</f>
        <v>31010</v>
      </c>
    </row>
    <row r="30" spans="1:16" x14ac:dyDescent="0.2">
      <c r="A30" s="11"/>
      <c r="H30" s="68"/>
      <c r="N30" s="67" t="s">
        <v>39</v>
      </c>
      <c r="P30" s="76">
        <v>0</v>
      </c>
    </row>
    <row r="31" spans="1:16" ht="15.75" thickBot="1" x14ac:dyDescent="0.25">
      <c r="A31" s="11"/>
      <c r="H31" s="68"/>
      <c r="N31" s="67" t="s">
        <v>40</v>
      </c>
      <c r="P31" s="76">
        <v>0</v>
      </c>
    </row>
    <row r="32" spans="1:16" x14ac:dyDescent="0.2">
      <c r="A32" s="11"/>
      <c r="H32" s="68"/>
      <c r="N32" s="71" t="s">
        <v>41</v>
      </c>
      <c r="O32" s="72"/>
      <c r="P32" s="75">
        <f>O28+P29</f>
        <v>3132010</v>
      </c>
    </row>
  </sheetData>
  <mergeCells count="3">
    <mergeCell ref="A3:A4"/>
    <mergeCell ref="A28:L28"/>
    <mergeCell ref="O28:P28"/>
  </mergeCells>
  <conditionalFormatting sqref="B3">
    <cfRule type="duplicateValues" dxfId="144" priority="18"/>
  </conditionalFormatting>
  <conditionalFormatting sqref="B4">
    <cfRule type="duplicateValues" dxfId="143" priority="17"/>
  </conditionalFormatting>
  <conditionalFormatting sqref="B5:B22">
    <cfRule type="duplicateValues" dxfId="142" priority="16"/>
  </conditionalFormatting>
  <conditionalFormatting sqref="B24">
    <cfRule type="duplicateValues" dxfId="141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P18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C3" sqref="C3:C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119</v>
      </c>
      <c r="B3" s="81" t="s">
        <v>116</v>
      </c>
      <c r="C3" s="9" t="s">
        <v>120</v>
      </c>
      <c r="D3" s="94" t="s">
        <v>114</v>
      </c>
      <c r="E3" s="13">
        <v>44409</v>
      </c>
      <c r="F3" s="94" t="s">
        <v>115</v>
      </c>
      <c r="G3" s="13">
        <v>44411</v>
      </c>
      <c r="H3" s="10" t="s">
        <v>84</v>
      </c>
      <c r="I3" s="1">
        <v>65</v>
      </c>
      <c r="J3" s="1">
        <v>22</v>
      </c>
      <c r="K3" s="1">
        <v>56</v>
      </c>
      <c r="L3" s="1">
        <v>10</v>
      </c>
      <c r="M3" s="109">
        <f t="shared" ref="M3:M13" si="0">I3*J3*K3/4000</f>
        <v>20.02</v>
      </c>
      <c r="N3" s="8">
        <v>20</v>
      </c>
      <c r="O3" s="69">
        <v>7000</v>
      </c>
      <c r="P3" s="70">
        <f>Table226[[#This Row],[PEMBULATAN]]*O3</f>
        <v>140000</v>
      </c>
    </row>
    <row r="4" spans="1:16" ht="26.25" customHeight="1" x14ac:dyDescent="0.2">
      <c r="A4" s="130"/>
      <c r="B4" s="93"/>
      <c r="C4" s="9" t="s">
        <v>121</v>
      </c>
      <c r="D4" s="94" t="s">
        <v>114</v>
      </c>
      <c r="E4" s="13">
        <v>44409</v>
      </c>
      <c r="F4" s="94" t="s">
        <v>115</v>
      </c>
      <c r="G4" s="13">
        <v>44411</v>
      </c>
      <c r="H4" s="10" t="s">
        <v>84</v>
      </c>
      <c r="I4" s="1">
        <v>65</v>
      </c>
      <c r="J4" s="1">
        <v>22</v>
      </c>
      <c r="K4" s="1">
        <v>56</v>
      </c>
      <c r="L4" s="1">
        <v>10</v>
      </c>
      <c r="M4" s="109">
        <f t="shared" si="0"/>
        <v>20.02</v>
      </c>
      <c r="N4" s="8">
        <v>20</v>
      </c>
      <c r="O4" s="69">
        <v>7000</v>
      </c>
      <c r="P4" s="70">
        <f>Table226[[#This Row],[PEMBULATAN]]*O4</f>
        <v>140000</v>
      </c>
    </row>
    <row r="5" spans="1:16" ht="26.25" customHeight="1" x14ac:dyDescent="0.2">
      <c r="A5" s="15"/>
      <c r="B5" s="15"/>
      <c r="C5" s="9" t="s">
        <v>122</v>
      </c>
      <c r="D5" s="94" t="s">
        <v>114</v>
      </c>
      <c r="E5" s="13">
        <v>44409</v>
      </c>
      <c r="F5" s="94" t="s">
        <v>115</v>
      </c>
      <c r="G5" s="13">
        <v>44411</v>
      </c>
      <c r="H5" s="10" t="s">
        <v>84</v>
      </c>
      <c r="I5" s="1">
        <v>65</v>
      </c>
      <c r="J5" s="1">
        <v>22</v>
      </c>
      <c r="K5" s="1">
        <v>56</v>
      </c>
      <c r="L5" s="1">
        <v>10</v>
      </c>
      <c r="M5" s="109">
        <f t="shared" si="0"/>
        <v>20.02</v>
      </c>
      <c r="N5" s="8">
        <v>20</v>
      </c>
      <c r="O5" s="69">
        <v>7000</v>
      </c>
      <c r="P5" s="70">
        <f>Table226[[#This Row],[PEMBULATAN]]*O5</f>
        <v>140000</v>
      </c>
    </row>
    <row r="6" spans="1:16" ht="26.25" customHeight="1" x14ac:dyDescent="0.2">
      <c r="A6" s="15"/>
      <c r="B6" s="15"/>
      <c r="C6" s="80" t="s">
        <v>123</v>
      </c>
      <c r="D6" s="104" t="s">
        <v>114</v>
      </c>
      <c r="E6" s="13">
        <v>44409</v>
      </c>
      <c r="F6" s="94" t="s">
        <v>115</v>
      </c>
      <c r="G6" s="13">
        <v>44411</v>
      </c>
      <c r="H6" s="101" t="s">
        <v>84</v>
      </c>
      <c r="I6" s="18">
        <v>46</v>
      </c>
      <c r="J6" s="18">
        <v>44</v>
      </c>
      <c r="K6" s="18">
        <v>47</v>
      </c>
      <c r="L6" s="18">
        <v>10</v>
      </c>
      <c r="M6" s="112">
        <f t="shared" si="0"/>
        <v>23.782</v>
      </c>
      <c r="N6" s="79">
        <v>24</v>
      </c>
      <c r="O6" s="69">
        <v>7000</v>
      </c>
      <c r="P6" s="70">
        <f>Table226[[#This Row],[PEMBULATAN]]*O6</f>
        <v>168000</v>
      </c>
    </row>
    <row r="7" spans="1:16" ht="26.25" customHeight="1" x14ac:dyDescent="0.2">
      <c r="A7" s="15"/>
      <c r="B7" s="15"/>
      <c r="C7" s="80" t="s">
        <v>124</v>
      </c>
      <c r="D7" s="104" t="s">
        <v>114</v>
      </c>
      <c r="E7" s="13">
        <v>44409</v>
      </c>
      <c r="F7" s="94" t="s">
        <v>115</v>
      </c>
      <c r="G7" s="13">
        <v>44411</v>
      </c>
      <c r="H7" s="101" t="s">
        <v>84</v>
      </c>
      <c r="I7" s="18">
        <v>65</v>
      </c>
      <c r="J7" s="18">
        <v>22</v>
      </c>
      <c r="K7" s="18">
        <v>56</v>
      </c>
      <c r="L7" s="18">
        <v>10</v>
      </c>
      <c r="M7" s="112">
        <f t="shared" si="0"/>
        <v>20.02</v>
      </c>
      <c r="N7" s="79">
        <v>20</v>
      </c>
      <c r="O7" s="69">
        <v>7000</v>
      </c>
      <c r="P7" s="70">
        <f>Table226[[#This Row],[PEMBULATAN]]*O7</f>
        <v>140000</v>
      </c>
    </row>
    <row r="8" spans="1:16" ht="26.25" customHeight="1" x14ac:dyDescent="0.2">
      <c r="A8" s="15"/>
      <c r="B8" s="15"/>
      <c r="C8" s="80" t="s">
        <v>125</v>
      </c>
      <c r="D8" s="104" t="s">
        <v>114</v>
      </c>
      <c r="E8" s="13">
        <v>44409</v>
      </c>
      <c r="F8" s="94" t="s">
        <v>115</v>
      </c>
      <c r="G8" s="13">
        <v>44411</v>
      </c>
      <c r="H8" s="101" t="s">
        <v>84</v>
      </c>
      <c r="I8" s="18">
        <v>148</v>
      </c>
      <c r="J8" s="18">
        <v>9</v>
      </c>
      <c r="K8" s="18">
        <v>64</v>
      </c>
      <c r="L8" s="18">
        <v>10</v>
      </c>
      <c r="M8" s="112">
        <f t="shared" si="0"/>
        <v>21.312000000000001</v>
      </c>
      <c r="N8" s="79">
        <v>22</v>
      </c>
      <c r="O8" s="69">
        <v>7000</v>
      </c>
      <c r="P8" s="70">
        <f>Table226[[#This Row],[PEMBULATAN]]*O8</f>
        <v>154000</v>
      </c>
    </row>
    <row r="9" spans="1:16" ht="26.25" customHeight="1" x14ac:dyDescent="0.2">
      <c r="A9" s="15"/>
      <c r="B9" s="16"/>
      <c r="C9" s="80" t="s">
        <v>126</v>
      </c>
      <c r="D9" s="104" t="s">
        <v>114</v>
      </c>
      <c r="E9" s="13">
        <v>44409</v>
      </c>
      <c r="F9" s="94" t="s">
        <v>115</v>
      </c>
      <c r="G9" s="13">
        <v>44411</v>
      </c>
      <c r="H9" s="101" t="s">
        <v>84</v>
      </c>
      <c r="I9" s="18">
        <v>148</v>
      </c>
      <c r="J9" s="18">
        <v>9</v>
      </c>
      <c r="K9" s="18">
        <v>64</v>
      </c>
      <c r="L9" s="18">
        <v>10</v>
      </c>
      <c r="M9" s="112">
        <f t="shared" si="0"/>
        <v>21.312000000000001</v>
      </c>
      <c r="N9" s="79">
        <v>22</v>
      </c>
      <c r="O9" s="69">
        <v>7000</v>
      </c>
      <c r="P9" s="70">
        <f>Table226[[#This Row],[PEMBULATAN]]*O9</f>
        <v>154000</v>
      </c>
    </row>
    <row r="10" spans="1:16" ht="26.25" customHeight="1" x14ac:dyDescent="0.2">
      <c r="A10" s="15"/>
      <c r="B10" s="15" t="s">
        <v>117</v>
      </c>
      <c r="C10" s="89" t="s">
        <v>127</v>
      </c>
      <c r="D10" s="105" t="s">
        <v>114</v>
      </c>
      <c r="E10" s="91">
        <v>44409</v>
      </c>
      <c r="F10" s="96" t="s">
        <v>115</v>
      </c>
      <c r="G10" s="91">
        <v>44411</v>
      </c>
      <c r="H10" s="103" t="s">
        <v>84</v>
      </c>
      <c r="I10" s="90">
        <v>75</v>
      </c>
      <c r="J10" s="90">
        <v>18</v>
      </c>
      <c r="K10" s="90">
        <v>87</v>
      </c>
      <c r="L10" s="90">
        <v>30</v>
      </c>
      <c r="M10" s="113">
        <f t="shared" si="0"/>
        <v>29.362500000000001</v>
      </c>
      <c r="N10" s="92">
        <v>30</v>
      </c>
      <c r="O10" s="69">
        <v>7000</v>
      </c>
      <c r="P10" s="70">
        <f>Table226[[#This Row],[PEMBULATAN]]*O10</f>
        <v>210000</v>
      </c>
    </row>
    <row r="11" spans="1:16" ht="26.25" customHeight="1" x14ac:dyDescent="0.2">
      <c r="A11" s="15"/>
      <c r="B11" s="16"/>
      <c r="C11" s="89" t="s">
        <v>128</v>
      </c>
      <c r="D11" s="105" t="s">
        <v>114</v>
      </c>
      <c r="E11" s="91">
        <v>44409</v>
      </c>
      <c r="F11" s="96" t="s">
        <v>115</v>
      </c>
      <c r="G11" s="91">
        <v>44411</v>
      </c>
      <c r="H11" s="103" t="s">
        <v>84</v>
      </c>
      <c r="I11" s="90">
        <v>58</v>
      </c>
      <c r="J11" s="90">
        <v>40</v>
      </c>
      <c r="K11" s="90">
        <v>32</v>
      </c>
      <c r="L11" s="90">
        <v>16</v>
      </c>
      <c r="M11" s="113">
        <f t="shared" si="0"/>
        <v>18.559999999999999</v>
      </c>
      <c r="N11" s="92">
        <v>19</v>
      </c>
      <c r="O11" s="69">
        <v>7000</v>
      </c>
      <c r="P11" s="70">
        <f>Table226[[#This Row],[PEMBULATAN]]*O11</f>
        <v>133000</v>
      </c>
    </row>
    <row r="12" spans="1:16" ht="26.25" customHeight="1" x14ac:dyDescent="0.2">
      <c r="A12" s="15"/>
      <c r="B12" s="15" t="s">
        <v>118</v>
      </c>
      <c r="C12" s="89" t="s">
        <v>129</v>
      </c>
      <c r="D12" s="105" t="s">
        <v>114</v>
      </c>
      <c r="E12" s="91">
        <v>44409</v>
      </c>
      <c r="F12" s="96" t="s">
        <v>115</v>
      </c>
      <c r="G12" s="91">
        <v>44411</v>
      </c>
      <c r="H12" s="103" t="s">
        <v>84</v>
      </c>
      <c r="I12" s="90">
        <v>38</v>
      </c>
      <c r="J12" s="90">
        <v>40</v>
      </c>
      <c r="K12" s="90">
        <v>35</v>
      </c>
      <c r="L12" s="90">
        <v>21</v>
      </c>
      <c r="M12" s="113">
        <f t="shared" si="0"/>
        <v>13.3</v>
      </c>
      <c r="N12" s="92">
        <v>21</v>
      </c>
      <c r="O12" s="69">
        <v>7000</v>
      </c>
      <c r="P12" s="70">
        <f>Table226[[#This Row],[PEMBULATAN]]*O12</f>
        <v>147000</v>
      </c>
    </row>
    <row r="13" spans="1:16" ht="26.25" customHeight="1" x14ac:dyDescent="0.2">
      <c r="A13" s="15"/>
      <c r="B13" s="15"/>
      <c r="C13" s="89" t="s">
        <v>130</v>
      </c>
      <c r="D13" s="105" t="s">
        <v>114</v>
      </c>
      <c r="E13" s="91">
        <v>44409</v>
      </c>
      <c r="F13" s="96" t="s">
        <v>115</v>
      </c>
      <c r="G13" s="91">
        <v>44411</v>
      </c>
      <c r="H13" s="103" t="s">
        <v>84</v>
      </c>
      <c r="I13" s="90">
        <v>38</v>
      </c>
      <c r="J13" s="90">
        <v>40</v>
      </c>
      <c r="K13" s="90">
        <v>35</v>
      </c>
      <c r="L13" s="90">
        <v>21</v>
      </c>
      <c r="M13" s="113">
        <f t="shared" si="0"/>
        <v>13.3</v>
      </c>
      <c r="N13" s="92">
        <v>21</v>
      </c>
      <c r="O13" s="69">
        <v>7000</v>
      </c>
      <c r="P13" s="70">
        <f>Table226[[#This Row],[PEMBULATAN]]*O13</f>
        <v>147000</v>
      </c>
    </row>
    <row r="14" spans="1:16" ht="22.5" customHeight="1" x14ac:dyDescent="0.2">
      <c r="A14" s="131" t="s">
        <v>37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3"/>
      <c r="M14" s="106">
        <f>SUBTOTAL(109,Table226[KG VOLUME])</f>
        <v>221.00850000000003</v>
      </c>
      <c r="N14" s="73">
        <f>SUM(N3:N13)</f>
        <v>239</v>
      </c>
      <c r="O14" s="134">
        <f>SUM(P3:P13)</f>
        <v>1673000</v>
      </c>
      <c r="P14" s="135"/>
    </row>
    <row r="15" spans="1:16" x14ac:dyDescent="0.2">
      <c r="A15" s="11"/>
      <c r="B15" s="61" t="s">
        <v>51</v>
      </c>
      <c r="C15" s="60"/>
      <c r="D15" s="62" t="s">
        <v>52</v>
      </c>
      <c r="H15" s="68"/>
      <c r="N15" s="67" t="s">
        <v>38</v>
      </c>
      <c r="P15" s="74">
        <f>O14*1%</f>
        <v>16730</v>
      </c>
    </row>
    <row r="16" spans="1:16" x14ac:dyDescent="0.2">
      <c r="A16" s="11"/>
      <c r="H16" s="68"/>
      <c r="N16" s="67" t="s">
        <v>39</v>
      </c>
      <c r="P16" s="76">
        <v>0</v>
      </c>
    </row>
    <row r="17" spans="1:16" ht="15.75" thickBot="1" x14ac:dyDescent="0.25">
      <c r="A17" s="11"/>
      <c r="H17" s="68"/>
      <c r="N17" s="67" t="s">
        <v>40</v>
      </c>
      <c r="P17" s="76">
        <v>0</v>
      </c>
    </row>
    <row r="18" spans="1:16" x14ac:dyDescent="0.2">
      <c r="A18" s="11"/>
      <c r="H18" s="68"/>
      <c r="N18" s="71" t="s">
        <v>41</v>
      </c>
      <c r="O18" s="72"/>
      <c r="P18" s="75">
        <f>O14+P15</f>
        <v>1689730</v>
      </c>
    </row>
  </sheetData>
  <mergeCells count="3">
    <mergeCell ref="A3:A4"/>
    <mergeCell ref="A14:L14"/>
    <mergeCell ref="O14:P14"/>
  </mergeCells>
  <conditionalFormatting sqref="B3">
    <cfRule type="duplicateValues" dxfId="125" priority="4"/>
  </conditionalFormatting>
  <conditionalFormatting sqref="B4">
    <cfRule type="duplicateValues" dxfId="124" priority="3"/>
  </conditionalFormatting>
  <conditionalFormatting sqref="B5:B13">
    <cfRule type="duplicateValues" dxfId="123" priority="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3" sqref="N3:N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132</v>
      </c>
      <c r="B3" s="81" t="s">
        <v>131</v>
      </c>
      <c r="C3" s="9" t="s">
        <v>133</v>
      </c>
      <c r="D3" s="94" t="s">
        <v>114</v>
      </c>
      <c r="E3" s="13">
        <v>44410</v>
      </c>
      <c r="F3" s="94" t="s">
        <v>115</v>
      </c>
      <c r="G3" s="13">
        <v>44411</v>
      </c>
      <c r="H3" s="10" t="s">
        <v>84</v>
      </c>
      <c r="I3" s="1">
        <v>40</v>
      </c>
      <c r="J3" s="1">
        <v>26</v>
      </c>
      <c r="K3" s="1">
        <v>35</v>
      </c>
      <c r="L3" s="1">
        <v>7</v>
      </c>
      <c r="M3" s="1">
        <f t="shared" ref="M3:M7" si="0">I3*J3*K3/4000</f>
        <v>9.1</v>
      </c>
      <c r="N3" s="8">
        <v>9</v>
      </c>
      <c r="O3" s="69">
        <v>7000</v>
      </c>
      <c r="P3" s="70">
        <f>Table224[[#This Row],[PEMBULATAN]]*O3</f>
        <v>63000</v>
      </c>
    </row>
    <row r="4" spans="1:16" ht="26.25" customHeight="1" x14ac:dyDescent="0.2">
      <c r="A4" s="130" t="s">
        <v>131</v>
      </c>
      <c r="B4" s="93"/>
      <c r="C4" s="9" t="s">
        <v>134</v>
      </c>
      <c r="D4" s="94" t="s">
        <v>114</v>
      </c>
      <c r="E4" s="13">
        <v>44410</v>
      </c>
      <c r="F4" s="94" t="s">
        <v>115</v>
      </c>
      <c r="G4" s="13">
        <v>44411</v>
      </c>
      <c r="H4" s="10" t="s">
        <v>84</v>
      </c>
      <c r="I4" s="1">
        <v>37</v>
      </c>
      <c r="J4" s="1">
        <v>40</v>
      </c>
      <c r="K4" s="1">
        <v>50</v>
      </c>
      <c r="L4" s="1">
        <v>11</v>
      </c>
      <c r="M4" s="1">
        <f t="shared" si="0"/>
        <v>18.5</v>
      </c>
      <c r="N4" s="8">
        <v>19</v>
      </c>
      <c r="O4" s="69">
        <v>7000</v>
      </c>
      <c r="P4" s="70">
        <f>Table224[[#This Row],[PEMBULATAN]]*O4</f>
        <v>133000</v>
      </c>
    </row>
    <row r="5" spans="1:16" ht="26.25" customHeight="1" x14ac:dyDescent="0.2">
      <c r="A5" s="15"/>
      <c r="B5" s="15"/>
      <c r="C5" s="9" t="s">
        <v>135</v>
      </c>
      <c r="D5" s="94" t="s">
        <v>114</v>
      </c>
      <c r="E5" s="13">
        <v>44410</v>
      </c>
      <c r="F5" s="94" t="s">
        <v>115</v>
      </c>
      <c r="G5" s="13">
        <v>44411</v>
      </c>
      <c r="H5" s="10" t="s">
        <v>84</v>
      </c>
      <c r="I5" s="1">
        <v>44</v>
      </c>
      <c r="J5" s="1">
        <v>55</v>
      </c>
      <c r="K5" s="1">
        <v>80</v>
      </c>
      <c r="L5" s="1">
        <v>14</v>
      </c>
      <c r="M5" s="1">
        <f t="shared" si="0"/>
        <v>48.4</v>
      </c>
      <c r="N5" s="8">
        <v>49</v>
      </c>
      <c r="O5" s="69">
        <v>7000</v>
      </c>
      <c r="P5" s="70">
        <f>Table224[[#This Row],[PEMBULATAN]]*O5</f>
        <v>343000</v>
      </c>
    </row>
    <row r="6" spans="1:16" ht="26.25" customHeight="1" x14ac:dyDescent="0.2">
      <c r="A6" s="15"/>
      <c r="B6" s="15"/>
      <c r="C6" s="80" t="s">
        <v>136</v>
      </c>
      <c r="D6" s="104" t="s">
        <v>114</v>
      </c>
      <c r="E6" s="13">
        <v>44410</v>
      </c>
      <c r="F6" s="94" t="s">
        <v>115</v>
      </c>
      <c r="G6" s="13">
        <v>44411</v>
      </c>
      <c r="H6" s="101" t="s">
        <v>84</v>
      </c>
      <c r="I6" s="18">
        <v>48</v>
      </c>
      <c r="J6" s="18">
        <v>30</v>
      </c>
      <c r="K6" s="18">
        <v>120</v>
      </c>
      <c r="L6" s="18">
        <v>16</v>
      </c>
      <c r="M6" s="18">
        <f t="shared" si="0"/>
        <v>43.2</v>
      </c>
      <c r="N6" s="79">
        <v>43</v>
      </c>
      <c r="O6" s="69">
        <v>7000</v>
      </c>
      <c r="P6" s="70">
        <f>Table224[[#This Row],[PEMBULATAN]]*O6</f>
        <v>301000</v>
      </c>
    </row>
    <row r="7" spans="1:16" ht="26.25" customHeight="1" x14ac:dyDescent="0.2">
      <c r="A7" s="15"/>
      <c r="B7" s="15"/>
      <c r="C7" s="80" t="s">
        <v>137</v>
      </c>
      <c r="D7" s="104" t="s">
        <v>114</v>
      </c>
      <c r="E7" s="13">
        <v>44410</v>
      </c>
      <c r="F7" s="94" t="s">
        <v>115</v>
      </c>
      <c r="G7" s="13">
        <v>44411</v>
      </c>
      <c r="H7" s="101" t="s">
        <v>84</v>
      </c>
      <c r="I7" s="18">
        <v>40</v>
      </c>
      <c r="J7" s="18">
        <v>36</v>
      </c>
      <c r="K7" s="18">
        <v>24</v>
      </c>
      <c r="L7" s="18">
        <v>11</v>
      </c>
      <c r="M7" s="18">
        <f t="shared" si="0"/>
        <v>8.64</v>
      </c>
      <c r="N7" s="79">
        <v>11</v>
      </c>
      <c r="O7" s="69">
        <v>7000</v>
      </c>
      <c r="P7" s="70">
        <f>Table224[[#This Row],[PEMBULATAN]]*O7</f>
        <v>77000</v>
      </c>
    </row>
    <row r="8" spans="1:16" ht="22.5" customHeight="1" x14ac:dyDescent="0.2">
      <c r="A8" s="131" t="s">
        <v>37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3"/>
      <c r="M8" s="78">
        <f>SUBTOTAL(109,Table224[KG VOLUME])</f>
        <v>127.84</v>
      </c>
      <c r="N8" s="73">
        <f>SUM(N3:N7)</f>
        <v>131</v>
      </c>
      <c r="O8" s="134">
        <f>SUM(P3:P7)</f>
        <v>917000</v>
      </c>
      <c r="P8" s="135"/>
    </row>
    <row r="9" spans="1:16" x14ac:dyDescent="0.2">
      <c r="A9" s="11"/>
      <c r="B9" s="61" t="s">
        <v>51</v>
      </c>
      <c r="C9" s="60"/>
      <c r="D9" s="62" t="s">
        <v>52</v>
      </c>
      <c r="H9" s="68"/>
      <c r="N9" s="67" t="s">
        <v>38</v>
      </c>
      <c r="P9" s="74">
        <f>O8*1%</f>
        <v>9170</v>
      </c>
    </row>
    <row r="10" spans="1:16" x14ac:dyDescent="0.2">
      <c r="A10" s="11"/>
      <c r="H10" s="68"/>
      <c r="N10" s="67" t="s">
        <v>39</v>
      </c>
      <c r="P10" s="76">
        <v>0</v>
      </c>
    </row>
    <row r="11" spans="1:16" ht="15.75" thickBot="1" x14ac:dyDescent="0.25">
      <c r="A11" s="11"/>
      <c r="H11" s="68"/>
      <c r="N11" s="67" t="s">
        <v>40</v>
      </c>
      <c r="P11" s="76">
        <v>0</v>
      </c>
    </row>
    <row r="12" spans="1:16" x14ac:dyDescent="0.2">
      <c r="A12" s="11"/>
      <c r="H12" s="68"/>
      <c r="N12" s="71" t="s">
        <v>41</v>
      </c>
      <c r="O12" s="72"/>
      <c r="P12" s="75">
        <f>O8+P9</f>
        <v>926170</v>
      </c>
    </row>
    <row r="13" spans="1:16" x14ac:dyDescent="0.2">
      <c r="B13" s="61"/>
      <c r="C13" s="60"/>
      <c r="D13" s="62"/>
    </row>
    <row r="15" spans="1:16" x14ac:dyDescent="0.2">
      <c r="A15" s="11"/>
      <c r="H15" s="68"/>
      <c r="P15" s="77"/>
    </row>
    <row r="16" spans="1:16" x14ac:dyDescent="0.2">
      <c r="A16" s="11"/>
      <c r="H16" s="68"/>
      <c r="O16" s="63"/>
      <c r="P16" s="77"/>
    </row>
    <row r="17" spans="1:16" s="3" customFormat="1" x14ac:dyDescent="0.25">
      <c r="A17" s="11"/>
      <c r="B17" s="2"/>
      <c r="C17" s="2"/>
      <c r="E17" s="12"/>
      <c r="H17" s="68"/>
      <c r="N17" s="17"/>
      <c r="O17" s="17"/>
      <c r="P17" s="17"/>
    </row>
    <row r="18" spans="1:16" s="3" customFormat="1" x14ac:dyDescent="0.25">
      <c r="A18" s="11"/>
      <c r="B18" s="2"/>
      <c r="C18" s="2"/>
      <c r="E18" s="12"/>
      <c r="H18" s="68"/>
      <c r="N18" s="17"/>
      <c r="O18" s="17"/>
      <c r="P18" s="17"/>
    </row>
    <row r="19" spans="1:16" s="3" customFormat="1" x14ac:dyDescent="0.25">
      <c r="A19" s="11"/>
      <c r="B19" s="2"/>
      <c r="C19" s="2"/>
      <c r="E19" s="12"/>
      <c r="H19" s="68"/>
      <c r="N19" s="17"/>
      <c r="O19" s="17"/>
      <c r="P19" s="17"/>
    </row>
    <row r="20" spans="1:16" s="3" customFormat="1" x14ac:dyDescent="0.25">
      <c r="A20" s="11"/>
      <c r="B20" s="2"/>
      <c r="C20" s="2"/>
      <c r="E20" s="12"/>
      <c r="H20" s="68"/>
      <c r="N20" s="17"/>
      <c r="O20" s="17"/>
      <c r="P20" s="17"/>
    </row>
    <row r="21" spans="1:16" s="3" customFormat="1" x14ac:dyDescent="0.25">
      <c r="A21" s="11"/>
      <c r="B21" s="2"/>
      <c r="C21" s="2"/>
      <c r="E21" s="12"/>
      <c r="H21" s="68"/>
      <c r="N21" s="17"/>
      <c r="O21" s="17"/>
      <c r="P21" s="17"/>
    </row>
    <row r="22" spans="1:16" s="3" customFormat="1" x14ac:dyDescent="0.25">
      <c r="A22" s="11"/>
      <c r="B22" s="2"/>
      <c r="C22" s="2"/>
      <c r="E22" s="12"/>
      <c r="H22" s="68"/>
      <c r="N22" s="17"/>
      <c r="O22" s="17"/>
      <c r="P22" s="17"/>
    </row>
    <row r="23" spans="1:16" s="3" customFormat="1" x14ac:dyDescent="0.25">
      <c r="A23" s="11"/>
      <c r="B23" s="2"/>
      <c r="C23" s="2"/>
      <c r="E23" s="12"/>
      <c r="H23" s="68"/>
      <c r="N23" s="17"/>
      <c r="O23" s="17"/>
      <c r="P23" s="17"/>
    </row>
    <row r="24" spans="1:16" s="3" customFormat="1" x14ac:dyDescent="0.25">
      <c r="A24" s="11"/>
      <c r="B24" s="2"/>
      <c r="C24" s="2"/>
      <c r="E24" s="12"/>
      <c r="H24" s="68"/>
      <c r="N24" s="17"/>
      <c r="O24" s="17"/>
      <c r="P24" s="17"/>
    </row>
    <row r="25" spans="1:16" s="3" customFormat="1" x14ac:dyDescent="0.25">
      <c r="A25" s="11"/>
      <c r="B25" s="2"/>
      <c r="C25" s="2"/>
      <c r="E25" s="12"/>
      <c r="H25" s="68"/>
      <c r="N25" s="17"/>
      <c r="O25" s="17"/>
      <c r="P25" s="17"/>
    </row>
    <row r="26" spans="1:16" s="3" customFormat="1" x14ac:dyDescent="0.25">
      <c r="A26" s="11"/>
      <c r="B26" s="2"/>
      <c r="C26" s="2"/>
      <c r="E26" s="12"/>
      <c r="H26" s="68"/>
      <c r="N26" s="17"/>
      <c r="O26" s="17"/>
      <c r="P26" s="17"/>
    </row>
    <row r="27" spans="1:16" s="3" customFormat="1" x14ac:dyDescent="0.25">
      <c r="A27" s="11"/>
      <c r="B27" s="2"/>
      <c r="C27" s="2"/>
      <c r="E27" s="12"/>
      <c r="H27" s="68"/>
      <c r="N27" s="17"/>
      <c r="O27" s="17"/>
      <c r="P27" s="17"/>
    </row>
    <row r="28" spans="1:16" s="3" customFormat="1" x14ac:dyDescent="0.25">
      <c r="A28" s="11"/>
      <c r="B28" s="2"/>
      <c r="C28" s="2"/>
      <c r="E28" s="12"/>
      <c r="H28" s="68"/>
      <c r="N28" s="17"/>
      <c r="O28" s="17"/>
      <c r="P28" s="17"/>
    </row>
  </sheetData>
  <mergeCells count="3">
    <mergeCell ref="A3:A4"/>
    <mergeCell ref="A8:L8"/>
    <mergeCell ref="O8:P8"/>
  </mergeCells>
  <conditionalFormatting sqref="B3">
    <cfRule type="duplicateValues" dxfId="107" priority="4"/>
  </conditionalFormatting>
  <conditionalFormatting sqref="B4">
    <cfRule type="duplicateValues" dxfId="106" priority="3"/>
  </conditionalFormatting>
  <conditionalFormatting sqref="B5:B7">
    <cfRule type="duplicateValues" dxfId="105" priority="2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P39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N3" sqref="N3:N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217</v>
      </c>
      <c r="B3" s="81" t="s">
        <v>199</v>
      </c>
      <c r="C3" s="9" t="s">
        <v>200</v>
      </c>
      <c r="D3" s="94" t="s">
        <v>114</v>
      </c>
      <c r="E3" s="13">
        <v>44411</v>
      </c>
      <c r="F3" s="94" t="s">
        <v>197</v>
      </c>
      <c r="G3" s="13">
        <v>44415</v>
      </c>
      <c r="H3" s="10" t="s">
        <v>198</v>
      </c>
      <c r="I3" s="1">
        <v>40</v>
      </c>
      <c r="J3" s="1">
        <v>35</v>
      </c>
      <c r="K3" s="1">
        <v>17</v>
      </c>
      <c r="L3" s="1">
        <v>11</v>
      </c>
      <c r="M3" s="109">
        <f t="shared" ref="M3:M18" si="0">I3*J3*K3/4000</f>
        <v>5.95</v>
      </c>
      <c r="N3" s="115">
        <v>11</v>
      </c>
      <c r="O3" s="69">
        <v>7000</v>
      </c>
      <c r="P3" s="70">
        <f>Table224578910[[#This Row],[PEMBULATAN]]*O3</f>
        <v>77000</v>
      </c>
    </row>
    <row r="4" spans="1:16" ht="26.25" customHeight="1" x14ac:dyDescent="0.2">
      <c r="A4" s="130"/>
      <c r="B4" s="93"/>
      <c r="C4" s="9" t="s">
        <v>201</v>
      </c>
      <c r="D4" s="94" t="s">
        <v>114</v>
      </c>
      <c r="E4" s="13">
        <v>44411</v>
      </c>
      <c r="F4" s="94" t="s">
        <v>197</v>
      </c>
      <c r="G4" s="13">
        <v>44415</v>
      </c>
      <c r="H4" s="10" t="s">
        <v>198</v>
      </c>
      <c r="I4" s="1">
        <v>42</v>
      </c>
      <c r="J4" s="1">
        <v>33</v>
      </c>
      <c r="K4" s="1">
        <v>24</v>
      </c>
      <c r="L4" s="1">
        <v>12</v>
      </c>
      <c r="M4" s="109">
        <f t="shared" si="0"/>
        <v>8.3160000000000007</v>
      </c>
      <c r="N4" s="115">
        <v>12</v>
      </c>
      <c r="O4" s="69">
        <v>7000</v>
      </c>
      <c r="P4" s="70">
        <f>Table224578910[[#This Row],[PEMBULATAN]]*O4</f>
        <v>84000</v>
      </c>
    </row>
    <row r="5" spans="1:16" ht="26.25" customHeight="1" x14ac:dyDescent="0.2">
      <c r="A5" s="15"/>
      <c r="B5" s="15"/>
      <c r="C5" s="9" t="s">
        <v>202</v>
      </c>
      <c r="D5" s="94" t="s">
        <v>114</v>
      </c>
      <c r="E5" s="13">
        <v>44411</v>
      </c>
      <c r="F5" s="94" t="s">
        <v>197</v>
      </c>
      <c r="G5" s="13">
        <v>44415</v>
      </c>
      <c r="H5" s="10" t="s">
        <v>198</v>
      </c>
      <c r="I5" s="1">
        <v>36</v>
      </c>
      <c r="J5" s="1">
        <v>32</v>
      </c>
      <c r="K5" s="1">
        <v>23</v>
      </c>
      <c r="L5" s="1">
        <v>6</v>
      </c>
      <c r="M5" s="109">
        <f t="shared" si="0"/>
        <v>6.6239999999999997</v>
      </c>
      <c r="N5" s="115">
        <v>7</v>
      </c>
      <c r="O5" s="69">
        <v>7000</v>
      </c>
      <c r="P5" s="70">
        <f>Table224578910[[#This Row],[PEMBULATAN]]*O5</f>
        <v>49000</v>
      </c>
    </row>
    <row r="6" spans="1:16" ht="26.25" customHeight="1" x14ac:dyDescent="0.2">
      <c r="A6" s="15"/>
      <c r="B6" s="15"/>
      <c r="C6" s="80" t="s">
        <v>203</v>
      </c>
      <c r="D6" s="104" t="s">
        <v>114</v>
      </c>
      <c r="E6" s="13">
        <v>44411</v>
      </c>
      <c r="F6" s="94" t="s">
        <v>197</v>
      </c>
      <c r="G6" s="13">
        <v>44415</v>
      </c>
      <c r="H6" s="101" t="s">
        <v>198</v>
      </c>
      <c r="I6" s="18">
        <v>53</v>
      </c>
      <c r="J6" s="18">
        <v>28</v>
      </c>
      <c r="K6" s="18">
        <v>42</v>
      </c>
      <c r="L6" s="18">
        <v>14</v>
      </c>
      <c r="M6" s="112">
        <f t="shared" si="0"/>
        <v>15.582000000000001</v>
      </c>
      <c r="N6" s="115">
        <v>16</v>
      </c>
      <c r="O6" s="69">
        <v>7000</v>
      </c>
      <c r="P6" s="70">
        <f>Table224578910[[#This Row],[PEMBULATAN]]*O6</f>
        <v>112000</v>
      </c>
    </row>
    <row r="7" spans="1:16" ht="26.25" customHeight="1" x14ac:dyDescent="0.2">
      <c r="A7" s="15"/>
      <c r="B7" s="15"/>
      <c r="C7" s="80" t="s">
        <v>204</v>
      </c>
      <c r="D7" s="104" t="s">
        <v>114</v>
      </c>
      <c r="E7" s="13">
        <v>44411</v>
      </c>
      <c r="F7" s="94" t="s">
        <v>197</v>
      </c>
      <c r="G7" s="13">
        <v>44415</v>
      </c>
      <c r="H7" s="101" t="s">
        <v>198</v>
      </c>
      <c r="I7" s="18">
        <v>47</v>
      </c>
      <c r="J7" s="18">
        <v>43</v>
      </c>
      <c r="K7" s="18">
        <v>16</v>
      </c>
      <c r="L7" s="18">
        <v>15</v>
      </c>
      <c r="M7" s="112">
        <f t="shared" si="0"/>
        <v>8.0839999999999996</v>
      </c>
      <c r="N7" s="115">
        <v>15</v>
      </c>
      <c r="O7" s="69">
        <v>7000</v>
      </c>
      <c r="P7" s="70">
        <f>Table224578910[[#This Row],[PEMBULATAN]]*O7</f>
        <v>105000</v>
      </c>
    </row>
    <row r="8" spans="1:16" ht="26.25" customHeight="1" x14ac:dyDescent="0.2">
      <c r="A8" s="15"/>
      <c r="B8" s="15"/>
      <c r="C8" s="80" t="s">
        <v>205</v>
      </c>
      <c r="D8" s="104" t="s">
        <v>114</v>
      </c>
      <c r="E8" s="13">
        <v>44411</v>
      </c>
      <c r="F8" s="94" t="s">
        <v>197</v>
      </c>
      <c r="G8" s="13">
        <v>44415</v>
      </c>
      <c r="H8" s="101" t="s">
        <v>198</v>
      </c>
      <c r="I8" s="18">
        <v>82</v>
      </c>
      <c r="J8" s="18">
        <v>53</v>
      </c>
      <c r="K8" s="18">
        <v>3</v>
      </c>
      <c r="L8" s="18">
        <v>6</v>
      </c>
      <c r="M8" s="112">
        <f t="shared" si="0"/>
        <v>3.2595000000000001</v>
      </c>
      <c r="N8" s="115">
        <v>6</v>
      </c>
      <c r="O8" s="69">
        <v>7000</v>
      </c>
      <c r="P8" s="70">
        <f>Table224578910[[#This Row],[PEMBULATAN]]*O8</f>
        <v>42000</v>
      </c>
    </row>
    <row r="9" spans="1:16" ht="26.25" customHeight="1" x14ac:dyDescent="0.2">
      <c r="A9" s="15"/>
      <c r="B9" s="15"/>
      <c r="C9" s="80" t="s">
        <v>206</v>
      </c>
      <c r="D9" s="104" t="s">
        <v>114</v>
      </c>
      <c r="E9" s="13">
        <v>44411</v>
      </c>
      <c r="F9" s="94" t="s">
        <v>197</v>
      </c>
      <c r="G9" s="13">
        <v>44415</v>
      </c>
      <c r="H9" s="101" t="s">
        <v>198</v>
      </c>
      <c r="I9" s="18">
        <v>92</v>
      </c>
      <c r="J9" s="18">
        <v>20</v>
      </c>
      <c r="K9" s="18">
        <v>60</v>
      </c>
      <c r="L9" s="18">
        <v>26</v>
      </c>
      <c r="M9" s="112">
        <f t="shared" si="0"/>
        <v>27.6</v>
      </c>
      <c r="N9" s="115">
        <v>28</v>
      </c>
      <c r="O9" s="69">
        <v>7000</v>
      </c>
      <c r="P9" s="70">
        <f>Table224578910[[#This Row],[PEMBULATAN]]*O9</f>
        <v>196000</v>
      </c>
    </row>
    <row r="10" spans="1:16" ht="26.25" customHeight="1" x14ac:dyDescent="0.2">
      <c r="A10" s="15"/>
      <c r="B10" s="15"/>
      <c r="C10" s="80" t="s">
        <v>207</v>
      </c>
      <c r="D10" s="104" t="s">
        <v>114</v>
      </c>
      <c r="E10" s="13">
        <v>44411</v>
      </c>
      <c r="F10" s="94" t="s">
        <v>197</v>
      </c>
      <c r="G10" s="13">
        <v>44415</v>
      </c>
      <c r="H10" s="101" t="s">
        <v>198</v>
      </c>
      <c r="I10" s="18">
        <v>83</v>
      </c>
      <c r="J10" s="18">
        <v>19</v>
      </c>
      <c r="K10" s="18">
        <v>56</v>
      </c>
      <c r="L10" s="18">
        <v>7</v>
      </c>
      <c r="M10" s="112">
        <f t="shared" si="0"/>
        <v>22.077999999999999</v>
      </c>
      <c r="N10" s="115">
        <v>22</v>
      </c>
      <c r="O10" s="69">
        <v>7000</v>
      </c>
      <c r="P10" s="70">
        <f>Table224578910[[#This Row],[PEMBULATAN]]*O10</f>
        <v>154000</v>
      </c>
    </row>
    <row r="11" spans="1:16" ht="26.25" customHeight="1" x14ac:dyDescent="0.2">
      <c r="A11" s="15"/>
      <c r="B11" s="15"/>
      <c r="C11" s="80" t="s">
        <v>208</v>
      </c>
      <c r="D11" s="104" t="s">
        <v>114</v>
      </c>
      <c r="E11" s="13">
        <v>44411</v>
      </c>
      <c r="F11" s="94" t="s">
        <v>197</v>
      </c>
      <c r="G11" s="13">
        <v>44415</v>
      </c>
      <c r="H11" s="101" t="s">
        <v>198</v>
      </c>
      <c r="I11" s="18">
        <v>34</v>
      </c>
      <c r="J11" s="18">
        <v>40</v>
      </c>
      <c r="K11" s="18">
        <v>17</v>
      </c>
      <c r="L11" s="18">
        <v>11</v>
      </c>
      <c r="M11" s="112">
        <f t="shared" si="0"/>
        <v>5.78</v>
      </c>
      <c r="N11" s="115">
        <v>11</v>
      </c>
      <c r="O11" s="69">
        <v>7000</v>
      </c>
      <c r="P11" s="70">
        <f>Table224578910[[#This Row],[PEMBULATAN]]*O11</f>
        <v>77000</v>
      </c>
    </row>
    <row r="12" spans="1:16" ht="26.25" customHeight="1" x14ac:dyDescent="0.2">
      <c r="A12" s="15"/>
      <c r="B12" s="15"/>
      <c r="C12" s="80" t="s">
        <v>209</v>
      </c>
      <c r="D12" s="104" t="s">
        <v>114</v>
      </c>
      <c r="E12" s="13">
        <v>44411</v>
      </c>
      <c r="F12" s="94" t="s">
        <v>197</v>
      </c>
      <c r="G12" s="13">
        <v>44415</v>
      </c>
      <c r="H12" s="101" t="s">
        <v>198</v>
      </c>
      <c r="I12" s="18">
        <v>47</v>
      </c>
      <c r="J12" s="18">
        <v>34</v>
      </c>
      <c r="K12" s="18">
        <v>80</v>
      </c>
      <c r="L12" s="18">
        <v>21</v>
      </c>
      <c r="M12" s="112">
        <f t="shared" si="0"/>
        <v>31.96</v>
      </c>
      <c r="N12" s="115">
        <v>32</v>
      </c>
      <c r="O12" s="69">
        <v>7000</v>
      </c>
      <c r="P12" s="70">
        <f>Table224578910[[#This Row],[PEMBULATAN]]*O12</f>
        <v>224000</v>
      </c>
    </row>
    <row r="13" spans="1:16" ht="26.25" customHeight="1" x14ac:dyDescent="0.2">
      <c r="A13" s="15"/>
      <c r="B13" s="15"/>
      <c r="C13" s="80" t="s">
        <v>210</v>
      </c>
      <c r="D13" s="104" t="s">
        <v>114</v>
      </c>
      <c r="E13" s="13">
        <v>44411</v>
      </c>
      <c r="F13" s="94" t="s">
        <v>197</v>
      </c>
      <c r="G13" s="13">
        <v>44415</v>
      </c>
      <c r="H13" s="101" t="s">
        <v>198</v>
      </c>
      <c r="I13" s="18">
        <v>42</v>
      </c>
      <c r="J13" s="18">
        <v>24</v>
      </c>
      <c r="K13" s="18">
        <v>52</v>
      </c>
      <c r="L13" s="18">
        <v>7</v>
      </c>
      <c r="M13" s="112">
        <f t="shared" si="0"/>
        <v>13.103999999999999</v>
      </c>
      <c r="N13" s="115">
        <v>13</v>
      </c>
      <c r="O13" s="69">
        <v>7000</v>
      </c>
      <c r="P13" s="70">
        <f>Table224578910[[#This Row],[PEMBULATAN]]*O13</f>
        <v>91000</v>
      </c>
    </row>
    <row r="14" spans="1:16" ht="26.25" customHeight="1" x14ac:dyDescent="0.2">
      <c r="A14" s="15"/>
      <c r="B14" s="15"/>
      <c r="C14" s="80" t="s">
        <v>211</v>
      </c>
      <c r="D14" s="104" t="s">
        <v>114</v>
      </c>
      <c r="E14" s="13">
        <v>44411</v>
      </c>
      <c r="F14" s="94" t="s">
        <v>197</v>
      </c>
      <c r="G14" s="13">
        <v>44415</v>
      </c>
      <c r="H14" s="101" t="s">
        <v>198</v>
      </c>
      <c r="I14" s="18">
        <v>130</v>
      </c>
      <c r="J14" s="18">
        <v>21</v>
      </c>
      <c r="K14" s="18">
        <v>50</v>
      </c>
      <c r="L14" s="18">
        <v>20</v>
      </c>
      <c r="M14" s="112">
        <f t="shared" si="0"/>
        <v>34.125</v>
      </c>
      <c r="N14" s="115">
        <v>34</v>
      </c>
      <c r="O14" s="69">
        <v>7000</v>
      </c>
      <c r="P14" s="70">
        <f>Table224578910[[#This Row],[PEMBULATAN]]*O14</f>
        <v>238000</v>
      </c>
    </row>
    <row r="15" spans="1:16" ht="26.25" customHeight="1" x14ac:dyDescent="0.2">
      <c r="A15" s="15"/>
      <c r="B15" s="15"/>
      <c r="C15" s="80" t="s">
        <v>212</v>
      </c>
      <c r="D15" s="104" t="s">
        <v>114</v>
      </c>
      <c r="E15" s="13">
        <v>44411</v>
      </c>
      <c r="F15" s="94" t="s">
        <v>197</v>
      </c>
      <c r="G15" s="13">
        <v>44415</v>
      </c>
      <c r="H15" s="101" t="s">
        <v>198</v>
      </c>
      <c r="I15" s="18">
        <v>58</v>
      </c>
      <c r="J15" s="18">
        <v>50</v>
      </c>
      <c r="K15" s="18">
        <v>47</v>
      </c>
      <c r="L15" s="18">
        <v>7</v>
      </c>
      <c r="M15" s="112">
        <f t="shared" si="0"/>
        <v>34.075000000000003</v>
      </c>
      <c r="N15" s="115">
        <v>34</v>
      </c>
      <c r="O15" s="69">
        <v>7000</v>
      </c>
      <c r="P15" s="70">
        <f>Table224578910[[#This Row],[PEMBULATAN]]*O15</f>
        <v>238000</v>
      </c>
    </row>
    <row r="16" spans="1:16" ht="26.25" customHeight="1" x14ac:dyDescent="0.2">
      <c r="A16" s="15"/>
      <c r="B16" s="15"/>
      <c r="C16" s="80" t="s">
        <v>213</v>
      </c>
      <c r="D16" s="104" t="s">
        <v>114</v>
      </c>
      <c r="E16" s="13">
        <v>44411</v>
      </c>
      <c r="F16" s="94" t="s">
        <v>197</v>
      </c>
      <c r="G16" s="13">
        <v>44415</v>
      </c>
      <c r="H16" s="101" t="s">
        <v>198</v>
      </c>
      <c r="I16" s="18">
        <v>47</v>
      </c>
      <c r="J16" s="18">
        <v>53</v>
      </c>
      <c r="K16" s="18">
        <v>60</v>
      </c>
      <c r="L16" s="18">
        <v>30</v>
      </c>
      <c r="M16" s="112">
        <f t="shared" si="0"/>
        <v>37.365000000000002</v>
      </c>
      <c r="N16" s="115">
        <v>38</v>
      </c>
      <c r="O16" s="69">
        <v>7000</v>
      </c>
      <c r="P16" s="70">
        <f>Table224578910[[#This Row],[PEMBULATAN]]*O16</f>
        <v>266000</v>
      </c>
    </row>
    <row r="17" spans="1:16" ht="26.25" customHeight="1" x14ac:dyDescent="0.2">
      <c r="A17" s="15"/>
      <c r="B17" s="16"/>
      <c r="C17" s="80" t="s">
        <v>214</v>
      </c>
      <c r="D17" s="104" t="s">
        <v>114</v>
      </c>
      <c r="E17" s="13">
        <v>44411</v>
      </c>
      <c r="F17" s="94" t="s">
        <v>197</v>
      </c>
      <c r="G17" s="13">
        <v>44415</v>
      </c>
      <c r="H17" s="101" t="s">
        <v>198</v>
      </c>
      <c r="I17" s="18">
        <v>75</v>
      </c>
      <c r="J17" s="18">
        <v>16</v>
      </c>
      <c r="K17" s="18">
        <v>72</v>
      </c>
      <c r="L17" s="18">
        <v>17</v>
      </c>
      <c r="M17" s="112">
        <f t="shared" si="0"/>
        <v>21.6</v>
      </c>
      <c r="N17" s="115">
        <v>22</v>
      </c>
      <c r="O17" s="69">
        <v>7000</v>
      </c>
      <c r="P17" s="70">
        <f>Table224578910[[#This Row],[PEMBULATAN]]*O17</f>
        <v>154000</v>
      </c>
    </row>
    <row r="18" spans="1:16" ht="26.25" customHeight="1" x14ac:dyDescent="0.2">
      <c r="A18" s="15"/>
      <c r="B18" s="15" t="s">
        <v>215</v>
      </c>
      <c r="C18" s="80" t="s">
        <v>216</v>
      </c>
      <c r="D18" s="104" t="s">
        <v>114</v>
      </c>
      <c r="E18" s="13">
        <v>44411</v>
      </c>
      <c r="F18" s="94" t="s">
        <v>197</v>
      </c>
      <c r="G18" s="13">
        <v>44415</v>
      </c>
      <c r="H18" s="101" t="s">
        <v>198</v>
      </c>
      <c r="I18" s="18">
        <v>34</v>
      </c>
      <c r="J18" s="18">
        <v>65</v>
      </c>
      <c r="K18" s="18">
        <v>42</v>
      </c>
      <c r="L18" s="18">
        <v>18.600000000000001</v>
      </c>
      <c r="M18" s="112">
        <f t="shared" si="0"/>
        <v>23.204999999999998</v>
      </c>
      <c r="N18" s="115">
        <v>23</v>
      </c>
      <c r="O18" s="69">
        <v>7000</v>
      </c>
      <c r="P18" s="70">
        <f>Table224578910[[#This Row],[PEMBULATAN]]*O18</f>
        <v>161000</v>
      </c>
    </row>
    <row r="19" spans="1:16" ht="22.5" customHeight="1" x14ac:dyDescent="0.2">
      <c r="A19" s="131" t="s">
        <v>37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3"/>
      <c r="M19" s="106">
        <f>SUBTOTAL(109,Table224578910[KG VOLUME])</f>
        <v>298.70750000000004</v>
      </c>
      <c r="N19" s="73">
        <f>SUM(N3:N18)</f>
        <v>324</v>
      </c>
      <c r="O19" s="134">
        <f>SUM(P3:P18)</f>
        <v>2268000</v>
      </c>
      <c r="P19" s="135"/>
    </row>
    <row r="20" spans="1:16" x14ac:dyDescent="0.2">
      <c r="A20" s="11"/>
      <c r="B20" s="61" t="s">
        <v>51</v>
      </c>
      <c r="C20" s="60"/>
      <c r="D20" s="62" t="s">
        <v>52</v>
      </c>
      <c r="H20" s="68"/>
      <c r="N20" s="67" t="s">
        <v>38</v>
      </c>
      <c r="P20" s="74">
        <f>O19*1%</f>
        <v>22680</v>
      </c>
    </row>
    <row r="21" spans="1:16" x14ac:dyDescent="0.2">
      <c r="A21" s="11"/>
      <c r="H21" s="68"/>
      <c r="N21" s="67" t="s">
        <v>39</v>
      </c>
      <c r="P21" s="76">
        <v>0</v>
      </c>
    </row>
    <row r="22" spans="1:16" ht="15.75" thickBot="1" x14ac:dyDescent="0.25">
      <c r="A22" s="11"/>
      <c r="H22" s="68"/>
      <c r="N22" s="67" t="s">
        <v>40</v>
      </c>
      <c r="P22" s="76">
        <v>0</v>
      </c>
    </row>
    <row r="23" spans="1:16" x14ac:dyDescent="0.2">
      <c r="A23" s="11"/>
      <c r="H23" s="68"/>
      <c r="N23" s="71" t="s">
        <v>41</v>
      </c>
      <c r="O23" s="72"/>
      <c r="P23" s="75">
        <f>O19+P20</f>
        <v>2290680</v>
      </c>
    </row>
    <row r="24" spans="1:16" x14ac:dyDescent="0.2">
      <c r="B24" s="61"/>
      <c r="C24" s="60"/>
      <c r="D24" s="62"/>
    </row>
    <row r="26" spans="1:16" x14ac:dyDescent="0.2">
      <c r="A26" s="11"/>
      <c r="H26" s="68"/>
      <c r="P26" s="77"/>
    </row>
    <row r="27" spans="1:16" x14ac:dyDescent="0.2">
      <c r="A27" s="11"/>
      <c r="H27" s="68"/>
      <c r="O27" s="63"/>
      <c r="P27" s="77"/>
    </row>
    <row r="28" spans="1:16" s="3" customFormat="1" x14ac:dyDescent="0.25">
      <c r="A28" s="11"/>
      <c r="B28" s="2"/>
      <c r="C28" s="2"/>
      <c r="E28" s="12"/>
      <c r="H28" s="68"/>
      <c r="N28" s="17"/>
      <c r="O28" s="17"/>
      <c r="P28" s="17"/>
    </row>
    <row r="29" spans="1:16" s="3" customFormat="1" x14ac:dyDescent="0.25">
      <c r="A29" s="11"/>
      <c r="B29" s="2"/>
      <c r="C29" s="2"/>
      <c r="E29" s="12"/>
      <c r="H29" s="68"/>
      <c r="N29" s="17"/>
      <c r="O29" s="17"/>
      <c r="P29" s="17"/>
    </row>
    <row r="30" spans="1:16" s="3" customFormat="1" x14ac:dyDescent="0.25">
      <c r="A30" s="11"/>
      <c r="B30" s="2"/>
      <c r="C30" s="2"/>
      <c r="E30" s="12"/>
      <c r="H30" s="68"/>
      <c r="N30" s="17"/>
      <c r="O30" s="17"/>
      <c r="P30" s="17"/>
    </row>
    <row r="31" spans="1:16" s="3" customFormat="1" x14ac:dyDescent="0.25">
      <c r="A31" s="11"/>
      <c r="B31" s="2"/>
      <c r="C31" s="2"/>
      <c r="E31" s="12"/>
      <c r="H31" s="68"/>
      <c r="N31" s="17"/>
      <c r="O31" s="17"/>
      <c r="P31" s="17"/>
    </row>
    <row r="32" spans="1:16" s="3" customFormat="1" x14ac:dyDescent="0.25">
      <c r="A32" s="11"/>
      <c r="B32" s="2"/>
      <c r="C32" s="2"/>
      <c r="E32" s="12"/>
      <c r="H32" s="68"/>
      <c r="N32" s="17"/>
      <c r="O32" s="17"/>
      <c r="P32" s="17"/>
    </row>
    <row r="33" spans="1:16" s="3" customFormat="1" x14ac:dyDescent="0.25">
      <c r="A33" s="11"/>
      <c r="B33" s="2"/>
      <c r="C33" s="2"/>
      <c r="E33" s="12"/>
      <c r="H33" s="68"/>
      <c r="N33" s="17"/>
      <c r="O33" s="17"/>
      <c r="P33" s="17"/>
    </row>
    <row r="34" spans="1:16" s="3" customFormat="1" x14ac:dyDescent="0.25">
      <c r="A34" s="11"/>
      <c r="B34" s="2"/>
      <c r="C34" s="2"/>
      <c r="E34" s="12"/>
      <c r="H34" s="68"/>
      <c r="N34" s="17"/>
      <c r="O34" s="17"/>
      <c r="P34" s="17"/>
    </row>
    <row r="35" spans="1:16" s="3" customFormat="1" x14ac:dyDescent="0.25">
      <c r="A35" s="11"/>
      <c r="B35" s="2"/>
      <c r="C35" s="2"/>
      <c r="E35" s="12"/>
      <c r="H35" s="68"/>
      <c r="N35" s="17"/>
      <c r="O35" s="17"/>
      <c r="P35" s="17"/>
    </row>
    <row r="36" spans="1:16" s="3" customFormat="1" x14ac:dyDescent="0.25">
      <c r="A36" s="11"/>
      <c r="B36" s="2"/>
      <c r="C36" s="2"/>
      <c r="E36" s="12"/>
      <c r="H36" s="68"/>
      <c r="N36" s="17"/>
      <c r="O36" s="17"/>
      <c r="P36" s="17"/>
    </row>
    <row r="37" spans="1:16" s="3" customFormat="1" x14ac:dyDescent="0.25">
      <c r="A37" s="11"/>
      <c r="B37" s="2"/>
      <c r="C37" s="2"/>
      <c r="E37" s="12"/>
      <c r="H37" s="68"/>
      <c r="N37" s="17"/>
      <c r="O37" s="17"/>
      <c r="P37" s="17"/>
    </row>
    <row r="38" spans="1:16" s="3" customFormat="1" x14ac:dyDescent="0.25">
      <c r="A38" s="11"/>
      <c r="B38" s="2"/>
      <c r="C38" s="2"/>
      <c r="E38" s="12"/>
      <c r="H38" s="68"/>
      <c r="N38" s="17"/>
      <c r="O38" s="17"/>
      <c r="P38" s="17"/>
    </row>
    <row r="39" spans="1:16" s="3" customFormat="1" x14ac:dyDescent="0.25">
      <c r="A39" s="11"/>
      <c r="B39" s="2"/>
      <c r="C39" s="2"/>
      <c r="E39" s="12"/>
      <c r="H39" s="68"/>
      <c r="N39" s="17"/>
      <c r="O39" s="17"/>
      <c r="P39" s="17"/>
    </row>
  </sheetData>
  <mergeCells count="3">
    <mergeCell ref="A3:A4"/>
    <mergeCell ref="A19:L19"/>
    <mergeCell ref="O19:P19"/>
  </mergeCells>
  <conditionalFormatting sqref="B3">
    <cfRule type="duplicateValues" dxfId="89" priority="2"/>
  </conditionalFormatting>
  <conditionalFormatting sqref="B4">
    <cfRule type="duplicateValues" dxfId="88" priority="1"/>
  </conditionalFormatting>
  <conditionalFormatting sqref="B5:B18">
    <cfRule type="duplicateValues" dxfId="87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P38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N3" sqref="N3:N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178</v>
      </c>
      <c r="B3" s="81" t="s">
        <v>179</v>
      </c>
      <c r="C3" s="9" t="s">
        <v>180</v>
      </c>
      <c r="D3" s="94" t="s">
        <v>114</v>
      </c>
      <c r="E3" s="13">
        <v>44412</v>
      </c>
      <c r="F3" s="94" t="s">
        <v>197</v>
      </c>
      <c r="G3" s="13">
        <v>44415</v>
      </c>
      <c r="H3" s="10" t="s">
        <v>198</v>
      </c>
      <c r="I3" s="1">
        <v>110</v>
      </c>
      <c r="J3" s="1">
        <v>43</v>
      </c>
      <c r="K3" s="1">
        <v>35</v>
      </c>
      <c r="L3" s="1">
        <v>14</v>
      </c>
      <c r="M3" s="109">
        <f t="shared" ref="M3:M17" si="0">I3*J3*K3/4000</f>
        <v>41.387500000000003</v>
      </c>
      <c r="N3" s="8">
        <v>42</v>
      </c>
      <c r="O3" s="69">
        <v>7000</v>
      </c>
      <c r="P3" s="70">
        <f>Table2245789[[#This Row],[PEMBULATAN]]*O3</f>
        <v>294000</v>
      </c>
    </row>
    <row r="4" spans="1:16" ht="26.25" customHeight="1" x14ac:dyDescent="0.2">
      <c r="A4" s="130"/>
      <c r="B4" s="93"/>
      <c r="C4" s="9" t="s">
        <v>181</v>
      </c>
      <c r="D4" s="94" t="s">
        <v>114</v>
      </c>
      <c r="E4" s="13">
        <v>44412</v>
      </c>
      <c r="F4" s="94" t="s">
        <v>197</v>
      </c>
      <c r="G4" s="13">
        <v>44415</v>
      </c>
      <c r="H4" s="10" t="s">
        <v>198</v>
      </c>
      <c r="I4" s="1">
        <v>96</v>
      </c>
      <c r="J4" s="1">
        <v>45</v>
      </c>
      <c r="K4" s="1">
        <v>44</v>
      </c>
      <c r="L4" s="1">
        <v>21</v>
      </c>
      <c r="M4" s="109">
        <f t="shared" si="0"/>
        <v>47.52</v>
      </c>
      <c r="N4" s="8">
        <v>48</v>
      </c>
      <c r="O4" s="69">
        <v>7000</v>
      </c>
      <c r="P4" s="70">
        <f>Table2245789[[#This Row],[PEMBULATAN]]*O4</f>
        <v>336000</v>
      </c>
    </row>
    <row r="5" spans="1:16" ht="26.25" customHeight="1" x14ac:dyDescent="0.2">
      <c r="A5" s="15"/>
      <c r="B5" s="15"/>
      <c r="C5" s="9" t="s">
        <v>182</v>
      </c>
      <c r="D5" s="94" t="s">
        <v>114</v>
      </c>
      <c r="E5" s="13">
        <v>44412</v>
      </c>
      <c r="F5" s="94" t="s">
        <v>197</v>
      </c>
      <c r="G5" s="13">
        <v>44415</v>
      </c>
      <c r="H5" s="10" t="s">
        <v>198</v>
      </c>
      <c r="I5" s="1">
        <v>80</v>
      </c>
      <c r="J5" s="1">
        <v>48</v>
      </c>
      <c r="K5" s="1">
        <v>30</v>
      </c>
      <c r="L5" s="1">
        <v>12</v>
      </c>
      <c r="M5" s="109">
        <f t="shared" si="0"/>
        <v>28.8</v>
      </c>
      <c r="N5" s="8">
        <v>29</v>
      </c>
      <c r="O5" s="69">
        <v>7000</v>
      </c>
      <c r="P5" s="70">
        <f>Table2245789[[#This Row],[PEMBULATAN]]*O5</f>
        <v>203000</v>
      </c>
    </row>
    <row r="6" spans="1:16" ht="26.25" customHeight="1" x14ac:dyDescent="0.2">
      <c r="A6" s="15"/>
      <c r="B6" s="15"/>
      <c r="C6" s="80" t="s">
        <v>183</v>
      </c>
      <c r="D6" s="104" t="s">
        <v>114</v>
      </c>
      <c r="E6" s="13">
        <v>44412</v>
      </c>
      <c r="F6" s="94" t="s">
        <v>197</v>
      </c>
      <c r="G6" s="13">
        <v>44415</v>
      </c>
      <c r="H6" s="101" t="s">
        <v>198</v>
      </c>
      <c r="I6" s="18">
        <v>44</v>
      </c>
      <c r="J6" s="18">
        <v>44</v>
      </c>
      <c r="K6" s="18">
        <v>46</v>
      </c>
      <c r="L6" s="18">
        <v>19</v>
      </c>
      <c r="M6" s="112">
        <f t="shared" si="0"/>
        <v>22.263999999999999</v>
      </c>
      <c r="N6" s="79">
        <v>22</v>
      </c>
      <c r="O6" s="69">
        <v>7000</v>
      </c>
      <c r="P6" s="70">
        <f>Table2245789[[#This Row],[PEMBULATAN]]*O6</f>
        <v>154000</v>
      </c>
    </row>
    <row r="7" spans="1:16" ht="26.25" customHeight="1" x14ac:dyDescent="0.2">
      <c r="A7" s="15"/>
      <c r="B7" s="15"/>
      <c r="C7" s="80" t="s">
        <v>184</v>
      </c>
      <c r="D7" s="104" t="s">
        <v>114</v>
      </c>
      <c r="E7" s="13">
        <v>44412</v>
      </c>
      <c r="F7" s="94" t="s">
        <v>197</v>
      </c>
      <c r="G7" s="13">
        <v>44415</v>
      </c>
      <c r="H7" s="101" t="s">
        <v>198</v>
      </c>
      <c r="I7" s="18">
        <v>73</v>
      </c>
      <c r="J7" s="18">
        <v>26</v>
      </c>
      <c r="K7" s="18">
        <v>38</v>
      </c>
      <c r="L7" s="18">
        <v>20</v>
      </c>
      <c r="M7" s="112">
        <f t="shared" si="0"/>
        <v>18.030999999999999</v>
      </c>
      <c r="N7" s="79">
        <v>20</v>
      </c>
      <c r="O7" s="69">
        <v>7000</v>
      </c>
      <c r="P7" s="70">
        <f>Table2245789[[#This Row],[PEMBULATAN]]*O7</f>
        <v>140000</v>
      </c>
    </row>
    <row r="8" spans="1:16" ht="26.25" customHeight="1" x14ac:dyDescent="0.2">
      <c r="A8" s="15"/>
      <c r="B8" s="15"/>
      <c r="C8" s="80" t="s">
        <v>185</v>
      </c>
      <c r="D8" s="104" t="s">
        <v>114</v>
      </c>
      <c r="E8" s="13">
        <v>44412</v>
      </c>
      <c r="F8" s="94" t="s">
        <v>197</v>
      </c>
      <c r="G8" s="13">
        <v>44415</v>
      </c>
      <c r="H8" s="101" t="s">
        <v>198</v>
      </c>
      <c r="I8" s="18">
        <v>70</v>
      </c>
      <c r="J8" s="18">
        <v>48</v>
      </c>
      <c r="K8" s="18">
        <v>46</v>
      </c>
      <c r="L8" s="18">
        <v>7</v>
      </c>
      <c r="M8" s="112">
        <f t="shared" si="0"/>
        <v>38.64</v>
      </c>
      <c r="N8" s="79">
        <v>39</v>
      </c>
      <c r="O8" s="69">
        <v>7000</v>
      </c>
      <c r="P8" s="70">
        <f>Table2245789[[#This Row],[PEMBULATAN]]*O8</f>
        <v>273000</v>
      </c>
    </row>
    <row r="9" spans="1:16" ht="26.25" customHeight="1" x14ac:dyDescent="0.2">
      <c r="A9" s="15"/>
      <c r="B9" s="15"/>
      <c r="C9" s="80" t="s">
        <v>186</v>
      </c>
      <c r="D9" s="104" t="s">
        <v>114</v>
      </c>
      <c r="E9" s="13">
        <v>44412</v>
      </c>
      <c r="F9" s="94" t="s">
        <v>197</v>
      </c>
      <c r="G9" s="13">
        <v>44415</v>
      </c>
      <c r="H9" s="101" t="s">
        <v>198</v>
      </c>
      <c r="I9" s="18">
        <v>60</v>
      </c>
      <c r="J9" s="18">
        <v>50</v>
      </c>
      <c r="K9" s="18">
        <v>20</v>
      </c>
      <c r="L9" s="18">
        <v>11</v>
      </c>
      <c r="M9" s="112">
        <f t="shared" si="0"/>
        <v>15</v>
      </c>
      <c r="N9" s="79">
        <v>15</v>
      </c>
      <c r="O9" s="69">
        <v>7000</v>
      </c>
      <c r="P9" s="70">
        <f>Table2245789[[#This Row],[PEMBULATAN]]*O9</f>
        <v>105000</v>
      </c>
    </row>
    <row r="10" spans="1:16" ht="26.25" customHeight="1" x14ac:dyDescent="0.2">
      <c r="A10" s="15"/>
      <c r="B10" s="15"/>
      <c r="C10" s="80" t="s">
        <v>187</v>
      </c>
      <c r="D10" s="104" t="s">
        <v>114</v>
      </c>
      <c r="E10" s="13">
        <v>44412</v>
      </c>
      <c r="F10" s="94" t="s">
        <v>197</v>
      </c>
      <c r="G10" s="13">
        <v>44415</v>
      </c>
      <c r="H10" s="101" t="s">
        <v>198</v>
      </c>
      <c r="I10" s="18">
        <v>48</v>
      </c>
      <c r="J10" s="18">
        <v>36</v>
      </c>
      <c r="K10" s="18">
        <v>28</v>
      </c>
      <c r="L10" s="18">
        <v>6</v>
      </c>
      <c r="M10" s="112">
        <f t="shared" si="0"/>
        <v>12.096</v>
      </c>
      <c r="N10" s="79">
        <v>12</v>
      </c>
      <c r="O10" s="69">
        <v>7000</v>
      </c>
      <c r="P10" s="70">
        <f>Table2245789[[#This Row],[PEMBULATAN]]*O10</f>
        <v>84000</v>
      </c>
    </row>
    <row r="11" spans="1:16" ht="26.25" customHeight="1" x14ac:dyDescent="0.2">
      <c r="A11" s="15"/>
      <c r="B11" s="15"/>
      <c r="C11" s="80" t="s">
        <v>188</v>
      </c>
      <c r="D11" s="104" t="s">
        <v>114</v>
      </c>
      <c r="E11" s="13">
        <v>44412</v>
      </c>
      <c r="F11" s="94" t="s">
        <v>197</v>
      </c>
      <c r="G11" s="13">
        <v>44415</v>
      </c>
      <c r="H11" s="101" t="s">
        <v>198</v>
      </c>
      <c r="I11" s="18">
        <v>65</v>
      </c>
      <c r="J11" s="18">
        <v>51</v>
      </c>
      <c r="K11" s="18">
        <v>40</v>
      </c>
      <c r="L11" s="18">
        <v>42</v>
      </c>
      <c r="M11" s="112">
        <f t="shared" si="0"/>
        <v>33.15</v>
      </c>
      <c r="N11" s="79">
        <v>42</v>
      </c>
      <c r="O11" s="69">
        <v>7000</v>
      </c>
      <c r="P11" s="70">
        <f>Table2245789[[#This Row],[PEMBULATAN]]*O11</f>
        <v>294000</v>
      </c>
    </row>
    <row r="12" spans="1:16" ht="26.25" customHeight="1" x14ac:dyDescent="0.2">
      <c r="A12" s="15"/>
      <c r="B12" s="15"/>
      <c r="C12" s="80" t="s">
        <v>189</v>
      </c>
      <c r="D12" s="104" t="s">
        <v>114</v>
      </c>
      <c r="E12" s="13">
        <v>44412</v>
      </c>
      <c r="F12" s="94" t="s">
        <v>197</v>
      </c>
      <c r="G12" s="13">
        <v>44415</v>
      </c>
      <c r="H12" s="101" t="s">
        <v>198</v>
      </c>
      <c r="I12" s="18">
        <v>43</v>
      </c>
      <c r="J12" s="18">
        <v>36</v>
      </c>
      <c r="K12" s="18">
        <v>23</v>
      </c>
      <c r="L12" s="18">
        <v>10</v>
      </c>
      <c r="M12" s="112">
        <f t="shared" si="0"/>
        <v>8.9009999999999998</v>
      </c>
      <c r="N12" s="79">
        <v>10</v>
      </c>
      <c r="O12" s="69">
        <v>7000</v>
      </c>
      <c r="P12" s="70">
        <f>Table2245789[[#This Row],[PEMBULATAN]]*O12</f>
        <v>70000</v>
      </c>
    </row>
    <row r="13" spans="1:16" ht="26.25" customHeight="1" x14ac:dyDescent="0.2">
      <c r="A13" s="15"/>
      <c r="B13" s="15"/>
      <c r="C13" s="80" t="s">
        <v>190</v>
      </c>
      <c r="D13" s="104" t="s">
        <v>114</v>
      </c>
      <c r="E13" s="13">
        <v>44412</v>
      </c>
      <c r="F13" s="94" t="s">
        <v>197</v>
      </c>
      <c r="G13" s="13">
        <v>44415</v>
      </c>
      <c r="H13" s="101" t="s">
        <v>198</v>
      </c>
      <c r="I13" s="18">
        <v>26</v>
      </c>
      <c r="J13" s="18">
        <v>24</v>
      </c>
      <c r="K13" s="18">
        <v>15</v>
      </c>
      <c r="L13" s="18">
        <v>7</v>
      </c>
      <c r="M13" s="112">
        <f t="shared" si="0"/>
        <v>2.34</v>
      </c>
      <c r="N13" s="79">
        <v>7</v>
      </c>
      <c r="O13" s="69">
        <v>7000</v>
      </c>
      <c r="P13" s="70">
        <f>Table2245789[[#This Row],[PEMBULATAN]]*O13</f>
        <v>49000</v>
      </c>
    </row>
    <row r="14" spans="1:16" ht="26.25" customHeight="1" x14ac:dyDescent="0.2">
      <c r="A14" s="15"/>
      <c r="B14" s="15"/>
      <c r="C14" s="80" t="s">
        <v>191</v>
      </c>
      <c r="D14" s="104" t="s">
        <v>114</v>
      </c>
      <c r="E14" s="13">
        <v>44412</v>
      </c>
      <c r="F14" s="94" t="s">
        <v>197</v>
      </c>
      <c r="G14" s="13">
        <v>44415</v>
      </c>
      <c r="H14" s="101" t="s">
        <v>198</v>
      </c>
      <c r="I14" s="18">
        <v>78</v>
      </c>
      <c r="J14" s="18">
        <v>42</v>
      </c>
      <c r="K14" s="18">
        <v>43</v>
      </c>
      <c r="L14" s="18">
        <v>23</v>
      </c>
      <c r="M14" s="112">
        <f t="shared" si="0"/>
        <v>35.216999999999999</v>
      </c>
      <c r="N14" s="79">
        <v>35</v>
      </c>
      <c r="O14" s="69">
        <v>7000</v>
      </c>
      <c r="P14" s="70">
        <f>Table2245789[[#This Row],[PEMBULATAN]]*O14</f>
        <v>245000</v>
      </c>
    </row>
    <row r="15" spans="1:16" ht="26.25" customHeight="1" x14ac:dyDescent="0.2">
      <c r="A15" s="15"/>
      <c r="B15" s="16"/>
      <c r="C15" s="80" t="s">
        <v>192</v>
      </c>
      <c r="D15" s="104" t="s">
        <v>114</v>
      </c>
      <c r="E15" s="13">
        <v>44412</v>
      </c>
      <c r="F15" s="94" t="s">
        <v>197</v>
      </c>
      <c r="G15" s="13">
        <v>44415</v>
      </c>
      <c r="H15" s="101" t="s">
        <v>198</v>
      </c>
      <c r="I15" s="18">
        <v>56</v>
      </c>
      <c r="J15" s="18">
        <v>42</v>
      </c>
      <c r="K15" s="18">
        <v>54</v>
      </c>
      <c r="L15" s="18">
        <v>14</v>
      </c>
      <c r="M15" s="112">
        <f t="shared" si="0"/>
        <v>31.751999999999999</v>
      </c>
      <c r="N15" s="79">
        <v>32</v>
      </c>
      <c r="O15" s="69">
        <v>7000</v>
      </c>
      <c r="P15" s="70">
        <f>Table2245789[[#This Row],[PEMBULATAN]]*O15</f>
        <v>224000</v>
      </c>
    </row>
    <row r="16" spans="1:16" ht="26.25" customHeight="1" x14ac:dyDescent="0.2">
      <c r="A16" s="15"/>
      <c r="B16" s="102" t="s">
        <v>193</v>
      </c>
      <c r="C16" s="80" t="s">
        <v>194</v>
      </c>
      <c r="D16" s="104" t="s">
        <v>114</v>
      </c>
      <c r="E16" s="13">
        <v>44412</v>
      </c>
      <c r="F16" s="94" t="s">
        <v>197</v>
      </c>
      <c r="G16" s="13">
        <v>44415</v>
      </c>
      <c r="H16" s="101" t="s">
        <v>198</v>
      </c>
      <c r="I16" s="18">
        <v>65</v>
      </c>
      <c r="J16" s="18">
        <v>48</v>
      </c>
      <c r="K16" s="18">
        <v>38</v>
      </c>
      <c r="L16" s="18">
        <v>17</v>
      </c>
      <c r="M16" s="112">
        <f t="shared" si="0"/>
        <v>29.64</v>
      </c>
      <c r="N16" s="79">
        <v>30</v>
      </c>
      <c r="O16" s="69">
        <v>7000</v>
      </c>
      <c r="P16" s="70">
        <f>Table2245789[[#This Row],[PEMBULATAN]]*O16</f>
        <v>210000</v>
      </c>
    </row>
    <row r="17" spans="1:16" ht="26.25" customHeight="1" x14ac:dyDescent="0.2">
      <c r="A17" s="15"/>
      <c r="B17" s="15" t="s">
        <v>195</v>
      </c>
      <c r="C17" s="80" t="s">
        <v>196</v>
      </c>
      <c r="D17" s="104" t="s">
        <v>114</v>
      </c>
      <c r="E17" s="13">
        <v>44412</v>
      </c>
      <c r="F17" s="94" t="s">
        <v>197</v>
      </c>
      <c r="G17" s="13">
        <v>44415</v>
      </c>
      <c r="H17" s="101" t="s">
        <v>198</v>
      </c>
      <c r="I17" s="18">
        <v>66</v>
      </c>
      <c r="J17" s="18">
        <v>40</v>
      </c>
      <c r="K17" s="18">
        <v>44</v>
      </c>
      <c r="L17" s="18">
        <v>18</v>
      </c>
      <c r="M17" s="112">
        <f t="shared" si="0"/>
        <v>29.04</v>
      </c>
      <c r="N17" s="79">
        <v>29</v>
      </c>
      <c r="O17" s="69">
        <v>7000</v>
      </c>
      <c r="P17" s="70">
        <f>Table2245789[[#This Row],[PEMBULATAN]]*O17</f>
        <v>203000</v>
      </c>
    </row>
    <row r="18" spans="1:16" ht="22.5" customHeight="1" x14ac:dyDescent="0.2">
      <c r="A18" s="131" t="s">
        <v>37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3"/>
      <c r="M18" s="106">
        <f>SUBTOTAL(109,Table2245789[KG VOLUME])</f>
        <v>393.77849999999995</v>
      </c>
      <c r="N18" s="73">
        <f>SUM(N3:N17)</f>
        <v>412</v>
      </c>
      <c r="O18" s="134">
        <f>SUM(P3:P17)</f>
        <v>2884000</v>
      </c>
      <c r="P18" s="135"/>
    </row>
    <row r="19" spans="1:16" x14ac:dyDescent="0.2">
      <c r="A19" s="11"/>
      <c r="B19" s="61" t="s">
        <v>51</v>
      </c>
      <c r="C19" s="60"/>
      <c r="D19" s="62" t="s">
        <v>52</v>
      </c>
      <c r="H19" s="68"/>
      <c r="N19" s="67" t="s">
        <v>38</v>
      </c>
      <c r="P19" s="74">
        <f>O18*1%</f>
        <v>28840</v>
      </c>
    </row>
    <row r="20" spans="1:16" x14ac:dyDescent="0.2">
      <c r="A20" s="11"/>
      <c r="H20" s="68"/>
      <c r="N20" s="67" t="s">
        <v>39</v>
      </c>
      <c r="P20" s="76">
        <v>0</v>
      </c>
    </row>
    <row r="21" spans="1:16" ht="15.75" thickBot="1" x14ac:dyDescent="0.25">
      <c r="A21" s="11"/>
      <c r="H21" s="68"/>
      <c r="N21" s="67" t="s">
        <v>40</v>
      </c>
      <c r="P21" s="76">
        <v>0</v>
      </c>
    </row>
    <row r="22" spans="1:16" x14ac:dyDescent="0.2">
      <c r="A22" s="11"/>
      <c r="H22" s="68"/>
      <c r="N22" s="71" t="s">
        <v>41</v>
      </c>
      <c r="O22" s="72"/>
      <c r="P22" s="75">
        <f>O18+P19</f>
        <v>2912840</v>
      </c>
    </row>
    <row r="23" spans="1:16" x14ac:dyDescent="0.2">
      <c r="B23" s="61"/>
      <c r="C23" s="60"/>
      <c r="D23" s="62"/>
    </row>
    <row r="25" spans="1:16" x14ac:dyDescent="0.2">
      <c r="A25" s="11"/>
      <c r="H25" s="68"/>
      <c r="P25" s="77"/>
    </row>
    <row r="26" spans="1:16" x14ac:dyDescent="0.2">
      <c r="A26" s="11"/>
      <c r="H26" s="68"/>
      <c r="O26" s="63"/>
      <c r="P26" s="77"/>
    </row>
    <row r="27" spans="1:16" s="3" customFormat="1" x14ac:dyDescent="0.25">
      <c r="A27" s="11"/>
      <c r="B27" s="2"/>
      <c r="C27" s="2"/>
      <c r="E27" s="12"/>
      <c r="H27" s="68"/>
      <c r="N27" s="17"/>
      <c r="O27" s="17"/>
      <c r="P27" s="17"/>
    </row>
    <row r="28" spans="1:16" s="3" customFormat="1" x14ac:dyDescent="0.25">
      <c r="A28" s="11"/>
      <c r="B28" s="2"/>
      <c r="C28" s="2"/>
      <c r="E28" s="12"/>
      <c r="H28" s="68"/>
      <c r="N28" s="17"/>
      <c r="O28" s="17"/>
      <c r="P28" s="17"/>
    </row>
    <row r="29" spans="1:16" s="3" customFormat="1" x14ac:dyDescent="0.25">
      <c r="A29" s="11"/>
      <c r="B29" s="2"/>
      <c r="C29" s="2"/>
      <c r="E29" s="12"/>
      <c r="H29" s="68"/>
      <c r="N29" s="17"/>
      <c r="O29" s="17"/>
      <c r="P29" s="17"/>
    </row>
    <row r="30" spans="1:16" s="3" customFormat="1" x14ac:dyDescent="0.25">
      <c r="A30" s="11"/>
      <c r="B30" s="2"/>
      <c r="C30" s="2"/>
      <c r="E30" s="12"/>
      <c r="H30" s="68"/>
      <c r="N30" s="17"/>
      <c r="O30" s="17"/>
      <c r="P30" s="17"/>
    </row>
    <row r="31" spans="1:16" s="3" customFormat="1" x14ac:dyDescent="0.25">
      <c r="A31" s="11"/>
      <c r="B31" s="2"/>
      <c r="C31" s="2"/>
      <c r="E31" s="12"/>
      <c r="H31" s="68"/>
      <c r="N31" s="17"/>
      <c r="O31" s="17"/>
      <c r="P31" s="17"/>
    </row>
    <row r="32" spans="1:16" s="3" customFormat="1" x14ac:dyDescent="0.25">
      <c r="A32" s="11"/>
      <c r="B32" s="2"/>
      <c r="C32" s="2"/>
      <c r="E32" s="12"/>
      <c r="H32" s="68"/>
      <c r="N32" s="17"/>
      <c r="O32" s="17"/>
      <c r="P32" s="17"/>
    </row>
    <row r="33" spans="1:16" s="3" customFormat="1" x14ac:dyDescent="0.25">
      <c r="A33" s="11"/>
      <c r="B33" s="2"/>
      <c r="C33" s="2"/>
      <c r="E33" s="12"/>
      <c r="H33" s="68"/>
      <c r="N33" s="17"/>
      <c r="O33" s="17"/>
      <c r="P33" s="17"/>
    </row>
    <row r="34" spans="1:16" s="3" customFormat="1" x14ac:dyDescent="0.25">
      <c r="A34" s="11"/>
      <c r="B34" s="2"/>
      <c r="C34" s="2"/>
      <c r="E34" s="12"/>
      <c r="H34" s="68"/>
      <c r="N34" s="17"/>
      <c r="O34" s="17"/>
      <c r="P34" s="17"/>
    </row>
    <row r="35" spans="1:16" s="3" customFormat="1" x14ac:dyDescent="0.25">
      <c r="A35" s="11"/>
      <c r="B35" s="2"/>
      <c r="C35" s="2"/>
      <c r="E35" s="12"/>
      <c r="H35" s="68"/>
      <c r="N35" s="17"/>
      <c r="O35" s="17"/>
      <c r="P35" s="17"/>
    </row>
    <row r="36" spans="1:16" s="3" customFormat="1" x14ac:dyDescent="0.25">
      <c r="A36" s="11"/>
      <c r="B36" s="2"/>
      <c r="C36" s="2"/>
      <c r="E36" s="12"/>
      <c r="H36" s="68"/>
      <c r="N36" s="17"/>
      <c r="O36" s="17"/>
      <c r="P36" s="17"/>
    </row>
    <row r="37" spans="1:16" s="3" customFormat="1" x14ac:dyDescent="0.25">
      <c r="A37" s="11"/>
      <c r="B37" s="2"/>
      <c r="C37" s="2"/>
      <c r="E37" s="12"/>
      <c r="H37" s="68"/>
      <c r="N37" s="17"/>
      <c r="O37" s="17"/>
      <c r="P37" s="17"/>
    </row>
    <row r="38" spans="1:16" s="3" customFormat="1" x14ac:dyDescent="0.25">
      <c r="A38" s="11"/>
      <c r="B38" s="2"/>
      <c r="C38" s="2"/>
      <c r="E38" s="12"/>
      <c r="H38" s="68"/>
      <c r="N38" s="17"/>
      <c r="O38" s="17"/>
      <c r="P38" s="17"/>
    </row>
  </sheetData>
  <mergeCells count="3">
    <mergeCell ref="A3:A4"/>
    <mergeCell ref="A18:L18"/>
    <mergeCell ref="O18:P18"/>
  </mergeCells>
  <conditionalFormatting sqref="B3">
    <cfRule type="duplicateValues" dxfId="71" priority="2"/>
  </conditionalFormatting>
  <conditionalFormatting sqref="B4">
    <cfRule type="duplicateValues" dxfId="70" priority="1"/>
  </conditionalFormatting>
  <conditionalFormatting sqref="B5:B17">
    <cfRule type="duplicateValues" dxfId="69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P58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N3" sqref="N3:N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218</v>
      </c>
      <c r="B3" s="81" t="s">
        <v>219</v>
      </c>
      <c r="C3" s="9" t="s">
        <v>220</v>
      </c>
      <c r="D3" s="94" t="s">
        <v>114</v>
      </c>
      <c r="E3" s="13">
        <v>44413</v>
      </c>
      <c r="F3" s="94" t="s">
        <v>197</v>
      </c>
      <c r="G3" s="13">
        <v>44415</v>
      </c>
      <c r="H3" s="10" t="s">
        <v>198</v>
      </c>
      <c r="I3" s="1">
        <v>56</v>
      </c>
      <c r="J3" s="1">
        <v>38</v>
      </c>
      <c r="K3" s="1">
        <v>63</v>
      </c>
      <c r="L3" s="1">
        <v>27</v>
      </c>
      <c r="M3" s="109">
        <f t="shared" ref="M3:M26" si="0">I3*J3*K3/4000</f>
        <v>33.515999999999998</v>
      </c>
      <c r="N3" s="8">
        <v>34</v>
      </c>
      <c r="O3" s="69">
        <v>7000</v>
      </c>
      <c r="P3" s="70">
        <f>Table22457891011[[#This Row],[PEMBULATAN]]*O3</f>
        <v>238000</v>
      </c>
    </row>
    <row r="4" spans="1:16" ht="26.25" customHeight="1" x14ac:dyDescent="0.2">
      <c r="A4" s="130"/>
      <c r="B4" s="93"/>
      <c r="C4" s="9" t="s">
        <v>221</v>
      </c>
      <c r="D4" s="94" t="s">
        <v>114</v>
      </c>
      <c r="E4" s="13">
        <v>44413</v>
      </c>
      <c r="F4" s="94" t="s">
        <v>197</v>
      </c>
      <c r="G4" s="13">
        <v>44415</v>
      </c>
      <c r="H4" s="10" t="s">
        <v>198</v>
      </c>
      <c r="I4" s="1">
        <v>60</v>
      </c>
      <c r="J4" s="1">
        <v>42</v>
      </c>
      <c r="K4" s="1">
        <v>32</v>
      </c>
      <c r="L4" s="1">
        <v>13</v>
      </c>
      <c r="M4" s="109">
        <f t="shared" si="0"/>
        <v>20.16</v>
      </c>
      <c r="N4" s="8">
        <v>20</v>
      </c>
      <c r="O4" s="69">
        <v>7000</v>
      </c>
      <c r="P4" s="70">
        <f>Table22457891011[[#This Row],[PEMBULATAN]]*O4</f>
        <v>140000</v>
      </c>
    </row>
    <row r="5" spans="1:16" ht="26.25" customHeight="1" x14ac:dyDescent="0.2">
      <c r="A5" s="15"/>
      <c r="B5" s="15"/>
      <c r="C5" s="9" t="s">
        <v>222</v>
      </c>
      <c r="D5" s="94" t="s">
        <v>114</v>
      </c>
      <c r="E5" s="13">
        <v>44413</v>
      </c>
      <c r="F5" s="94" t="s">
        <v>197</v>
      </c>
      <c r="G5" s="13">
        <v>44415</v>
      </c>
      <c r="H5" s="10" t="s">
        <v>198</v>
      </c>
      <c r="I5" s="1">
        <v>45</v>
      </c>
      <c r="J5" s="1">
        <v>37</v>
      </c>
      <c r="K5" s="1">
        <v>30</v>
      </c>
      <c r="L5" s="1">
        <v>8</v>
      </c>
      <c r="M5" s="109">
        <f t="shared" si="0"/>
        <v>12.487500000000001</v>
      </c>
      <c r="N5" s="8">
        <v>13</v>
      </c>
      <c r="O5" s="69">
        <v>7000</v>
      </c>
      <c r="P5" s="70">
        <f>Table22457891011[[#This Row],[PEMBULATAN]]*O5</f>
        <v>91000</v>
      </c>
    </row>
    <row r="6" spans="1:16" ht="26.25" customHeight="1" x14ac:dyDescent="0.2">
      <c r="A6" s="15"/>
      <c r="B6" s="15"/>
      <c r="C6" s="80" t="s">
        <v>223</v>
      </c>
      <c r="D6" s="104" t="s">
        <v>114</v>
      </c>
      <c r="E6" s="13">
        <v>44413</v>
      </c>
      <c r="F6" s="94" t="s">
        <v>197</v>
      </c>
      <c r="G6" s="13">
        <v>44415</v>
      </c>
      <c r="H6" s="101" t="s">
        <v>198</v>
      </c>
      <c r="I6" s="18">
        <v>65</v>
      </c>
      <c r="J6" s="18">
        <v>38</v>
      </c>
      <c r="K6" s="18">
        <v>32</v>
      </c>
      <c r="L6" s="18">
        <v>14</v>
      </c>
      <c r="M6" s="112">
        <f t="shared" si="0"/>
        <v>19.760000000000002</v>
      </c>
      <c r="N6" s="79">
        <v>20</v>
      </c>
      <c r="O6" s="69">
        <v>7000</v>
      </c>
      <c r="P6" s="70">
        <f>Table22457891011[[#This Row],[PEMBULATAN]]*O6</f>
        <v>140000</v>
      </c>
    </row>
    <row r="7" spans="1:16" ht="26.25" customHeight="1" x14ac:dyDescent="0.2">
      <c r="A7" s="15"/>
      <c r="B7" s="15"/>
      <c r="C7" s="80" t="s">
        <v>224</v>
      </c>
      <c r="D7" s="104" t="s">
        <v>114</v>
      </c>
      <c r="E7" s="13">
        <v>44413</v>
      </c>
      <c r="F7" s="94" t="s">
        <v>197</v>
      </c>
      <c r="G7" s="13">
        <v>44415</v>
      </c>
      <c r="H7" s="101" t="s">
        <v>198</v>
      </c>
      <c r="I7" s="18">
        <v>40</v>
      </c>
      <c r="J7" s="18">
        <v>32</v>
      </c>
      <c r="K7" s="18">
        <v>34</v>
      </c>
      <c r="L7" s="18">
        <v>22</v>
      </c>
      <c r="M7" s="112">
        <f t="shared" si="0"/>
        <v>10.88</v>
      </c>
      <c r="N7" s="79">
        <v>22</v>
      </c>
      <c r="O7" s="69">
        <v>7000</v>
      </c>
      <c r="P7" s="70">
        <f>Table22457891011[[#This Row],[PEMBULATAN]]*O7</f>
        <v>154000</v>
      </c>
    </row>
    <row r="8" spans="1:16" ht="26.25" customHeight="1" x14ac:dyDescent="0.2">
      <c r="A8" s="15"/>
      <c r="B8" s="15"/>
      <c r="C8" s="80" t="s">
        <v>225</v>
      </c>
      <c r="D8" s="104" t="s">
        <v>114</v>
      </c>
      <c r="E8" s="13">
        <v>44413</v>
      </c>
      <c r="F8" s="94" t="s">
        <v>197</v>
      </c>
      <c r="G8" s="13">
        <v>44415</v>
      </c>
      <c r="H8" s="101" t="s">
        <v>198</v>
      </c>
      <c r="I8" s="18">
        <v>34</v>
      </c>
      <c r="J8" s="18">
        <v>30</v>
      </c>
      <c r="K8" s="18">
        <v>22</v>
      </c>
      <c r="L8" s="18">
        <v>5</v>
      </c>
      <c r="M8" s="112">
        <f t="shared" si="0"/>
        <v>5.61</v>
      </c>
      <c r="N8" s="79">
        <v>6</v>
      </c>
      <c r="O8" s="69">
        <v>7000</v>
      </c>
      <c r="P8" s="70">
        <f>Table22457891011[[#This Row],[PEMBULATAN]]*O8</f>
        <v>42000</v>
      </c>
    </row>
    <row r="9" spans="1:16" ht="26.25" customHeight="1" x14ac:dyDescent="0.2">
      <c r="A9" s="15"/>
      <c r="B9" s="15"/>
      <c r="C9" s="80" t="s">
        <v>226</v>
      </c>
      <c r="D9" s="104" t="s">
        <v>114</v>
      </c>
      <c r="E9" s="13">
        <v>44413</v>
      </c>
      <c r="F9" s="94" t="s">
        <v>197</v>
      </c>
      <c r="G9" s="13">
        <v>44415</v>
      </c>
      <c r="H9" s="101" t="s">
        <v>198</v>
      </c>
      <c r="I9" s="18">
        <v>77</v>
      </c>
      <c r="J9" s="18">
        <v>60</v>
      </c>
      <c r="K9" s="18">
        <v>33</v>
      </c>
      <c r="L9" s="18">
        <v>23</v>
      </c>
      <c r="M9" s="112">
        <f t="shared" si="0"/>
        <v>38.115000000000002</v>
      </c>
      <c r="N9" s="79">
        <v>38</v>
      </c>
      <c r="O9" s="69">
        <v>7000</v>
      </c>
      <c r="P9" s="70">
        <f>Table22457891011[[#This Row],[PEMBULATAN]]*O9</f>
        <v>266000</v>
      </c>
    </row>
    <row r="10" spans="1:16" ht="26.25" customHeight="1" x14ac:dyDescent="0.2">
      <c r="A10" s="15"/>
      <c r="B10" s="15"/>
      <c r="C10" s="80" t="s">
        <v>227</v>
      </c>
      <c r="D10" s="104" t="s">
        <v>114</v>
      </c>
      <c r="E10" s="13">
        <v>44413</v>
      </c>
      <c r="F10" s="94" t="s">
        <v>197</v>
      </c>
      <c r="G10" s="13">
        <v>44415</v>
      </c>
      <c r="H10" s="101" t="s">
        <v>198</v>
      </c>
      <c r="I10" s="18">
        <v>58</v>
      </c>
      <c r="J10" s="18">
        <v>34</v>
      </c>
      <c r="K10" s="18">
        <v>52</v>
      </c>
      <c r="L10" s="18">
        <v>25</v>
      </c>
      <c r="M10" s="112">
        <f t="shared" si="0"/>
        <v>25.635999999999999</v>
      </c>
      <c r="N10" s="79">
        <v>26</v>
      </c>
      <c r="O10" s="69">
        <v>7000</v>
      </c>
      <c r="P10" s="70">
        <f>Table22457891011[[#This Row],[PEMBULATAN]]*O10</f>
        <v>182000</v>
      </c>
    </row>
    <row r="11" spans="1:16" ht="26.25" customHeight="1" x14ac:dyDescent="0.2">
      <c r="A11" s="15"/>
      <c r="B11" s="15"/>
      <c r="C11" s="80" t="s">
        <v>228</v>
      </c>
      <c r="D11" s="104" t="s">
        <v>114</v>
      </c>
      <c r="E11" s="13">
        <v>44413</v>
      </c>
      <c r="F11" s="94" t="s">
        <v>197</v>
      </c>
      <c r="G11" s="13">
        <v>44415</v>
      </c>
      <c r="H11" s="101" t="s">
        <v>198</v>
      </c>
      <c r="I11" s="18">
        <v>51</v>
      </c>
      <c r="J11" s="18">
        <v>21</v>
      </c>
      <c r="K11" s="18">
        <v>30</v>
      </c>
      <c r="L11" s="18">
        <v>31</v>
      </c>
      <c r="M11" s="112">
        <f t="shared" si="0"/>
        <v>8.0325000000000006</v>
      </c>
      <c r="N11" s="79">
        <v>31</v>
      </c>
      <c r="O11" s="69">
        <v>7000</v>
      </c>
      <c r="P11" s="70">
        <f>Table22457891011[[#This Row],[PEMBULATAN]]*O11</f>
        <v>217000</v>
      </c>
    </row>
    <row r="12" spans="1:16" ht="26.25" customHeight="1" x14ac:dyDescent="0.2">
      <c r="A12" s="15"/>
      <c r="B12" s="15"/>
      <c r="C12" s="80" t="s">
        <v>229</v>
      </c>
      <c r="D12" s="104" t="s">
        <v>114</v>
      </c>
      <c r="E12" s="13">
        <v>44413</v>
      </c>
      <c r="F12" s="94" t="s">
        <v>197</v>
      </c>
      <c r="G12" s="13">
        <v>44415</v>
      </c>
      <c r="H12" s="101" t="s">
        <v>198</v>
      </c>
      <c r="I12" s="18">
        <v>53</v>
      </c>
      <c r="J12" s="18">
        <v>56</v>
      </c>
      <c r="K12" s="18">
        <v>33</v>
      </c>
      <c r="L12" s="18">
        <v>34</v>
      </c>
      <c r="M12" s="112">
        <f t="shared" si="0"/>
        <v>24.486000000000001</v>
      </c>
      <c r="N12" s="79">
        <v>34</v>
      </c>
      <c r="O12" s="69">
        <v>7000</v>
      </c>
      <c r="P12" s="70">
        <f>Table22457891011[[#This Row],[PEMBULATAN]]*O12</f>
        <v>238000</v>
      </c>
    </row>
    <row r="13" spans="1:16" ht="26.25" customHeight="1" x14ac:dyDescent="0.2">
      <c r="A13" s="15"/>
      <c r="B13" s="15"/>
      <c r="C13" s="80" t="s">
        <v>230</v>
      </c>
      <c r="D13" s="104" t="s">
        <v>114</v>
      </c>
      <c r="E13" s="13">
        <v>44413</v>
      </c>
      <c r="F13" s="94" t="s">
        <v>197</v>
      </c>
      <c r="G13" s="13">
        <v>44415</v>
      </c>
      <c r="H13" s="101" t="s">
        <v>198</v>
      </c>
      <c r="I13" s="18">
        <v>86</v>
      </c>
      <c r="J13" s="18">
        <v>57</v>
      </c>
      <c r="K13" s="18">
        <v>58</v>
      </c>
      <c r="L13" s="18">
        <v>16</v>
      </c>
      <c r="M13" s="112">
        <f t="shared" si="0"/>
        <v>71.078999999999994</v>
      </c>
      <c r="N13" s="79">
        <v>71</v>
      </c>
      <c r="O13" s="69">
        <v>7000</v>
      </c>
      <c r="P13" s="70">
        <f>Table22457891011[[#This Row],[PEMBULATAN]]*O13</f>
        <v>497000</v>
      </c>
    </row>
    <row r="14" spans="1:16" ht="26.25" customHeight="1" x14ac:dyDescent="0.2">
      <c r="A14" s="15"/>
      <c r="B14" s="15"/>
      <c r="C14" s="80" t="s">
        <v>231</v>
      </c>
      <c r="D14" s="104" t="s">
        <v>114</v>
      </c>
      <c r="E14" s="13">
        <v>44413</v>
      </c>
      <c r="F14" s="94" t="s">
        <v>197</v>
      </c>
      <c r="G14" s="13">
        <v>44415</v>
      </c>
      <c r="H14" s="101" t="s">
        <v>198</v>
      </c>
      <c r="I14" s="18">
        <v>36</v>
      </c>
      <c r="J14" s="18">
        <v>31</v>
      </c>
      <c r="K14" s="18">
        <v>49</v>
      </c>
      <c r="L14" s="18">
        <v>11</v>
      </c>
      <c r="M14" s="112">
        <f t="shared" si="0"/>
        <v>13.670999999999999</v>
      </c>
      <c r="N14" s="79">
        <v>14</v>
      </c>
      <c r="O14" s="69">
        <v>7000</v>
      </c>
      <c r="P14" s="70">
        <f>Table22457891011[[#This Row],[PEMBULATAN]]*O14</f>
        <v>98000</v>
      </c>
    </row>
    <row r="15" spans="1:16" ht="26.25" customHeight="1" x14ac:dyDescent="0.2">
      <c r="A15" s="15"/>
      <c r="B15" s="15"/>
      <c r="C15" s="80" t="s">
        <v>232</v>
      </c>
      <c r="D15" s="104" t="s">
        <v>114</v>
      </c>
      <c r="E15" s="13">
        <v>44413</v>
      </c>
      <c r="F15" s="94" t="s">
        <v>197</v>
      </c>
      <c r="G15" s="13">
        <v>44415</v>
      </c>
      <c r="H15" s="101" t="s">
        <v>198</v>
      </c>
      <c r="I15" s="18">
        <v>45</v>
      </c>
      <c r="J15" s="18">
        <v>38</v>
      </c>
      <c r="K15" s="18">
        <v>30</v>
      </c>
      <c r="L15" s="18">
        <v>13</v>
      </c>
      <c r="M15" s="112">
        <f t="shared" si="0"/>
        <v>12.824999999999999</v>
      </c>
      <c r="N15" s="79">
        <v>13</v>
      </c>
      <c r="O15" s="69">
        <v>7000</v>
      </c>
      <c r="P15" s="70">
        <f>Table22457891011[[#This Row],[PEMBULATAN]]*O15</f>
        <v>91000</v>
      </c>
    </row>
    <row r="16" spans="1:16" ht="26.25" customHeight="1" x14ac:dyDescent="0.2">
      <c r="A16" s="15"/>
      <c r="B16" s="15"/>
      <c r="C16" s="80" t="s">
        <v>233</v>
      </c>
      <c r="D16" s="104" t="s">
        <v>114</v>
      </c>
      <c r="E16" s="13">
        <v>44413</v>
      </c>
      <c r="F16" s="94" t="s">
        <v>197</v>
      </c>
      <c r="G16" s="13">
        <v>44415</v>
      </c>
      <c r="H16" s="101" t="s">
        <v>198</v>
      </c>
      <c r="I16" s="18">
        <v>106</v>
      </c>
      <c r="J16" s="18">
        <v>40</v>
      </c>
      <c r="K16" s="18">
        <v>23</v>
      </c>
      <c r="L16" s="18">
        <v>25</v>
      </c>
      <c r="M16" s="112">
        <f t="shared" si="0"/>
        <v>24.38</v>
      </c>
      <c r="N16" s="79">
        <v>25</v>
      </c>
      <c r="O16" s="69">
        <v>7000</v>
      </c>
      <c r="P16" s="70">
        <f>Table22457891011[[#This Row],[PEMBULATAN]]*O16</f>
        <v>175000</v>
      </c>
    </row>
    <row r="17" spans="1:16" ht="26.25" customHeight="1" x14ac:dyDescent="0.2">
      <c r="A17" s="15"/>
      <c r="B17" s="15"/>
      <c r="C17" s="80" t="s">
        <v>234</v>
      </c>
      <c r="D17" s="104" t="s">
        <v>114</v>
      </c>
      <c r="E17" s="13">
        <v>44413</v>
      </c>
      <c r="F17" s="94" t="s">
        <v>197</v>
      </c>
      <c r="G17" s="13">
        <v>44415</v>
      </c>
      <c r="H17" s="101" t="s">
        <v>198</v>
      </c>
      <c r="I17" s="18">
        <v>60</v>
      </c>
      <c r="J17" s="18">
        <v>36</v>
      </c>
      <c r="K17" s="18">
        <v>28</v>
      </c>
      <c r="L17" s="18">
        <v>9</v>
      </c>
      <c r="M17" s="112">
        <f t="shared" si="0"/>
        <v>15.12</v>
      </c>
      <c r="N17" s="79">
        <v>15</v>
      </c>
      <c r="O17" s="69">
        <v>7000</v>
      </c>
      <c r="P17" s="70">
        <f>Table22457891011[[#This Row],[PEMBULATAN]]*O17</f>
        <v>105000</v>
      </c>
    </row>
    <row r="18" spans="1:16" ht="26.25" customHeight="1" x14ac:dyDescent="0.2">
      <c r="A18" s="15"/>
      <c r="B18" s="15"/>
      <c r="C18" s="80" t="s">
        <v>235</v>
      </c>
      <c r="D18" s="104" t="s">
        <v>114</v>
      </c>
      <c r="E18" s="13">
        <v>44413</v>
      </c>
      <c r="F18" s="94" t="s">
        <v>197</v>
      </c>
      <c r="G18" s="13">
        <v>44415</v>
      </c>
      <c r="H18" s="101" t="s">
        <v>198</v>
      </c>
      <c r="I18" s="18">
        <v>54</v>
      </c>
      <c r="J18" s="18">
        <v>39</v>
      </c>
      <c r="K18" s="18">
        <v>43</v>
      </c>
      <c r="L18" s="18">
        <v>11</v>
      </c>
      <c r="M18" s="112">
        <f t="shared" si="0"/>
        <v>22.639500000000002</v>
      </c>
      <c r="N18" s="79">
        <v>23</v>
      </c>
      <c r="O18" s="69">
        <v>7000</v>
      </c>
      <c r="P18" s="70">
        <f>Table22457891011[[#This Row],[PEMBULATAN]]*O18</f>
        <v>161000</v>
      </c>
    </row>
    <row r="19" spans="1:16" ht="26.25" customHeight="1" x14ac:dyDescent="0.2">
      <c r="A19" s="15"/>
      <c r="B19" s="15"/>
      <c r="C19" s="80" t="s">
        <v>236</v>
      </c>
      <c r="D19" s="104" t="s">
        <v>114</v>
      </c>
      <c r="E19" s="13">
        <v>44413</v>
      </c>
      <c r="F19" s="94" t="s">
        <v>197</v>
      </c>
      <c r="G19" s="13">
        <v>44415</v>
      </c>
      <c r="H19" s="101" t="s">
        <v>198</v>
      </c>
      <c r="I19" s="18">
        <v>36</v>
      </c>
      <c r="J19" s="18">
        <v>37</v>
      </c>
      <c r="K19" s="18">
        <v>18</v>
      </c>
      <c r="L19" s="18">
        <v>5</v>
      </c>
      <c r="M19" s="112">
        <f t="shared" si="0"/>
        <v>5.9939999999999998</v>
      </c>
      <c r="N19" s="79">
        <v>6</v>
      </c>
      <c r="O19" s="69">
        <v>7000</v>
      </c>
      <c r="P19" s="70">
        <f>Table22457891011[[#This Row],[PEMBULATAN]]*O19</f>
        <v>42000</v>
      </c>
    </row>
    <row r="20" spans="1:16" ht="26.25" customHeight="1" x14ac:dyDescent="0.2">
      <c r="A20" s="15"/>
      <c r="B20" s="15"/>
      <c r="C20" s="80" t="s">
        <v>237</v>
      </c>
      <c r="D20" s="104" t="s">
        <v>114</v>
      </c>
      <c r="E20" s="13">
        <v>44413</v>
      </c>
      <c r="F20" s="94" t="s">
        <v>197</v>
      </c>
      <c r="G20" s="13">
        <v>44415</v>
      </c>
      <c r="H20" s="101" t="s">
        <v>198</v>
      </c>
      <c r="I20" s="18">
        <v>53</v>
      </c>
      <c r="J20" s="18">
        <v>48</v>
      </c>
      <c r="K20" s="18">
        <v>22</v>
      </c>
      <c r="L20" s="18">
        <v>8</v>
      </c>
      <c r="M20" s="112">
        <f t="shared" si="0"/>
        <v>13.992000000000001</v>
      </c>
      <c r="N20" s="79">
        <v>14</v>
      </c>
      <c r="O20" s="69">
        <v>7000</v>
      </c>
      <c r="P20" s="70">
        <f>Table22457891011[[#This Row],[PEMBULATAN]]*O20</f>
        <v>98000</v>
      </c>
    </row>
    <row r="21" spans="1:16" ht="26.25" customHeight="1" x14ac:dyDescent="0.2">
      <c r="A21" s="15"/>
      <c r="B21" s="15"/>
      <c r="C21" s="80" t="s">
        <v>238</v>
      </c>
      <c r="D21" s="104" t="s">
        <v>114</v>
      </c>
      <c r="E21" s="13">
        <v>44413</v>
      </c>
      <c r="F21" s="94" t="s">
        <v>197</v>
      </c>
      <c r="G21" s="13">
        <v>44415</v>
      </c>
      <c r="H21" s="101" t="s">
        <v>198</v>
      </c>
      <c r="I21" s="18">
        <v>25</v>
      </c>
      <c r="J21" s="18">
        <v>18</v>
      </c>
      <c r="K21" s="18">
        <v>10</v>
      </c>
      <c r="L21" s="18">
        <v>23</v>
      </c>
      <c r="M21" s="112">
        <f t="shared" si="0"/>
        <v>1.125</v>
      </c>
      <c r="N21" s="79">
        <v>23</v>
      </c>
      <c r="O21" s="69">
        <v>7000</v>
      </c>
      <c r="P21" s="70">
        <f>Table22457891011[[#This Row],[PEMBULATAN]]*O21</f>
        <v>161000</v>
      </c>
    </row>
    <row r="22" spans="1:16" ht="26.25" customHeight="1" x14ac:dyDescent="0.2">
      <c r="A22" s="15"/>
      <c r="B22" s="15"/>
      <c r="C22" s="80" t="s">
        <v>239</v>
      </c>
      <c r="D22" s="104" t="s">
        <v>114</v>
      </c>
      <c r="E22" s="13">
        <v>44413</v>
      </c>
      <c r="F22" s="94" t="s">
        <v>197</v>
      </c>
      <c r="G22" s="13">
        <v>44415</v>
      </c>
      <c r="H22" s="101" t="s">
        <v>198</v>
      </c>
      <c r="I22" s="18">
        <v>25</v>
      </c>
      <c r="J22" s="18">
        <v>18</v>
      </c>
      <c r="K22" s="18">
        <v>10</v>
      </c>
      <c r="L22" s="18">
        <v>23</v>
      </c>
      <c r="M22" s="112">
        <f t="shared" si="0"/>
        <v>1.125</v>
      </c>
      <c r="N22" s="79">
        <v>23</v>
      </c>
      <c r="O22" s="69">
        <v>7000</v>
      </c>
      <c r="P22" s="70">
        <f>Table22457891011[[#This Row],[PEMBULATAN]]*O22</f>
        <v>161000</v>
      </c>
    </row>
    <row r="23" spans="1:16" ht="26.25" customHeight="1" x14ac:dyDescent="0.2">
      <c r="A23" s="15"/>
      <c r="B23" s="15"/>
      <c r="C23" s="80" t="s">
        <v>240</v>
      </c>
      <c r="D23" s="104" t="s">
        <v>114</v>
      </c>
      <c r="E23" s="13">
        <v>44413</v>
      </c>
      <c r="F23" s="94" t="s">
        <v>197</v>
      </c>
      <c r="G23" s="13">
        <v>44415</v>
      </c>
      <c r="H23" s="101" t="s">
        <v>198</v>
      </c>
      <c r="I23" s="18">
        <v>28</v>
      </c>
      <c r="J23" s="18">
        <v>10</v>
      </c>
      <c r="K23" s="18">
        <v>17</v>
      </c>
      <c r="L23" s="18">
        <v>28</v>
      </c>
      <c r="M23" s="112">
        <f t="shared" si="0"/>
        <v>1.19</v>
      </c>
      <c r="N23" s="79">
        <v>28</v>
      </c>
      <c r="O23" s="69">
        <v>7000</v>
      </c>
      <c r="P23" s="70">
        <f>Table22457891011[[#This Row],[PEMBULATAN]]*O23</f>
        <v>196000</v>
      </c>
    </row>
    <row r="24" spans="1:16" ht="26.25" customHeight="1" x14ac:dyDescent="0.2">
      <c r="A24" s="15"/>
      <c r="B24" s="15"/>
      <c r="C24" s="80" t="s">
        <v>241</v>
      </c>
      <c r="D24" s="104" t="s">
        <v>114</v>
      </c>
      <c r="E24" s="13">
        <v>44413</v>
      </c>
      <c r="F24" s="94" t="s">
        <v>197</v>
      </c>
      <c r="G24" s="13">
        <v>44415</v>
      </c>
      <c r="H24" s="101" t="s">
        <v>198</v>
      </c>
      <c r="I24" s="18">
        <v>102</v>
      </c>
      <c r="J24" s="18">
        <v>65</v>
      </c>
      <c r="K24" s="18">
        <v>28</v>
      </c>
      <c r="L24" s="18">
        <v>34</v>
      </c>
      <c r="M24" s="112">
        <f t="shared" si="0"/>
        <v>46.41</v>
      </c>
      <c r="N24" s="79">
        <v>47</v>
      </c>
      <c r="O24" s="69">
        <v>7000</v>
      </c>
      <c r="P24" s="70">
        <f>Table22457891011[[#This Row],[PEMBULATAN]]*O24</f>
        <v>329000</v>
      </c>
    </row>
    <row r="25" spans="1:16" ht="26.25" customHeight="1" x14ac:dyDescent="0.2">
      <c r="A25" s="15"/>
      <c r="B25" s="15"/>
      <c r="C25" s="80" t="s">
        <v>242</v>
      </c>
      <c r="D25" s="104" t="s">
        <v>114</v>
      </c>
      <c r="E25" s="13">
        <v>44413</v>
      </c>
      <c r="F25" s="94" t="s">
        <v>197</v>
      </c>
      <c r="G25" s="13">
        <v>44415</v>
      </c>
      <c r="H25" s="101" t="s">
        <v>198</v>
      </c>
      <c r="I25" s="18">
        <v>108</v>
      </c>
      <c r="J25" s="18">
        <v>38</v>
      </c>
      <c r="K25" s="18">
        <v>25</v>
      </c>
      <c r="L25" s="18">
        <v>8</v>
      </c>
      <c r="M25" s="112">
        <f t="shared" si="0"/>
        <v>25.65</v>
      </c>
      <c r="N25" s="79">
        <v>26</v>
      </c>
      <c r="O25" s="69">
        <v>7000</v>
      </c>
      <c r="P25" s="70">
        <f>Table22457891011[[#This Row],[PEMBULATAN]]*O25</f>
        <v>182000</v>
      </c>
    </row>
    <row r="26" spans="1:16" ht="26.25" customHeight="1" x14ac:dyDescent="0.2">
      <c r="A26" s="15"/>
      <c r="B26" s="16"/>
      <c r="C26" s="80" t="s">
        <v>243</v>
      </c>
      <c r="D26" s="104" t="s">
        <v>114</v>
      </c>
      <c r="E26" s="13">
        <v>44413</v>
      </c>
      <c r="F26" s="94" t="s">
        <v>197</v>
      </c>
      <c r="G26" s="13">
        <v>44415</v>
      </c>
      <c r="H26" s="101" t="s">
        <v>198</v>
      </c>
      <c r="I26" s="18">
        <v>68</v>
      </c>
      <c r="J26" s="18">
        <v>25</v>
      </c>
      <c r="K26" s="18">
        <v>18</v>
      </c>
      <c r="L26" s="18">
        <v>8</v>
      </c>
      <c r="M26" s="112">
        <f t="shared" si="0"/>
        <v>7.65</v>
      </c>
      <c r="N26" s="79">
        <v>8</v>
      </c>
      <c r="O26" s="69">
        <v>7000</v>
      </c>
      <c r="P26" s="70">
        <f>Table22457891011[[#This Row],[PEMBULATAN]]*O26</f>
        <v>56000</v>
      </c>
    </row>
    <row r="27" spans="1:16" ht="26.25" customHeight="1" x14ac:dyDescent="0.2">
      <c r="A27" s="15"/>
      <c r="B27" s="102" t="s">
        <v>244</v>
      </c>
      <c r="C27" s="80" t="s">
        <v>245</v>
      </c>
      <c r="D27" s="104" t="s">
        <v>114</v>
      </c>
      <c r="E27" s="13">
        <v>44413</v>
      </c>
      <c r="F27" s="94" t="s">
        <v>197</v>
      </c>
      <c r="G27" s="13">
        <v>44415</v>
      </c>
      <c r="H27" s="101" t="s">
        <v>198</v>
      </c>
      <c r="I27" s="18">
        <v>35</v>
      </c>
      <c r="J27" s="18">
        <v>30</v>
      </c>
      <c r="K27" s="18">
        <v>18</v>
      </c>
      <c r="L27" s="18">
        <v>11</v>
      </c>
      <c r="M27" s="112">
        <f>I27*J27*K27/4000</f>
        <v>4.7249999999999996</v>
      </c>
      <c r="N27" s="79">
        <v>11</v>
      </c>
      <c r="O27" s="69">
        <v>7000</v>
      </c>
      <c r="P27" s="70">
        <f>Table22457891011[[#This Row],[PEMBULATAN]]*O27</f>
        <v>77000</v>
      </c>
    </row>
    <row r="28" spans="1:16" ht="26.25" customHeight="1" x14ac:dyDescent="0.2">
      <c r="A28" s="15"/>
      <c r="B28" s="15" t="s">
        <v>246</v>
      </c>
      <c r="C28" s="80" t="s">
        <v>247</v>
      </c>
      <c r="D28" s="104" t="s">
        <v>114</v>
      </c>
      <c r="E28" s="13">
        <v>44413</v>
      </c>
      <c r="F28" s="94" t="s">
        <v>197</v>
      </c>
      <c r="G28" s="13">
        <v>44415</v>
      </c>
      <c r="H28" s="101" t="s">
        <v>198</v>
      </c>
      <c r="I28" s="18">
        <v>40</v>
      </c>
      <c r="J28" s="18">
        <v>37</v>
      </c>
      <c r="K28" s="18">
        <v>13</v>
      </c>
      <c r="L28" s="18">
        <v>1</v>
      </c>
      <c r="M28" s="112">
        <f t="shared" ref="M28:M37" si="1">I28*J28*K28/4000</f>
        <v>4.8099999999999996</v>
      </c>
      <c r="N28" s="79">
        <v>5</v>
      </c>
      <c r="O28" s="69">
        <v>7000</v>
      </c>
      <c r="P28" s="70">
        <f>Table22457891011[[#This Row],[PEMBULATAN]]*O28</f>
        <v>35000</v>
      </c>
    </row>
    <row r="29" spans="1:16" ht="26.25" customHeight="1" x14ac:dyDescent="0.2">
      <c r="A29" s="15"/>
      <c r="B29" s="15"/>
      <c r="C29" s="80" t="s">
        <v>248</v>
      </c>
      <c r="D29" s="104" t="s">
        <v>114</v>
      </c>
      <c r="E29" s="13">
        <v>44413</v>
      </c>
      <c r="F29" s="94" t="s">
        <v>197</v>
      </c>
      <c r="G29" s="13">
        <v>44415</v>
      </c>
      <c r="H29" s="101" t="s">
        <v>198</v>
      </c>
      <c r="I29" s="18">
        <v>80</v>
      </c>
      <c r="J29" s="18">
        <v>50</v>
      </c>
      <c r="K29" s="18">
        <v>28</v>
      </c>
      <c r="L29" s="18">
        <v>4</v>
      </c>
      <c r="M29" s="112">
        <f t="shared" si="1"/>
        <v>28</v>
      </c>
      <c r="N29" s="79">
        <v>28</v>
      </c>
      <c r="O29" s="69">
        <v>7000</v>
      </c>
      <c r="P29" s="70">
        <f>Table22457891011[[#This Row],[PEMBULATAN]]*O29</f>
        <v>196000</v>
      </c>
    </row>
    <row r="30" spans="1:16" ht="26.25" customHeight="1" x14ac:dyDescent="0.2">
      <c r="A30" s="15"/>
      <c r="B30" s="15"/>
      <c r="C30" s="80" t="s">
        <v>249</v>
      </c>
      <c r="D30" s="104" t="s">
        <v>114</v>
      </c>
      <c r="E30" s="13">
        <v>44413</v>
      </c>
      <c r="F30" s="94" t="s">
        <v>197</v>
      </c>
      <c r="G30" s="13">
        <v>44415</v>
      </c>
      <c r="H30" s="101" t="s">
        <v>198</v>
      </c>
      <c r="I30" s="18">
        <v>45</v>
      </c>
      <c r="J30" s="18">
        <v>47</v>
      </c>
      <c r="K30" s="18">
        <v>50</v>
      </c>
      <c r="L30" s="18">
        <v>10</v>
      </c>
      <c r="M30" s="112">
        <f t="shared" si="1"/>
        <v>26.4375</v>
      </c>
      <c r="N30" s="79">
        <v>27</v>
      </c>
      <c r="O30" s="69">
        <v>7000</v>
      </c>
      <c r="P30" s="70">
        <f>Table22457891011[[#This Row],[PEMBULATAN]]*O30</f>
        <v>189000</v>
      </c>
    </row>
    <row r="31" spans="1:16" ht="26.25" customHeight="1" x14ac:dyDescent="0.2">
      <c r="A31" s="15"/>
      <c r="B31" s="15"/>
      <c r="C31" s="80" t="s">
        <v>250</v>
      </c>
      <c r="D31" s="104" t="s">
        <v>114</v>
      </c>
      <c r="E31" s="13">
        <v>44413</v>
      </c>
      <c r="F31" s="94" t="s">
        <v>197</v>
      </c>
      <c r="G31" s="13">
        <v>44415</v>
      </c>
      <c r="H31" s="101" t="s">
        <v>198</v>
      </c>
      <c r="I31" s="18">
        <v>43</v>
      </c>
      <c r="J31" s="18">
        <v>34</v>
      </c>
      <c r="K31" s="18">
        <v>30</v>
      </c>
      <c r="L31" s="18">
        <v>10</v>
      </c>
      <c r="M31" s="112">
        <f t="shared" si="1"/>
        <v>10.965</v>
      </c>
      <c r="N31" s="79">
        <v>11</v>
      </c>
      <c r="O31" s="69">
        <v>7000</v>
      </c>
      <c r="P31" s="70">
        <f>Table22457891011[[#This Row],[PEMBULATAN]]*O31</f>
        <v>77000</v>
      </c>
    </row>
    <row r="32" spans="1:16" ht="26.25" customHeight="1" x14ac:dyDescent="0.2">
      <c r="A32" s="15"/>
      <c r="B32" s="15"/>
      <c r="C32" s="80" t="s">
        <v>251</v>
      </c>
      <c r="D32" s="104" t="s">
        <v>114</v>
      </c>
      <c r="E32" s="13">
        <v>44413</v>
      </c>
      <c r="F32" s="94" t="s">
        <v>197</v>
      </c>
      <c r="G32" s="13">
        <v>44415</v>
      </c>
      <c r="H32" s="101" t="s">
        <v>198</v>
      </c>
      <c r="I32" s="18">
        <v>30</v>
      </c>
      <c r="J32" s="18">
        <v>30</v>
      </c>
      <c r="K32" s="18">
        <v>20</v>
      </c>
      <c r="L32" s="18">
        <v>10</v>
      </c>
      <c r="M32" s="112">
        <f t="shared" si="1"/>
        <v>4.5</v>
      </c>
      <c r="N32" s="79">
        <v>10</v>
      </c>
      <c r="O32" s="69">
        <v>7000</v>
      </c>
      <c r="P32" s="70">
        <f>Table22457891011[[#This Row],[PEMBULATAN]]*O32</f>
        <v>70000</v>
      </c>
    </row>
    <row r="33" spans="1:16" ht="26.25" customHeight="1" x14ac:dyDescent="0.2">
      <c r="A33" s="15"/>
      <c r="B33" s="15"/>
      <c r="C33" s="80" t="s">
        <v>252</v>
      </c>
      <c r="D33" s="104" t="s">
        <v>114</v>
      </c>
      <c r="E33" s="13">
        <v>44413</v>
      </c>
      <c r="F33" s="94" t="s">
        <v>197</v>
      </c>
      <c r="G33" s="13">
        <v>44415</v>
      </c>
      <c r="H33" s="101" t="s">
        <v>198</v>
      </c>
      <c r="I33" s="18">
        <v>38</v>
      </c>
      <c r="J33" s="18">
        <v>35</v>
      </c>
      <c r="K33" s="18">
        <v>20</v>
      </c>
      <c r="L33" s="18">
        <v>12</v>
      </c>
      <c r="M33" s="112">
        <f t="shared" si="1"/>
        <v>6.65</v>
      </c>
      <c r="N33" s="79">
        <v>12</v>
      </c>
      <c r="O33" s="69">
        <v>7000</v>
      </c>
      <c r="P33" s="70">
        <f>Table22457891011[[#This Row],[PEMBULATAN]]*O33</f>
        <v>84000</v>
      </c>
    </row>
    <row r="34" spans="1:16" ht="26.25" customHeight="1" x14ac:dyDescent="0.2">
      <c r="A34" s="15"/>
      <c r="B34" s="15"/>
      <c r="C34" s="80" t="s">
        <v>253</v>
      </c>
      <c r="D34" s="104" t="s">
        <v>114</v>
      </c>
      <c r="E34" s="13">
        <v>44413</v>
      </c>
      <c r="F34" s="94" t="s">
        <v>197</v>
      </c>
      <c r="G34" s="13">
        <v>44415</v>
      </c>
      <c r="H34" s="101" t="s">
        <v>198</v>
      </c>
      <c r="I34" s="18">
        <v>30</v>
      </c>
      <c r="J34" s="18">
        <v>18</v>
      </c>
      <c r="K34" s="18">
        <v>37</v>
      </c>
      <c r="L34" s="18">
        <v>10</v>
      </c>
      <c r="M34" s="112">
        <f t="shared" si="1"/>
        <v>4.9950000000000001</v>
      </c>
      <c r="N34" s="79">
        <v>10</v>
      </c>
      <c r="O34" s="69">
        <v>7000</v>
      </c>
      <c r="P34" s="70">
        <f>Table22457891011[[#This Row],[PEMBULATAN]]*O34</f>
        <v>70000</v>
      </c>
    </row>
    <row r="35" spans="1:16" ht="26.25" customHeight="1" x14ac:dyDescent="0.2">
      <c r="A35" s="15"/>
      <c r="B35" s="15"/>
      <c r="C35" s="80" t="s">
        <v>254</v>
      </c>
      <c r="D35" s="104" t="s">
        <v>114</v>
      </c>
      <c r="E35" s="13">
        <v>44413</v>
      </c>
      <c r="F35" s="94" t="s">
        <v>197</v>
      </c>
      <c r="G35" s="13">
        <v>44415</v>
      </c>
      <c r="H35" s="101" t="s">
        <v>198</v>
      </c>
      <c r="I35" s="18">
        <v>42</v>
      </c>
      <c r="J35" s="18">
        <v>42</v>
      </c>
      <c r="K35" s="18">
        <v>46</v>
      </c>
      <c r="L35" s="18">
        <v>4</v>
      </c>
      <c r="M35" s="112">
        <f t="shared" si="1"/>
        <v>20.286000000000001</v>
      </c>
      <c r="N35" s="79">
        <v>20</v>
      </c>
      <c r="O35" s="69">
        <v>7000</v>
      </c>
      <c r="P35" s="70">
        <f>Table22457891011[[#This Row],[PEMBULATAN]]*O35</f>
        <v>140000</v>
      </c>
    </row>
    <row r="36" spans="1:16" ht="26.25" customHeight="1" x14ac:dyDescent="0.2">
      <c r="A36" s="15"/>
      <c r="B36" s="15"/>
      <c r="C36" s="80" t="s">
        <v>255</v>
      </c>
      <c r="D36" s="104" t="s">
        <v>114</v>
      </c>
      <c r="E36" s="13">
        <v>44413</v>
      </c>
      <c r="F36" s="94" t="s">
        <v>197</v>
      </c>
      <c r="G36" s="13">
        <v>44415</v>
      </c>
      <c r="H36" s="101" t="s">
        <v>198</v>
      </c>
      <c r="I36" s="18">
        <v>46</v>
      </c>
      <c r="J36" s="18">
        <v>47</v>
      </c>
      <c r="K36" s="18">
        <v>46</v>
      </c>
      <c r="L36" s="18">
        <v>10</v>
      </c>
      <c r="M36" s="112">
        <f t="shared" si="1"/>
        <v>24.863</v>
      </c>
      <c r="N36" s="79">
        <v>25</v>
      </c>
      <c r="O36" s="69">
        <v>7000</v>
      </c>
      <c r="P36" s="70">
        <f>Table22457891011[[#This Row],[PEMBULATAN]]*O36</f>
        <v>175000</v>
      </c>
    </row>
    <row r="37" spans="1:16" ht="26.25" customHeight="1" x14ac:dyDescent="0.2">
      <c r="A37" s="15"/>
      <c r="B37" s="15"/>
      <c r="C37" s="80" t="s">
        <v>256</v>
      </c>
      <c r="D37" s="104" t="s">
        <v>114</v>
      </c>
      <c r="E37" s="13">
        <v>44413</v>
      </c>
      <c r="F37" s="94" t="s">
        <v>197</v>
      </c>
      <c r="G37" s="13">
        <v>44415</v>
      </c>
      <c r="H37" s="101" t="s">
        <v>198</v>
      </c>
      <c r="I37" s="18">
        <v>26</v>
      </c>
      <c r="J37" s="18">
        <v>20</v>
      </c>
      <c r="K37" s="18">
        <v>40</v>
      </c>
      <c r="L37" s="18">
        <v>10</v>
      </c>
      <c r="M37" s="112">
        <f t="shared" si="1"/>
        <v>5.2</v>
      </c>
      <c r="N37" s="79">
        <v>10</v>
      </c>
      <c r="O37" s="69">
        <v>7000</v>
      </c>
      <c r="P37" s="70">
        <f>Table22457891011[[#This Row],[PEMBULATAN]]*O37</f>
        <v>70000</v>
      </c>
    </row>
    <row r="38" spans="1:16" ht="22.5" customHeight="1" x14ac:dyDescent="0.2">
      <c r="A38" s="131" t="s">
        <v>37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3"/>
      <c r="M38" s="106">
        <f>SUBTOTAL(109,Table22457891011[KG VOLUME])</f>
        <v>602.96499999999992</v>
      </c>
      <c r="N38" s="73">
        <f>SUM(N3:N37)</f>
        <v>749</v>
      </c>
      <c r="O38" s="134">
        <f>SUM(P3:P37)</f>
        <v>5243000</v>
      </c>
      <c r="P38" s="135"/>
    </row>
    <row r="39" spans="1:16" x14ac:dyDescent="0.2">
      <c r="A39" s="11"/>
      <c r="B39" s="61" t="s">
        <v>51</v>
      </c>
      <c r="C39" s="60"/>
      <c r="D39" s="62" t="s">
        <v>52</v>
      </c>
      <c r="H39" s="68"/>
      <c r="N39" s="67" t="s">
        <v>38</v>
      </c>
      <c r="P39" s="74">
        <f>O38*1%</f>
        <v>52430</v>
      </c>
    </row>
    <row r="40" spans="1:16" x14ac:dyDescent="0.2">
      <c r="A40" s="11"/>
      <c r="H40" s="68"/>
      <c r="N40" s="67" t="s">
        <v>39</v>
      </c>
      <c r="P40" s="76">
        <v>0</v>
      </c>
    </row>
    <row r="41" spans="1:16" ht="15.75" thickBot="1" x14ac:dyDescent="0.25">
      <c r="A41" s="11"/>
      <c r="H41" s="68"/>
      <c r="N41" s="67" t="s">
        <v>40</v>
      </c>
      <c r="P41" s="76">
        <v>0</v>
      </c>
    </row>
    <row r="42" spans="1:16" x14ac:dyDescent="0.2">
      <c r="A42" s="11"/>
      <c r="H42" s="68"/>
      <c r="N42" s="71" t="s">
        <v>41</v>
      </c>
      <c r="O42" s="72"/>
      <c r="P42" s="75">
        <f>O38+P39</f>
        <v>5295430</v>
      </c>
    </row>
    <row r="43" spans="1:16" x14ac:dyDescent="0.2">
      <c r="B43" s="61"/>
      <c r="C43" s="60"/>
      <c r="D43" s="62"/>
    </row>
    <row r="45" spans="1:16" x14ac:dyDescent="0.2">
      <c r="A45" s="11"/>
      <c r="H45" s="68"/>
      <c r="P45" s="77"/>
    </row>
    <row r="46" spans="1:16" x14ac:dyDescent="0.2">
      <c r="A46" s="11"/>
      <c r="H46" s="68"/>
      <c r="O46" s="63"/>
      <c r="P46" s="77"/>
    </row>
    <row r="47" spans="1:16" s="3" customFormat="1" x14ac:dyDescent="0.25">
      <c r="A47" s="11"/>
      <c r="B47" s="2"/>
      <c r="C47" s="2"/>
      <c r="E47" s="12"/>
      <c r="H47" s="68"/>
      <c r="N47" s="17"/>
      <c r="O47" s="17"/>
      <c r="P47" s="17"/>
    </row>
    <row r="48" spans="1:16" s="3" customFormat="1" x14ac:dyDescent="0.25">
      <c r="A48" s="11"/>
      <c r="B48" s="2"/>
      <c r="C48" s="2"/>
      <c r="E48" s="12"/>
      <c r="H48" s="68"/>
      <c r="N48" s="17"/>
      <c r="O48" s="17"/>
      <c r="P48" s="17"/>
    </row>
    <row r="49" spans="1:16" s="3" customFormat="1" x14ac:dyDescent="0.25">
      <c r="A49" s="11"/>
      <c r="B49" s="2"/>
      <c r="C49" s="2"/>
      <c r="E49" s="12"/>
      <c r="H49" s="68"/>
      <c r="N49" s="17"/>
      <c r="O49" s="17"/>
      <c r="P49" s="17"/>
    </row>
    <row r="50" spans="1:16" s="3" customFormat="1" x14ac:dyDescent="0.25">
      <c r="A50" s="11"/>
      <c r="B50" s="2"/>
      <c r="C50" s="2"/>
      <c r="E50" s="12"/>
      <c r="H50" s="68"/>
      <c r="N50" s="17"/>
      <c r="O50" s="17"/>
      <c r="P50" s="17"/>
    </row>
    <row r="51" spans="1:16" s="3" customFormat="1" x14ac:dyDescent="0.25">
      <c r="A51" s="11"/>
      <c r="B51" s="2"/>
      <c r="C51" s="2"/>
      <c r="E51" s="12"/>
      <c r="H51" s="68"/>
      <c r="N51" s="17"/>
      <c r="O51" s="17"/>
      <c r="P51" s="17"/>
    </row>
    <row r="52" spans="1:16" s="3" customFormat="1" x14ac:dyDescent="0.25">
      <c r="A52" s="11"/>
      <c r="B52" s="2"/>
      <c r="C52" s="2"/>
      <c r="E52" s="12"/>
      <c r="H52" s="68"/>
      <c r="N52" s="17"/>
      <c r="O52" s="17"/>
      <c r="P52" s="17"/>
    </row>
    <row r="53" spans="1:16" s="3" customFormat="1" x14ac:dyDescent="0.25">
      <c r="A53" s="11"/>
      <c r="B53" s="2"/>
      <c r="C53" s="2"/>
      <c r="E53" s="12"/>
      <c r="H53" s="68"/>
      <c r="N53" s="17"/>
      <c r="O53" s="17"/>
      <c r="P53" s="17"/>
    </row>
    <row r="54" spans="1:16" s="3" customFormat="1" x14ac:dyDescent="0.25">
      <c r="A54" s="11"/>
      <c r="B54" s="2"/>
      <c r="C54" s="2"/>
      <c r="E54" s="12"/>
      <c r="H54" s="68"/>
      <c r="N54" s="17"/>
      <c r="O54" s="17"/>
      <c r="P54" s="17"/>
    </row>
    <row r="55" spans="1:16" s="3" customFormat="1" x14ac:dyDescent="0.25">
      <c r="A55" s="11"/>
      <c r="B55" s="2"/>
      <c r="C55" s="2"/>
      <c r="E55" s="12"/>
      <c r="H55" s="68"/>
      <c r="N55" s="17"/>
      <c r="O55" s="17"/>
      <c r="P55" s="17"/>
    </row>
    <row r="56" spans="1:16" s="3" customFormat="1" x14ac:dyDescent="0.25">
      <c r="A56" s="11"/>
      <c r="B56" s="2"/>
      <c r="C56" s="2"/>
      <c r="E56" s="12"/>
      <c r="H56" s="68"/>
      <c r="N56" s="17"/>
      <c r="O56" s="17"/>
      <c r="P56" s="17"/>
    </row>
    <row r="57" spans="1:16" s="3" customFormat="1" x14ac:dyDescent="0.25">
      <c r="A57" s="11"/>
      <c r="B57" s="2"/>
      <c r="C57" s="2"/>
      <c r="E57" s="12"/>
      <c r="H57" s="68"/>
      <c r="N57" s="17"/>
      <c r="O57" s="17"/>
      <c r="P57" s="17"/>
    </row>
    <row r="58" spans="1:16" s="3" customFormat="1" x14ac:dyDescent="0.25">
      <c r="A58" s="11"/>
      <c r="B58" s="2"/>
      <c r="C58" s="2"/>
      <c r="E58" s="12"/>
      <c r="H58" s="68"/>
      <c r="N58" s="17"/>
      <c r="O58" s="17"/>
      <c r="P58" s="17"/>
    </row>
  </sheetData>
  <mergeCells count="3">
    <mergeCell ref="A3:A4"/>
    <mergeCell ref="A38:L38"/>
    <mergeCell ref="O38:P38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37">
    <cfRule type="duplicateValues" dxfId="51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P5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3" sqref="N3:N3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138</v>
      </c>
      <c r="B3" s="110" t="s">
        <v>139</v>
      </c>
      <c r="C3" s="9" t="s">
        <v>140</v>
      </c>
      <c r="D3" s="94" t="s">
        <v>114</v>
      </c>
      <c r="E3" s="13">
        <v>44414</v>
      </c>
      <c r="F3" s="94" t="s">
        <v>141</v>
      </c>
      <c r="G3" s="13">
        <v>44419</v>
      </c>
      <c r="H3" s="10" t="s">
        <v>142</v>
      </c>
      <c r="I3" s="1">
        <v>59</v>
      </c>
      <c r="J3" s="1">
        <v>47</v>
      </c>
      <c r="K3" s="1">
        <v>29</v>
      </c>
      <c r="L3" s="1">
        <v>9</v>
      </c>
      <c r="M3" s="109">
        <f t="shared" ref="M3" si="0">I3*J3*K3/4000</f>
        <v>20.10425</v>
      </c>
      <c r="N3" s="8">
        <v>20</v>
      </c>
      <c r="O3" s="69">
        <v>7000</v>
      </c>
      <c r="P3" s="70">
        <f>Table224578[[#This Row],[PEMBULATAN]]*O3</f>
        <v>140000</v>
      </c>
    </row>
    <row r="4" spans="1:16" ht="26.25" customHeight="1" x14ac:dyDescent="0.2">
      <c r="A4" s="130"/>
      <c r="B4" s="93" t="s">
        <v>143</v>
      </c>
      <c r="C4" s="9" t="s">
        <v>144</v>
      </c>
      <c r="D4" s="94" t="s">
        <v>114</v>
      </c>
      <c r="E4" s="13">
        <v>44414</v>
      </c>
      <c r="F4" s="94" t="s">
        <v>141</v>
      </c>
      <c r="G4" s="13">
        <v>44419</v>
      </c>
      <c r="H4" s="10" t="s">
        <v>142</v>
      </c>
      <c r="I4" s="1">
        <v>32</v>
      </c>
      <c r="J4" s="1">
        <v>10</v>
      </c>
      <c r="K4" s="1">
        <v>29</v>
      </c>
      <c r="L4" s="1">
        <v>2</v>
      </c>
      <c r="M4" s="109">
        <v>2.3199999999999998</v>
      </c>
      <c r="N4" s="8">
        <v>3</v>
      </c>
      <c r="O4" s="69">
        <v>7000</v>
      </c>
      <c r="P4" s="70">
        <f>Table224578[[#This Row],[PEMBULATAN]]*O4</f>
        <v>21000</v>
      </c>
    </row>
    <row r="5" spans="1:16" ht="26.25" customHeight="1" x14ac:dyDescent="0.2">
      <c r="A5" s="15"/>
      <c r="B5" s="15"/>
      <c r="C5" s="9" t="s">
        <v>145</v>
      </c>
      <c r="D5" s="94" t="s">
        <v>114</v>
      </c>
      <c r="E5" s="13">
        <v>44414</v>
      </c>
      <c r="F5" s="94" t="s">
        <v>141</v>
      </c>
      <c r="G5" s="13">
        <v>44419</v>
      </c>
      <c r="H5" s="10" t="s">
        <v>142</v>
      </c>
      <c r="I5" s="1">
        <v>32</v>
      </c>
      <c r="J5" s="1">
        <v>23</v>
      </c>
      <c r="K5" s="1">
        <v>18</v>
      </c>
      <c r="L5" s="1">
        <v>7</v>
      </c>
      <c r="M5" s="109">
        <v>3.3119999999999998</v>
      </c>
      <c r="N5" s="8">
        <v>7</v>
      </c>
      <c r="O5" s="69">
        <v>7000</v>
      </c>
      <c r="P5" s="70">
        <f>Table224578[[#This Row],[PEMBULATAN]]*O5</f>
        <v>49000</v>
      </c>
    </row>
    <row r="6" spans="1:16" ht="26.25" customHeight="1" x14ac:dyDescent="0.2">
      <c r="A6" s="15"/>
      <c r="B6" s="15"/>
      <c r="C6" s="80" t="s">
        <v>146</v>
      </c>
      <c r="D6" s="104" t="s">
        <v>114</v>
      </c>
      <c r="E6" s="13">
        <v>44414</v>
      </c>
      <c r="F6" s="94" t="s">
        <v>141</v>
      </c>
      <c r="G6" s="13">
        <v>44419</v>
      </c>
      <c r="H6" s="101" t="s">
        <v>142</v>
      </c>
      <c r="I6" s="18">
        <v>59</v>
      </c>
      <c r="J6" s="18">
        <v>48</v>
      </c>
      <c r="K6" s="18">
        <v>13</v>
      </c>
      <c r="L6" s="18">
        <v>7</v>
      </c>
      <c r="M6" s="112">
        <v>9.2040000000000006</v>
      </c>
      <c r="N6" s="79">
        <v>9</v>
      </c>
      <c r="O6" s="69">
        <v>7000</v>
      </c>
      <c r="P6" s="70">
        <f>Table224578[[#This Row],[PEMBULATAN]]*O6</f>
        <v>63000</v>
      </c>
    </row>
    <row r="7" spans="1:16" ht="26.25" customHeight="1" x14ac:dyDescent="0.2">
      <c r="A7" s="15"/>
      <c r="B7" s="15"/>
      <c r="C7" s="80" t="s">
        <v>147</v>
      </c>
      <c r="D7" s="104" t="s">
        <v>114</v>
      </c>
      <c r="E7" s="13">
        <v>44414</v>
      </c>
      <c r="F7" s="94" t="s">
        <v>141</v>
      </c>
      <c r="G7" s="13">
        <v>44419</v>
      </c>
      <c r="H7" s="101" t="s">
        <v>142</v>
      </c>
      <c r="I7" s="18">
        <v>38</v>
      </c>
      <c r="J7" s="18">
        <v>35</v>
      </c>
      <c r="K7" s="18">
        <v>13</v>
      </c>
      <c r="L7" s="18">
        <v>9</v>
      </c>
      <c r="M7" s="112">
        <v>4.3224999999999998</v>
      </c>
      <c r="N7" s="79">
        <v>9</v>
      </c>
      <c r="O7" s="69">
        <v>7000</v>
      </c>
      <c r="P7" s="70">
        <f>Table224578[[#This Row],[PEMBULATAN]]*O7</f>
        <v>63000</v>
      </c>
    </row>
    <row r="8" spans="1:16" ht="26.25" customHeight="1" x14ac:dyDescent="0.2">
      <c r="A8" s="15"/>
      <c r="B8" s="15"/>
      <c r="C8" s="80" t="s">
        <v>148</v>
      </c>
      <c r="D8" s="104" t="s">
        <v>114</v>
      </c>
      <c r="E8" s="13">
        <v>44414</v>
      </c>
      <c r="F8" s="94" t="s">
        <v>141</v>
      </c>
      <c r="G8" s="13">
        <v>44419</v>
      </c>
      <c r="H8" s="101" t="s">
        <v>142</v>
      </c>
      <c r="I8" s="18">
        <v>40</v>
      </c>
      <c r="J8" s="18">
        <v>33</v>
      </c>
      <c r="K8" s="18">
        <v>14</v>
      </c>
      <c r="L8" s="18">
        <v>9</v>
      </c>
      <c r="M8" s="112">
        <v>4.62</v>
      </c>
      <c r="N8" s="79">
        <v>9</v>
      </c>
      <c r="O8" s="69">
        <v>7000</v>
      </c>
      <c r="P8" s="70">
        <f>Table224578[[#This Row],[PEMBULATAN]]*O8</f>
        <v>63000</v>
      </c>
    </row>
    <row r="9" spans="1:16" ht="26.25" customHeight="1" x14ac:dyDescent="0.2">
      <c r="A9" s="15"/>
      <c r="B9" s="15"/>
      <c r="C9" s="80" t="s">
        <v>149</v>
      </c>
      <c r="D9" s="104" t="s">
        <v>114</v>
      </c>
      <c r="E9" s="13">
        <v>44414</v>
      </c>
      <c r="F9" s="94" t="s">
        <v>141</v>
      </c>
      <c r="G9" s="13">
        <v>44419</v>
      </c>
      <c r="H9" s="101" t="s">
        <v>142</v>
      </c>
      <c r="I9" s="18">
        <v>34</v>
      </c>
      <c r="J9" s="18">
        <v>35</v>
      </c>
      <c r="K9" s="18">
        <v>19</v>
      </c>
      <c r="L9" s="18">
        <v>12</v>
      </c>
      <c r="M9" s="112">
        <v>5.6524999999999999</v>
      </c>
      <c r="N9" s="79">
        <v>12</v>
      </c>
      <c r="O9" s="69">
        <v>7000</v>
      </c>
      <c r="P9" s="70">
        <f>Table224578[[#This Row],[PEMBULATAN]]*O9</f>
        <v>84000</v>
      </c>
    </row>
    <row r="10" spans="1:16" ht="26.25" customHeight="1" x14ac:dyDescent="0.2">
      <c r="A10" s="15"/>
      <c r="B10" s="15"/>
      <c r="C10" s="80" t="s">
        <v>150</v>
      </c>
      <c r="D10" s="104" t="s">
        <v>114</v>
      </c>
      <c r="E10" s="13">
        <v>44414</v>
      </c>
      <c r="F10" s="94" t="s">
        <v>141</v>
      </c>
      <c r="G10" s="13">
        <v>44419</v>
      </c>
      <c r="H10" s="101" t="s">
        <v>142</v>
      </c>
      <c r="I10" s="18">
        <v>31</v>
      </c>
      <c r="J10" s="18">
        <v>23</v>
      </c>
      <c r="K10" s="18">
        <v>18</v>
      </c>
      <c r="L10" s="18">
        <v>7</v>
      </c>
      <c r="M10" s="112">
        <v>3.2084999999999999</v>
      </c>
      <c r="N10" s="79">
        <v>7</v>
      </c>
      <c r="O10" s="69">
        <v>7000</v>
      </c>
      <c r="P10" s="70">
        <f>Table224578[[#This Row],[PEMBULATAN]]*O10</f>
        <v>49000</v>
      </c>
    </row>
    <row r="11" spans="1:16" ht="26.25" customHeight="1" x14ac:dyDescent="0.2">
      <c r="A11" s="15"/>
      <c r="B11" s="15"/>
      <c r="C11" s="80" t="s">
        <v>151</v>
      </c>
      <c r="D11" s="104" t="s">
        <v>114</v>
      </c>
      <c r="E11" s="13">
        <v>44414</v>
      </c>
      <c r="F11" s="94" t="s">
        <v>141</v>
      </c>
      <c r="G11" s="13">
        <v>44419</v>
      </c>
      <c r="H11" s="101" t="s">
        <v>142</v>
      </c>
      <c r="I11" s="18">
        <v>31</v>
      </c>
      <c r="J11" s="18">
        <v>23</v>
      </c>
      <c r="K11" s="18">
        <v>18</v>
      </c>
      <c r="L11" s="18">
        <v>7</v>
      </c>
      <c r="M11" s="112">
        <v>3.2084999999999999</v>
      </c>
      <c r="N11" s="79">
        <v>7</v>
      </c>
      <c r="O11" s="69">
        <v>7000</v>
      </c>
      <c r="P11" s="70">
        <f>Table224578[[#This Row],[PEMBULATAN]]*O11</f>
        <v>49000</v>
      </c>
    </row>
    <row r="12" spans="1:16" ht="26.25" customHeight="1" x14ac:dyDescent="0.2">
      <c r="A12" s="15"/>
      <c r="B12" s="15"/>
      <c r="C12" s="80" t="s">
        <v>152</v>
      </c>
      <c r="D12" s="104" t="s">
        <v>114</v>
      </c>
      <c r="E12" s="13">
        <v>44414</v>
      </c>
      <c r="F12" s="94" t="s">
        <v>141</v>
      </c>
      <c r="G12" s="13">
        <v>44419</v>
      </c>
      <c r="H12" s="101" t="s">
        <v>142</v>
      </c>
      <c r="I12" s="18">
        <v>31</v>
      </c>
      <c r="J12" s="18">
        <v>23</v>
      </c>
      <c r="K12" s="18">
        <v>18</v>
      </c>
      <c r="L12" s="18">
        <v>10</v>
      </c>
      <c r="M12" s="112">
        <v>3.2084999999999999</v>
      </c>
      <c r="N12" s="79">
        <v>10</v>
      </c>
      <c r="O12" s="69">
        <v>7000</v>
      </c>
      <c r="P12" s="70">
        <f>Table224578[[#This Row],[PEMBULATAN]]*O12</f>
        <v>70000</v>
      </c>
    </row>
    <row r="13" spans="1:16" ht="26.25" customHeight="1" x14ac:dyDescent="0.2">
      <c r="A13" s="15"/>
      <c r="B13" s="15"/>
      <c r="C13" s="80" t="s">
        <v>153</v>
      </c>
      <c r="D13" s="104" t="s">
        <v>114</v>
      </c>
      <c r="E13" s="13">
        <v>44414</v>
      </c>
      <c r="F13" s="94" t="s">
        <v>141</v>
      </c>
      <c r="G13" s="13">
        <v>44419</v>
      </c>
      <c r="H13" s="101" t="s">
        <v>142</v>
      </c>
      <c r="I13" s="18">
        <v>31</v>
      </c>
      <c r="J13" s="18">
        <v>23</v>
      </c>
      <c r="K13" s="18">
        <v>18</v>
      </c>
      <c r="L13" s="18">
        <v>7</v>
      </c>
      <c r="M13" s="112">
        <v>3.2084999999999999</v>
      </c>
      <c r="N13" s="79">
        <v>7</v>
      </c>
      <c r="O13" s="69">
        <v>7000</v>
      </c>
      <c r="P13" s="70">
        <f>Table224578[[#This Row],[PEMBULATAN]]*O13</f>
        <v>49000</v>
      </c>
    </row>
    <row r="14" spans="1:16" ht="26.25" customHeight="1" x14ac:dyDescent="0.2">
      <c r="A14" s="15"/>
      <c r="B14" s="15"/>
      <c r="C14" s="80" t="s">
        <v>154</v>
      </c>
      <c r="D14" s="104" t="s">
        <v>114</v>
      </c>
      <c r="E14" s="13">
        <v>44414</v>
      </c>
      <c r="F14" s="94" t="s">
        <v>141</v>
      </c>
      <c r="G14" s="13">
        <v>44419</v>
      </c>
      <c r="H14" s="101" t="s">
        <v>142</v>
      </c>
      <c r="I14" s="18">
        <v>45</v>
      </c>
      <c r="J14" s="18">
        <v>32</v>
      </c>
      <c r="K14" s="18">
        <v>15</v>
      </c>
      <c r="L14" s="18">
        <v>9</v>
      </c>
      <c r="M14" s="112">
        <v>5.4</v>
      </c>
      <c r="N14" s="79">
        <v>9</v>
      </c>
      <c r="O14" s="69">
        <v>7000</v>
      </c>
      <c r="P14" s="70">
        <f>Table224578[[#This Row],[PEMBULATAN]]*O14</f>
        <v>63000</v>
      </c>
    </row>
    <row r="15" spans="1:16" ht="26.25" customHeight="1" x14ac:dyDescent="0.2">
      <c r="A15" s="15"/>
      <c r="B15" s="16"/>
      <c r="C15" s="80" t="s">
        <v>155</v>
      </c>
      <c r="D15" s="104" t="s">
        <v>114</v>
      </c>
      <c r="E15" s="13">
        <v>44414</v>
      </c>
      <c r="F15" s="94" t="s">
        <v>141</v>
      </c>
      <c r="G15" s="13">
        <v>44419</v>
      </c>
      <c r="H15" s="101" t="s">
        <v>142</v>
      </c>
      <c r="I15" s="18">
        <v>32</v>
      </c>
      <c r="J15" s="18">
        <v>29</v>
      </c>
      <c r="K15" s="18">
        <v>22</v>
      </c>
      <c r="L15" s="18">
        <v>10</v>
      </c>
      <c r="M15" s="112">
        <v>5.1040000000000001</v>
      </c>
      <c r="N15" s="79">
        <v>10</v>
      </c>
      <c r="O15" s="69">
        <v>7000</v>
      </c>
      <c r="P15" s="70">
        <f>Table224578[[#This Row],[PEMBULATAN]]*O15</f>
        <v>70000</v>
      </c>
    </row>
    <row r="16" spans="1:16" ht="26.25" customHeight="1" x14ac:dyDescent="0.2">
      <c r="A16" s="15"/>
      <c r="B16" s="15" t="s">
        <v>156</v>
      </c>
      <c r="C16" s="80" t="s">
        <v>157</v>
      </c>
      <c r="D16" s="104" t="s">
        <v>114</v>
      </c>
      <c r="E16" s="13">
        <v>44414</v>
      </c>
      <c r="F16" s="94" t="s">
        <v>141</v>
      </c>
      <c r="G16" s="13">
        <v>44419</v>
      </c>
      <c r="H16" s="101" t="s">
        <v>142</v>
      </c>
      <c r="I16" s="18">
        <v>100</v>
      </c>
      <c r="J16" s="18">
        <v>67</v>
      </c>
      <c r="K16" s="18">
        <v>11</v>
      </c>
      <c r="L16" s="18">
        <v>16</v>
      </c>
      <c r="M16" s="112">
        <f t="shared" ref="M16:M36" si="1">I16*J16*K16/4000</f>
        <v>18.425000000000001</v>
      </c>
      <c r="N16" s="79">
        <v>19</v>
      </c>
      <c r="O16" s="69">
        <v>7000</v>
      </c>
      <c r="P16" s="70">
        <f>Table224578[[#This Row],[PEMBULATAN]]*O16</f>
        <v>133000</v>
      </c>
    </row>
    <row r="17" spans="1:16" ht="26.25" customHeight="1" x14ac:dyDescent="0.2">
      <c r="A17" s="15"/>
      <c r="B17" s="15"/>
      <c r="C17" s="80" t="s">
        <v>158</v>
      </c>
      <c r="D17" s="104" t="s">
        <v>114</v>
      </c>
      <c r="E17" s="13">
        <v>44414</v>
      </c>
      <c r="F17" s="94" t="s">
        <v>141</v>
      </c>
      <c r="G17" s="13">
        <v>44419</v>
      </c>
      <c r="H17" s="101" t="s">
        <v>142</v>
      </c>
      <c r="I17" s="18">
        <v>23</v>
      </c>
      <c r="J17" s="18">
        <v>25</v>
      </c>
      <c r="K17" s="18">
        <v>35</v>
      </c>
      <c r="L17" s="18">
        <v>7</v>
      </c>
      <c r="M17" s="112">
        <f t="shared" si="1"/>
        <v>5.03125</v>
      </c>
      <c r="N17" s="79">
        <v>7</v>
      </c>
      <c r="O17" s="69">
        <v>7000</v>
      </c>
      <c r="P17" s="70">
        <f>Table224578[[#This Row],[PEMBULATAN]]*O17</f>
        <v>49000</v>
      </c>
    </row>
    <row r="18" spans="1:16" ht="26.25" customHeight="1" x14ac:dyDescent="0.2">
      <c r="A18" s="15"/>
      <c r="B18" s="15"/>
      <c r="C18" s="80" t="s">
        <v>159</v>
      </c>
      <c r="D18" s="104" t="s">
        <v>114</v>
      </c>
      <c r="E18" s="13">
        <v>44414</v>
      </c>
      <c r="F18" s="94" t="s">
        <v>141</v>
      </c>
      <c r="G18" s="13">
        <v>44419</v>
      </c>
      <c r="H18" s="101" t="s">
        <v>142</v>
      </c>
      <c r="I18" s="18">
        <v>50</v>
      </c>
      <c r="J18" s="18">
        <v>40</v>
      </c>
      <c r="K18" s="18">
        <v>30</v>
      </c>
      <c r="L18" s="18">
        <v>22</v>
      </c>
      <c r="M18" s="112">
        <f t="shared" si="1"/>
        <v>15</v>
      </c>
      <c r="N18" s="79">
        <v>22</v>
      </c>
      <c r="O18" s="69">
        <v>7000</v>
      </c>
      <c r="P18" s="70">
        <f>Table224578[[#This Row],[PEMBULATAN]]*O18</f>
        <v>154000</v>
      </c>
    </row>
    <row r="19" spans="1:16" ht="26.25" customHeight="1" x14ac:dyDescent="0.2">
      <c r="A19" s="15"/>
      <c r="B19" s="15"/>
      <c r="C19" s="80" t="s">
        <v>160</v>
      </c>
      <c r="D19" s="104" t="s">
        <v>114</v>
      </c>
      <c r="E19" s="13">
        <v>44414</v>
      </c>
      <c r="F19" s="94" t="s">
        <v>141</v>
      </c>
      <c r="G19" s="13">
        <v>44419</v>
      </c>
      <c r="H19" s="101" t="s">
        <v>142</v>
      </c>
      <c r="I19" s="18">
        <v>57</v>
      </c>
      <c r="J19" s="18">
        <v>23</v>
      </c>
      <c r="K19" s="18">
        <v>52</v>
      </c>
      <c r="L19" s="18">
        <v>10</v>
      </c>
      <c r="M19" s="112">
        <f t="shared" si="1"/>
        <v>17.042999999999999</v>
      </c>
      <c r="N19" s="79">
        <v>17</v>
      </c>
      <c r="O19" s="69">
        <v>7000</v>
      </c>
      <c r="P19" s="70">
        <f>Table224578[[#This Row],[PEMBULATAN]]*O19</f>
        <v>119000</v>
      </c>
    </row>
    <row r="20" spans="1:16" ht="26.25" customHeight="1" x14ac:dyDescent="0.2">
      <c r="A20" s="15"/>
      <c r="B20" s="15"/>
      <c r="C20" s="80" t="s">
        <v>161</v>
      </c>
      <c r="D20" s="104" t="s">
        <v>114</v>
      </c>
      <c r="E20" s="13">
        <v>44414</v>
      </c>
      <c r="F20" s="94" t="s">
        <v>141</v>
      </c>
      <c r="G20" s="13">
        <v>44419</v>
      </c>
      <c r="H20" s="101" t="s">
        <v>142</v>
      </c>
      <c r="I20" s="18">
        <v>70</v>
      </c>
      <c r="J20" s="18">
        <v>47</v>
      </c>
      <c r="K20" s="18">
        <v>46</v>
      </c>
      <c r="L20" s="18">
        <v>27</v>
      </c>
      <c r="M20" s="112">
        <f t="shared" si="1"/>
        <v>37.835000000000001</v>
      </c>
      <c r="N20" s="79">
        <v>38</v>
      </c>
      <c r="O20" s="69">
        <v>7000</v>
      </c>
      <c r="P20" s="70">
        <f>Table224578[[#This Row],[PEMBULATAN]]*O20</f>
        <v>266000</v>
      </c>
    </row>
    <row r="21" spans="1:16" ht="26.25" customHeight="1" x14ac:dyDescent="0.2">
      <c r="A21" s="15"/>
      <c r="B21" s="15"/>
      <c r="C21" s="80" t="s">
        <v>162</v>
      </c>
      <c r="D21" s="104" t="s">
        <v>114</v>
      </c>
      <c r="E21" s="13">
        <v>44414</v>
      </c>
      <c r="F21" s="94" t="s">
        <v>141</v>
      </c>
      <c r="G21" s="13">
        <v>44419</v>
      </c>
      <c r="H21" s="101" t="s">
        <v>142</v>
      </c>
      <c r="I21" s="18">
        <v>35</v>
      </c>
      <c r="J21" s="18">
        <v>49</v>
      </c>
      <c r="K21" s="18">
        <v>36</v>
      </c>
      <c r="L21" s="18">
        <v>4</v>
      </c>
      <c r="M21" s="112">
        <f t="shared" si="1"/>
        <v>15.435</v>
      </c>
      <c r="N21" s="79">
        <v>16</v>
      </c>
      <c r="O21" s="69">
        <v>7000</v>
      </c>
      <c r="P21" s="70">
        <f>Table224578[[#This Row],[PEMBULATAN]]*O21</f>
        <v>112000</v>
      </c>
    </row>
    <row r="22" spans="1:16" ht="26.25" customHeight="1" x14ac:dyDescent="0.2">
      <c r="A22" s="15"/>
      <c r="B22" s="15"/>
      <c r="C22" s="80" t="s">
        <v>163</v>
      </c>
      <c r="D22" s="104" t="s">
        <v>114</v>
      </c>
      <c r="E22" s="13">
        <v>44414</v>
      </c>
      <c r="F22" s="94" t="s">
        <v>141</v>
      </c>
      <c r="G22" s="13">
        <v>44419</v>
      </c>
      <c r="H22" s="101" t="s">
        <v>142</v>
      </c>
      <c r="I22" s="18">
        <v>65</v>
      </c>
      <c r="J22" s="18">
        <v>31</v>
      </c>
      <c r="K22" s="18">
        <v>36</v>
      </c>
      <c r="L22" s="18">
        <v>11</v>
      </c>
      <c r="M22" s="112">
        <f t="shared" si="1"/>
        <v>18.135000000000002</v>
      </c>
      <c r="N22" s="79">
        <v>18</v>
      </c>
      <c r="O22" s="69">
        <v>7000</v>
      </c>
      <c r="P22" s="70">
        <f>Table224578[[#This Row],[PEMBULATAN]]*O22</f>
        <v>126000</v>
      </c>
    </row>
    <row r="23" spans="1:16" ht="26.25" customHeight="1" x14ac:dyDescent="0.2">
      <c r="A23" s="15"/>
      <c r="B23" s="15"/>
      <c r="C23" s="80" t="s">
        <v>164</v>
      </c>
      <c r="D23" s="104" t="s">
        <v>114</v>
      </c>
      <c r="E23" s="13">
        <v>44414</v>
      </c>
      <c r="F23" s="94" t="s">
        <v>141</v>
      </c>
      <c r="G23" s="13">
        <v>44419</v>
      </c>
      <c r="H23" s="101" t="s">
        <v>142</v>
      </c>
      <c r="I23" s="18">
        <v>46</v>
      </c>
      <c r="J23" s="18">
        <v>52</v>
      </c>
      <c r="K23" s="18">
        <v>21</v>
      </c>
      <c r="L23" s="18">
        <v>8</v>
      </c>
      <c r="M23" s="112">
        <f t="shared" si="1"/>
        <v>12.558</v>
      </c>
      <c r="N23" s="79">
        <v>13</v>
      </c>
      <c r="O23" s="69">
        <v>7000</v>
      </c>
      <c r="P23" s="70">
        <f>Table224578[[#This Row],[PEMBULATAN]]*O23</f>
        <v>91000</v>
      </c>
    </row>
    <row r="24" spans="1:16" ht="26.25" customHeight="1" x14ac:dyDescent="0.2">
      <c r="A24" s="15"/>
      <c r="B24" s="15"/>
      <c r="C24" s="80" t="s">
        <v>165</v>
      </c>
      <c r="D24" s="104" t="s">
        <v>114</v>
      </c>
      <c r="E24" s="13">
        <v>44414</v>
      </c>
      <c r="F24" s="94" t="s">
        <v>141</v>
      </c>
      <c r="G24" s="13">
        <v>44419</v>
      </c>
      <c r="H24" s="101" t="s">
        <v>142</v>
      </c>
      <c r="I24" s="18">
        <v>30</v>
      </c>
      <c r="J24" s="18">
        <v>45</v>
      </c>
      <c r="K24" s="18">
        <v>28</v>
      </c>
      <c r="L24" s="18">
        <v>8</v>
      </c>
      <c r="M24" s="112">
        <f t="shared" si="1"/>
        <v>9.4499999999999993</v>
      </c>
      <c r="N24" s="79">
        <v>10</v>
      </c>
      <c r="O24" s="69">
        <v>7000</v>
      </c>
      <c r="P24" s="70">
        <f>Table224578[[#This Row],[PEMBULATAN]]*O24</f>
        <v>70000</v>
      </c>
    </row>
    <row r="25" spans="1:16" ht="26.25" customHeight="1" x14ac:dyDescent="0.2">
      <c r="A25" s="15"/>
      <c r="B25" s="15"/>
      <c r="C25" s="80" t="s">
        <v>166</v>
      </c>
      <c r="D25" s="104" t="s">
        <v>114</v>
      </c>
      <c r="E25" s="13">
        <v>44414</v>
      </c>
      <c r="F25" s="94" t="s">
        <v>141</v>
      </c>
      <c r="G25" s="13">
        <v>44419</v>
      </c>
      <c r="H25" s="101" t="s">
        <v>142</v>
      </c>
      <c r="I25" s="18">
        <v>47</v>
      </c>
      <c r="J25" s="18">
        <v>46</v>
      </c>
      <c r="K25" s="18">
        <v>26</v>
      </c>
      <c r="L25" s="18">
        <v>15</v>
      </c>
      <c r="M25" s="112">
        <f t="shared" si="1"/>
        <v>14.053000000000001</v>
      </c>
      <c r="N25" s="79">
        <v>15</v>
      </c>
      <c r="O25" s="69">
        <v>7000</v>
      </c>
      <c r="P25" s="70">
        <f>Table224578[[#This Row],[PEMBULATAN]]*O25</f>
        <v>105000</v>
      </c>
    </row>
    <row r="26" spans="1:16" ht="26.25" customHeight="1" x14ac:dyDescent="0.2">
      <c r="A26" s="15"/>
      <c r="B26" s="15"/>
      <c r="C26" s="80" t="s">
        <v>167</v>
      </c>
      <c r="D26" s="104" t="s">
        <v>114</v>
      </c>
      <c r="E26" s="13">
        <v>44414</v>
      </c>
      <c r="F26" s="94" t="s">
        <v>141</v>
      </c>
      <c r="G26" s="13">
        <v>44419</v>
      </c>
      <c r="H26" s="101" t="s">
        <v>142</v>
      </c>
      <c r="I26" s="18">
        <v>50</v>
      </c>
      <c r="J26" s="18">
        <v>49</v>
      </c>
      <c r="K26" s="18">
        <v>29</v>
      </c>
      <c r="L26" s="18">
        <v>15</v>
      </c>
      <c r="M26" s="112">
        <f t="shared" si="1"/>
        <v>17.762499999999999</v>
      </c>
      <c r="N26" s="79">
        <v>18</v>
      </c>
      <c r="O26" s="69">
        <v>7000</v>
      </c>
      <c r="P26" s="70">
        <f>Table224578[[#This Row],[PEMBULATAN]]*O26</f>
        <v>126000</v>
      </c>
    </row>
    <row r="27" spans="1:16" ht="26.25" customHeight="1" x14ac:dyDescent="0.2">
      <c r="A27" s="15"/>
      <c r="B27" s="15"/>
      <c r="C27" s="80" t="s">
        <v>168</v>
      </c>
      <c r="D27" s="104" t="s">
        <v>114</v>
      </c>
      <c r="E27" s="13">
        <v>44414</v>
      </c>
      <c r="F27" s="94" t="s">
        <v>141</v>
      </c>
      <c r="G27" s="13">
        <v>44419</v>
      </c>
      <c r="H27" s="101" t="s">
        <v>142</v>
      </c>
      <c r="I27" s="18">
        <v>80</v>
      </c>
      <c r="J27" s="18">
        <v>83</v>
      </c>
      <c r="K27" s="18">
        <v>37</v>
      </c>
      <c r="L27" s="18">
        <v>16</v>
      </c>
      <c r="M27" s="112">
        <f t="shared" si="1"/>
        <v>61.42</v>
      </c>
      <c r="N27" s="79">
        <v>62</v>
      </c>
      <c r="O27" s="69">
        <v>7000</v>
      </c>
      <c r="P27" s="70">
        <f>Table224578[[#This Row],[PEMBULATAN]]*O27</f>
        <v>434000</v>
      </c>
    </row>
    <row r="28" spans="1:16" ht="26.25" customHeight="1" x14ac:dyDescent="0.2">
      <c r="A28" s="15"/>
      <c r="B28" s="15"/>
      <c r="C28" s="80" t="s">
        <v>169</v>
      </c>
      <c r="D28" s="104" t="s">
        <v>114</v>
      </c>
      <c r="E28" s="13">
        <v>44414</v>
      </c>
      <c r="F28" s="94" t="s">
        <v>141</v>
      </c>
      <c r="G28" s="13">
        <v>44419</v>
      </c>
      <c r="H28" s="101" t="s">
        <v>142</v>
      </c>
      <c r="I28" s="18">
        <v>55</v>
      </c>
      <c r="J28" s="18">
        <v>37</v>
      </c>
      <c r="K28" s="18">
        <v>38</v>
      </c>
      <c r="L28" s="18">
        <v>20</v>
      </c>
      <c r="M28" s="112">
        <f t="shared" si="1"/>
        <v>19.3325</v>
      </c>
      <c r="N28" s="79">
        <v>20</v>
      </c>
      <c r="O28" s="69">
        <v>7000</v>
      </c>
      <c r="P28" s="70">
        <f>Table224578[[#This Row],[PEMBULATAN]]*O28</f>
        <v>140000</v>
      </c>
    </row>
    <row r="29" spans="1:16" ht="26.25" customHeight="1" x14ac:dyDescent="0.2">
      <c r="A29" s="15"/>
      <c r="B29" s="15"/>
      <c r="C29" s="80" t="s">
        <v>170</v>
      </c>
      <c r="D29" s="104" t="s">
        <v>114</v>
      </c>
      <c r="E29" s="13">
        <v>44414</v>
      </c>
      <c r="F29" s="94" t="s">
        <v>141</v>
      </c>
      <c r="G29" s="13">
        <v>44419</v>
      </c>
      <c r="H29" s="101" t="s">
        <v>142</v>
      </c>
      <c r="I29" s="18">
        <v>108</v>
      </c>
      <c r="J29" s="18">
        <v>16</v>
      </c>
      <c r="K29" s="18">
        <v>19</v>
      </c>
      <c r="L29" s="18">
        <v>5</v>
      </c>
      <c r="M29" s="112">
        <f t="shared" si="1"/>
        <v>8.2080000000000002</v>
      </c>
      <c r="N29" s="79">
        <v>8</v>
      </c>
      <c r="O29" s="69">
        <v>7000</v>
      </c>
      <c r="P29" s="70">
        <f>Table224578[[#This Row],[PEMBULATAN]]*O29</f>
        <v>56000</v>
      </c>
    </row>
    <row r="30" spans="1:16" ht="26.25" customHeight="1" x14ac:dyDescent="0.2">
      <c r="A30" s="15"/>
      <c r="B30" s="15"/>
      <c r="C30" s="80" t="s">
        <v>171</v>
      </c>
      <c r="D30" s="104" t="s">
        <v>114</v>
      </c>
      <c r="E30" s="13">
        <v>44414</v>
      </c>
      <c r="F30" s="94" t="s">
        <v>141</v>
      </c>
      <c r="G30" s="13">
        <v>44419</v>
      </c>
      <c r="H30" s="101" t="s">
        <v>142</v>
      </c>
      <c r="I30" s="18">
        <v>49</v>
      </c>
      <c r="J30" s="18">
        <v>40</v>
      </c>
      <c r="K30" s="18">
        <v>39</v>
      </c>
      <c r="L30" s="18">
        <v>20</v>
      </c>
      <c r="M30" s="112">
        <f t="shared" si="1"/>
        <v>19.11</v>
      </c>
      <c r="N30" s="79">
        <v>20</v>
      </c>
      <c r="O30" s="69">
        <v>7000</v>
      </c>
      <c r="P30" s="70">
        <f>Table224578[[#This Row],[PEMBULATAN]]*O30</f>
        <v>140000</v>
      </c>
    </row>
    <row r="31" spans="1:16" ht="26.25" customHeight="1" x14ac:dyDescent="0.2">
      <c r="A31" s="15"/>
      <c r="B31" s="15"/>
      <c r="C31" s="80" t="s">
        <v>172</v>
      </c>
      <c r="D31" s="104" t="s">
        <v>114</v>
      </c>
      <c r="E31" s="13">
        <v>44414</v>
      </c>
      <c r="F31" s="94" t="s">
        <v>141</v>
      </c>
      <c r="G31" s="13">
        <v>44419</v>
      </c>
      <c r="H31" s="101" t="s">
        <v>142</v>
      </c>
      <c r="I31" s="18">
        <v>65</v>
      </c>
      <c r="J31" s="18">
        <v>16</v>
      </c>
      <c r="K31" s="18">
        <v>44</v>
      </c>
      <c r="L31" s="18">
        <v>8</v>
      </c>
      <c r="M31" s="112">
        <f t="shared" si="1"/>
        <v>11.44</v>
      </c>
      <c r="N31" s="79">
        <v>12</v>
      </c>
      <c r="O31" s="69">
        <v>7000</v>
      </c>
      <c r="P31" s="70">
        <f>Table224578[[#This Row],[PEMBULATAN]]*O31</f>
        <v>84000</v>
      </c>
    </row>
    <row r="32" spans="1:16" ht="26.25" customHeight="1" x14ac:dyDescent="0.2">
      <c r="A32" s="15"/>
      <c r="B32" s="15"/>
      <c r="C32" s="80" t="s">
        <v>173</v>
      </c>
      <c r="D32" s="104" t="s">
        <v>114</v>
      </c>
      <c r="E32" s="13">
        <v>44414</v>
      </c>
      <c r="F32" s="94" t="s">
        <v>141</v>
      </c>
      <c r="G32" s="13">
        <v>44419</v>
      </c>
      <c r="H32" s="101" t="s">
        <v>142</v>
      </c>
      <c r="I32" s="18">
        <v>60</v>
      </c>
      <c r="J32" s="18">
        <v>61</v>
      </c>
      <c r="K32" s="18">
        <v>35</v>
      </c>
      <c r="L32" s="18">
        <v>21</v>
      </c>
      <c r="M32" s="112">
        <f t="shared" si="1"/>
        <v>32.024999999999999</v>
      </c>
      <c r="N32" s="79">
        <v>32</v>
      </c>
      <c r="O32" s="69">
        <v>7000</v>
      </c>
      <c r="P32" s="70">
        <f>Table224578[[#This Row],[PEMBULATAN]]*O32</f>
        <v>224000</v>
      </c>
    </row>
    <row r="33" spans="1:16" ht="26.25" customHeight="1" x14ac:dyDescent="0.2">
      <c r="A33" s="15"/>
      <c r="B33" s="15"/>
      <c r="C33" s="80" t="s">
        <v>174</v>
      </c>
      <c r="D33" s="104" t="s">
        <v>114</v>
      </c>
      <c r="E33" s="13">
        <v>44414</v>
      </c>
      <c r="F33" s="94" t="s">
        <v>141</v>
      </c>
      <c r="G33" s="13">
        <v>44419</v>
      </c>
      <c r="H33" s="101" t="s">
        <v>142</v>
      </c>
      <c r="I33" s="18">
        <v>86</v>
      </c>
      <c r="J33" s="18">
        <v>74</v>
      </c>
      <c r="K33" s="18">
        <v>40</v>
      </c>
      <c r="L33" s="18">
        <v>33</v>
      </c>
      <c r="M33" s="112">
        <f t="shared" si="1"/>
        <v>63.64</v>
      </c>
      <c r="N33" s="79">
        <v>64</v>
      </c>
      <c r="O33" s="69">
        <v>7000</v>
      </c>
      <c r="P33" s="70">
        <f>Table224578[[#This Row],[PEMBULATAN]]*O33</f>
        <v>448000</v>
      </c>
    </row>
    <row r="34" spans="1:16" ht="26.25" customHeight="1" x14ac:dyDescent="0.2">
      <c r="A34" s="15"/>
      <c r="B34" s="15"/>
      <c r="C34" s="80" t="s">
        <v>175</v>
      </c>
      <c r="D34" s="104" t="s">
        <v>114</v>
      </c>
      <c r="E34" s="13">
        <v>44414</v>
      </c>
      <c r="F34" s="94" t="s">
        <v>141</v>
      </c>
      <c r="G34" s="13">
        <v>44419</v>
      </c>
      <c r="H34" s="101" t="s">
        <v>142</v>
      </c>
      <c r="I34" s="18">
        <v>80</v>
      </c>
      <c r="J34" s="18">
        <v>50</v>
      </c>
      <c r="K34" s="18">
        <v>33</v>
      </c>
      <c r="L34" s="18">
        <v>16</v>
      </c>
      <c r="M34" s="112">
        <f t="shared" si="1"/>
        <v>33</v>
      </c>
      <c r="N34" s="79">
        <v>33</v>
      </c>
      <c r="O34" s="69">
        <v>7000</v>
      </c>
      <c r="P34" s="70">
        <f>Table224578[[#This Row],[PEMBULATAN]]*O34</f>
        <v>231000</v>
      </c>
    </row>
    <row r="35" spans="1:16" ht="26.25" customHeight="1" x14ac:dyDescent="0.2">
      <c r="A35" s="15"/>
      <c r="B35" s="15"/>
      <c r="C35" s="80" t="s">
        <v>176</v>
      </c>
      <c r="D35" s="104" t="s">
        <v>114</v>
      </c>
      <c r="E35" s="13">
        <v>44414</v>
      </c>
      <c r="F35" s="94" t="s">
        <v>141</v>
      </c>
      <c r="G35" s="13">
        <v>44419</v>
      </c>
      <c r="H35" s="101" t="s">
        <v>142</v>
      </c>
      <c r="I35" s="18">
        <v>66</v>
      </c>
      <c r="J35" s="18">
        <v>46</v>
      </c>
      <c r="K35" s="18">
        <v>33</v>
      </c>
      <c r="L35" s="18">
        <v>22</v>
      </c>
      <c r="M35" s="112">
        <f t="shared" si="1"/>
        <v>25.047000000000001</v>
      </c>
      <c r="N35" s="79">
        <v>25</v>
      </c>
      <c r="O35" s="69">
        <v>7000</v>
      </c>
      <c r="P35" s="70">
        <f>Table224578[[#This Row],[PEMBULATAN]]*O35</f>
        <v>175000</v>
      </c>
    </row>
    <row r="36" spans="1:16" ht="26.25" customHeight="1" x14ac:dyDescent="0.2">
      <c r="A36" s="15"/>
      <c r="B36" s="15"/>
      <c r="C36" s="80" t="s">
        <v>177</v>
      </c>
      <c r="D36" s="104" t="s">
        <v>114</v>
      </c>
      <c r="E36" s="13">
        <v>44414</v>
      </c>
      <c r="F36" s="94" t="s">
        <v>141</v>
      </c>
      <c r="G36" s="13">
        <v>44419</v>
      </c>
      <c r="H36" s="101" t="s">
        <v>142</v>
      </c>
      <c r="I36" s="18">
        <v>60</v>
      </c>
      <c r="J36" s="18">
        <v>54</v>
      </c>
      <c r="K36" s="18">
        <v>28</v>
      </c>
      <c r="L36" s="18">
        <v>24</v>
      </c>
      <c r="M36" s="112">
        <f t="shared" si="1"/>
        <v>22.68</v>
      </c>
      <c r="N36" s="79">
        <v>24</v>
      </c>
      <c r="O36" s="69">
        <v>7000</v>
      </c>
      <c r="P36" s="70">
        <f>Table224578[[#This Row],[PEMBULATAN]]*O36</f>
        <v>168000</v>
      </c>
    </row>
    <row r="37" spans="1:16" ht="22.5" customHeight="1" x14ac:dyDescent="0.2">
      <c r="A37" s="131" t="s">
        <v>37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3"/>
      <c r="M37" s="106">
        <f>SUBTOTAL(109,Table224578[KG VOLUME])</f>
        <v>549.50349999999992</v>
      </c>
      <c r="N37" s="73">
        <f>SUM(N3:N36)</f>
        <v>612</v>
      </c>
      <c r="O37" s="134">
        <f>SUM(P3:P36)</f>
        <v>4284000</v>
      </c>
      <c r="P37" s="135"/>
    </row>
    <row r="38" spans="1:16" x14ac:dyDescent="0.2">
      <c r="A38" s="11"/>
      <c r="B38" s="61" t="s">
        <v>51</v>
      </c>
      <c r="C38" s="60"/>
      <c r="D38" s="62" t="s">
        <v>52</v>
      </c>
      <c r="H38" s="68"/>
      <c r="N38" s="67" t="s">
        <v>38</v>
      </c>
      <c r="P38" s="74">
        <f>O37*1%</f>
        <v>42840</v>
      </c>
    </row>
    <row r="39" spans="1:16" x14ac:dyDescent="0.2">
      <c r="A39" s="11"/>
      <c r="H39" s="68"/>
      <c r="N39" s="67" t="s">
        <v>39</v>
      </c>
      <c r="P39" s="76">
        <v>0</v>
      </c>
    </row>
    <row r="40" spans="1:16" ht="15.75" thickBot="1" x14ac:dyDescent="0.25">
      <c r="A40" s="11"/>
      <c r="H40" s="68"/>
      <c r="N40" s="67" t="s">
        <v>40</v>
      </c>
      <c r="P40" s="76">
        <v>0</v>
      </c>
    </row>
    <row r="41" spans="1:16" x14ac:dyDescent="0.2">
      <c r="A41" s="11"/>
      <c r="H41" s="68"/>
      <c r="N41" s="71" t="s">
        <v>41</v>
      </c>
      <c r="O41" s="72"/>
      <c r="P41" s="75">
        <f>O37+P38</f>
        <v>4326840</v>
      </c>
    </row>
    <row r="42" spans="1:16" x14ac:dyDescent="0.2">
      <c r="B42" s="61"/>
      <c r="C42" s="60"/>
      <c r="D42" s="62"/>
    </row>
    <row r="44" spans="1:16" x14ac:dyDescent="0.2">
      <c r="A44" s="11"/>
      <c r="H44" s="68"/>
      <c r="P44" s="77"/>
    </row>
    <row r="45" spans="1:16" x14ac:dyDescent="0.2">
      <c r="A45" s="11"/>
      <c r="H45" s="68"/>
      <c r="O45" s="63"/>
      <c r="P45" s="77"/>
    </row>
    <row r="46" spans="1:16" s="3" customFormat="1" x14ac:dyDescent="0.25">
      <c r="A46" s="11"/>
      <c r="B46" s="2"/>
      <c r="C46" s="2"/>
      <c r="E46" s="12"/>
      <c r="H46" s="68"/>
      <c r="N46" s="17"/>
      <c r="O46" s="17"/>
      <c r="P46" s="17"/>
    </row>
    <row r="47" spans="1:16" s="3" customFormat="1" x14ac:dyDescent="0.25">
      <c r="A47" s="11"/>
      <c r="B47" s="2"/>
      <c r="C47" s="2"/>
      <c r="E47" s="12"/>
      <c r="H47" s="68"/>
      <c r="N47" s="17"/>
      <c r="O47" s="17"/>
      <c r="P47" s="17"/>
    </row>
    <row r="48" spans="1:16" s="3" customFormat="1" x14ac:dyDescent="0.25">
      <c r="A48" s="11"/>
      <c r="B48" s="2"/>
      <c r="C48" s="2"/>
      <c r="E48" s="12"/>
      <c r="H48" s="68"/>
      <c r="N48" s="17"/>
      <c r="O48" s="17"/>
      <c r="P48" s="17"/>
    </row>
    <row r="49" spans="1:16" s="3" customFormat="1" x14ac:dyDescent="0.25">
      <c r="A49" s="11"/>
      <c r="B49" s="2"/>
      <c r="C49" s="2"/>
      <c r="E49" s="12"/>
      <c r="H49" s="68"/>
      <c r="N49" s="17"/>
      <c r="O49" s="17"/>
      <c r="P49" s="17"/>
    </row>
    <row r="50" spans="1:16" s="3" customFormat="1" x14ac:dyDescent="0.25">
      <c r="A50" s="11"/>
      <c r="B50" s="2"/>
      <c r="C50" s="2"/>
      <c r="E50" s="12"/>
      <c r="H50" s="68"/>
      <c r="N50" s="17"/>
      <c r="O50" s="17"/>
      <c r="P50" s="17"/>
    </row>
    <row r="51" spans="1:16" s="3" customFormat="1" x14ac:dyDescent="0.25">
      <c r="A51" s="11"/>
      <c r="B51" s="2"/>
      <c r="C51" s="2"/>
      <c r="E51" s="12"/>
      <c r="H51" s="68"/>
      <c r="N51" s="17"/>
      <c r="O51" s="17"/>
      <c r="P51" s="17"/>
    </row>
    <row r="52" spans="1:16" s="3" customFormat="1" x14ac:dyDescent="0.25">
      <c r="A52" s="11"/>
      <c r="B52" s="2"/>
      <c r="C52" s="2"/>
      <c r="E52" s="12"/>
      <c r="H52" s="68"/>
      <c r="N52" s="17"/>
      <c r="O52" s="17"/>
      <c r="P52" s="17"/>
    </row>
    <row r="53" spans="1:16" s="3" customFormat="1" x14ac:dyDescent="0.25">
      <c r="A53" s="11"/>
      <c r="B53" s="2"/>
      <c r="C53" s="2"/>
      <c r="E53" s="12"/>
      <c r="H53" s="68"/>
      <c r="N53" s="17"/>
      <c r="O53" s="17"/>
      <c r="P53" s="17"/>
    </row>
    <row r="54" spans="1:16" s="3" customFormat="1" x14ac:dyDescent="0.25">
      <c r="A54" s="11"/>
      <c r="B54" s="2"/>
      <c r="C54" s="2"/>
      <c r="E54" s="12"/>
      <c r="H54" s="68"/>
      <c r="N54" s="17"/>
      <c r="O54" s="17"/>
      <c r="P54" s="17"/>
    </row>
    <row r="55" spans="1:16" s="3" customFormat="1" x14ac:dyDescent="0.25">
      <c r="A55" s="11"/>
      <c r="B55" s="2"/>
      <c r="C55" s="2"/>
      <c r="E55" s="12"/>
      <c r="H55" s="68"/>
      <c r="N55" s="17"/>
      <c r="O55" s="17"/>
      <c r="P55" s="17"/>
    </row>
    <row r="56" spans="1:16" s="3" customFormat="1" x14ac:dyDescent="0.25">
      <c r="A56" s="11"/>
      <c r="B56" s="2"/>
      <c r="C56" s="2"/>
      <c r="E56" s="12"/>
      <c r="H56" s="68"/>
      <c r="N56" s="17"/>
      <c r="O56" s="17"/>
      <c r="P56" s="17"/>
    </row>
    <row r="57" spans="1:16" s="3" customFormat="1" x14ac:dyDescent="0.25">
      <c r="A57" s="11"/>
      <c r="B57" s="2"/>
      <c r="C57" s="2"/>
      <c r="E57" s="12"/>
      <c r="H57" s="68"/>
      <c r="N57" s="17"/>
      <c r="O57" s="17"/>
      <c r="P57" s="17"/>
    </row>
  </sheetData>
  <mergeCells count="3">
    <mergeCell ref="A3:A4"/>
    <mergeCell ref="A37:L37"/>
    <mergeCell ref="O37:P37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36">
    <cfRule type="duplicateValues" dxfId="33" priority="2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008_Sicepat</vt:lpstr>
      <vt:lpstr>BKI032210028605</vt:lpstr>
      <vt:lpstr>BKI032210028803</vt:lpstr>
      <vt:lpstr>BKI032210028787</vt:lpstr>
      <vt:lpstr>BKI032210028928</vt:lpstr>
      <vt:lpstr>BKI032210028894</vt:lpstr>
      <vt:lpstr>BKI032210028944</vt:lpstr>
      <vt:lpstr>BKI032210029579</vt:lpstr>
      <vt:lpstr>BKI032210029231</vt:lpstr>
      <vt:lpstr>BKI032210029603</vt:lpstr>
      <vt:lpstr>'008_Sicepat'!Print_Titles</vt:lpstr>
      <vt:lpstr>BKI032210028605!Print_Titles</vt:lpstr>
      <vt:lpstr>BKI032210029231!Print_Titles</vt:lpstr>
      <vt:lpstr>BKI032210029579!Print_Titles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2021-08-26T08:17:01Z</cp:lastPrinted>
  <dcterms:created xsi:type="dcterms:W3CDTF">2021-07-02T11:08:00Z</dcterms:created>
  <dcterms:modified xsi:type="dcterms:W3CDTF">2021-09-22T04:54:19Z</dcterms:modified>
</cp:coreProperties>
</file>