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0" yWindow="0" windowWidth="20490" windowHeight="7320" tabRatio="842"/>
  </bookViews>
  <sheets>
    <sheet name="019_Sicepat" sheetId="2" r:id="rId1"/>
    <sheet name="BKI032210029835" sheetId="26" r:id="rId2"/>
    <sheet name="BKI032210030874" sheetId="12" r:id="rId3"/>
    <sheet name="BKI032210033894" sheetId="56" r:id="rId4"/>
    <sheet name="BKI032210033886" sheetId="53" r:id="rId5"/>
    <sheet name="BKI032210030890" sheetId="27" r:id="rId6"/>
    <sheet name="BKI032210030882" sheetId="28" r:id="rId7"/>
    <sheet name="BKI032210033902" sheetId="29" r:id="rId8"/>
    <sheet name="BKI032210033688" sheetId="30" r:id="rId9"/>
    <sheet name="BKI032210033696" sheetId="31" r:id="rId10"/>
    <sheet name="BKI032210033704" sheetId="32" r:id="rId11"/>
    <sheet name="BKI032210033993" sheetId="52" r:id="rId12"/>
    <sheet name="BKI032210033712" sheetId="33" r:id="rId13"/>
    <sheet name="BKI032210033985" sheetId="55" r:id="rId14"/>
    <sheet name="BKI032210033720" sheetId="34" r:id="rId15"/>
    <sheet name="BKI032210033738" sheetId="35" r:id="rId16"/>
    <sheet name="BKI032210033746" sheetId="36" r:id="rId17"/>
    <sheet name="BKI032210033753" sheetId="37" r:id="rId18"/>
    <sheet name="BKI032210033761" sheetId="38" r:id="rId19"/>
    <sheet name="BKI032210033779" sheetId="39" r:id="rId20"/>
    <sheet name="BKI032210033787" sheetId="40" r:id="rId21"/>
    <sheet name="BKI032210033795" sheetId="41" r:id="rId22"/>
    <sheet name="BKI032210033803" sheetId="42" r:id="rId23"/>
    <sheet name="BKI032210033811" sheetId="43" r:id="rId24"/>
    <sheet name="BKI032210033829" sheetId="44" r:id="rId25"/>
    <sheet name="BKI032210033837" sheetId="45" r:id="rId26"/>
    <sheet name="BKI032210033845" sheetId="46" r:id="rId27"/>
    <sheet name="BKI032210033852" sheetId="47" r:id="rId28"/>
    <sheet name="BKI032210033860" sheetId="48" r:id="rId29"/>
    <sheet name="BKI032210033878" sheetId="49" r:id="rId30"/>
  </sheets>
  <definedNames>
    <definedName name="_xlnm.Print_Titles" localSheetId="0">'019_Sicepat'!$2:$17</definedName>
    <definedName name="_xlnm.Print_Titles" localSheetId="1">BKI032210029835!$2:$2</definedName>
    <definedName name="_xlnm.Print_Titles" localSheetId="2">BKI032210030874!$2:$2</definedName>
    <definedName name="_xlnm.Print_Titles" localSheetId="6">BKI032210030882!$2:$2</definedName>
    <definedName name="_xlnm.Print_Titles" localSheetId="5">BKI032210030890!$2:$2</definedName>
    <definedName name="_xlnm.Print_Titles" localSheetId="8">BKI032210033688!$2:$2</definedName>
    <definedName name="_xlnm.Print_Titles" localSheetId="9">BKI032210033696!$2:$2</definedName>
    <definedName name="_xlnm.Print_Titles" localSheetId="10">BKI032210033704!$2:$2</definedName>
    <definedName name="_xlnm.Print_Titles" localSheetId="12">BKI032210033712!$2:$2</definedName>
    <definedName name="_xlnm.Print_Titles" localSheetId="14">BKI032210033720!$2:$2</definedName>
    <definedName name="_xlnm.Print_Titles" localSheetId="15">BKI032210033738!$2:$2</definedName>
    <definedName name="_xlnm.Print_Titles" localSheetId="16">BKI032210033746!$2:$2</definedName>
    <definedName name="_xlnm.Print_Titles" localSheetId="17">BKI032210033753!$2:$2</definedName>
    <definedName name="_xlnm.Print_Titles" localSheetId="18">BKI032210033761!$2:$2</definedName>
    <definedName name="_xlnm.Print_Titles" localSheetId="19">BKI032210033779!$2:$2</definedName>
    <definedName name="_xlnm.Print_Titles" localSheetId="20">BKI032210033787!$2:$2</definedName>
    <definedName name="_xlnm.Print_Titles" localSheetId="21">BKI032210033795!$2:$2</definedName>
    <definedName name="_xlnm.Print_Titles" localSheetId="22">BKI032210033803!$2:$2</definedName>
    <definedName name="_xlnm.Print_Titles" localSheetId="23">BKI032210033811!$2:$2</definedName>
    <definedName name="_xlnm.Print_Titles" localSheetId="24">BKI032210033829!$2:$2</definedName>
    <definedName name="_xlnm.Print_Titles" localSheetId="25">BKI032210033837!$2:$2</definedName>
    <definedName name="_xlnm.Print_Titles" localSheetId="26">BKI032210033845!$2:$2</definedName>
    <definedName name="_xlnm.Print_Titles" localSheetId="27">BKI032210033852!$2:$2</definedName>
    <definedName name="_xlnm.Print_Titles" localSheetId="28">BKI032210033860!$2:$2</definedName>
    <definedName name="_xlnm.Print_Titles" localSheetId="29">BKI032210033878!$2:$2</definedName>
    <definedName name="_xlnm.Print_Titles" localSheetId="4">BKI032210033886!$2:$2</definedName>
    <definedName name="_xlnm.Print_Titles" localSheetId="3">BKI032210033894!$2:$2</definedName>
    <definedName name="_xlnm.Print_Titles" localSheetId="7">BKI032210033902!$2:$2</definedName>
    <definedName name="_xlnm.Print_Titles" localSheetId="13">BKI032210033985!$2:$2</definedName>
    <definedName name="_xlnm.Print_Titles" localSheetId="11">BKI032210033993!$2:$2</definedName>
  </definedNames>
  <calcPr calcId="162913"/>
</workbook>
</file>

<file path=xl/calcChain.xml><?xml version="1.0" encoding="utf-8"?>
<calcChain xmlns="http://schemas.openxmlformats.org/spreadsheetml/2006/main">
  <c r="A21" i="2" l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M3" i="29"/>
  <c r="I52" i="2" l="1"/>
  <c r="I51" i="2"/>
  <c r="I53" i="2" s="1"/>
  <c r="L47" i="2"/>
  <c r="P4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4" i="12"/>
  <c r="P4" i="56"/>
  <c r="P5" i="56"/>
  <c r="P6" i="56"/>
  <c r="P7" i="56"/>
  <c r="P8" i="56"/>
  <c r="P9" i="56"/>
  <c r="P10" i="56"/>
  <c r="P11" i="56"/>
  <c r="P12" i="56"/>
  <c r="P13" i="56"/>
  <c r="P4" i="53"/>
  <c r="P5" i="53"/>
  <c r="P6" i="53"/>
  <c r="P7" i="53"/>
  <c r="P8" i="53"/>
  <c r="P9" i="53"/>
  <c r="P10" i="53"/>
  <c r="P11" i="53"/>
  <c r="P4" i="27"/>
  <c r="P5" i="27"/>
  <c r="P6" i="27"/>
  <c r="P7" i="27"/>
  <c r="P8" i="27"/>
  <c r="P9" i="27"/>
  <c r="P10" i="27"/>
  <c r="P11" i="27"/>
  <c r="P12" i="27"/>
  <c r="P13" i="27"/>
  <c r="P14" i="27"/>
  <c r="P15" i="27"/>
  <c r="P16" i="27"/>
  <c r="P17" i="27"/>
  <c r="P18" i="27"/>
  <c r="P19" i="27"/>
  <c r="P3" i="29"/>
  <c r="P4" i="31"/>
  <c r="P5" i="31"/>
  <c r="P6" i="31"/>
  <c r="P7" i="31"/>
  <c r="P8" i="31"/>
  <c r="P9" i="31"/>
  <c r="P10" i="31"/>
  <c r="P11" i="31"/>
  <c r="P12" i="31"/>
  <c r="P13" i="31"/>
  <c r="P14" i="31"/>
  <c r="P15" i="31"/>
  <c r="P16" i="31"/>
  <c r="P17" i="31"/>
  <c r="P18" i="31"/>
  <c r="P19" i="31"/>
  <c r="P20" i="31"/>
  <c r="P21" i="31"/>
  <c r="P22" i="31"/>
  <c r="P23" i="31"/>
  <c r="P24" i="31"/>
  <c r="P25" i="31"/>
  <c r="P26" i="31"/>
  <c r="P27" i="31"/>
  <c r="P28" i="31"/>
  <c r="P29" i="31"/>
  <c r="P30" i="31"/>
  <c r="P31" i="31"/>
  <c r="P32" i="31"/>
  <c r="P33" i="31"/>
  <c r="P34" i="31"/>
  <c r="P4" i="32"/>
  <c r="P5" i="32"/>
  <c r="P6" i="32"/>
  <c r="P7" i="32"/>
  <c r="P8" i="32"/>
  <c r="P9" i="32"/>
  <c r="P10" i="32"/>
  <c r="P11" i="32"/>
  <c r="P12" i="32"/>
  <c r="P13" i="32"/>
  <c r="P14" i="32"/>
  <c r="P15" i="32"/>
  <c r="P16" i="32"/>
  <c r="P17" i="32"/>
  <c r="P4" i="52"/>
  <c r="P5" i="52"/>
  <c r="P6" i="52"/>
  <c r="P7" i="52"/>
  <c r="P8" i="52"/>
  <c r="P9" i="52"/>
  <c r="P10" i="52"/>
  <c r="P11" i="52"/>
  <c r="P12" i="52"/>
  <c r="P4" i="33"/>
  <c r="P5" i="33"/>
  <c r="P6" i="33"/>
  <c r="P7" i="33"/>
  <c r="P8" i="33"/>
  <c r="P9" i="33"/>
  <c r="P10" i="33"/>
  <c r="P11" i="33"/>
  <c r="P12" i="33"/>
  <c r="P13" i="33"/>
  <c r="P14" i="33"/>
  <c r="P4" i="55"/>
  <c r="P5" i="55"/>
  <c r="P6" i="55"/>
  <c r="P7" i="55"/>
  <c r="P8" i="55"/>
  <c r="P9" i="55"/>
  <c r="P10" i="55"/>
  <c r="P11" i="55"/>
  <c r="P12" i="55"/>
  <c r="P13" i="55"/>
  <c r="P14" i="55"/>
  <c r="P15" i="55"/>
  <c r="P16" i="55"/>
  <c r="P17" i="55"/>
  <c r="P18" i="55"/>
  <c r="P19" i="55"/>
  <c r="P20" i="55"/>
  <c r="P21" i="55"/>
  <c r="P22" i="55"/>
  <c r="P23" i="55"/>
  <c r="P24" i="55"/>
  <c r="P25" i="55"/>
  <c r="P26" i="55"/>
  <c r="P27" i="55"/>
  <c r="P28" i="55"/>
  <c r="P29" i="55"/>
  <c r="P30" i="55"/>
  <c r="P31" i="55"/>
  <c r="P32" i="55"/>
  <c r="P33" i="55"/>
  <c r="P34" i="55"/>
  <c r="P35" i="55"/>
  <c r="P36" i="55"/>
  <c r="P37" i="55"/>
  <c r="P4" i="35"/>
  <c r="P5" i="35"/>
  <c r="P6" i="35"/>
  <c r="P7" i="35"/>
  <c r="P8" i="35"/>
  <c r="P9" i="35"/>
  <c r="P10" i="35"/>
  <c r="P11" i="35"/>
  <c r="P12" i="35"/>
  <c r="P13" i="35"/>
  <c r="P14" i="35"/>
  <c r="P15" i="35"/>
  <c r="P16" i="35"/>
  <c r="P17" i="35"/>
  <c r="P18" i="35"/>
  <c r="P19" i="35"/>
  <c r="P20" i="35"/>
  <c r="P21" i="35"/>
  <c r="P22" i="35"/>
  <c r="P23" i="35"/>
  <c r="P24" i="35"/>
  <c r="P25" i="35"/>
  <c r="P26" i="35"/>
  <c r="P27" i="35"/>
  <c r="P28" i="35"/>
  <c r="P29" i="35"/>
  <c r="P30" i="35"/>
  <c r="P31" i="35"/>
  <c r="P4" i="36"/>
  <c r="P5" i="36"/>
  <c r="P6" i="36"/>
  <c r="P7" i="36"/>
  <c r="P8" i="36"/>
  <c r="P9" i="36"/>
  <c r="P10" i="36"/>
  <c r="P4" i="37"/>
  <c r="P5" i="37"/>
  <c r="P6" i="37"/>
  <c r="P7" i="37"/>
  <c r="P8" i="37"/>
  <c r="P9" i="37"/>
  <c r="P10" i="37"/>
  <c r="P11" i="37"/>
  <c r="P12" i="37"/>
  <c r="P13" i="37"/>
  <c r="P14" i="37"/>
  <c r="P15" i="37"/>
  <c r="P16" i="37"/>
  <c r="P17" i="37"/>
  <c r="P18" i="37"/>
  <c r="P19" i="37"/>
  <c r="P20" i="37"/>
  <c r="P21" i="37"/>
  <c r="P22" i="37"/>
  <c r="P23" i="37"/>
  <c r="P24" i="37"/>
  <c r="P25" i="37"/>
  <c r="P26" i="37"/>
  <c r="P27" i="37"/>
  <c r="P28" i="37"/>
  <c r="P29" i="37"/>
  <c r="P30" i="37"/>
  <c r="P31" i="37"/>
  <c r="P32" i="37"/>
  <c r="P33" i="37"/>
  <c r="P34" i="37"/>
  <c r="P35" i="37"/>
  <c r="P4" i="38"/>
  <c r="P5" i="38"/>
  <c r="P6" i="38"/>
  <c r="P7" i="38"/>
  <c r="P8" i="38"/>
  <c r="P9" i="38"/>
  <c r="P10" i="38"/>
  <c r="P11" i="38"/>
  <c r="P12" i="38"/>
  <c r="P13" i="38"/>
  <c r="P14" i="38"/>
  <c r="P15" i="38"/>
  <c r="P16" i="38"/>
  <c r="P17" i="38"/>
  <c r="P18" i="38"/>
  <c r="P19" i="38"/>
  <c r="P4" i="39"/>
  <c r="P5" i="39"/>
  <c r="P6" i="39"/>
  <c r="P7" i="39"/>
  <c r="P8" i="39"/>
  <c r="P9" i="39"/>
  <c r="P10" i="39"/>
  <c r="P11" i="39"/>
  <c r="P12" i="39"/>
  <c r="P13" i="39"/>
  <c r="P14" i="39"/>
  <c r="P15" i="39"/>
  <c r="P16" i="39"/>
  <c r="P17" i="39"/>
  <c r="P18" i="39"/>
  <c r="P19" i="39"/>
  <c r="P20" i="39"/>
  <c r="P21" i="39"/>
  <c r="P22" i="39"/>
  <c r="P23" i="39"/>
  <c r="P24" i="39"/>
  <c r="P25" i="39"/>
  <c r="P26" i="39"/>
  <c r="P27" i="39"/>
  <c r="P28" i="39"/>
  <c r="P29" i="39"/>
  <c r="P30" i="39"/>
  <c r="P31" i="39"/>
  <c r="P32" i="39"/>
  <c r="P33" i="39"/>
  <c r="P34" i="39"/>
  <c r="P35" i="39"/>
  <c r="P36" i="39"/>
  <c r="P37" i="39"/>
  <c r="P38" i="39"/>
  <c r="P39" i="39"/>
  <c r="P40" i="39"/>
  <c r="P41" i="39"/>
  <c r="P42" i="39"/>
  <c r="P43" i="39"/>
  <c r="P44" i="39"/>
  <c r="P45" i="39"/>
  <c r="P46" i="39"/>
  <c r="P47" i="39"/>
  <c r="P4" i="40"/>
  <c r="P5" i="40"/>
  <c r="P6" i="40"/>
  <c r="P7" i="40"/>
  <c r="P8" i="40"/>
  <c r="P9" i="40"/>
  <c r="P10" i="40"/>
  <c r="P11" i="40"/>
  <c r="P12" i="40"/>
  <c r="P13" i="40"/>
  <c r="P14" i="40"/>
  <c r="P15" i="40"/>
  <c r="P16" i="40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4" i="42"/>
  <c r="P5" i="42"/>
  <c r="P6" i="42"/>
  <c r="P7" i="42"/>
  <c r="P8" i="42"/>
  <c r="P9" i="42"/>
  <c r="P10" i="42"/>
  <c r="P11" i="42"/>
  <c r="P12" i="42"/>
  <c r="P13" i="42"/>
  <c r="P4" i="43"/>
  <c r="P5" i="43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4" i="45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4" i="46"/>
  <c r="P5" i="46"/>
  <c r="P6" i="46"/>
  <c r="P7" i="46"/>
  <c r="P8" i="46"/>
  <c r="P9" i="46"/>
  <c r="P10" i="46"/>
  <c r="P11" i="46"/>
  <c r="P12" i="46"/>
  <c r="P13" i="46"/>
  <c r="P14" i="46"/>
  <c r="P15" i="46"/>
  <c r="P16" i="46"/>
  <c r="P4" i="47"/>
  <c r="P5" i="47"/>
  <c r="P6" i="47"/>
  <c r="P7" i="47"/>
  <c r="P8" i="47"/>
  <c r="P18" i="48"/>
  <c r="P17" i="48"/>
  <c r="P16" i="48"/>
  <c r="P15" i="48"/>
  <c r="P14" i="48"/>
  <c r="P13" i="48"/>
  <c r="P12" i="48"/>
  <c r="P11" i="48"/>
  <c r="P10" i="48"/>
  <c r="P9" i="48"/>
  <c r="P8" i="48"/>
  <c r="P7" i="48"/>
  <c r="P6" i="48"/>
  <c r="P5" i="48"/>
  <c r="P4" i="48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6" i="34"/>
  <c r="P3" i="52"/>
  <c r="P6" i="30"/>
  <c r="P9" i="28"/>
  <c r="P7" i="28"/>
  <c r="P8" i="28" s="1"/>
  <c r="P10" i="28" s="1"/>
  <c r="P9" i="34" l="1"/>
  <c r="P7" i="34"/>
  <c r="P8" i="34"/>
  <c r="P7" i="30"/>
  <c r="P9" i="30" s="1"/>
  <c r="P8" i="30"/>
  <c r="G46" i="2" l="1"/>
  <c r="G45" i="2"/>
  <c r="J45" i="2" s="1"/>
  <c r="G44" i="2"/>
  <c r="J44" i="2" s="1"/>
  <c r="G43" i="2"/>
  <c r="J43" i="2" s="1"/>
  <c r="G42" i="2"/>
  <c r="G41" i="2"/>
  <c r="G40" i="2"/>
  <c r="G39" i="2"/>
  <c r="G38" i="2"/>
  <c r="G37" i="2"/>
  <c r="G36" i="2" l="1"/>
  <c r="G35" i="2"/>
  <c r="G34" i="2"/>
  <c r="G33" i="2"/>
  <c r="G32" i="2"/>
  <c r="G31" i="2"/>
  <c r="G30" i="2"/>
  <c r="G28" i="2"/>
  <c r="G27" i="2"/>
  <c r="G26" i="2"/>
  <c r="G25" i="2"/>
  <c r="G24" i="2"/>
  <c r="G23" i="2"/>
  <c r="G22" i="2"/>
  <c r="G21" i="2"/>
  <c r="G20" i="2"/>
  <c r="G19" i="2"/>
  <c r="G18" i="2"/>
  <c r="N14" i="56" l="1"/>
  <c r="M14" i="56"/>
  <c r="P3" i="56"/>
  <c r="N38" i="55"/>
  <c r="M38" i="55"/>
  <c r="P3" i="55"/>
  <c r="O14" i="56" l="1"/>
  <c r="P16" i="56" s="1"/>
  <c r="O38" i="55"/>
  <c r="P40" i="55" s="1"/>
  <c r="P17" i="56" l="1"/>
  <c r="P18" i="56"/>
  <c r="P42" i="55"/>
  <c r="P41" i="55"/>
  <c r="N12" i="53"/>
  <c r="M12" i="53"/>
  <c r="P3" i="53"/>
  <c r="O13" i="52"/>
  <c r="P15" i="52" s="1"/>
  <c r="N13" i="52"/>
  <c r="M13" i="52"/>
  <c r="N34" i="49"/>
  <c r="M34" i="49"/>
  <c r="P3" i="49"/>
  <c r="N19" i="48"/>
  <c r="M19" i="48"/>
  <c r="P3" i="48"/>
  <c r="N31" i="44"/>
  <c r="N9" i="47"/>
  <c r="M9" i="47"/>
  <c r="P3" i="47"/>
  <c r="N17" i="46"/>
  <c r="M17" i="46"/>
  <c r="P3" i="46"/>
  <c r="N19" i="45"/>
  <c r="M19" i="45"/>
  <c r="P3" i="45"/>
  <c r="M31" i="44"/>
  <c r="P3" i="44"/>
  <c r="N20" i="43"/>
  <c r="M20" i="43"/>
  <c r="P3" i="43"/>
  <c r="P19" i="56" l="1"/>
  <c r="P43" i="55"/>
  <c r="P16" i="52"/>
  <c r="P17" i="52"/>
  <c r="O12" i="53"/>
  <c r="P14" i="53" s="1"/>
  <c r="O34" i="49"/>
  <c r="P36" i="49" s="1"/>
  <c r="O19" i="48"/>
  <c r="P21" i="48" s="1"/>
  <c r="O9" i="47"/>
  <c r="P11" i="47" s="1"/>
  <c r="O17" i="46"/>
  <c r="P19" i="46" s="1"/>
  <c r="O19" i="45"/>
  <c r="P21" i="45" s="1"/>
  <c r="O31" i="44"/>
  <c r="P33" i="44" s="1"/>
  <c r="O20" i="43"/>
  <c r="P22" i="43" s="1"/>
  <c r="P15" i="53" l="1"/>
  <c r="P17" i="53" s="1"/>
  <c r="P16" i="53"/>
  <c r="P23" i="43"/>
  <c r="P24" i="43"/>
  <c r="P34" i="44"/>
  <c r="P35" i="44"/>
  <c r="P22" i="45"/>
  <c r="P23" i="45"/>
  <c r="P20" i="46"/>
  <c r="P22" i="46" s="1"/>
  <c r="P21" i="46"/>
  <c r="P12" i="47"/>
  <c r="P13" i="47"/>
  <c r="P22" i="48"/>
  <c r="P24" i="48" s="1"/>
  <c r="P23" i="48"/>
  <c r="P37" i="49"/>
  <c r="P38" i="49"/>
  <c r="P18" i="52"/>
  <c r="N14" i="42"/>
  <c r="M14" i="42"/>
  <c r="P3" i="42"/>
  <c r="N50" i="41"/>
  <c r="M50" i="41"/>
  <c r="P3" i="41"/>
  <c r="N17" i="40"/>
  <c r="M17" i="40"/>
  <c r="P3" i="40"/>
  <c r="N48" i="39"/>
  <c r="M48" i="39"/>
  <c r="P3" i="39"/>
  <c r="N20" i="38"/>
  <c r="M20" i="38"/>
  <c r="P3" i="38"/>
  <c r="P25" i="43" l="1"/>
  <c r="P36" i="44"/>
  <c r="P24" i="45"/>
  <c r="P14" i="47"/>
  <c r="P39" i="49"/>
  <c r="O14" i="42"/>
  <c r="P16" i="42" s="1"/>
  <c r="O50" i="41"/>
  <c r="P52" i="41" s="1"/>
  <c r="O17" i="40"/>
  <c r="P19" i="40" s="1"/>
  <c r="O48" i="39"/>
  <c r="P50" i="39" s="1"/>
  <c r="O20" i="38"/>
  <c r="P22" i="38" s="1"/>
  <c r="P3" i="30"/>
  <c r="P24" i="38" l="1"/>
  <c r="P23" i="38"/>
  <c r="P52" i="39"/>
  <c r="P51" i="39"/>
  <c r="P53" i="39" s="1"/>
  <c r="P21" i="40"/>
  <c r="P20" i="40"/>
  <c r="P22" i="40" s="1"/>
  <c r="P54" i="41"/>
  <c r="P53" i="41"/>
  <c r="P55" i="41" s="1"/>
  <c r="P17" i="42"/>
  <c r="P18" i="42"/>
  <c r="N36" i="37"/>
  <c r="M36" i="37"/>
  <c r="P3" i="37"/>
  <c r="N11" i="36"/>
  <c r="M11" i="36"/>
  <c r="P3" i="36"/>
  <c r="N32" i="35"/>
  <c r="M32" i="35"/>
  <c r="P3" i="35"/>
  <c r="N4" i="34"/>
  <c r="M4" i="34"/>
  <c r="P3" i="34"/>
  <c r="O4" i="34" s="1"/>
  <c r="N15" i="33"/>
  <c r="G29" i="2" s="1"/>
  <c r="J29" i="2" s="1"/>
  <c r="M15" i="33"/>
  <c r="P3" i="33"/>
  <c r="N18" i="32"/>
  <c r="M18" i="32"/>
  <c r="P3" i="32"/>
  <c r="N35" i="31"/>
  <c r="M35" i="31"/>
  <c r="P3" i="31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N4" i="30"/>
  <c r="M4" i="30"/>
  <c r="O4" i="30"/>
  <c r="N4" i="29"/>
  <c r="M4" i="29"/>
  <c r="O4" i="29"/>
  <c r="P6" i="29" s="1"/>
  <c r="N5" i="28"/>
  <c r="M5" i="28"/>
  <c r="P4" i="28"/>
  <c r="P3" i="28"/>
  <c r="N20" i="27"/>
  <c r="M20" i="27"/>
  <c r="P3" i="27"/>
  <c r="N19" i="26"/>
  <c r="M19" i="26"/>
  <c r="P3" i="26"/>
  <c r="P8" i="29" l="1"/>
  <c r="P9" i="29" s="1"/>
  <c r="P7" i="29"/>
  <c r="P25" i="38"/>
  <c r="P19" i="42"/>
  <c r="O36" i="37"/>
  <c r="P38" i="37" s="1"/>
  <c r="O11" i="36"/>
  <c r="P13" i="36" s="1"/>
  <c r="O32" i="35"/>
  <c r="P34" i="35" s="1"/>
  <c r="O15" i="33"/>
  <c r="P17" i="33" s="1"/>
  <c r="O18" i="32"/>
  <c r="P20" i="32" s="1"/>
  <c r="O35" i="31"/>
  <c r="P37" i="31" s="1"/>
  <c r="O5" i="28"/>
  <c r="O20" i="27"/>
  <c r="P22" i="27" s="1"/>
  <c r="O19" i="26"/>
  <c r="P21" i="26" s="1"/>
  <c r="P3" i="12"/>
  <c r="J46" i="2"/>
  <c r="J28" i="2"/>
  <c r="J27" i="2"/>
  <c r="J26" i="2"/>
  <c r="J25" i="2"/>
  <c r="P22" i="26" l="1"/>
  <c r="P23" i="26"/>
  <c r="P23" i="27"/>
  <c r="P24" i="27"/>
  <c r="P39" i="31"/>
  <c r="P38" i="31"/>
  <c r="P40" i="31" s="1"/>
  <c r="P22" i="32"/>
  <c r="P21" i="32"/>
  <c r="P23" i="32" s="1"/>
  <c r="P19" i="33"/>
  <c r="P18" i="33"/>
  <c r="P20" i="33" s="1"/>
  <c r="P35" i="35"/>
  <c r="P36" i="35"/>
  <c r="P14" i="36"/>
  <c r="P15" i="36"/>
  <c r="P39" i="37"/>
  <c r="P40" i="37"/>
  <c r="O5" i="12"/>
  <c r="J24" i="2"/>
  <c r="P24" i="26" l="1"/>
  <c r="P7" i="12"/>
  <c r="P25" i="27"/>
  <c r="P37" i="35"/>
  <c r="P16" i="36"/>
  <c r="P41" i="37"/>
  <c r="A19" i="2"/>
  <c r="A20" i="2" s="1"/>
  <c r="J23" i="2"/>
  <c r="J21" i="2"/>
  <c r="J22" i="2"/>
  <c r="J20" i="2"/>
  <c r="J19" i="2"/>
  <c r="P8" i="12" l="1"/>
  <c r="P10" i="12" s="1"/>
  <c r="P9" i="12"/>
  <c r="M5" i="12"/>
  <c r="N5" i="12" l="1"/>
  <c r="I64" i="2" l="1"/>
  <c r="J18" i="2"/>
  <c r="J47" i="2" l="1"/>
  <c r="J50" i="2" s="1"/>
  <c r="J52" i="2" l="1"/>
  <c r="J51" i="2"/>
  <c r="J53" i="2" s="1"/>
</calcChain>
</file>

<file path=xl/sharedStrings.xml><?xml version="1.0" encoding="utf-8"?>
<sst xmlns="http://schemas.openxmlformats.org/spreadsheetml/2006/main" count="2891" uniqueCount="656">
  <si>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</si>
  <si>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</si>
  <si>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</si>
  <si>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</si>
  <si>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</si>
  <si>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</si>
  <si>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</si>
  <si>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</si>
  <si>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</si>
  <si>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</si>
  <si>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</si>
  <si>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</si>
  <si>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</si>
  <si>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</si>
  <si>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</si>
  <si>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</si>
  <si>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</si>
  <si>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</si>
  <si>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</si>
  <si>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</si>
  <si>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</si>
  <si>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</si>
  <si>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</si>
  <si>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</si>
  <si>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</si>
  <si>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</si>
  <si>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</si>
  <si>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</si>
  <si>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</si>
  <si>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</si>
  <si>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</si>
  <si>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</si>
  <si>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</si>
  <si>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</si>
  <si>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</si>
  <si>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</si>
  <si>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</si>
  <si>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</si>
  <si>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</si>
  <si>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</si>
  <si>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</si>
  <si>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</si>
  <si>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</si>
  <si>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</si>
  <si>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</si>
  <si>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</si>
  <si>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</si>
  <si>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</si>
  <si>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</si>
  <si>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DMP BTH (BATAM)</t>
  </si>
  <si>
    <t>KMP SURYA</t>
  </si>
  <si>
    <t>Invoice Performa</t>
  </si>
  <si>
    <t>BATAM</t>
  </si>
  <si>
    <t>Periode</t>
  </si>
  <si>
    <t>DMD/2108/17/EXFT1657</t>
  </si>
  <si>
    <t>GSK210817RQU853</t>
  </si>
  <si>
    <t>GSK210817UHS127</t>
  </si>
  <si>
    <t>GSK210817IBJ897</t>
  </si>
  <si>
    <t>GSK210817OHP018</t>
  </si>
  <si>
    <t>GSK210817UAD715</t>
  </si>
  <si>
    <t>GSK210817XEC328</t>
  </si>
  <si>
    <t>GSK210817EVW653</t>
  </si>
  <si>
    <t>GSK210817MJR952</t>
  </si>
  <si>
    <t>GSK210817CMR961</t>
  </si>
  <si>
    <t>GSK210817KOF627</t>
  </si>
  <si>
    <t>GSK210817CVP601</t>
  </si>
  <si>
    <t>DMD/2108/17HNSM0173</t>
  </si>
  <si>
    <t>GSK210817EDV693</t>
  </si>
  <si>
    <t>GSK210817EIO679</t>
  </si>
  <si>
    <t>GSK210817XMU367</t>
  </si>
  <si>
    <t>GSK210817QSN923</t>
  </si>
  <si>
    <t>GSK210817QAL860</t>
  </si>
  <si>
    <t>KM SEMBILANG</t>
  </si>
  <si>
    <t>25/08/2021 POD by Afrizal</t>
  </si>
  <si>
    <t>BKI032210029835</t>
  </si>
  <si>
    <t>DMD/2108/18/BKEP2157</t>
  </si>
  <si>
    <t>GSK210818KJA192</t>
  </si>
  <si>
    <t>GSK210818UJQ549</t>
  </si>
  <si>
    <t>25/8/2021 POD by Afrizal</t>
  </si>
  <si>
    <t>BKI032210030874</t>
  </si>
  <si>
    <t>DMD/2108/19/HMUA3657</t>
  </si>
  <si>
    <t>GSK210819WBO139</t>
  </si>
  <si>
    <t>GSK210819EBZ692</t>
  </si>
  <si>
    <t>GSK210819NOQ930</t>
  </si>
  <si>
    <t>GSK210818FKA394</t>
  </si>
  <si>
    <t>GSK210819FGQ850</t>
  </si>
  <si>
    <t>GSK210818KLM528</t>
  </si>
  <si>
    <t>GSK210819RTX295</t>
  </si>
  <si>
    <t>GSK210819MGZ629</t>
  </si>
  <si>
    <t>GSK210819UNO086</t>
  </si>
  <si>
    <t>GSK210819SOH741</t>
  </si>
  <si>
    <t>GSK210819URN749</t>
  </si>
  <si>
    <t>GSK210819MKS790</t>
  </si>
  <si>
    <t>GSK210817MUQ368</t>
  </si>
  <si>
    <t>GSK210817ZHR304</t>
  </si>
  <si>
    <t>GSK210818RYA164</t>
  </si>
  <si>
    <t>GSK210817WJL280</t>
  </si>
  <si>
    <t>GSK210819PQR560</t>
  </si>
  <si>
    <t>KMP SATRIA 77</t>
  </si>
  <si>
    <t>27/08/2021 POD by Afrizal</t>
  </si>
  <si>
    <t>BKI032210030890</t>
  </si>
  <si>
    <t>DMD/2108/19/AOHS4756</t>
  </si>
  <si>
    <t>GSK210819YDA387</t>
  </si>
  <si>
    <t>GSK210819GTE532</t>
  </si>
  <si>
    <t>BKI032210030882</t>
  </si>
  <si>
    <t>DMD/2108/20/IQJW3612</t>
  </si>
  <si>
    <t>GSK210820AKV539</t>
  </si>
  <si>
    <t>DMD/2108/20/JPRW9753</t>
  </si>
  <si>
    <t>GSK210819JFP346</t>
  </si>
  <si>
    <t>DMD/2108/20/PMJR8601</t>
  </si>
  <si>
    <t>GSK210820EFL503</t>
  </si>
  <si>
    <t>GSK210820MTU304</t>
  </si>
  <si>
    <t>GSK210820PYI573</t>
  </si>
  <si>
    <t>GSK210820ZMC375</t>
  </si>
  <si>
    <t>GSK210819RMD162</t>
  </si>
  <si>
    <t>GSK210820MIL731</t>
  </si>
  <si>
    <t>GSK210820SJQ341</t>
  </si>
  <si>
    <t>GSK210820OKS621</t>
  </si>
  <si>
    <t>GSK210820MGJ829</t>
  </si>
  <si>
    <t>GSK210820NAJ396</t>
  </si>
  <si>
    <t>GSK210820SLT917</t>
  </si>
  <si>
    <t>GSK210820ZBV379</t>
  </si>
  <si>
    <t>GSK210819OZV043</t>
  </si>
  <si>
    <t>GSK210820GYU790</t>
  </si>
  <si>
    <t>GSK210820BSQ095</t>
  </si>
  <si>
    <t>GSK210819GIO768</t>
  </si>
  <si>
    <t>GSK210820WFM926</t>
  </si>
  <si>
    <t>GSK210820BSF675</t>
  </si>
  <si>
    <t>GSK210820CLO790</t>
  </si>
  <si>
    <t>GSK210820AYF187</t>
  </si>
  <si>
    <t>GSK210820IQR617</t>
  </si>
  <si>
    <t>GSK210820DPU250</t>
  </si>
  <si>
    <t>GSK210820IAN048</t>
  </si>
  <si>
    <t>GSK210820UFA829</t>
  </si>
  <si>
    <t>GSK210820EMQ548</t>
  </si>
  <si>
    <t>GSK210820ALW426</t>
  </si>
  <si>
    <t>GSK210820LBX480</t>
  </si>
  <si>
    <t>GSK210820MFE812</t>
  </si>
  <si>
    <t>GSK210820GAK438</t>
  </si>
  <si>
    <t>GSK210820WOE921</t>
  </si>
  <si>
    <t>GSK210820ICZ749</t>
  </si>
  <si>
    <t>GSK210820UFM614</t>
  </si>
  <si>
    <t>DMD/2108/20/KIDZ3701</t>
  </si>
  <si>
    <t>GSK210820JOE614</t>
  </si>
  <si>
    <t>GSK210820TXH952</t>
  </si>
  <si>
    <t>GSK210820ZLT316</t>
  </si>
  <si>
    <t>GSK210820OMT541</t>
  </si>
  <si>
    <t>GSK210820MXR052</t>
  </si>
  <si>
    <t>GSK210820XMU523</t>
  </si>
  <si>
    <t>GSK210820OAS465</t>
  </si>
  <si>
    <t>GSK210820IPW648</t>
  </si>
  <si>
    <t>DMD/2108/20/CUSZ7923</t>
  </si>
  <si>
    <t>GSK210820ZVE450</t>
  </si>
  <si>
    <t>GSK210820NSO980</t>
  </si>
  <si>
    <t>GSK210819GQY125</t>
  </si>
  <si>
    <t>GSK210819FUX403</t>
  </si>
  <si>
    <t>GSK210819ATM976</t>
  </si>
  <si>
    <t>GSK210819QJB185</t>
  </si>
  <si>
    <t>GSK210819AVS937</t>
  </si>
  <si>
    <t>DMD/2108/21/TWFN2197</t>
  </si>
  <si>
    <t>GSK210821UPT589</t>
  </si>
  <si>
    <t>GSK210821BJH413</t>
  </si>
  <si>
    <t>GSK210821IVD618</t>
  </si>
  <si>
    <t>GSK210821YTV507</t>
  </si>
  <si>
    <t>GSK210821JQR581</t>
  </si>
  <si>
    <t>GSK210821LJV098</t>
  </si>
  <si>
    <t>GSK210821MSO076</t>
  </si>
  <si>
    <t>GSK210821UTN136</t>
  </si>
  <si>
    <t>GSK210821BDN560</t>
  </si>
  <si>
    <t>GSK210821CRQ520</t>
  </si>
  <si>
    <t>GSK210821YDR254</t>
  </si>
  <si>
    <t>GSK210821CKH943</t>
  </si>
  <si>
    <t>30/08/2021 POD by Restu</t>
  </si>
  <si>
    <t>DMD/2108/22/WTVB3069</t>
  </si>
  <si>
    <t>GSK210821XLA057</t>
  </si>
  <si>
    <t>DMD/2108/22/VOAU0516</t>
  </si>
  <si>
    <t>GSK210822EMZ726</t>
  </si>
  <si>
    <t>GSK210822XLB851</t>
  </si>
  <si>
    <t>GSK210822NAK021</t>
  </si>
  <si>
    <t>GSK210822WCO819</t>
  </si>
  <si>
    <t>GSK210822XSZ826</t>
  </si>
  <si>
    <t>GSK210822BKS531</t>
  </si>
  <si>
    <t>GSK210822TFM648</t>
  </si>
  <si>
    <t>GSK210822EFK028</t>
  </si>
  <si>
    <t>GSK210822AQN263</t>
  </si>
  <si>
    <t>GSK210822FZA694</t>
  </si>
  <si>
    <t>GSK210822QUG962</t>
  </si>
  <si>
    <t>GSK210822LHZ471</t>
  </si>
  <si>
    <t>GSK210822OKW716</t>
  </si>
  <si>
    <t>GSK210822YZI562</t>
  </si>
  <si>
    <t>GSK210822KQA362</t>
  </si>
  <si>
    <t>GSK210822AIF720</t>
  </si>
  <si>
    <t>GSK210822VNB479</t>
  </si>
  <si>
    <t>GSK210822IBE291</t>
  </si>
  <si>
    <t>GSK210822KAS984</t>
  </si>
  <si>
    <t>GSK210822ABR328</t>
  </si>
  <si>
    <t>GSK210822IOA613</t>
  </si>
  <si>
    <t>GSK210822CJW601</t>
  </si>
  <si>
    <t>GSK210822PEG607</t>
  </si>
  <si>
    <t>GSK210822QGN083</t>
  </si>
  <si>
    <t>GSK210822ENV162</t>
  </si>
  <si>
    <t>GSK210822ZML412</t>
  </si>
  <si>
    <t>GSK210822CRH189</t>
  </si>
  <si>
    <t>GSK210822YMV195</t>
  </si>
  <si>
    <t>GSK210822MFO291</t>
  </si>
  <si>
    <t>DMD/2108/23/SEQL7243</t>
  </si>
  <si>
    <t>GSK210823XHN964</t>
  </si>
  <si>
    <t>GSK210823XBC871</t>
  </si>
  <si>
    <t>GSK210823XWQ062</t>
  </si>
  <si>
    <t>GSK210822KON804</t>
  </si>
  <si>
    <t>GSK210822RVW295</t>
  </si>
  <si>
    <t>GSK210822PWZ504</t>
  </si>
  <si>
    <t>GSK210823SCL329</t>
  </si>
  <si>
    <t>GSK210823XLJ851</t>
  </si>
  <si>
    <t xml:space="preserve">KMP SURYA </t>
  </si>
  <si>
    <t>28/08/2021 POD by Restu</t>
  </si>
  <si>
    <t>DMD/2108/24/FMGL4072</t>
  </si>
  <si>
    <t>GSK210824HZE940</t>
  </si>
  <si>
    <t>GSK210824LSD254</t>
  </si>
  <si>
    <t>DMD/2108/24/WTCA8297</t>
  </si>
  <si>
    <t>GSK210824QNG453</t>
  </si>
  <si>
    <t>GSK210823RJK514</t>
  </si>
  <si>
    <t>GSK210823RSD139</t>
  </si>
  <si>
    <t>GSK210824CYR019</t>
  </si>
  <si>
    <t>GSK210823IQH681</t>
  </si>
  <si>
    <t>GSK210823BWX018</t>
  </si>
  <si>
    <t>GSK210823MTW458</t>
  </si>
  <si>
    <t>DMD/2108/24/NXGD5894</t>
  </si>
  <si>
    <t>GSK210824JAH245</t>
  </si>
  <si>
    <t>GSK210824KEA725</t>
  </si>
  <si>
    <t>GSK210824OWG208</t>
  </si>
  <si>
    <t>GSK210824GBZ490</t>
  </si>
  <si>
    <t>GSK210824MHS457</t>
  </si>
  <si>
    <t>GSK210824HUZ876</t>
  </si>
  <si>
    <t>GSK210824ELA902</t>
  </si>
  <si>
    <t>GSK210824RQG814</t>
  </si>
  <si>
    <t>GSK210824SWM794</t>
  </si>
  <si>
    <t>GSK210824RJU294</t>
  </si>
  <si>
    <t>DMD/2108/24/BHIO4215</t>
  </si>
  <si>
    <t>GSK210824PBR876</t>
  </si>
  <si>
    <t>GSK210824SDA694</t>
  </si>
  <si>
    <t>GSK210824FRQ139</t>
  </si>
  <si>
    <t>GSK210824SZK164</t>
  </si>
  <si>
    <t>GSK210824JLX291</t>
  </si>
  <si>
    <t>GSK210824PDY976</t>
  </si>
  <si>
    <t>GSK210824IXK254</t>
  </si>
  <si>
    <t>GSK210824MRJ452</t>
  </si>
  <si>
    <t>GSK210824GUC417</t>
  </si>
  <si>
    <t>GSK210824ULK637</t>
  </si>
  <si>
    <t>GSK210824GCB681</t>
  </si>
  <si>
    <t>GSK210824AXL723</t>
  </si>
  <si>
    <t>GSK210824LHU958</t>
  </si>
  <si>
    <t>GSK210824GUN069</t>
  </si>
  <si>
    <t>KMP SATRIA PRATAMA</t>
  </si>
  <si>
    <t>DMD/2108/25/QPCI1259</t>
  </si>
  <si>
    <t>GSK210825ANL024</t>
  </si>
  <si>
    <t>GSK210825YQC471</t>
  </si>
  <si>
    <t>GSK210825VCO754</t>
  </si>
  <si>
    <t>DMD/2108/25/CDMT3476</t>
  </si>
  <si>
    <t>GSK210825JGV521</t>
  </si>
  <si>
    <t>GSK210825ALS986</t>
  </si>
  <si>
    <t>GSK210825YLV589</t>
  </si>
  <si>
    <t>GSK210825ELZ281</t>
  </si>
  <si>
    <t>GSK210825THY629</t>
  </si>
  <si>
    <t>GSK210825EOG125</t>
  </si>
  <si>
    <t>GSK210825SQJ983</t>
  </si>
  <si>
    <t>GSK210825SMG084</t>
  </si>
  <si>
    <t>GSK210825VFR029</t>
  </si>
  <si>
    <t>GSK210825PCN693</t>
  </si>
  <si>
    <t>GSK210825NTY046</t>
  </si>
  <si>
    <t>DMD/2108/25/AJZH1042</t>
  </si>
  <si>
    <t>GSK210825SAW450</t>
  </si>
  <si>
    <t>GSK210825CZN089</t>
  </si>
  <si>
    <t>GSK210825NJX960</t>
  </si>
  <si>
    <t>DMD/2108/26/DTQY6924</t>
  </si>
  <si>
    <t>GSK210826XZT462</t>
  </si>
  <si>
    <t>GSK210826BJE436</t>
  </si>
  <si>
    <t>GSK210825SRM139</t>
  </si>
  <si>
    <t>GSK210825LEK702</t>
  </si>
  <si>
    <t>DMD/2108/26/EXUN5681</t>
  </si>
  <si>
    <t>GSK210826PJA519</t>
  </si>
  <si>
    <t>GSK210826FHQ709</t>
  </si>
  <si>
    <t>GSK210825NDY803</t>
  </si>
  <si>
    <t>GSK210826MDE907</t>
  </si>
  <si>
    <t>GSK210826RLI357</t>
  </si>
  <si>
    <t>GSK210826GAK852</t>
  </si>
  <si>
    <t>GSK210824YUF792</t>
  </si>
  <si>
    <t>GSK210826IRE068</t>
  </si>
  <si>
    <t>GSK210826MDO690</t>
  </si>
  <si>
    <t>GSK210826XBP596</t>
  </si>
  <si>
    <t>GSK210826JVR685</t>
  </si>
  <si>
    <t>GSK210826EUX351</t>
  </si>
  <si>
    <t>GSK210824BQT943</t>
  </si>
  <si>
    <t>GSK210826NBT870</t>
  </si>
  <si>
    <t>GSK210826SQF265</t>
  </si>
  <si>
    <t>GSK210824EBU796</t>
  </si>
  <si>
    <t>GSK210826NYQ576</t>
  </si>
  <si>
    <t>GSK210826TJE134</t>
  </si>
  <si>
    <t>GSK210826PHN783</t>
  </si>
  <si>
    <t>GSK210826RTZ531</t>
  </si>
  <si>
    <t>GSK210826DFM062</t>
  </si>
  <si>
    <t>GSK210826ANQ347</t>
  </si>
  <si>
    <t>GSK210826URL264</t>
  </si>
  <si>
    <t>GSK210826PBV310</t>
  </si>
  <si>
    <t>GSK210826OST520</t>
  </si>
  <si>
    <t>GSK210826YXV927</t>
  </si>
  <si>
    <t>GSK210824QNP924</t>
  </si>
  <si>
    <t>GSK210826AYT927</t>
  </si>
  <si>
    <t>GSK210826RIN291</t>
  </si>
  <si>
    <t>GSK210825PIA245</t>
  </si>
  <si>
    <t>GSK210826JWV094</t>
  </si>
  <si>
    <t>GSK210826FPQ350</t>
  </si>
  <si>
    <t>DMD/2108/26/ZQJK1346</t>
  </si>
  <si>
    <t>GSK210826UKQ392</t>
  </si>
  <si>
    <t>GSK210826WOI629</t>
  </si>
  <si>
    <t>GSK210826EVP346</t>
  </si>
  <si>
    <t>GSK210826JCM371</t>
  </si>
  <si>
    <t>GSK210826BRC584</t>
  </si>
  <si>
    <t>GSK210826BKT738</t>
  </si>
  <si>
    <t>GSK210826MDZ832</t>
  </si>
  <si>
    <t>GSK210826KWP495</t>
  </si>
  <si>
    <t>GSK210826VUW674</t>
  </si>
  <si>
    <t>30/08/2021 POD by RESTU</t>
  </si>
  <si>
    <t>DMD/2108/27/GZMQ9620</t>
  </si>
  <si>
    <t>GSK210827TNE045</t>
  </si>
  <si>
    <t>GSK210827KRN730</t>
  </si>
  <si>
    <t>DMD/2108/27/XNFB7612</t>
  </si>
  <si>
    <t>GSK210827ZGA490</t>
  </si>
  <si>
    <t>GSK210827JKB713</t>
  </si>
  <si>
    <t>GSK210827ZEP907</t>
  </si>
  <si>
    <t>GSK210827ORG813</t>
  </si>
  <si>
    <t>GSK210827VTI942</t>
  </si>
  <si>
    <t>GSK210827FTG481</t>
  </si>
  <si>
    <t>GSK210827TMP839</t>
  </si>
  <si>
    <t>GSK210827MJT751</t>
  </si>
  <si>
    <t>GSK210827FUL649</t>
  </si>
  <si>
    <t>GSK210827IYM981</t>
  </si>
  <si>
    <t>GSK210827RIY279</t>
  </si>
  <si>
    <t>GSK210827EQI721</t>
  </si>
  <si>
    <t>DMD/2108/27/XWDE4025</t>
  </si>
  <si>
    <t>GSK210826EHJ485</t>
  </si>
  <si>
    <t>DMD/2108/27/YDRT7483</t>
  </si>
  <si>
    <t>GSK210827KMQ382</t>
  </si>
  <si>
    <t>GSK210826ZNR106</t>
  </si>
  <si>
    <t>GSK210825JTI409</t>
  </si>
  <si>
    <t>GSK210827CYD386</t>
  </si>
  <si>
    <t>GSK210825KVB908</t>
  </si>
  <si>
    <t>GSK210826JVY467</t>
  </si>
  <si>
    <t>GSK210825SZD294</t>
  </si>
  <si>
    <t>GSK210826DXG428</t>
  </si>
  <si>
    <t>GSK210825UQZ938</t>
  </si>
  <si>
    <t>GSK210826BNG469</t>
  </si>
  <si>
    <t>DMD/2108/27/HEMP5967</t>
  </si>
  <si>
    <t>GSK210827GDZ463</t>
  </si>
  <si>
    <t>GSK210827RMZ295</t>
  </si>
  <si>
    <t>GSK210827OIR327</t>
  </si>
  <si>
    <t>GSK210827TOD912</t>
  </si>
  <si>
    <t>GSK210827EPS637</t>
  </si>
  <si>
    <t>GSK210827FYX379</t>
  </si>
  <si>
    <t>GSK210827IVJ357</t>
  </si>
  <si>
    <t>GSK210827FBW352</t>
  </si>
  <si>
    <t>GSK210827ESU562</t>
  </si>
  <si>
    <t>GSK210827CFW370</t>
  </si>
  <si>
    <t>GSK210827IYQ204</t>
  </si>
  <si>
    <t>GSK210827SFJ375</t>
  </si>
  <si>
    <t>GSK210827BZG391</t>
  </si>
  <si>
    <t>GSK210827BPR068</t>
  </si>
  <si>
    <t>GSK210827OWG708</t>
  </si>
  <si>
    <t>GSK210827TKS350</t>
  </si>
  <si>
    <t>GSK210827ICQ517</t>
  </si>
  <si>
    <t>GSK210827TBM798</t>
  </si>
  <si>
    <t>GSK210827DYC529</t>
  </si>
  <si>
    <t>GSK210827YJS098</t>
  </si>
  <si>
    <t>GSK210827HVO865</t>
  </si>
  <si>
    <t>GSK210827ADC061</t>
  </si>
  <si>
    <t>GSK210827QCU914</t>
  </si>
  <si>
    <t>GSK210827MLN027</t>
  </si>
  <si>
    <t>GSK210827UWY537</t>
  </si>
  <si>
    <t>GSK210827MST821</t>
  </si>
  <si>
    <t>GSK210827RSE976</t>
  </si>
  <si>
    <t>GSK210827MRI501</t>
  </si>
  <si>
    <t>GSK210827GSZ631</t>
  </si>
  <si>
    <t>GSK210827QJW935</t>
  </si>
  <si>
    <t>GSK210827NXQ783</t>
  </si>
  <si>
    <t>GSK210827DFN784</t>
  </si>
  <si>
    <t>GSK210827YTB819</t>
  </si>
  <si>
    <t>GSK210827RAL457</t>
  </si>
  <si>
    <t>GSK210827DOM629</t>
  </si>
  <si>
    <t>GSK210827HBY237</t>
  </si>
  <si>
    <t>KM SATRIA PRATAMA</t>
  </si>
  <si>
    <t>03/09/2021 POD by RESTU</t>
  </si>
  <si>
    <t>DMD/2108/27/VIWZ4835</t>
  </si>
  <si>
    <t>GSK210827DKS451</t>
  </si>
  <si>
    <t>GSK210827UPS657</t>
  </si>
  <si>
    <t>GSK210827GSV285</t>
  </si>
  <si>
    <t>GSK210827UAR245</t>
  </si>
  <si>
    <t>GSK210827ASJ803</t>
  </si>
  <si>
    <t>GSK210827WUE605</t>
  </si>
  <si>
    <t>GSK210827EQP598</t>
  </si>
  <si>
    <t>GSK210827BCK583</t>
  </si>
  <si>
    <t>GSK210827UNS954</t>
  </si>
  <si>
    <t>GSK210827BTE358</t>
  </si>
  <si>
    <t>GSK210827EYZ645</t>
  </si>
  <si>
    <t>DMD/2108/28/UWXR8935</t>
  </si>
  <si>
    <t>GSK210827IPS083</t>
  </si>
  <si>
    <t>DMD/2108/28/EFHP3405</t>
  </si>
  <si>
    <t>GSK210828NAJ932</t>
  </si>
  <si>
    <t>GSK210828YED231</t>
  </si>
  <si>
    <t>GSK210828WZI460</t>
  </si>
  <si>
    <t>GSK210828MBP972</t>
  </si>
  <si>
    <t>GSK210828QKJ278</t>
  </si>
  <si>
    <t>GSK210828LWY297</t>
  </si>
  <si>
    <t>GSK210827GIV209</t>
  </si>
  <si>
    <t>DMD/2108/28/ZENL4059</t>
  </si>
  <si>
    <t>GSK210828WIV189</t>
  </si>
  <si>
    <t>GSK210828RGI035</t>
  </si>
  <si>
    <t>GSK210828UYF013</t>
  </si>
  <si>
    <t>GSK210828ATL723</t>
  </si>
  <si>
    <t>GSK210828WXU926</t>
  </si>
  <si>
    <t>GSK210826AVH925</t>
  </si>
  <si>
    <t>GSK210828JEY703</t>
  </si>
  <si>
    <t>GSK210828BQD918</t>
  </si>
  <si>
    <t>GSK210828KOW879</t>
  </si>
  <si>
    <t>03/09/2021 POD by Restu</t>
  </si>
  <si>
    <t>DMD/2108/28/WIKX8156</t>
  </si>
  <si>
    <t>GSK210828BNQ547</t>
  </si>
  <si>
    <t>DMD/2108/28/COPM9628</t>
  </si>
  <si>
    <t>GSK210828KJP631</t>
  </si>
  <si>
    <t>GSK210828DMY078</t>
  </si>
  <si>
    <t>GSK210828SPF059</t>
  </si>
  <si>
    <t>GSK210828QKM752</t>
  </si>
  <si>
    <t>GSK210828RLO932</t>
  </si>
  <si>
    <t>GSK210828CNM689</t>
  </si>
  <si>
    <t>GSK210828BZN706</t>
  </si>
  <si>
    <t>GSK210828FON370</t>
  </si>
  <si>
    <t>GSK210828TFB469</t>
  </si>
  <si>
    <t>GSK210828NXJ104</t>
  </si>
  <si>
    <t>GSK210828TPB147</t>
  </si>
  <si>
    <t>GSK210828MUP471</t>
  </si>
  <si>
    <t>GSK210828DCF952</t>
  </si>
  <si>
    <t>GSK210828VKB258</t>
  </si>
  <si>
    <t>GSK210828FPL823</t>
  </si>
  <si>
    <t>GSK210828JOL520</t>
  </si>
  <si>
    <t>GSK210828KHC720</t>
  </si>
  <si>
    <t>GSK210828CVO946</t>
  </si>
  <si>
    <t>GSK210828PKH192</t>
  </si>
  <si>
    <t>GSK210828CXV126</t>
  </si>
  <si>
    <t>GSK210828LRX780</t>
  </si>
  <si>
    <t>GSK210828VZM541</t>
  </si>
  <si>
    <t>GSK210828UHT379</t>
  </si>
  <si>
    <t>GSK210828USE254</t>
  </si>
  <si>
    <t>GSK210828GLK236</t>
  </si>
  <si>
    <t>GSK210828HAP593</t>
  </si>
  <si>
    <t>GSK210828JPM683</t>
  </si>
  <si>
    <t>DMD/2108/29/BNUL3576</t>
  </si>
  <si>
    <t>GSK210829UOS523</t>
  </si>
  <si>
    <t>DMD/2108/29/OWIB3972</t>
  </si>
  <si>
    <t>GSK210828BJV475</t>
  </si>
  <si>
    <t>GSK210827FES420</t>
  </si>
  <si>
    <t>GSK210829BOE487</t>
  </si>
  <si>
    <t>GSK210828BGD578</t>
  </si>
  <si>
    <t>GSK210828QYC309</t>
  </si>
  <si>
    <t>GSK210827HAF205</t>
  </si>
  <si>
    <t>GSK210828IJT640</t>
  </si>
  <si>
    <t>GSK210827UXD852</t>
  </si>
  <si>
    <t>GSK210829KZQ234</t>
  </si>
  <si>
    <t>GSK210829XCA456</t>
  </si>
  <si>
    <t>GSK210828MAQ459</t>
  </si>
  <si>
    <t>GSK210828ECF751</t>
  </si>
  <si>
    <t>GSK210829VSB089</t>
  </si>
  <si>
    <t>GSK210829GYZ574</t>
  </si>
  <si>
    <t>GSK210829PWD349</t>
  </si>
  <si>
    <t>DMD/2108/29/HDNF3647</t>
  </si>
  <si>
    <t>GSK210829GXM382</t>
  </si>
  <si>
    <t>GSK210829HLW831</t>
  </si>
  <si>
    <t>GSK210829JWA217</t>
  </si>
  <si>
    <t>GSK210829LJX504</t>
  </si>
  <si>
    <t>GSK210829JNK479</t>
  </si>
  <si>
    <t>GSK210829IGY634</t>
  </si>
  <si>
    <t>GSK210829FHY089</t>
  </si>
  <si>
    <t>GSK210829MSU859</t>
  </si>
  <si>
    <t>GSK210829NIW491</t>
  </si>
  <si>
    <t>GSK210829RMQ076</t>
  </si>
  <si>
    <t>GSK210829KXZ584</t>
  </si>
  <si>
    <t>GSK210829HQN095</t>
  </si>
  <si>
    <t>GSK210829WSX421</t>
  </si>
  <si>
    <t>GSK210829MVJ089</t>
  </si>
  <si>
    <t>DMD/2108/30/HMUT0924</t>
  </si>
  <si>
    <t>GSK210830HNC308</t>
  </si>
  <si>
    <t>DMD/2108/30/MYSW6042</t>
  </si>
  <si>
    <t>GSK210830CYG514</t>
  </si>
  <si>
    <t>GSK210829RSM439</t>
  </si>
  <si>
    <t>GSK210829QFZ769</t>
  </si>
  <si>
    <t>GSK210830VAI495</t>
  </si>
  <si>
    <t>GSK210830BYD974</t>
  </si>
  <si>
    <t>DMD/2108/31/ASJT8230</t>
  </si>
  <si>
    <t>GSK210828XYF207</t>
  </si>
  <si>
    <t>DMD/2108/31/DIGK0762</t>
  </si>
  <si>
    <t>GSK210831OCL308</t>
  </si>
  <si>
    <t>GSK210831USH854</t>
  </si>
  <si>
    <t>GSK210829NKO725</t>
  </si>
  <si>
    <t>GSK210829HFU854</t>
  </si>
  <si>
    <t>GSK210830IJX810</t>
  </si>
  <si>
    <t>GSK210829OVN254</t>
  </si>
  <si>
    <t>GSK210829EYK781</t>
  </si>
  <si>
    <t>GSK210831TPW436</t>
  </si>
  <si>
    <t>GSK210831HKE706</t>
  </si>
  <si>
    <t>GSK210831JXS139</t>
  </si>
  <si>
    <t>GSK210831MHJ379</t>
  </si>
  <si>
    <t>GSK210831NAR615</t>
  </si>
  <si>
    <t>GSK210831VEH425</t>
  </si>
  <si>
    <t>GSK210831NMU174</t>
  </si>
  <si>
    <t>GSK210831KPO610</t>
  </si>
  <si>
    <t>DMD/2108/31/TBOK3468</t>
  </si>
  <si>
    <t>GSK210831DSJ392</t>
  </si>
  <si>
    <t>GSK210831KOX380</t>
  </si>
  <si>
    <t>GSK210831PZQ427</t>
  </si>
  <si>
    <t>DMD/2108/31/CPAK1493</t>
  </si>
  <si>
    <t>GSK210831KNB129</t>
  </si>
  <si>
    <t>GSK210831AZE764</t>
  </si>
  <si>
    <t>GSK210831RCK635</t>
  </si>
  <si>
    <t>GSK210831CDJ834</t>
  </si>
  <si>
    <t>GSK210831MNY534</t>
  </si>
  <si>
    <t>GSK210831OKT273</t>
  </si>
  <si>
    <t>GSK210831JZN315</t>
  </si>
  <si>
    <t>GSK210831MIF736</t>
  </si>
  <si>
    <t>GSK210831UDO927</t>
  </si>
  <si>
    <t>GSK210831JTG417</t>
  </si>
  <si>
    <t>GSK210831RKF936</t>
  </si>
  <si>
    <t>GSK210831ZJI530</t>
  </si>
  <si>
    <t>GSK210831PHX915</t>
  </si>
  <si>
    <t>GSK210831PCG536</t>
  </si>
  <si>
    <t>GSK210831TRI905</t>
  </si>
  <si>
    <t>GSK210831FPL039</t>
  </si>
  <si>
    <t>GSK210831FQB028</t>
  </si>
  <si>
    <t>GSK210831AXR761</t>
  </si>
  <si>
    <t>GSK210831IWG436</t>
  </si>
  <si>
    <t>GSK210831WFK657</t>
  </si>
  <si>
    <t>GSK210831SOT047</t>
  </si>
  <si>
    <t>GSK210831DQH263</t>
  </si>
  <si>
    <t>GSK210831MOK107</t>
  </si>
  <si>
    <t>GSK210831DQX357</t>
  </si>
  <si>
    <t>GSK210831KLQ739</t>
  </si>
  <si>
    <t>GSK210831CRL829</t>
  </si>
  <si>
    <t>GSK210831THW738</t>
  </si>
  <si>
    <t>GSK210831XIQ459</t>
  </si>
  <si>
    <t>04/09/2021 POD by Restu</t>
  </si>
  <si>
    <t>DMD/2108/20/PRYG1530</t>
  </si>
  <si>
    <t>GSK210820VGR674</t>
  </si>
  <si>
    <t>GSK210820FQX629</t>
  </si>
  <si>
    <t>GSK210820HUV386</t>
  </si>
  <si>
    <t>GSK210820EPB847</t>
  </si>
  <si>
    <t>DMD/2108/20/WVQO6875</t>
  </si>
  <si>
    <t>GSK210820BIW514</t>
  </si>
  <si>
    <t>GSK210820SKQ607</t>
  </si>
  <si>
    <t>GSK210820LQW327</t>
  </si>
  <si>
    <t>GSK210820ZFP014</t>
  </si>
  <si>
    <t>GSK210820QUR729</t>
  </si>
  <si>
    <t>GSK210820MBL835</t>
  </si>
  <si>
    <t>DMD/2108/18/RQPK0728</t>
  </si>
  <si>
    <t>GSK0817PLF510</t>
  </si>
  <si>
    <t>GSK210817XWC219</t>
  </si>
  <si>
    <t>GSK210817ZEP715</t>
  </si>
  <si>
    <t>GSK210817MLK087</t>
  </si>
  <si>
    <t>GSK210817LZT754</t>
  </si>
  <si>
    <t>GSK210817XWS784</t>
  </si>
  <si>
    <t>GSK210817YPH652</t>
  </si>
  <si>
    <t>GSK210817OUW124</t>
  </si>
  <si>
    <t>GSK210817YER058</t>
  </si>
  <si>
    <t>KM SATRIA</t>
  </si>
  <si>
    <t>22/08/2021 POD by Afrizal</t>
  </si>
  <si>
    <t>BKI032210033886</t>
  </si>
  <si>
    <t>BKI032210033688</t>
  </si>
  <si>
    <t>BKI032210033696</t>
  </si>
  <si>
    <t>BKI032210033712</t>
  </si>
  <si>
    <t>BKI032210033720</t>
  </si>
  <si>
    <t>BKI032210033738</t>
  </si>
  <si>
    <t>BKI032210033746</t>
  </si>
  <si>
    <t>BKI032210033753</t>
  </si>
  <si>
    <t>BKI032210033779</t>
  </si>
  <si>
    <t>BKI032210033787</t>
  </si>
  <si>
    <t>BKI032210033795</t>
  </si>
  <si>
    <t>BKI032210033803</t>
  </si>
  <si>
    <t>BKI032210033811</t>
  </si>
  <si>
    <t>BKI032210033829</t>
  </si>
  <si>
    <t>BKI032210033837</t>
  </si>
  <si>
    <t>BKI032210033845</t>
  </si>
  <si>
    <t>BKI032210033852</t>
  </si>
  <si>
    <t>BKI032210033860</t>
  </si>
  <si>
    <t>BKI032210033902</t>
  </si>
  <si>
    <t>DMD/2108/22/IAOS5823</t>
  </si>
  <si>
    <t>GSK210822QMA920</t>
  </si>
  <si>
    <t>GSK210822FJU874</t>
  </si>
  <si>
    <t>GSK210822ERW136</t>
  </si>
  <si>
    <t>GSK210821YJL702</t>
  </si>
  <si>
    <t>GSK210822KMU916</t>
  </si>
  <si>
    <t>GSK210822QOM798</t>
  </si>
  <si>
    <t>GSK210822VJQ679</t>
  </si>
  <si>
    <t>GSK210822TBA350</t>
  </si>
  <si>
    <t>DMD/2108/22/DFRQ7135</t>
  </si>
  <si>
    <t>GSK210821THV496</t>
  </si>
  <si>
    <t>GSK210821PJK638</t>
  </si>
  <si>
    <t>GSK210821EIY506</t>
  </si>
  <si>
    <t>GSK210821ICU589</t>
  </si>
  <si>
    <t>GSK210821WHT497</t>
  </si>
  <si>
    <t>GSK210821MCE537</t>
  </si>
  <si>
    <t>GSK210821JIU189</t>
  </si>
  <si>
    <t>GSK210821EWS437</t>
  </si>
  <si>
    <t>GSK210821DET078</t>
  </si>
  <si>
    <t>GSK210821HYQ197</t>
  </si>
  <si>
    <t>GSK210821BFO029</t>
  </si>
  <si>
    <t>GSK210821GHI296</t>
  </si>
  <si>
    <t>GSK210821RIF751</t>
  </si>
  <si>
    <t>GSK210821ORU741</t>
  </si>
  <si>
    <t>GSK210821DOJ547</t>
  </si>
  <si>
    <t>GSK210821NAR398</t>
  </si>
  <si>
    <t>GSK210821QZC987</t>
  </si>
  <si>
    <t>GSK210821KIW783</t>
  </si>
  <si>
    <t>GSK210821NIF039</t>
  </si>
  <si>
    <t>GSK210821DKZ675</t>
  </si>
  <si>
    <t>GSK210821QCV927</t>
  </si>
  <si>
    <t>GSK210821PGK741</t>
  </si>
  <si>
    <t>GSK210821GHE695</t>
  </si>
  <si>
    <t>GSK210821MYI780</t>
  </si>
  <si>
    <t>GSK210821BXZ670</t>
  </si>
  <si>
    <t>GSK210821OYE970</t>
  </si>
  <si>
    <t>DMD/2108/21/QUPL1309</t>
  </si>
  <si>
    <t>GSK210820FJZ178</t>
  </si>
  <si>
    <t>GSK210820ZDX254</t>
  </si>
  <si>
    <t>GSK210820GFR938</t>
  </si>
  <si>
    <t>GSK210820IWH302</t>
  </si>
  <si>
    <t>GSK210820BGY780</t>
  </si>
  <si>
    <t>GSK210820NME739</t>
  </si>
  <si>
    <t>GSK210820NYE480</t>
  </si>
  <si>
    <t>GSK210820KZW615</t>
  </si>
  <si>
    <t>GSK210821FID984</t>
  </si>
  <si>
    <t>GSK210820QWB748</t>
  </si>
  <si>
    <t>DMD/2108/21/SXDJ0538</t>
  </si>
  <si>
    <t>GSK210821WOB426</t>
  </si>
  <si>
    <t>KM SURYA</t>
  </si>
  <si>
    <t>30/08/2021 RESTU</t>
  </si>
  <si>
    <t>BKI032210033894</t>
  </si>
  <si>
    <t>BKI032210033993</t>
  </si>
  <si>
    <t xml:space="preserve"> 019/PCI/K1/IX/21</t>
  </si>
  <si>
    <t xml:space="preserve"> 24 September 21</t>
  </si>
  <si>
    <t>BKI032210033878</t>
  </si>
  <si>
    <t>BKI032210033704</t>
  </si>
  <si>
    <t>BKI032210033985</t>
  </si>
  <si>
    <t>BKI032210033761</t>
  </si>
  <si>
    <t>Discount 10%</t>
  </si>
  <si>
    <t>Total Setelah Discount</t>
  </si>
  <si>
    <t>PPh 23  2%</t>
  </si>
  <si>
    <t>PPh 23 2%</t>
  </si>
  <si>
    <t>TOTAL</t>
  </si>
  <si>
    <t>17-31 Agustus 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</si>
  <si>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Emam Puluh Sembilan Juta Sembilan Ratus Tiga Puluh Tujuh Ribu Lima Ratus Enam Puluh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</si>
</sst>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 wrapText="1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167" fontId="9" fillId="0" borderId="0" xfId="1" applyNumberFormat="1" applyFo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2" fontId="9" fillId="4" borderId="1" xfId="0" quotePrefix="1" applyNumberFormat="1" applyFont="1" applyFill="1" applyBorder="1" applyAlignment="1">
      <alignment horizontal="center"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51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64</xdr:row>
      <xdr:rowOff>1304</xdr:rowOff>
    </xdr:from>
    <xdr:to>
      <xdr:col>16</xdr:col>
      <xdr:colOff>514350</xdr:colOff>
      <xdr:row>70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251473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18" totalsRowShown="0" headerRowDxfId="506" dataDxfId="504" headerRowBorderDxfId="505">
  <tableColumns count="12">
    <tableColumn id="1" name="NOMOR" dataDxfId="503" dataCellStyle="Normal"/>
    <tableColumn id="3" name="TUJUAN" dataDxfId="502" dataCellStyle="Normal"/>
    <tableColumn id="16" name="Pick Up" dataDxfId="501"/>
    <tableColumn id="14" name="KAPAL" dataDxfId="500"/>
    <tableColumn id="15" name="ETD Kapal" dataDxfId="499"/>
    <tableColumn id="10" name="KETERANGAN" dataDxfId="498" dataCellStyle="Normal"/>
    <tableColumn id="5" name="P" dataDxfId="497" dataCellStyle="Normal"/>
    <tableColumn id="6" name="L" dataDxfId="496" dataCellStyle="Normal"/>
    <tableColumn id="7" name="T" dataDxfId="495" dataCellStyle="Normal"/>
    <tableColumn id="4" name="ACT KG" dataDxfId="494" dataCellStyle="Normal"/>
    <tableColumn id="8" name="KG VOLUME" dataDxfId="493" dataCellStyle="Normal"/>
    <tableColumn id="19" name="PEMBULATAN" dataDxfId="492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7" name="Table224578910112345678" displayName="Table224578910112345678" ref="C2:N17" totalsRowShown="0" headerRowDxfId="354" dataDxfId="352" headerRowBorderDxfId="353">
  <tableColumns count="12">
    <tableColumn id="1" name="NOMOR" dataDxfId="351" dataCellStyle="Normal"/>
    <tableColumn id="3" name="TUJUAN" dataDxfId="350" dataCellStyle="Normal"/>
    <tableColumn id="16" name="Pick Up" dataDxfId="349"/>
    <tableColumn id="14" name="KAPAL" dataDxfId="348"/>
    <tableColumn id="15" name="ETD Kapal" dataDxfId="347"/>
    <tableColumn id="10" name="KETERANGAN" dataDxfId="346" dataCellStyle="Normal"/>
    <tableColumn id="5" name="P" dataDxfId="345" dataCellStyle="Normal"/>
    <tableColumn id="6" name="L" dataDxfId="344" dataCellStyle="Normal"/>
    <tableColumn id="7" name="T" dataDxfId="343" dataCellStyle="Normal"/>
    <tableColumn id="4" name="ACT KG" dataDxfId="342" dataCellStyle="Normal"/>
    <tableColumn id="8" name="KG VOLUME" dataDxfId="341" dataCellStyle="Normal"/>
    <tableColumn id="19" name="PEMBULATAN" dataDxfId="340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28" name="Table22457891011234567829" displayName="Table22457891011234567829" ref="C2:N12" totalsRowShown="0" headerRowDxfId="336" dataDxfId="334" headerRowBorderDxfId="335">
  <tableColumns count="12">
    <tableColumn id="1" name="NOMOR" dataDxfId="333" dataCellStyle="Normal"/>
    <tableColumn id="3" name="TUJUAN" dataDxfId="332" dataCellStyle="Normal"/>
    <tableColumn id="16" name="Pick Up" dataDxfId="331"/>
    <tableColumn id="14" name="KAPAL" dataDxfId="330"/>
    <tableColumn id="15" name="ETD Kapal" dataDxfId="329"/>
    <tableColumn id="10" name="KETERANGAN" dataDxfId="328" dataCellStyle="Normal"/>
    <tableColumn id="5" name="P" dataDxfId="327" dataCellStyle="Normal"/>
    <tableColumn id="6" name="L" dataDxfId="326" dataCellStyle="Normal"/>
    <tableColumn id="7" name="T" dataDxfId="325" dataCellStyle="Normal"/>
    <tableColumn id="4" name="ACT KG" dataDxfId="324" dataCellStyle="Normal"/>
    <tableColumn id="8" name="KG VOLUME" dataDxfId="323" dataCellStyle="Normal"/>
    <tableColumn id="19" name="PEMBULATAN" dataDxfId="322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8" name="Table2245789101123456789" displayName="Table2245789101123456789" ref="C2:N14" totalsRowShown="0" headerRowDxfId="318" dataDxfId="316" headerRowBorderDxfId="317">
  <tableColumns count="12">
    <tableColumn id="1" name="NOMOR" dataDxfId="315" dataCellStyle="Normal"/>
    <tableColumn id="3" name="TUJUAN" dataDxfId="314" dataCellStyle="Normal"/>
    <tableColumn id="16" name="Pick Up" dataDxfId="313"/>
    <tableColumn id="14" name="KAPAL" dataDxfId="312"/>
    <tableColumn id="15" name="ETD Kapal" dataDxfId="311"/>
    <tableColumn id="10" name="KETERANGAN" dataDxfId="310" dataCellStyle="Normal"/>
    <tableColumn id="5" name="P" dataDxfId="309" dataCellStyle="Normal"/>
    <tableColumn id="6" name="L" dataDxfId="308" dataCellStyle="Normal"/>
    <tableColumn id="7" name="T" dataDxfId="307" dataCellStyle="Normal"/>
    <tableColumn id="4" name="ACT KG" dataDxfId="306" dataCellStyle="Normal"/>
    <tableColumn id="8" name="KG VOLUME" dataDxfId="305" dataCellStyle="Normal"/>
    <tableColumn id="19" name="PEMBULATAN" dataDxfId="304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31" name="Table224578910112345678932" displayName="Table224578910112345678932" ref="C2:N37" totalsRowShown="0" headerRowDxfId="300" dataDxfId="298" headerRowBorderDxfId="299">
  <autoFilter ref="C2:N37"/>
  <tableColumns count="12">
    <tableColumn id="1" name="NOMOR" dataDxfId="297" dataCellStyle="Normal"/>
    <tableColumn id="3" name="TUJUAN" dataDxfId="296" dataCellStyle="Normal"/>
    <tableColumn id="16" name="Pick Up" dataDxfId="295"/>
    <tableColumn id="14" name="KAPAL" dataDxfId="294"/>
    <tableColumn id="15" name="ETD Kapal" dataDxfId="293"/>
    <tableColumn id="10" name="KETERANGAN" dataDxfId="292" dataCellStyle="Normal"/>
    <tableColumn id="5" name="P" dataDxfId="291" dataCellStyle="Normal"/>
    <tableColumn id="6" name="L" dataDxfId="290" dataCellStyle="Normal"/>
    <tableColumn id="7" name="T" dataDxfId="289" dataCellStyle="Normal"/>
    <tableColumn id="4" name="ACT KG" dataDxfId="288" dataCellStyle="Normal"/>
    <tableColumn id="8" name="KG VOLUME" dataDxfId="287" dataCellStyle="Normal"/>
    <tableColumn id="19" name="PEMBULATAN" dataDxfId="286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9" name="Table224578910112345678910" displayName="Table224578910112345678910" ref="C2:N3" totalsRowShown="0" headerRowDxfId="284" dataDxfId="282" headerRowBorderDxfId="283">
  <tableColumns count="12">
    <tableColumn id="1" name="NOMOR" dataDxfId="281" dataCellStyle="Normal"/>
    <tableColumn id="3" name="TUJUAN" dataDxfId="280" dataCellStyle="Normal"/>
    <tableColumn id="16" name="Pick Up" dataDxfId="279"/>
    <tableColumn id="14" name="KAPAL" dataDxfId="278"/>
    <tableColumn id="15" name="ETD Kapal" dataDxfId="277"/>
    <tableColumn id="10" name="KETERANGAN" dataDxfId="276" dataCellStyle="Normal"/>
    <tableColumn id="5" name="P" dataDxfId="275" dataCellStyle="Normal"/>
    <tableColumn id="6" name="L" dataDxfId="274" dataCellStyle="Normal"/>
    <tableColumn id="7" name="T" dataDxfId="273" dataCellStyle="Normal"/>
    <tableColumn id="4" name="ACT KG" dataDxfId="272" dataCellStyle="Normal"/>
    <tableColumn id="8" name="KG VOLUME" dataDxfId="271" dataCellStyle="Normal"/>
    <tableColumn id="19" name="PEMBULATAN" dataDxfId="270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1" name="Table22457891011234567891012" displayName="Table22457891011234567891012" ref="C2:N31" totalsRowShown="0" headerRowDxfId="266" dataDxfId="264" headerRowBorderDxfId="265">
  <tableColumns count="12">
    <tableColumn id="1" name="NOMOR" dataDxfId="263" dataCellStyle="Normal"/>
    <tableColumn id="3" name="TUJUAN" dataDxfId="262" dataCellStyle="Normal"/>
    <tableColumn id="16" name="Pick Up" dataDxfId="261"/>
    <tableColumn id="14" name="KAPAL" dataDxfId="260"/>
    <tableColumn id="15" name="ETD Kapal" dataDxfId="259"/>
    <tableColumn id="10" name="KETERANGAN" dataDxfId="258" dataCellStyle="Normal"/>
    <tableColumn id="5" name="P" dataDxfId="257" dataCellStyle="Normal"/>
    <tableColumn id="6" name="L" dataDxfId="256" dataCellStyle="Normal"/>
    <tableColumn id="7" name="T" dataDxfId="255" dataCellStyle="Normal"/>
    <tableColumn id="4" name="ACT KG" dataDxfId="254" dataCellStyle="Normal"/>
    <tableColumn id="8" name="KG VOLUME" dataDxfId="253" dataCellStyle="Normal"/>
    <tableColumn id="19" name="PEMBULATAN" dataDxfId="252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2" name="Table2245789101123456789101213" displayName="Table2245789101123456789101213" ref="C2:N10" totalsRowShown="0" headerRowDxfId="248" dataDxfId="246" headerRowBorderDxfId="247">
  <tableColumns count="12">
    <tableColumn id="1" name="NOMOR" dataDxfId="245" dataCellStyle="Normal"/>
    <tableColumn id="3" name="TUJUAN" dataDxfId="244" dataCellStyle="Normal"/>
    <tableColumn id="16" name="Pick Up" dataDxfId="243"/>
    <tableColumn id="14" name="KAPAL" dataDxfId="242"/>
    <tableColumn id="15" name="ETD Kapal" dataDxfId="241"/>
    <tableColumn id="10" name="KETERANGAN" dataDxfId="240" dataCellStyle="Normal"/>
    <tableColumn id="5" name="P" dataDxfId="239" dataCellStyle="Normal"/>
    <tableColumn id="6" name="L" dataDxfId="238" dataCellStyle="Normal"/>
    <tableColumn id="7" name="T" dataDxfId="237" dataCellStyle="Normal"/>
    <tableColumn id="4" name="ACT KG" dataDxfId="236" dataCellStyle="Normal"/>
    <tableColumn id="8" name="KG VOLUME" dataDxfId="235" dataCellStyle="Normal"/>
    <tableColumn id="19" name="PEMBULATAN" dataDxfId="234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3" name="Table224578910112345678910121314" displayName="Table224578910112345678910121314" ref="C2:N35" totalsRowShown="0" headerRowDxfId="230" dataDxfId="228" headerRowBorderDxfId="229">
  <tableColumns count="12">
    <tableColumn id="1" name="NOMOR" dataDxfId="227" dataCellStyle="Normal"/>
    <tableColumn id="3" name="TUJUAN" dataDxfId="226" dataCellStyle="Normal"/>
    <tableColumn id="16" name="Pick Up" dataDxfId="225"/>
    <tableColumn id="14" name="KAPAL" dataDxfId="224"/>
    <tableColumn id="15" name="ETD Kapal" dataDxfId="223"/>
    <tableColumn id="10" name="KETERANGAN" dataDxfId="222" dataCellStyle="Normal"/>
    <tableColumn id="5" name="P" dataDxfId="221" dataCellStyle="Normal"/>
    <tableColumn id="6" name="L" dataDxfId="220" dataCellStyle="Normal"/>
    <tableColumn id="7" name="T" dataDxfId="219" dataCellStyle="Normal"/>
    <tableColumn id="4" name="ACT KG" dataDxfId="218" dataCellStyle="Normal"/>
    <tableColumn id="8" name="KG VOLUME" dataDxfId="217" dataCellStyle="Normal"/>
    <tableColumn id="19" name="PEMBULATAN" dataDxfId="216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4" name="Table22457891011234567891012131415" displayName="Table22457891011234567891012131415" ref="C2:N19" totalsRowShown="0" headerRowDxfId="212" dataDxfId="210" headerRowBorderDxfId="211">
  <tableColumns count="12">
    <tableColumn id="1" name="NOMOR" dataDxfId="209" dataCellStyle="Normal"/>
    <tableColumn id="3" name="TUJUAN" dataDxfId="208" dataCellStyle="Normal"/>
    <tableColumn id="16" name="Pick Up" dataDxfId="207"/>
    <tableColumn id="14" name="KAPAL" dataDxfId="206"/>
    <tableColumn id="15" name="ETD Kapal" dataDxfId="205"/>
    <tableColumn id="10" name="KETERANGAN" dataDxfId="204" dataCellStyle="Normal"/>
    <tableColumn id="5" name="P" dataDxfId="203" dataCellStyle="Normal"/>
    <tableColumn id="6" name="L" dataDxfId="202" dataCellStyle="Normal"/>
    <tableColumn id="7" name="T" dataDxfId="201" dataCellStyle="Normal"/>
    <tableColumn id="4" name="ACT KG" dataDxfId="200" dataCellStyle="Normal"/>
    <tableColumn id="8" name="KG VOLUME" dataDxfId="199" dataCellStyle="Normal"/>
    <tableColumn id="19" name="PEMBULATAN" dataDxfId="198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15" name="Table2245789101123456789101213141516" displayName="Table2245789101123456789101213141516" ref="C2:N47" totalsRowShown="0" headerRowDxfId="194" dataDxfId="192" headerRowBorderDxfId="193">
  <tableColumns count="12">
    <tableColumn id="1" name="NOMOR" dataDxfId="191" dataCellStyle="Normal"/>
    <tableColumn id="3" name="TUJUAN" dataDxfId="190" dataCellStyle="Normal"/>
    <tableColumn id="16" name="Pick Up" dataDxfId="189"/>
    <tableColumn id="14" name="KAPAL" dataDxfId="188"/>
    <tableColumn id="15" name="ETD Kapal" dataDxfId="187"/>
    <tableColumn id="10" name="KETERANGAN" dataDxfId="186" dataCellStyle="Normal"/>
    <tableColumn id="5" name="P" dataDxfId="185" dataCellStyle="Normal"/>
    <tableColumn id="6" name="L" dataDxfId="184" dataCellStyle="Normal"/>
    <tableColumn id="7" name="T" dataDxfId="183" dataCellStyle="Normal"/>
    <tableColumn id="4" name="ACT KG" dataDxfId="182" dataCellStyle="Normal"/>
    <tableColumn id="8" name="KG VOLUME" dataDxfId="181" dataCellStyle="Normal"/>
    <tableColumn id="19" name="PEMBULATAN" dataDxfId="18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0" name="Table22457891011" displayName="Table22457891011" ref="C2:N4" totalsRowShown="0" headerRowDxfId="489" dataDxfId="487" headerRowBorderDxfId="488">
  <tableColumns count="12">
    <tableColumn id="1" name="NOMOR" dataDxfId="486" dataCellStyle="Normal"/>
    <tableColumn id="3" name="TUJUAN" dataDxfId="485" dataCellStyle="Normal"/>
    <tableColumn id="16" name="Pick Up" dataDxfId="484"/>
    <tableColumn id="14" name="KAPAL" dataDxfId="483"/>
    <tableColumn id="15" name="ETD Kapal" dataDxfId="482"/>
    <tableColumn id="10" name="KETERANGAN" dataDxfId="481" dataCellStyle="Normal"/>
    <tableColumn id="5" name="P" dataDxfId="480" dataCellStyle="Normal"/>
    <tableColumn id="6" name="L" dataDxfId="479" dataCellStyle="Normal"/>
    <tableColumn id="7" name="T" dataDxfId="478" dataCellStyle="Normal"/>
    <tableColumn id="4" name="ACT KG" dataDxfId="477" dataCellStyle="Normal"/>
    <tableColumn id="8" name="KG VOLUME" dataDxfId="476" dataCellStyle="Normal"/>
    <tableColumn id="19" name="PEMBULATAN" dataDxfId="475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16" name="Table224578910112345678910121314151617" displayName="Table224578910112345678910121314151617" ref="C2:N16" totalsRowShown="0" headerRowDxfId="176" dataDxfId="174" headerRowBorderDxfId="175">
  <tableColumns count="12">
    <tableColumn id="1" name="NOMOR" dataDxfId="173" dataCellStyle="Normal"/>
    <tableColumn id="3" name="TUJUAN" dataDxfId="172" dataCellStyle="Normal"/>
    <tableColumn id="16" name="Pick Up" dataDxfId="171"/>
    <tableColumn id="14" name="KAPAL" dataDxfId="170"/>
    <tableColumn id="15" name="ETD Kapal" dataDxfId="169"/>
    <tableColumn id="10" name="KETERANGAN" dataDxfId="168" dataCellStyle="Normal"/>
    <tableColumn id="5" name="P" dataDxfId="167" dataCellStyle="Normal"/>
    <tableColumn id="6" name="L" dataDxfId="166" dataCellStyle="Normal"/>
    <tableColumn id="7" name="T" dataDxfId="165" dataCellStyle="Normal"/>
    <tableColumn id="4" name="ACT KG" dataDxfId="164" dataCellStyle="Normal"/>
    <tableColumn id="8" name="KG VOLUME" dataDxfId="163" dataCellStyle="Normal"/>
    <tableColumn id="19" name="PEMBULATAN" dataDxfId="162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17" name="Table22457891011234567891012131415161718" displayName="Table22457891011234567891012131415161718" ref="C2:N49" totalsRowShown="0" headerRowDxfId="158" dataDxfId="156" headerRowBorderDxfId="157">
  <tableColumns count="12">
    <tableColumn id="1" name="NOMOR" dataDxfId="155" dataCellStyle="Normal"/>
    <tableColumn id="3" name="TUJUAN" dataDxfId="154" dataCellStyle="Normal"/>
    <tableColumn id="16" name="Pick Up" dataDxfId="153"/>
    <tableColumn id="14" name="KAPAL" dataDxfId="152"/>
    <tableColumn id="15" name="ETD Kapal" dataDxfId="151"/>
    <tableColumn id="10" name="KETERANGAN" dataDxfId="150" dataCellStyle="Normal"/>
    <tableColumn id="5" name="P" dataDxfId="149" dataCellStyle="Normal"/>
    <tableColumn id="6" name="L" dataDxfId="148" dataCellStyle="Normal"/>
    <tableColumn id="7" name="T" dataDxfId="147" dataCellStyle="Normal"/>
    <tableColumn id="4" name="ACT KG" dataDxfId="146" dataCellStyle="Normal"/>
    <tableColumn id="8" name="KG VOLUME" dataDxfId="145" dataCellStyle="Normal"/>
    <tableColumn id="19" name="PEMBULATAN" dataDxfId="144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18" name="Table2245789101123456789101213141516171819" displayName="Table2245789101123456789101213141516171819" ref="C2:N13" totalsRowShown="0" headerRowDxfId="140" dataDxfId="138" headerRowBorderDxfId="139">
  <tableColumns count="12">
    <tableColumn id="1" name="NOMOR" dataDxfId="137" dataCellStyle="Normal"/>
    <tableColumn id="3" name="TUJUAN" dataDxfId="136" dataCellStyle="Normal"/>
    <tableColumn id="16" name="Pick Up" dataDxfId="135"/>
    <tableColumn id="14" name="KAPAL" dataDxfId="134"/>
    <tableColumn id="15" name="ETD Kapal" dataDxfId="133"/>
    <tableColumn id="10" name="KETERANGAN" dataDxfId="132" dataCellStyle="Normal"/>
    <tableColumn id="5" name="P" dataDxfId="131" dataCellStyle="Normal"/>
    <tableColumn id="6" name="L" dataDxfId="130" dataCellStyle="Normal"/>
    <tableColumn id="7" name="T" dataDxfId="129" dataCellStyle="Normal"/>
    <tableColumn id="4" name="ACT KG" dataDxfId="128" dataCellStyle="Normal"/>
    <tableColumn id="8" name="KG VOLUME" dataDxfId="127" dataCellStyle="Normal"/>
    <tableColumn id="19" name="PEMBULATAN" dataDxfId="126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19" name="Table224578910112345678910121314151617181920" displayName="Table224578910112345678910121314151617181920" ref="C2:N19" totalsRowShown="0" headerRowDxfId="122" dataDxfId="120" headerRowBorderDxfId="121">
  <tableColumns count="12">
    <tableColumn id="1" name="NOMOR" dataDxfId="119" dataCellStyle="Normal"/>
    <tableColumn id="3" name="TUJUAN" dataDxfId="118" dataCellStyle="Normal"/>
    <tableColumn id="16" name="Pick Up" dataDxfId="117"/>
    <tableColumn id="14" name="KAPAL" dataDxfId="116"/>
    <tableColumn id="15" name="ETD Kapal" dataDxfId="115"/>
    <tableColumn id="10" name="KETERANGAN" dataDxfId="114" dataCellStyle="Normal"/>
    <tableColumn id="5" name="P" dataDxfId="113" dataCellStyle="Normal"/>
    <tableColumn id="6" name="L" dataDxfId="112" dataCellStyle="Normal"/>
    <tableColumn id="7" name="T" dataDxfId="111" dataCellStyle="Normal"/>
    <tableColumn id="4" name="ACT KG" dataDxfId="110" dataCellStyle="Normal"/>
    <tableColumn id="8" name="KG VOLUME" dataDxfId="109" dataCellStyle="Normal"/>
    <tableColumn id="19" name="PEMBULATAN" dataDxfId="108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20" name="Table22457891011234567891012131415161718192021" displayName="Table22457891011234567891012131415161718192021" ref="C2:N30" totalsRowShown="0" headerRowDxfId="104" dataDxfId="102" headerRowBorderDxfId="103">
  <tableColumns count="12">
    <tableColumn id="1" name="NOMOR" dataDxfId="101" dataCellStyle="Normal"/>
    <tableColumn id="3" name="TUJUAN" dataDxfId="100" dataCellStyle="Normal"/>
    <tableColumn id="16" name="Pick Up" dataDxfId="99"/>
    <tableColumn id="14" name="KAPAL" dataDxfId="98"/>
    <tableColumn id="15" name="ETD Kapal" dataDxfId="97"/>
    <tableColumn id="10" name="KETERANGAN" dataDxfId="96" dataCellStyle="Normal"/>
    <tableColumn id="5" name="P" dataDxfId="95" dataCellStyle="Normal"/>
    <tableColumn id="6" name="L" dataDxfId="94" dataCellStyle="Normal"/>
    <tableColumn id="7" name="T" dataDxfId="93" dataCellStyle="Normal"/>
    <tableColumn id="4" name="ACT KG" dataDxfId="92" dataCellStyle="Normal"/>
    <tableColumn id="8" name="KG VOLUME" dataDxfId="91" dataCellStyle="Normal"/>
    <tableColumn id="19" name="PEMBULATAN" dataDxfId="90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id="21" name="Table2245789101123456789101213141516171819202122" displayName="Table2245789101123456789101213141516171819202122" ref="C2:N18" totalsRowShown="0" headerRowDxfId="86" dataDxfId="84" headerRowBorderDxfId="85">
  <tableColumns count="12">
    <tableColumn id="1" name="NOMOR" dataDxfId="83" dataCellStyle="Normal"/>
    <tableColumn id="3" name="TUJUAN" dataDxfId="82" dataCellStyle="Normal"/>
    <tableColumn id="16" name="Pick Up" dataDxfId="81"/>
    <tableColumn id="14" name="KAPAL" dataDxfId="80"/>
    <tableColumn id="15" name="ETD Kapal" dataDxfId="79"/>
    <tableColumn id="10" name="KETERANGAN" dataDxfId="78" dataCellStyle="Normal"/>
    <tableColumn id="5" name="P" dataDxfId="77" dataCellStyle="Normal"/>
    <tableColumn id="6" name="L" dataDxfId="76" dataCellStyle="Normal"/>
    <tableColumn id="7" name="T" dataDxfId="75" dataCellStyle="Normal"/>
    <tableColumn id="4" name="ACT KG" dataDxfId="74" dataCellStyle="Normal"/>
    <tableColumn id="8" name="KG VOLUME" dataDxfId="73" dataCellStyle="Normal"/>
    <tableColumn id="19" name="PEMBULATAN" dataDxfId="72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id="22" name="Table224578910112345678910121314151617181920212223" displayName="Table224578910112345678910121314151617181920212223" ref="C2:N16" totalsRowShown="0" headerRowDxfId="68" dataDxfId="66" headerRowBorderDxfId="67">
  <tableColumns count="12">
    <tableColumn id="1" name="NOMOR" dataDxfId="65" dataCellStyle="Normal"/>
    <tableColumn id="3" name="TUJUAN" dataDxfId="64" dataCellStyle="Normal"/>
    <tableColumn id="16" name="Pick Up" dataDxfId="63"/>
    <tableColumn id="14" name="KAPAL" dataDxfId="62"/>
    <tableColumn id="15" name="ETD Kapal" dataDxfId="61"/>
    <tableColumn id="10" name="KETERANGAN" dataDxfId="60" dataCellStyle="Normal"/>
    <tableColumn id="5" name="P" dataDxfId="59" dataCellStyle="Normal"/>
    <tableColumn id="6" name="L" dataDxfId="58" dataCellStyle="Normal"/>
    <tableColumn id="7" name="T" dataDxfId="57" dataCellStyle="Normal"/>
    <tableColumn id="4" name="ACT KG" dataDxfId="56" dataCellStyle="Normal"/>
    <tableColumn id="8" name="KG VOLUME" dataDxfId="55" dataCellStyle="Normal"/>
    <tableColumn id="19" name="PEMBULATAN" dataDxfId="54"/>
  </tableColumns>
  <tableStyleInfo name="Table Style 1" showFirstColumn="0" showLastColumn="0" showRowStripes="1" showColumnStripes="0"/>
</table>
</file>

<file path=xl/tables/table27.xml><?xml version="1.0" encoding="utf-8"?>
<table xmlns="http://schemas.openxmlformats.org/spreadsheetml/2006/main" id="23" name="Table22457891011234567891012131415161718192021222324" displayName="Table22457891011234567891012131415161718192021222324" ref="C2:N8" totalsRowShown="0" headerRowDxfId="50" dataDxfId="48" headerRowBorderDxfId="49">
  <tableColumns count="12">
    <tableColumn id="1" name="NOMOR" dataDxfId="47" dataCellStyle="Normal"/>
    <tableColumn id="3" name="TUJUAN" dataDxfId="46" dataCellStyle="Normal"/>
    <tableColumn id="16" name="Pick Up" dataDxfId="45"/>
    <tableColumn id="14" name="KAPAL" dataDxfId="44"/>
    <tableColumn id="15" name="ETD Kapal" dataDxfId="43"/>
    <tableColumn id="10" name="KETERANGAN" dataDxfId="42" dataCellStyle="Normal"/>
    <tableColumn id="5" name="P" dataDxfId="41" dataCellStyle="Normal"/>
    <tableColumn id="6" name="L" dataDxfId="40" dataCellStyle="Normal"/>
    <tableColumn id="7" name="T" dataDxfId="39" dataCellStyle="Normal"/>
    <tableColumn id="4" name="ACT KG" dataDxfId="38" dataCellStyle="Normal"/>
    <tableColumn id="8" name="KG VOLUME" dataDxfId="37" dataCellStyle="Normal"/>
    <tableColumn id="19" name="PEMBULATAN" dataDxfId="36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id="24" name="Table2245789101123456789101213141516171819202122232425" displayName="Table2245789101123456789101213141516171819202122232425" ref="C2:N18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id="25" name="Table224578910112345678910121314151617181920212223242526" displayName="Table224578910112345678910121314151617181920212223242526" ref="C2:N33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2" name="Table2245789101133" displayName="Table2245789101133" ref="C2:N13" totalsRowShown="0" headerRowDxfId="473" dataDxfId="471" headerRowBorderDxfId="472">
  <tableColumns count="12">
    <tableColumn id="1" name="NOMOR" dataDxfId="470" dataCellStyle="Normal"/>
    <tableColumn id="3" name="TUJUAN" dataDxfId="469" dataCellStyle="Normal"/>
    <tableColumn id="16" name="Pick Up" dataDxfId="468"/>
    <tableColumn id="14" name="KAPAL" dataDxfId="467"/>
    <tableColumn id="15" name="ETD Kapal" dataDxfId="466"/>
    <tableColumn id="10" name="KETERANGAN" dataDxfId="465" dataCellStyle="Normal"/>
    <tableColumn id="5" name="P" dataDxfId="464" dataCellStyle="Normal"/>
    <tableColumn id="6" name="L" dataDxfId="463" dataCellStyle="Normal"/>
    <tableColumn id="7" name="T" dataDxfId="462" dataCellStyle="Normal"/>
    <tableColumn id="4" name="ACT KG" dataDxfId="461" dataCellStyle="Normal"/>
    <tableColumn id="8" name="KG VOLUME" dataDxfId="460" dataCellStyle="Normal"/>
    <tableColumn id="19" name="PEMBULATAN" dataDxfId="459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29" name="Table2245789101130" displayName="Table2245789101130" ref="C2:N11" totalsRowShown="0" headerRowDxfId="457" dataDxfId="455" headerRowBorderDxfId="456">
  <tableColumns count="12">
    <tableColumn id="1" name="NOMOR" dataDxfId="454" dataCellStyle="Normal"/>
    <tableColumn id="3" name="TUJUAN" dataDxfId="453" dataCellStyle="Normal"/>
    <tableColumn id="16" name="Pick Up" dataDxfId="452"/>
    <tableColumn id="14" name="KAPAL" dataDxfId="451"/>
    <tableColumn id="15" name="ETD Kapal" dataDxfId="450"/>
    <tableColumn id="10" name="KETERANGAN" dataDxfId="449" dataCellStyle="Normal"/>
    <tableColumn id="5" name="P" dataDxfId="448" dataCellStyle="Normal"/>
    <tableColumn id="6" name="L" dataDxfId="447" dataCellStyle="Normal"/>
    <tableColumn id="7" name="T" dataDxfId="446" dataCellStyle="Normal"/>
    <tableColumn id="4" name="ACT KG" dataDxfId="445" dataCellStyle="Normal"/>
    <tableColumn id="8" name="KG VOLUME" dataDxfId="444" dataCellStyle="Normal"/>
    <tableColumn id="19" name="PEMBULATAN" dataDxfId="443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2" name="Table2245789101123" displayName="Table2245789101123" ref="C2:N19" totalsRowShown="0" headerRowDxfId="439" dataDxfId="437" headerRowBorderDxfId="438">
  <tableColumns count="12">
    <tableColumn id="1" name="NOMOR" dataDxfId="436" dataCellStyle="Normal"/>
    <tableColumn id="3" name="TUJUAN" dataDxfId="435" dataCellStyle="Normal"/>
    <tableColumn id="16" name="Pick Up" dataDxfId="434"/>
    <tableColumn id="14" name="KAPAL" dataDxfId="433"/>
    <tableColumn id="15" name="ETD Kapal" dataDxfId="432"/>
    <tableColumn id="10" name="KETERANGAN" dataDxfId="431" dataCellStyle="Normal"/>
    <tableColumn id="5" name="P" dataDxfId="430" dataCellStyle="Normal"/>
    <tableColumn id="6" name="L" dataDxfId="429" dataCellStyle="Normal"/>
    <tableColumn id="7" name="T" dataDxfId="428" dataCellStyle="Normal"/>
    <tableColumn id="4" name="ACT KG" dataDxfId="427" dataCellStyle="Normal"/>
    <tableColumn id="8" name="KG VOLUME" dataDxfId="426" dataCellStyle="Normal"/>
    <tableColumn id="19" name="PEMBULATAN" dataDxfId="425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3" name="Table22457891011234" displayName="Table22457891011234" ref="C2:N4" totalsRowShown="0" headerRowDxfId="422" dataDxfId="420" headerRowBorderDxfId="421">
  <tableColumns count="12">
    <tableColumn id="1" name="NOMOR" dataDxfId="419" dataCellStyle="Normal"/>
    <tableColumn id="3" name="TUJUAN" dataDxfId="418" dataCellStyle="Normal"/>
    <tableColumn id="16" name="Pick Up" dataDxfId="417"/>
    <tableColumn id="14" name="KAPAL" dataDxfId="416"/>
    <tableColumn id="15" name="ETD Kapal" dataDxfId="415"/>
    <tableColumn id="10" name="KETERANGAN" dataDxfId="414" dataCellStyle="Normal"/>
    <tableColumn id="5" name="P" dataDxfId="413" dataCellStyle="Normal"/>
    <tableColumn id="6" name="L" dataDxfId="412" dataCellStyle="Normal"/>
    <tableColumn id="7" name="T" dataDxfId="411" dataCellStyle="Normal"/>
    <tableColumn id="4" name="ACT KG" dataDxfId="410" dataCellStyle="Normal"/>
    <tableColumn id="8" name="KG VOLUME" dataDxfId="409" dataCellStyle="Normal"/>
    <tableColumn id="19" name="PEMBULATAN" dataDxfId="408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4" name="Table224578910112345" displayName="Table224578910112345" ref="C2:N3" totalsRowShown="0" headerRowDxfId="406" dataDxfId="404" headerRowBorderDxfId="405">
  <tableColumns count="12">
    <tableColumn id="1" name="NOMOR" dataDxfId="403" dataCellStyle="Normal"/>
    <tableColumn id="3" name="TUJUAN" dataDxfId="402" dataCellStyle="Normal"/>
    <tableColumn id="16" name="Pick Up" dataDxfId="401"/>
    <tableColumn id="14" name="KAPAL" dataDxfId="400"/>
    <tableColumn id="15" name="ETD Kapal" dataDxfId="399"/>
    <tableColumn id="10" name="KETERANGAN" dataDxfId="398" dataCellStyle="Normal"/>
    <tableColumn id="5" name="P" dataDxfId="397" dataCellStyle="Normal"/>
    <tableColumn id="6" name="L" dataDxfId="396" dataCellStyle="Normal"/>
    <tableColumn id="7" name="T" dataDxfId="395" dataCellStyle="Normal"/>
    <tableColumn id="4" name="ACT KG" dataDxfId="394" dataCellStyle="Normal"/>
    <tableColumn id="8" name="KG VOLUME" dataDxfId="393" dataCellStyle="Normal">
      <calculatedColumnFormula>Table224578910112345[P]*Table224578910112345[L]*Table224578910112345[T]/4000</calculatedColumnFormula>
    </tableColumn>
    <tableColumn id="19" name="PEMBULATAN" dataDxfId="392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5" name="Table2245789101123456" displayName="Table2245789101123456" ref="C2:N3" totalsRowShown="0" headerRowDxfId="390" dataDxfId="388" headerRowBorderDxfId="389">
  <tableColumns count="12">
    <tableColumn id="1" name="NOMOR" dataDxfId="387" dataCellStyle="Normal"/>
    <tableColumn id="3" name="TUJUAN" dataDxfId="386" dataCellStyle="Normal"/>
    <tableColumn id="16" name="Pick Up" dataDxfId="385"/>
    <tableColumn id="14" name="KAPAL" dataDxfId="384"/>
    <tableColumn id="15" name="ETD Kapal" dataDxfId="383"/>
    <tableColumn id="10" name="KETERANGAN" dataDxfId="382" dataCellStyle="Normal"/>
    <tableColumn id="5" name="P" dataDxfId="381" dataCellStyle="Normal"/>
    <tableColumn id="6" name="L" dataDxfId="380" dataCellStyle="Normal"/>
    <tableColumn id="7" name="T" dataDxfId="379" dataCellStyle="Normal"/>
    <tableColumn id="4" name="ACT KG" dataDxfId="378" dataCellStyle="Normal"/>
    <tableColumn id="8" name="KG VOLUME" dataDxfId="377" dataCellStyle="Normal"/>
    <tableColumn id="19" name="PEMBULATAN" dataDxfId="376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6" name="Table22457891011234567" displayName="Table22457891011234567" ref="C2:N34" totalsRowShown="0" headerRowDxfId="372" dataDxfId="370" headerRowBorderDxfId="371">
  <tableColumns count="12">
    <tableColumn id="1" name="NOMOR" dataDxfId="369" dataCellStyle="Normal"/>
    <tableColumn id="3" name="TUJUAN" dataDxfId="368" dataCellStyle="Normal"/>
    <tableColumn id="16" name="Pick Up" dataDxfId="367"/>
    <tableColumn id="14" name="KAPAL" dataDxfId="366"/>
    <tableColumn id="15" name="ETD Kapal" dataDxfId="365"/>
    <tableColumn id="10" name="KETERANGAN" dataDxfId="364" dataCellStyle="Normal"/>
    <tableColumn id="5" name="P" dataDxfId="363" dataCellStyle="Normal"/>
    <tableColumn id="6" name="L" dataDxfId="362" dataCellStyle="Normal"/>
    <tableColumn id="7" name="T" dataDxfId="361" dataCellStyle="Normal"/>
    <tableColumn id="4" name="ACT KG" dataDxfId="360" dataCellStyle="Normal"/>
    <tableColumn id="8" name="KG VOLUME" dataDxfId="359" dataCellStyle="Normal"/>
    <tableColumn id="19" name="PEMBULATAN" dataDxfId="358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71"/>
  <sheetViews>
    <sheetView tabSelected="1" topLeftCell="A45" workbookViewId="0">
      <selection activeCell="L53" sqref="L53"/>
    </sheetView>
  </sheetViews>
  <sheetFormatPr defaultRowHeight="15.75" x14ac:dyDescent="0.25"/>
  <cols>
    <col min="1" max="1" width="6.42578125" style="19" customWidth="1"/>
    <col min="2" max="2" width="11.5703125" style="19" customWidth="1"/>
    <col min="3" max="3" width="10" style="19" customWidth="1"/>
    <col min="4" max="4" width="26.42578125" style="19" customWidth="1"/>
    <col min="5" max="5" width="13.85546875" style="19" customWidth="1"/>
    <col min="6" max="6" width="6.85546875" style="19" bestFit="1" customWidth="1"/>
    <col min="7" max="7" width="6.42578125" style="19" customWidth="1"/>
    <col min="8" max="8" width="14.140625" style="20" bestFit="1" customWidth="1"/>
    <col min="9" max="9" width="1.5703125" style="20" customWidth="1"/>
    <col min="10" max="10" width="19.5703125" style="19" customWidth="1"/>
    <col min="11" max="11" width="9.140625" style="19"/>
    <col min="12" max="12" width="15.7109375" style="19" bestFit="1" customWidth="1"/>
    <col min="13" max="16384" width="9.140625" style="19"/>
  </cols>
  <sheetData>
    <row r="2" spans="1:10" x14ac:dyDescent="0.25">
      <c r="A2" s="18" t="s">
        <v>8</v>
      </c>
    </row>
    <row r="3" spans="1:10" x14ac:dyDescent="0.25">
      <c r="A3" s="21" t="s">
        <v>9</v>
      </c>
    </row>
    <row r="4" spans="1:10" x14ac:dyDescent="0.25">
      <c r="A4" s="21" t="s">
        <v>10</v>
      </c>
    </row>
    <row r="5" spans="1:10" x14ac:dyDescent="0.25">
      <c r="A5" s="21" t="s">
        <v>11</v>
      </c>
    </row>
    <row r="6" spans="1:10" x14ac:dyDescent="0.25">
      <c r="A6" s="21" t="s">
        <v>12</v>
      </c>
    </row>
    <row r="7" spans="1:10" x14ac:dyDescent="0.25">
      <c r="A7" s="21" t="s">
        <v>13</v>
      </c>
    </row>
    <row r="9" spans="1:10" ht="16.5" thickBot="1" x14ac:dyDescent="0.3">
      <c r="A9" s="22"/>
      <c r="B9" s="22"/>
      <c r="C9" s="22"/>
      <c r="D9" s="22"/>
      <c r="E9" s="22"/>
      <c r="F9" s="22"/>
      <c r="G9" s="22"/>
      <c r="H9" s="23"/>
      <c r="I9" s="23"/>
      <c r="J9" s="22"/>
    </row>
    <row r="10" spans="1:10" ht="23.25" customHeight="1" thickBot="1" x14ac:dyDescent="0.3">
      <c r="A10" s="111" t="s">
        <v>14</v>
      </c>
      <c r="B10" s="112"/>
      <c r="C10" s="112"/>
      <c r="D10" s="112"/>
      <c r="E10" s="112"/>
      <c r="F10" s="112"/>
      <c r="G10" s="112"/>
      <c r="H10" s="112"/>
      <c r="I10" s="112"/>
      <c r="J10" s="113"/>
    </row>
    <row r="12" spans="1:10" x14ac:dyDescent="0.25">
      <c r="A12" s="19" t="s">
        <v>15</v>
      </c>
      <c r="B12" s="19" t="s">
        <v>16</v>
      </c>
      <c r="G12" s="110" t="s">
        <v>51</v>
      </c>
      <c r="H12" s="110"/>
      <c r="I12" s="24" t="s">
        <v>17</v>
      </c>
      <c r="J12" s="25" t="s">
        <v>643</v>
      </c>
    </row>
    <row r="13" spans="1:10" x14ac:dyDescent="0.25">
      <c r="G13" s="110" t="s">
        <v>18</v>
      </c>
      <c r="H13" s="110"/>
      <c r="I13" s="24" t="s">
        <v>17</v>
      </c>
      <c r="J13" s="26" t="s">
        <v>644</v>
      </c>
    </row>
    <row r="14" spans="1:10" x14ac:dyDescent="0.25">
      <c r="G14" s="110" t="s">
        <v>53</v>
      </c>
      <c r="H14" s="110"/>
      <c r="I14" s="24" t="s">
        <v>17</v>
      </c>
      <c r="J14" s="19" t="s">
        <v>52</v>
      </c>
    </row>
    <row r="15" spans="1:10" x14ac:dyDescent="0.25">
      <c r="A15" s="19" t="s">
        <v>19</v>
      </c>
      <c r="B15" s="25" t="s">
        <v>20</v>
      </c>
      <c r="C15" s="25"/>
      <c r="I15" s="24"/>
      <c r="J15" s="19" t="s">
        <v>654</v>
      </c>
    </row>
    <row r="16" spans="1:10" ht="16.5" thickBot="1" x14ac:dyDescent="0.3"/>
    <row r="17" spans="1:12" ht="26.25" customHeight="1" x14ac:dyDescent="0.25">
      <c r="A17" s="27" t="s">
        <v>21</v>
      </c>
      <c r="B17" s="28" t="s">
        <v>22</v>
      </c>
      <c r="C17" s="28" t="s">
        <v>23</v>
      </c>
      <c r="D17" s="28" t="s">
        <v>24</v>
      </c>
      <c r="E17" s="28" t="s">
        <v>25</v>
      </c>
      <c r="F17" s="29" t="s">
        <v>26</v>
      </c>
      <c r="G17" s="29" t="s">
        <v>27</v>
      </c>
      <c r="H17" s="114" t="s">
        <v>28</v>
      </c>
      <c r="I17" s="115"/>
      <c r="J17" s="30" t="s">
        <v>29</v>
      </c>
    </row>
    <row r="18" spans="1:12" ht="48" customHeight="1" x14ac:dyDescent="0.25">
      <c r="A18" s="31">
        <v>1</v>
      </c>
      <c r="B18" s="32">
        <v>44425</v>
      </c>
      <c r="C18" s="33" t="s">
        <v>74</v>
      </c>
      <c r="D18" s="34" t="s">
        <v>49</v>
      </c>
      <c r="E18" s="34" t="s">
        <v>52</v>
      </c>
      <c r="F18" s="35">
        <v>16</v>
      </c>
      <c r="G18" s="36">
        <f>BKI032210029835!N19</f>
        <v>242</v>
      </c>
      <c r="H18" s="105">
        <v>7000</v>
      </c>
      <c r="I18" s="106"/>
      <c r="J18" s="37">
        <f>G18*H18</f>
        <v>1694000</v>
      </c>
      <c r="L18"/>
    </row>
    <row r="19" spans="1:12" ht="48" customHeight="1" x14ac:dyDescent="0.25">
      <c r="A19" s="31">
        <f>A18+1</f>
        <v>2</v>
      </c>
      <c r="B19" s="32">
        <v>44426</v>
      </c>
      <c r="C19" s="33" t="s">
        <v>79</v>
      </c>
      <c r="D19" s="34" t="s">
        <v>49</v>
      </c>
      <c r="E19" s="34" t="s">
        <v>52</v>
      </c>
      <c r="F19" s="35">
        <v>2</v>
      </c>
      <c r="G19" s="35">
        <f>BKI032210030874!N5</f>
        <v>19</v>
      </c>
      <c r="H19" s="105">
        <v>7000</v>
      </c>
      <c r="I19" s="106"/>
      <c r="J19" s="37">
        <f t="shared" ref="J19:J46" si="0">G19*H19</f>
        <v>133000</v>
      </c>
      <c r="L19"/>
    </row>
    <row r="20" spans="1:12" ht="48" customHeight="1" x14ac:dyDescent="0.25">
      <c r="A20" s="31">
        <f t="shared" ref="A20:A46" si="1">A19+1</f>
        <v>3</v>
      </c>
      <c r="B20" s="32">
        <v>44426</v>
      </c>
      <c r="C20" s="33" t="s">
        <v>641</v>
      </c>
      <c r="D20" s="34" t="s">
        <v>49</v>
      </c>
      <c r="E20" s="34" t="s">
        <v>52</v>
      </c>
      <c r="F20" s="35">
        <v>11</v>
      </c>
      <c r="G20" s="35">
        <f>BKI032210033894!N14</f>
        <v>225</v>
      </c>
      <c r="H20" s="105">
        <v>7000</v>
      </c>
      <c r="I20" s="106"/>
      <c r="J20" s="37">
        <f t="shared" si="0"/>
        <v>1575000</v>
      </c>
      <c r="L20"/>
    </row>
    <row r="21" spans="1:12" ht="48" customHeight="1" x14ac:dyDescent="0.25">
      <c r="A21" s="31">
        <f t="shared" si="1"/>
        <v>4</v>
      </c>
      <c r="B21" s="32">
        <v>44426</v>
      </c>
      <c r="C21" s="91" t="s">
        <v>571</v>
      </c>
      <c r="D21" s="34" t="s">
        <v>49</v>
      </c>
      <c r="E21" s="34" t="s">
        <v>52</v>
      </c>
      <c r="F21" s="35">
        <v>9</v>
      </c>
      <c r="G21" s="35">
        <f>BKI032210033886!N12</f>
        <v>270</v>
      </c>
      <c r="H21" s="105">
        <v>7000</v>
      </c>
      <c r="I21" s="106"/>
      <c r="J21" s="37">
        <f>G21*H21</f>
        <v>1890000</v>
      </c>
      <c r="L21"/>
    </row>
    <row r="22" spans="1:12" ht="48" customHeight="1" x14ac:dyDescent="0.25">
      <c r="A22" s="31">
        <f t="shared" si="1"/>
        <v>5</v>
      </c>
      <c r="B22" s="32">
        <v>44427</v>
      </c>
      <c r="C22" s="91" t="s">
        <v>100</v>
      </c>
      <c r="D22" s="34" t="s">
        <v>49</v>
      </c>
      <c r="E22" s="34" t="s">
        <v>52</v>
      </c>
      <c r="F22" s="35">
        <v>17</v>
      </c>
      <c r="G22" s="35">
        <f>BKI032210030890!N20</f>
        <v>333</v>
      </c>
      <c r="H22" s="105">
        <v>7000</v>
      </c>
      <c r="I22" s="106"/>
      <c r="J22" s="37">
        <f>G22*H22</f>
        <v>2331000</v>
      </c>
      <c r="L22"/>
    </row>
    <row r="23" spans="1:12" ht="48" customHeight="1" x14ac:dyDescent="0.25">
      <c r="A23" s="31">
        <f t="shared" si="1"/>
        <v>6</v>
      </c>
      <c r="B23" s="32">
        <v>44427</v>
      </c>
      <c r="C23" s="91" t="s">
        <v>104</v>
      </c>
      <c r="D23" s="34" t="s">
        <v>49</v>
      </c>
      <c r="E23" s="34" t="s">
        <v>52</v>
      </c>
      <c r="F23" s="35">
        <v>2</v>
      </c>
      <c r="G23" s="35">
        <f>BKI032210030882!N5</f>
        <v>21</v>
      </c>
      <c r="H23" s="105">
        <v>7000</v>
      </c>
      <c r="I23" s="106"/>
      <c r="J23" s="37">
        <f>G23*H23</f>
        <v>147000</v>
      </c>
      <c r="L23"/>
    </row>
    <row r="24" spans="1:12" ht="48" customHeight="1" x14ac:dyDescent="0.25">
      <c r="A24" s="31">
        <f t="shared" si="1"/>
        <v>7</v>
      </c>
      <c r="B24" s="32">
        <v>44428</v>
      </c>
      <c r="C24" s="91" t="s">
        <v>589</v>
      </c>
      <c r="D24" s="34" t="s">
        <v>49</v>
      </c>
      <c r="E24" s="34" t="s">
        <v>52</v>
      </c>
      <c r="F24" s="35">
        <v>1</v>
      </c>
      <c r="G24" s="35">
        <f>BKI032210033902!N4</f>
        <v>29</v>
      </c>
      <c r="H24" s="105">
        <v>7000</v>
      </c>
      <c r="I24" s="106"/>
      <c r="J24" s="37">
        <f t="shared" si="0"/>
        <v>203000</v>
      </c>
      <c r="L24"/>
    </row>
    <row r="25" spans="1:12" ht="48" customHeight="1" x14ac:dyDescent="0.25">
      <c r="A25" s="31">
        <f t="shared" si="1"/>
        <v>8</v>
      </c>
      <c r="B25" s="32">
        <v>44428</v>
      </c>
      <c r="C25" s="91" t="s">
        <v>572</v>
      </c>
      <c r="D25" s="34" t="s">
        <v>49</v>
      </c>
      <c r="E25" s="34" t="s">
        <v>52</v>
      </c>
      <c r="F25" s="35">
        <v>1</v>
      </c>
      <c r="G25" s="35">
        <f>BKI032210033688!N4</f>
        <v>15</v>
      </c>
      <c r="H25" s="105">
        <v>7000</v>
      </c>
      <c r="I25" s="106"/>
      <c r="J25" s="37">
        <f t="shared" si="0"/>
        <v>105000</v>
      </c>
      <c r="L25"/>
    </row>
    <row r="26" spans="1:12" ht="48" customHeight="1" x14ac:dyDescent="0.25">
      <c r="A26" s="31">
        <f t="shared" si="1"/>
        <v>9</v>
      </c>
      <c r="B26" s="32">
        <v>44428</v>
      </c>
      <c r="C26" s="91" t="s">
        <v>573</v>
      </c>
      <c r="D26" s="34" t="s">
        <v>49</v>
      </c>
      <c r="E26" s="34" t="s">
        <v>52</v>
      </c>
      <c r="F26" s="35">
        <v>32</v>
      </c>
      <c r="G26" s="35">
        <f>BKI032210033696!N35</f>
        <v>853</v>
      </c>
      <c r="H26" s="105">
        <v>7000</v>
      </c>
      <c r="I26" s="106"/>
      <c r="J26" s="37">
        <f t="shared" si="0"/>
        <v>5971000</v>
      </c>
      <c r="L26"/>
    </row>
    <row r="27" spans="1:12" ht="48" customHeight="1" x14ac:dyDescent="0.25">
      <c r="A27" s="31">
        <f t="shared" si="1"/>
        <v>10</v>
      </c>
      <c r="B27" s="32">
        <v>44428</v>
      </c>
      <c r="C27" s="90" t="s">
        <v>646</v>
      </c>
      <c r="D27" s="34" t="s">
        <v>49</v>
      </c>
      <c r="E27" s="34" t="s">
        <v>52</v>
      </c>
      <c r="F27" s="35">
        <v>15</v>
      </c>
      <c r="G27" s="35">
        <f>BKI032210033704!N18</f>
        <v>399</v>
      </c>
      <c r="H27" s="105">
        <v>7000</v>
      </c>
      <c r="I27" s="106"/>
      <c r="J27" s="37">
        <f t="shared" si="0"/>
        <v>2793000</v>
      </c>
      <c r="L27"/>
    </row>
    <row r="28" spans="1:12" ht="48" customHeight="1" x14ac:dyDescent="0.25">
      <c r="A28" s="31">
        <f t="shared" si="1"/>
        <v>11</v>
      </c>
      <c r="B28" s="32">
        <v>44428</v>
      </c>
      <c r="C28" s="33" t="s">
        <v>642</v>
      </c>
      <c r="D28" s="34" t="s">
        <v>49</v>
      </c>
      <c r="E28" s="34" t="s">
        <v>52</v>
      </c>
      <c r="F28" s="35">
        <v>10</v>
      </c>
      <c r="G28" s="35">
        <f>BKI032210033993!N13</f>
        <v>177</v>
      </c>
      <c r="H28" s="105">
        <v>7000</v>
      </c>
      <c r="I28" s="106"/>
      <c r="J28" s="37">
        <f t="shared" si="0"/>
        <v>1239000</v>
      </c>
      <c r="L28"/>
    </row>
    <row r="29" spans="1:12" ht="48" customHeight="1" x14ac:dyDescent="0.25">
      <c r="A29" s="31">
        <f t="shared" si="1"/>
        <v>12</v>
      </c>
      <c r="B29" s="32">
        <v>44429</v>
      </c>
      <c r="C29" s="33" t="s">
        <v>574</v>
      </c>
      <c r="D29" s="34" t="s">
        <v>49</v>
      </c>
      <c r="E29" s="34" t="s">
        <v>52</v>
      </c>
      <c r="F29" s="35">
        <v>12</v>
      </c>
      <c r="G29" s="35">
        <f>BKI032210033712!N15</f>
        <v>274</v>
      </c>
      <c r="H29" s="105">
        <v>7000</v>
      </c>
      <c r="I29" s="106"/>
      <c r="J29" s="37">
        <f t="shared" ref="J29:J45" si="2">G29*H29</f>
        <v>1918000</v>
      </c>
      <c r="L29"/>
    </row>
    <row r="30" spans="1:12" ht="48" customHeight="1" x14ac:dyDescent="0.25">
      <c r="A30" s="31">
        <f t="shared" si="1"/>
        <v>13</v>
      </c>
      <c r="B30" s="32">
        <v>44429</v>
      </c>
      <c r="C30" s="33" t="s">
        <v>647</v>
      </c>
      <c r="D30" s="34" t="s">
        <v>49</v>
      </c>
      <c r="E30" s="34" t="s">
        <v>52</v>
      </c>
      <c r="F30" s="35">
        <v>35</v>
      </c>
      <c r="G30" s="35">
        <f>BKI032210033985!N38</f>
        <v>775</v>
      </c>
      <c r="H30" s="105">
        <v>7000</v>
      </c>
      <c r="I30" s="106"/>
      <c r="J30" s="37">
        <f t="shared" si="2"/>
        <v>5425000</v>
      </c>
      <c r="L30"/>
    </row>
    <row r="31" spans="1:12" ht="48" customHeight="1" x14ac:dyDescent="0.25">
      <c r="A31" s="31">
        <f t="shared" si="1"/>
        <v>14</v>
      </c>
      <c r="B31" s="32">
        <v>44430</v>
      </c>
      <c r="C31" s="33" t="s">
        <v>575</v>
      </c>
      <c r="D31" s="34" t="s">
        <v>49</v>
      </c>
      <c r="E31" s="34" t="s">
        <v>52</v>
      </c>
      <c r="F31" s="35">
        <v>1</v>
      </c>
      <c r="G31" s="35">
        <f>BKI032210033720!N4</f>
        <v>14</v>
      </c>
      <c r="H31" s="105">
        <v>7000</v>
      </c>
      <c r="I31" s="106"/>
      <c r="J31" s="37">
        <f t="shared" si="2"/>
        <v>98000</v>
      </c>
      <c r="L31"/>
    </row>
    <row r="32" spans="1:12" ht="48" customHeight="1" x14ac:dyDescent="0.25">
      <c r="A32" s="31">
        <f t="shared" si="1"/>
        <v>15</v>
      </c>
      <c r="B32" s="32">
        <v>44430</v>
      </c>
      <c r="C32" s="33" t="s">
        <v>576</v>
      </c>
      <c r="D32" s="34" t="s">
        <v>49</v>
      </c>
      <c r="E32" s="34" t="s">
        <v>52</v>
      </c>
      <c r="F32" s="35">
        <v>29</v>
      </c>
      <c r="G32" s="35">
        <f>BKI032210033738!N32</f>
        <v>636</v>
      </c>
      <c r="H32" s="105">
        <v>7000</v>
      </c>
      <c r="I32" s="106"/>
      <c r="J32" s="37">
        <f t="shared" si="2"/>
        <v>4452000</v>
      </c>
      <c r="L32"/>
    </row>
    <row r="33" spans="1:12" ht="48" customHeight="1" x14ac:dyDescent="0.25">
      <c r="A33" s="31">
        <f t="shared" si="1"/>
        <v>16</v>
      </c>
      <c r="B33" s="32">
        <v>44431</v>
      </c>
      <c r="C33" s="33" t="s">
        <v>577</v>
      </c>
      <c r="D33" s="34" t="s">
        <v>49</v>
      </c>
      <c r="E33" s="34" t="s">
        <v>52</v>
      </c>
      <c r="F33" s="35">
        <v>8</v>
      </c>
      <c r="G33" s="35">
        <f>BKI032210033746!N11</f>
        <v>178</v>
      </c>
      <c r="H33" s="105">
        <v>7000</v>
      </c>
      <c r="I33" s="106"/>
      <c r="J33" s="37">
        <f t="shared" si="2"/>
        <v>1246000</v>
      </c>
      <c r="L33"/>
    </row>
    <row r="34" spans="1:12" ht="48" customHeight="1" x14ac:dyDescent="0.25">
      <c r="A34" s="31">
        <f t="shared" si="1"/>
        <v>17</v>
      </c>
      <c r="B34" s="32">
        <v>44432</v>
      </c>
      <c r="C34" s="33" t="s">
        <v>578</v>
      </c>
      <c r="D34" s="34" t="s">
        <v>49</v>
      </c>
      <c r="E34" s="34" t="s">
        <v>52</v>
      </c>
      <c r="F34" s="35">
        <v>33</v>
      </c>
      <c r="G34" s="35">
        <f>BKI032210033753!N36</f>
        <v>518</v>
      </c>
      <c r="H34" s="105">
        <v>7000</v>
      </c>
      <c r="I34" s="106"/>
      <c r="J34" s="37">
        <f t="shared" si="2"/>
        <v>3626000</v>
      </c>
      <c r="L34"/>
    </row>
    <row r="35" spans="1:12" ht="48" customHeight="1" x14ac:dyDescent="0.25">
      <c r="A35" s="31">
        <f t="shared" si="1"/>
        <v>18</v>
      </c>
      <c r="B35" s="32">
        <v>44433</v>
      </c>
      <c r="C35" s="33" t="s">
        <v>648</v>
      </c>
      <c r="D35" s="34" t="s">
        <v>49</v>
      </c>
      <c r="E35" s="34" t="s">
        <v>52</v>
      </c>
      <c r="F35" s="35">
        <v>17</v>
      </c>
      <c r="G35" s="35">
        <f>BKI032210033761!N20</f>
        <v>362</v>
      </c>
      <c r="H35" s="105">
        <v>7000</v>
      </c>
      <c r="I35" s="106"/>
      <c r="J35" s="37">
        <f t="shared" si="2"/>
        <v>2534000</v>
      </c>
      <c r="L35"/>
    </row>
    <row r="36" spans="1:12" ht="48" customHeight="1" x14ac:dyDescent="0.25">
      <c r="A36" s="31">
        <f t="shared" si="1"/>
        <v>19</v>
      </c>
      <c r="B36" s="32">
        <v>44434</v>
      </c>
      <c r="C36" s="33" t="s">
        <v>579</v>
      </c>
      <c r="D36" s="34" t="s">
        <v>49</v>
      </c>
      <c r="E36" s="34" t="s">
        <v>52</v>
      </c>
      <c r="F36" s="35">
        <v>45</v>
      </c>
      <c r="G36" s="35">
        <f>BKI032210033779!N48</f>
        <v>823</v>
      </c>
      <c r="H36" s="105">
        <v>7000</v>
      </c>
      <c r="I36" s="106"/>
      <c r="J36" s="37">
        <f t="shared" si="2"/>
        <v>5761000</v>
      </c>
      <c r="L36"/>
    </row>
    <row r="37" spans="1:12" ht="48" customHeight="1" x14ac:dyDescent="0.25">
      <c r="A37" s="31">
        <f t="shared" si="1"/>
        <v>20</v>
      </c>
      <c r="B37" s="32">
        <v>44435</v>
      </c>
      <c r="C37" s="33" t="s">
        <v>580</v>
      </c>
      <c r="D37" s="34" t="s">
        <v>49</v>
      </c>
      <c r="E37" s="34" t="s">
        <v>52</v>
      </c>
      <c r="F37" s="35">
        <v>14</v>
      </c>
      <c r="G37" s="35">
        <f>BKI032210033787!N17</f>
        <v>272</v>
      </c>
      <c r="H37" s="105">
        <v>7000</v>
      </c>
      <c r="I37" s="106"/>
      <c r="J37" s="37">
        <f t="shared" si="2"/>
        <v>1904000</v>
      </c>
      <c r="L37"/>
    </row>
    <row r="38" spans="1:12" ht="48" customHeight="1" x14ac:dyDescent="0.25">
      <c r="A38" s="31">
        <f t="shared" si="1"/>
        <v>21</v>
      </c>
      <c r="B38" s="32">
        <v>44435</v>
      </c>
      <c r="C38" s="33" t="s">
        <v>581</v>
      </c>
      <c r="D38" s="34" t="s">
        <v>49</v>
      </c>
      <c r="E38" s="34" t="s">
        <v>52</v>
      </c>
      <c r="F38" s="35">
        <v>47</v>
      </c>
      <c r="G38" s="35">
        <f>BKI032210033795!N50</f>
        <v>1413</v>
      </c>
      <c r="H38" s="105">
        <v>7000</v>
      </c>
      <c r="I38" s="106"/>
      <c r="J38" s="37">
        <f t="shared" si="2"/>
        <v>9891000</v>
      </c>
      <c r="L38"/>
    </row>
    <row r="39" spans="1:12" ht="48" customHeight="1" x14ac:dyDescent="0.25">
      <c r="A39" s="31">
        <f t="shared" si="1"/>
        <v>22</v>
      </c>
      <c r="B39" s="32">
        <v>44435</v>
      </c>
      <c r="C39" s="33" t="s">
        <v>582</v>
      </c>
      <c r="D39" s="34" t="s">
        <v>49</v>
      </c>
      <c r="E39" s="34" t="s">
        <v>52</v>
      </c>
      <c r="F39" s="35">
        <v>11</v>
      </c>
      <c r="G39" s="35">
        <f>BKI032210033803!N14</f>
        <v>181</v>
      </c>
      <c r="H39" s="105">
        <v>7000</v>
      </c>
      <c r="I39" s="106"/>
      <c r="J39" s="37">
        <f t="shared" si="2"/>
        <v>1267000</v>
      </c>
      <c r="L39"/>
    </row>
    <row r="40" spans="1:12" ht="48" customHeight="1" x14ac:dyDescent="0.25">
      <c r="A40" s="31">
        <f t="shared" si="1"/>
        <v>23</v>
      </c>
      <c r="B40" s="32">
        <v>44436</v>
      </c>
      <c r="C40" s="33" t="s">
        <v>583</v>
      </c>
      <c r="D40" s="34" t="s">
        <v>49</v>
      </c>
      <c r="E40" s="34" t="s">
        <v>52</v>
      </c>
      <c r="F40" s="35">
        <v>17</v>
      </c>
      <c r="G40" s="35">
        <f>BKI032210033811!N20</f>
        <v>515</v>
      </c>
      <c r="H40" s="105">
        <v>7000</v>
      </c>
      <c r="I40" s="106"/>
      <c r="J40" s="37">
        <f t="shared" si="2"/>
        <v>3605000</v>
      </c>
      <c r="L40"/>
    </row>
    <row r="41" spans="1:12" ht="48" customHeight="1" x14ac:dyDescent="0.25">
      <c r="A41" s="31">
        <f t="shared" si="1"/>
        <v>24</v>
      </c>
      <c r="B41" s="32">
        <v>44436</v>
      </c>
      <c r="C41" s="33" t="s">
        <v>584</v>
      </c>
      <c r="D41" s="34" t="s">
        <v>49</v>
      </c>
      <c r="E41" s="34" t="s">
        <v>52</v>
      </c>
      <c r="F41" s="35">
        <v>28</v>
      </c>
      <c r="G41" s="35">
        <f>BKI032210033829!N31</f>
        <v>283</v>
      </c>
      <c r="H41" s="105">
        <v>7000</v>
      </c>
      <c r="I41" s="106"/>
      <c r="J41" s="37">
        <f t="shared" si="2"/>
        <v>1981000</v>
      </c>
      <c r="L41"/>
    </row>
    <row r="42" spans="1:12" ht="48" customHeight="1" x14ac:dyDescent="0.25">
      <c r="A42" s="31">
        <f t="shared" si="1"/>
        <v>25</v>
      </c>
      <c r="B42" s="32">
        <v>44437</v>
      </c>
      <c r="C42" s="33" t="s">
        <v>585</v>
      </c>
      <c r="D42" s="34" t="s">
        <v>49</v>
      </c>
      <c r="E42" s="34" t="s">
        <v>52</v>
      </c>
      <c r="F42" s="35">
        <v>16</v>
      </c>
      <c r="G42" s="35">
        <f>BKI032210033837!N19</f>
        <v>330</v>
      </c>
      <c r="H42" s="105">
        <v>7000</v>
      </c>
      <c r="I42" s="106"/>
      <c r="J42" s="37">
        <f t="shared" si="2"/>
        <v>2310000</v>
      </c>
      <c r="L42"/>
    </row>
    <row r="43" spans="1:12" ht="48" customHeight="1" x14ac:dyDescent="0.25">
      <c r="A43" s="31">
        <f t="shared" si="1"/>
        <v>26</v>
      </c>
      <c r="B43" s="32">
        <v>44437</v>
      </c>
      <c r="C43" s="33" t="s">
        <v>586</v>
      </c>
      <c r="D43" s="34" t="s">
        <v>49</v>
      </c>
      <c r="E43" s="34" t="s">
        <v>52</v>
      </c>
      <c r="F43" s="35">
        <v>14</v>
      </c>
      <c r="G43" s="35">
        <f>BKI032210033845!N17</f>
        <v>114</v>
      </c>
      <c r="H43" s="105">
        <v>7000</v>
      </c>
      <c r="I43" s="106"/>
      <c r="J43" s="37">
        <f t="shared" si="2"/>
        <v>798000</v>
      </c>
      <c r="L43"/>
    </row>
    <row r="44" spans="1:12" ht="48" customHeight="1" x14ac:dyDescent="0.25">
      <c r="A44" s="31">
        <f t="shared" si="1"/>
        <v>27</v>
      </c>
      <c r="B44" s="32">
        <v>44438</v>
      </c>
      <c r="C44" s="33" t="s">
        <v>587</v>
      </c>
      <c r="D44" s="34" t="s">
        <v>49</v>
      </c>
      <c r="E44" s="34" t="s">
        <v>52</v>
      </c>
      <c r="F44" s="35">
        <v>6</v>
      </c>
      <c r="G44" s="35">
        <f>BKI032210033852!N9</f>
        <v>157</v>
      </c>
      <c r="H44" s="105">
        <v>7000</v>
      </c>
      <c r="I44" s="106"/>
      <c r="J44" s="37">
        <f t="shared" si="2"/>
        <v>1099000</v>
      </c>
      <c r="L44"/>
    </row>
    <row r="45" spans="1:12" ht="48" customHeight="1" x14ac:dyDescent="0.25">
      <c r="A45" s="31">
        <f t="shared" si="1"/>
        <v>28</v>
      </c>
      <c r="B45" s="32">
        <v>44439</v>
      </c>
      <c r="C45" s="33" t="s">
        <v>588</v>
      </c>
      <c r="D45" s="34" t="s">
        <v>49</v>
      </c>
      <c r="E45" s="34" t="s">
        <v>52</v>
      </c>
      <c r="F45" s="35">
        <v>16</v>
      </c>
      <c r="G45" s="35">
        <f>BKI032210033860!N19</f>
        <v>326</v>
      </c>
      <c r="H45" s="105">
        <v>7000</v>
      </c>
      <c r="I45" s="106"/>
      <c r="J45" s="37">
        <f t="shared" si="2"/>
        <v>2282000</v>
      </c>
      <c r="L45"/>
    </row>
    <row r="46" spans="1:12" ht="48" customHeight="1" x14ac:dyDescent="0.25">
      <c r="A46" s="31">
        <f t="shared" si="1"/>
        <v>29</v>
      </c>
      <c r="B46" s="32">
        <v>44439</v>
      </c>
      <c r="C46" s="33" t="s">
        <v>645</v>
      </c>
      <c r="D46" s="34" t="s">
        <v>49</v>
      </c>
      <c r="E46" s="34" t="s">
        <v>52</v>
      </c>
      <c r="F46" s="35">
        <v>31</v>
      </c>
      <c r="G46" s="35">
        <f>BKI032210033878!N34</f>
        <v>338</v>
      </c>
      <c r="H46" s="105">
        <v>7000</v>
      </c>
      <c r="I46" s="106"/>
      <c r="J46" s="37">
        <f t="shared" si="0"/>
        <v>2366000</v>
      </c>
      <c r="L46"/>
    </row>
    <row r="47" spans="1:12" ht="32.25" customHeight="1" thickBot="1" x14ac:dyDescent="0.3">
      <c r="A47" s="116" t="s">
        <v>30</v>
      </c>
      <c r="B47" s="117"/>
      <c r="C47" s="117"/>
      <c r="D47" s="117"/>
      <c r="E47" s="117"/>
      <c r="F47" s="117"/>
      <c r="G47" s="117"/>
      <c r="H47" s="117"/>
      <c r="I47" s="118"/>
      <c r="J47" s="38">
        <f>SUM(J18:J46)</f>
        <v>70644000</v>
      </c>
      <c r="L47" s="86" t="e">
        <f>BKI032210029835!P24+BKI032210030874!P10+BKI032210033894!P19+#REF!+BKI032210033886!P17+BKI032210030890!P25+BKI032210030882!P10+BKI032210033902!P9+BKI032210033688!P9+BKI032210033696!P40+BKI032210033704!P23+BKI032210033993!P18+BKI032210033712!P20+BKI032210033985!P43+BKI032210033720!P9+BKI032210033738!P37+BKI032210033746!P16+BKI032210033753!P41+BKI032210033761!P25+BKI032210033779!P53+BKI032210033787!P22+BKI032210033795!P55+BKI032210033803!P19+BKI032210033811!P25+BKI032210033829!P36+BKI032210033837!P24+BKI032210033845!P22+BKI032210033852!P14+BKI032210033860!P24+BKI032210033878!P39</f>
        <v>#REF!</v>
      </c>
    </row>
    <row r="48" spans="1:12" x14ac:dyDescent="0.25">
      <c r="A48" s="119"/>
      <c r="B48" s="119"/>
      <c r="C48" s="39"/>
      <c r="D48" s="39"/>
      <c r="E48" s="39"/>
      <c r="F48" s="39"/>
      <c r="G48" s="39"/>
      <c r="H48" s="40"/>
      <c r="I48" s="40"/>
      <c r="J48" s="41"/>
    </row>
    <row r="49" spans="1:12" x14ac:dyDescent="0.25">
      <c r="A49" s="92"/>
      <c r="B49" s="92"/>
      <c r="C49" s="92"/>
      <c r="D49" s="92"/>
      <c r="E49" s="92"/>
      <c r="F49" s="92"/>
      <c r="G49" s="42" t="s">
        <v>649</v>
      </c>
      <c r="H49" s="42"/>
      <c r="I49" s="40"/>
      <c r="J49" s="41">
        <v>0</v>
      </c>
      <c r="L49" s="43"/>
    </row>
    <row r="50" spans="1:12" x14ac:dyDescent="0.25">
      <c r="A50" s="92"/>
      <c r="B50" s="92"/>
      <c r="C50" s="92"/>
      <c r="D50" s="92"/>
      <c r="E50" s="92"/>
      <c r="F50" s="92"/>
      <c r="G50" s="100" t="s">
        <v>650</v>
      </c>
      <c r="H50" s="100"/>
      <c r="I50" s="101"/>
      <c r="J50" s="103">
        <f>J47-J49</f>
        <v>70644000</v>
      </c>
      <c r="L50" s="43"/>
    </row>
    <row r="51" spans="1:12" x14ac:dyDescent="0.25">
      <c r="A51" s="92"/>
      <c r="B51" s="92"/>
      <c r="C51" s="92"/>
      <c r="D51" s="92"/>
      <c r="E51" s="92"/>
      <c r="F51" s="92"/>
      <c r="G51" s="42" t="s">
        <v>31</v>
      </c>
      <c r="H51" s="42"/>
      <c r="I51" s="43" t="e">
        <f>#REF!*1%</f>
        <v>#REF!</v>
      </c>
      <c r="J51" s="41">
        <f>J50*1%</f>
        <v>706440</v>
      </c>
    </row>
    <row r="52" spans="1:12" ht="16.5" thickBot="1" x14ac:dyDescent="0.3">
      <c r="A52" s="92"/>
      <c r="B52" s="92"/>
      <c r="C52" s="92"/>
      <c r="D52" s="92"/>
      <c r="E52" s="92"/>
      <c r="F52" s="92"/>
      <c r="G52" s="102" t="s">
        <v>652</v>
      </c>
      <c r="H52" s="102"/>
      <c r="I52" s="44">
        <f>I48*10%</f>
        <v>0</v>
      </c>
      <c r="J52" s="44">
        <f>J50*2%</f>
        <v>1412880</v>
      </c>
    </row>
    <row r="53" spans="1:12" x14ac:dyDescent="0.25">
      <c r="E53" s="18"/>
      <c r="F53" s="18"/>
      <c r="G53" s="45" t="s">
        <v>653</v>
      </c>
      <c r="H53" s="45"/>
      <c r="I53" s="46" t="e">
        <f>I47+I51</f>
        <v>#REF!</v>
      </c>
      <c r="J53" s="46">
        <f>J50+J51-J52</f>
        <v>69937560</v>
      </c>
    </row>
    <row r="54" spans="1:12" x14ac:dyDescent="0.25">
      <c r="E54" s="18"/>
      <c r="F54" s="18"/>
      <c r="G54" s="45"/>
      <c r="H54" s="45"/>
      <c r="I54" s="46"/>
      <c r="J54" s="46"/>
    </row>
    <row r="55" spans="1:12" x14ac:dyDescent="0.25">
      <c r="A55" s="18" t="s">
        <v>655</v>
      </c>
      <c r="D55" s="18"/>
      <c r="E55" s="18"/>
      <c r="F55" s="18"/>
      <c r="G55" s="18"/>
      <c r="H55" s="45"/>
      <c r="I55" s="45"/>
      <c r="J55" s="46"/>
    </row>
    <row r="56" spans="1:12" x14ac:dyDescent="0.25">
      <c r="A56" s="47"/>
      <c r="D56" s="18"/>
      <c r="E56" s="18"/>
      <c r="F56" s="18"/>
      <c r="G56" s="18"/>
      <c r="H56" s="45"/>
      <c r="I56" s="45"/>
      <c r="J56" s="46"/>
    </row>
    <row r="57" spans="1:12" x14ac:dyDescent="0.25">
      <c r="D57" s="18"/>
      <c r="E57" s="18"/>
      <c r="F57" s="18"/>
      <c r="G57" s="18"/>
      <c r="H57" s="45"/>
      <c r="I57" s="45"/>
      <c r="J57" s="46"/>
    </row>
    <row r="58" spans="1:12" x14ac:dyDescent="0.25">
      <c r="A58" s="48" t="s">
        <v>33</v>
      </c>
    </row>
    <row r="59" spans="1:12" x14ac:dyDescent="0.25">
      <c r="A59" s="49" t="s">
        <v>34</v>
      </c>
      <c r="B59" s="50"/>
      <c r="C59" s="50"/>
      <c r="D59" s="51"/>
      <c r="E59" s="51"/>
      <c r="F59" s="51"/>
      <c r="G59" s="51"/>
    </row>
    <row r="60" spans="1:12" x14ac:dyDescent="0.25">
      <c r="A60" s="49" t="s">
        <v>35</v>
      </c>
      <c r="B60" s="50"/>
      <c r="C60" s="50"/>
      <c r="D60" s="51"/>
      <c r="E60" s="51"/>
      <c r="F60" s="51"/>
      <c r="G60" s="51"/>
    </row>
    <row r="61" spans="1:12" x14ac:dyDescent="0.25">
      <c r="A61" s="52" t="s">
        <v>36</v>
      </c>
      <c r="B61" s="53"/>
      <c r="C61" s="53"/>
      <c r="D61" s="51"/>
      <c r="E61" s="51"/>
      <c r="F61" s="51"/>
      <c r="G61" s="51"/>
    </row>
    <row r="62" spans="1:12" x14ac:dyDescent="0.25">
      <c r="A62" s="54" t="s">
        <v>8</v>
      </c>
      <c r="B62" s="55"/>
      <c r="C62" s="55"/>
      <c r="D62" s="51"/>
      <c r="E62" s="51"/>
      <c r="F62" s="51"/>
      <c r="G62" s="51"/>
    </row>
    <row r="63" spans="1:12" x14ac:dyDescent="0.25">
      <c r="A63" s="56"/>
      <c r="B63" s="56"/>
      <c r="C63" s="56"/>
    </row>
    <row r="64" spans="1:12" x14ac:dyDescent="0.25">
      <c r="H64" s="57" t="s">
        <v>37</v>
      </c>
      <c r="I64" s="107" t="str">
        <f>+J13</f>
        <v xml:space="preserve"> 24 September 21</v>
      </c>
      <c r="J64" s="108"/>
    </row>
    <row r="68" spans="8:10" ht="18" customHeight="1" x14ac:dyDescent="0.25"/>
    <row r="69" spans="8:10" ht="17.25" customHeight="1" x14ac:dyDescent="0.25"/>
    <row r="71" spans="8:10" x14ac:dyDescent="0.25">
      <c r="H71" s="109" t="s">
        <v>38</v>
      </c>
      <c r="I71" s="109"/>
      <c r="J71" s="109"/>
    </row>
  </sheetData>
  <mergeCells count="38">
    <mergeCell ref="A10:J10"/>
    <mergeCell ref="H17:I17"/>
    <mergeCell ref="H18:I18"/>
    <mergeCell ref="A47:I47"/>
    <mergeCell ref="A48:B48"/>
    <mergeCell ref="H19:I19"/>
    <mergeCell ref="H20:I20"/>
    <mergeCell ref="H24:I24"/>
    <mergeCell ref="H22:I22"/>
    <mergeCell ref="H21:I21"/>
    <mergeCell ref="H25:I25"/>
    <mergeCell ref="H28:I28"/>
    <mergeCell ref="H46:I46"/>
    <mergeCell ref="H23:I23"/>
    <mergeCell ref="H38:I38"/>
    <mergeCell ref="H71:J71"/>
    <mergeCell ref="G14:H14"/>
    <mergeCell ref="G13:H13"/>
    <mergeCell ref="G12:H12"/>
    <mergeCell ref="H26:I26"/>
    <mergeCell ref="H27:I27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9:I39"/>
    <mergeCell ref="H40:I40"/>
    <mergeCell ref="H41:I41"/>
    <mergeCell ref="H42:I42"/>
    <mergeCell ref="I64:J64"/>
    <mergeCell ref="H43:I43"/>
    <mergeCell ref="H44:I44"/>
    <mergeCell ref="H45:I45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5"/>
  <sheetViews>
    <sheetView zoomScale="110" zoomScaleNormal="110" workbookViewId="0">
      <pane xSplit="3" ySplit="2" topLeftCell="D33" activePane="bottomRight" state="frozen"/>
      <selection pane="topRight" activeCell="B1" sqref="B1"/>
      <selection pane="bottomLeft" activeCell="A3" sqref="A3"/>
      <selection pane="bottomRight" activeCell="G5" sqref="G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2851562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26.25" customHeight="1" x14ac:dyDescent="0.2">
      <c r="A3" s="120" t="s">
        <v>573</v>
      </c>
      <c r="B3" s="77" t="s">
        <v>109</v>
      </c>
      <c r="C3" s="9" t="s">
        <v>110</v>
      </c>
      <c r="D3" s="79" t="s">
        <v>49</v>
      </c>
      <c r="E3" s="13">
        <v>44428</v>
      </c>
      <c r="F3" s="79" t="s">
        <v>98</v>
      </c>
      <c r="G3" s="13">
        <v>44431</v>
      </c>
      <c r="H3" s="10" t="s">
        <v>99</v>
      </c>
      <c r="I3" s="1">
        <v>90</v>
      </c>
      <c r="J3" s="1">
        <v>62</v>
      </c>
      <c r="K3" s="1">
        <v>22</v>
      </c>
      <c r="L3" s="1">
        <v>25</v>
      </c>
      <c r="M3" s="83">
        <v>30.69</v>
      </c>
      <c r="N3" s="8">
        <v>31</v>
      </c>
      <c r="O3" s="67">
        <v>7000</v>
      </c>
      <c r="P3" s="68">
        <f>Table22457891011234567[[#This Row],[PEMBULATAN]]*O3</f>
        <v>217000</v>
      </c>
    </row>
    <row r="4" spans="1:16" ht="26.25" customHeight="1" x14ac:dyDescent="0.2">
      <c r="A4" s="121"/>
      <c r="B4" s="78"/>
      <c r="C4" s="9" t="s">
        <v>111</v>
      </c>
      <c r="D4" s="79" t="s">
        <v>49</v>
      </c>
      <c r="E4" s="13">
        <v>44428</v>
      </c>
      <c r="F4" s="79" t="s">
        <v>98</v>
      </c>
      <c r="G4" s="13">
        <v>44431</v>
      </c>
      <c r="H4" s="10" t="s">
        <v>99</v>
      </c>
      <c r="I4" s="1">
        <v>90</v>
      </c>
      <c r="J4" s="1">
        <v>53</v>
      </c>
      <c r="K4" s="1">
        <v>33</v>
      </c>
      <c r="L4" s="1">
        <v>25</v>
      </c>
      <c r="M4" s="83">
        <v>39.352499999999999</v>
      </c>
      <c r="N4" s="8">
        <v>39</v>
      </c>
      <c r="O4" s="67">
        <v>7000</v>
      </c>
      <c r="P4" s="68">
        <f>Table22457891011234567[[#This Row],[PEMBULATAN]]*O4</f>
        <v>273000</v>
      </c>
    </row>
    <row r="5" spans="1:16" ht="26.25" customHeight="1" x14ac:dyDescent="0.2">
      <c r="A5" s="14"/>
      <c r="B5" s="14"/>
      <c r="C5" s="9" t="s">
        <v>112</v>
      </c>
      <c r="D5" s="79" t="s">
        <v>49</v>
      </c>
      <c r="E5" s="13">
        <v>44428</v>
      </c>
      <c r="F5" s="79" t="s">
        <v>98</v>
      </c>
      <c r="G5" s="13">
        <v>44431</v>
      </c>
      <c r="H5" s="10" t="s">
        <v>99</v>
      </c>
      <c r="I5" s="1">
        <v>98</v>
      </c>
      <c r="J5" s="1">
        <v>54</v>
      </c>
      <c r="K5" s="1">
        <v>34</v>
      </c>
      <c r="L5" s="1">
        <v>42</v>
      </c>
      <c r="M5" s="83">
        <v>44.981999999999999</v>
      </c>
      <c r="N5" s="8">
        <v>45</v>
      </c>
      <c r="O5" s="67">
        <v>7000</v>
      </c>
      <c r="P5" s="68">
        <f>Table22457891011234567[[#This Row],[PEMBULATAN]]*O5</f>
        <v>315000</v>
      </c>
    </row>
    <row r="6" spans="1:16" ht="26.25" customHeight="1" x14ac:dyDescent="0.2">
      <c r="A6" s="14"/>
      <c r="B6" s="14"/>
      <c r="C6" s="76" t="s">
        <v>113</v>
      </c>
      <c r="D6" s="81" t="s">
        <v>49</v>
      </c>
      <c r="E6" s="13">
        <v>44428</v>
      </c>
      <c r="F6" s="79" t="s">
        <v>98</v>
      </c>
      <c r="G6" s="13">
        <v>44431</v>
      </c>
      <c r="H6" s="80" t="s">
        <v>99</v>
      </c>
      <c r="I6" s="17">
        <v>78</v>
      </c>
      <c r="J6" s="17">
        <v>45</v>
      </c>
      <c r="K6" s="17">
        <v>25</v>
      </c>
      <c r="L6" s="17">
        <v>16</v>
      </c>
      <c r="M6" s="84">
        <v>21.9375</v>
      </c>
      <c r="N6" s="75">
        <v>22</v>
      </c>
      <c r="O6" s="67">
        <v>7000</v>
      </c>
      <c r="P6" s="68">
        <f>Table22457891011234567[[#This Row],[PEMBULATAN]]*O6</f>
        <v>154000</v>
      </c>
    </row>
    <row r="7" spans="1:16" ht="26.25" customHeight="1" x14ac:dyDescent="0.2">
      <c r="A7" s="14"/>
      <c r="B7" s="14"/>
      <c r="C7" s="76" t="s">
        <v>114</v>
      </c>
      <c r="D7" s="81" t="s">
        <v>49</v>
      </c>
      <c r="E7" s="13">
        <v>44428</v>
      </c>
      <c r="F7" s="79" t="s">
        <v>98</v>
      </c>
      <c r="G7" s="13">
        <v>44431</v>
      </c>
      <c r="H7" s="80" t="s">
        <v>99</v>
      </c>
      <c r="I7" s="17">
        <v>110</v>
      </c>
      <c r="J7" s="17">
        <v>52</v>
      </c>
      <c r="K7" s="17">
        <v>25</v>
      </c>
      <c r="L7" s="17">
        <v>10</v>
      </c>
      <c r="M7" s="84">
        <v>35.75</v>
      </c>
      <c r="N7" s="75">
        <v>36</v>
      </c>
      <c r="O7" s="67">
        <v>7000</v>
      </c>
      <c r="P7" s="68">
        <f>Table22457891011234567[[#This Row],[PEMBULATAN]]*O7</f>
        <v>252000</v>
      </c>
    </row>
    <row r="8" spans="1:16" ht="26.25" customHeight="1" x14ac:dyDescent="0.2">
      <c r="A8" s="14"/>
      <c r="B8" s="14"/>
      <c r="C8" s="76" t="s">
        <v>115</v>
      </c>
      <c r="D8" s="81" t="s">
        <v>49</v>
      </c>
      <c r="E8" s="13">
        <v>44428</v>
      </c>
      <c r="F8" s="79" t="s">
        <v>98</v>
      </c>
      <c r="G8" s="13">
        <v>44431</v>
      </c>
      <c r="H8" s="80" t="s">
        <v>99</v>
      </c>
      <c r="I8" s="17">
        <v>78</v>
      </c>
      <c r="J8" s="17">
        <v>34</v>
      </c>
      <c r="K8" s="17">
        <v>23</v>
      </c>
      <c r="L8" s="17">
        <v>27</v>
      </c>
      <c r="M8" s="84">
        <v>15.249000000000001</v>
      </c>
      <c r="N8" s="75">
        <v>27</v>
      </c>
      <c r="O8" s="67">
        <v>7000</v>
      </c>
      <c r="P8" s="68">
        <f>Table22457891011234567[[#This Row],[PEMBULATAN]]*O8</f>
        <v>189000</v>
      </c>
    </row>
    <row r="9" spans="1:16" ht="26.25" customHeight="1" x14ac:dyDescent="0.2">
      <c r="A9" s="14"/>
      <c r="B9" s="14"/>
      <c r="C9" s="76" t="s">
        <v>116</v>
      </c>
      <c r="D9" s="81" t="s">
        <v>49</v>
      </c>
      <c r="E9" s="13">
        <v>44428</v>
      </c>
      <c r="F9" s="79" t="s">
        <v>98</v>
      </c>
      <c r="G9" s="13">
        <v>44431</v>
      </c>
      <c r="H9" s="80" t="s">
        <v>99</v>
      </c>
      <c r="I9" s="17">
        <v>67</v>
      </c>
      <c r="J9" s="17">
        <v>34</v>
      </c>
      <c r="K9" s="17">
        <v>23</v>
      </c>
      <c r="L9" s="17">
        <v>6</v>
      </c>
      <c r="M9" s="84">
        <v>13.0985</v>
      </c>
      <c r="N9" s="75">
        <v>13</v>
      </c>
      <c r="O9" s="67">
        <v>7000</v>
      </c>
      <c r="P9" s="68">
        <f>Table22457891011234567[[#This Row],[PEMBULATAN]]*O9</f>
        <v>91000</v>
      </c>
    </row>
    <row r="10" spans="1:16" ht="26.25" customHeight="1" x14ac:dyDescent="0.2">
      <c r="A10" s="14"/>
      <c r="B10" s="14"/>
      <c r="C10" s="76" t="s">
        <v>117</v>
      </c>
      <c r="D10" s="81" t="s">
        <v>49</v>
      </c>
      <c r="E10" s="13">
        <v>44428</v>
      </c>
      <c r="F10" s="79" t="s">
        <v>98</v>
      </c>
      <c r="G10" s="13">
        <v>44431</v>
      </c>
      <c r="H10" s="80" t="s">
        <v>99</v>
      </c>
      <c r="I10" s="17">
        <v>186</v>
      </c>
      <c r="J10" s="17">
        <v>7</v>
      </c>
      <c r="K10" s="17">
        <v>6</v>
      </c>
      <c r="L10" s="17">
        <v>8</v>
      </c>
      <c r="M10" s="84">
        <v>1.9530000000000001</v>
      </c>
      <c r="N10" s="75">
        <v>8</v>
      </c>
      <c r="O10" s="67">
        <v>7000</v>
      </c>
      <c r="P10" s="68">
        <f>Table22457891011234567[[#This Row],[PEMBULATAN]]*O10</f>
        <v>56000</v>
      </c>
    </row>
    <row r="11" spans="1:16" ht="26.25" customHeight="1" x14ac:dyDescent="0.2">
      <c r="A11" s="14"/>
      <c r="B11" s="14"/>
      <c r="C11" s="76" t="s">
        <v>118</v>
      </c>
      <c r="D11" s="81" t="s">
        <v>49</v>
      </c>
      <c r="E11" s="13">
        <v>44428</v>
      </c>
      <c r="F11" s="79" t="s">
        <v>98</v>
      </c>
      <c r="G11" s="13">
        <v>44431</v>
      </c>
      <c r="H11" s="80" t="s">
        <v>99</v>
      </c>
      <c r="I11" s="17">
        <v>90</v>
      </c>
      <c r="J11" s="17">
        <v>60</v>
      </c>
      <c r="K11" s="17">
        <v>22</v>
      </c>
      <c r="L11" s="17">
        <v>28</v>
      </c>
      <c r="M11" s="84">
        <v>29.7</v>
      </c>
      <c r="N11" s="75">
        <v>30</v>
      </c>
      <c r="O11" s="67">
        <v>7000</v>
      </c>
      <c r="P11" s="68">
        <f>Table22457891011234567[[#This Row],[PEMBULATAN]]*O11</f>
        <v>210000</v>
      </c>
    </row>
    <row r="12" spans="1:16" ht="26.25" customHeight="1" x14ac:dyDescent="0.2">
      <c r="A12" s="14"/>
      <c r="B12" s="14"/>
      <c r="C12" s="76" t="s">
        <v>119</v>
      </c>
      <c r="D12" s="81" t="s">
        <v>49</v>
      </c>
      <c r="E12" s="13">
        <v>44428</v>
      </c>
      <c r="F12" s="79" t="s">
        <v>98</v>
      </c>
      <c r="G12" s="13">
        <v>44431</v>
      </c>
      <c r="H12" s="80" t="s">
        <v>99</v>
      </c>
      <c r="I12" s="17">
        <v>45</v>
      </c>
      <c r="J12" s="17">
        <v>24</v>
      </c>
      <c r="K12" s="17">
        <v>12</v>
      </c>
      <c r="L12" s="17">
        <v>30</v>
      </c>
      <c r="M12" s="84">
        <v>3.24</v>
      </c>
      <c r="N12" s="75">
        <v>30</v>
      </c>
      <c r="O12" s="67">
        <v>7000</v>
      </c>
      <c r="P12" s="68">
        <f>Table22457891011234567[[#This Row],[PEMBULATAN]]*O12</f>
        <v>210000</v>
      </c>
    </row>
    <row r="13" spans="1:16" ht="26.25" customHeight="1" x14ac:dyDescent="0.2">
      <c r="A13" s="14"/>
      <c r="B13" s="14"/>
      <c r="C13" s="76" t="s">
        <v>120</v>
      </c>
      <c r="D13" s="81" t="s">
        <v>49</v>
      </c>
      <c r="E13" s="13">
        <v>44428</v>
      </c>
      <c r="F13" s="79" t="s">
        <v>98</v>
      </c>
      <c r="G13" s="13">
        <v>44431</v>
      </c>
      <c r="H13" s="80" t="s">
        <v>99</v>
      </c>
      <c r="I13" s="17">
        <v>56</v>
      </c>
      <c r="J13" s="17">
        <v>27</v>
      </c>
      <c r="K13" s="17">
        <v>13</v>
      </c>
      <c r="L13" s="17">
        <v>13</v>
      </c>
      <c r="M13" s="84">
        <v>4.9139999999999997</v>
      </c>
      <c r="N13" s="75">
        <v>13</v>
      </c>
      <c r="O13" s="67">
        <v>7000</v>
      </c>
      <c r="P13" s="68">
        <f>Table22457891011234567[[#This Row],[PEMBULATAN]]*O13</f>
        <v>91000</v>
      </c>
    </row>
    <row r="14" spans="1:16" ht="26.25" customHeight="1" x14ac:dyDescent="0.2">
      <c r="A14" s="14"/>
      <c r="B14" s="14"/>
      <c r="C14" s="76" t="s">
        <v>121</v>
      </c>
      <c r="D14" s="81" t="s">
        <v>49</v>
      </c>
      <c r="E14" s="13">
        <v>44428</v>
      </c>
      <c r="F14" s="79" t="s">
        <v>98</v>
      </c>
      <c r="G14" s="13">
        <v>44431</v>
      </c>
      <c r="H14" s="80" t="s">
        <v>99</v>
      </c>
      <c r="I14" s="17">
        <v>101</v>
      </c>
      <c r="J14" s="17">
        <v>53</v>
      </c>
      <c r="K14" s="17">
        <v>41</v>
      </c>
      <c r="L14" s="17">
        <v>5</v>
      </c>
      <c r="M14" s="84">
        <v>54.868250000000003</v>
      </c>
      <c r="N14" s="75">
        <v>55</v>
      </c>
      <c r="O14" s="67">
        <v>7000</v>
      </c>
      <c r="P14" s="68">
        <f>Table22457891011234567[[#This Row],[PEMBULATAN]]*O14</f>
        <v>385000</v>
      </c>
    </row>
    <row r="15" spans="1:16" ht="26.25" customHeight="1" x14ac:dyDescent="0.2">
      <c r="A15" s="14"/>
      <c r="B15" s="14"/>
      <c r="C15" s="76" t="s">
        <v>122</v>
      </c>
      <c r="D15" s="81" t="s">
        <v>49</v>
      </c>
      <c r="E15" s="13">
        <v>44428</v>
      </c>
      <c r="F15" s="79" t="s">
        <v>98</v>
      </c>
      <c r="G15" s="13">
        <v>44431</v>
      </c>
      <c r="H15" s="80" t="s">
        <v>99</v>
      </c>
      <c r="I15" s="17">
        <v>55</v>
      </c>
      <c r="J15" s="17">
        <v>30</v>
      </c>
      <c r="K15" s="17">
        <v>20</v>
      </c>
      <c r="L15" s="17">
        <v>11</v>
      </c>
      <c r="M15" s="84">
        <v>8.25</v>
      </c>
      <c r="N15" s="75">
        <v>11</v>
      </c>
      <c r="O15" s="67">
        <v>7000</v>
      </c>
      <c r="P15" s="68">
        <f>Table22457891011234567[[#This Row],[PEMBULATAN]]*O15</f>
        <v>77000</v>
      </c>
    </row>
    <row r="16" spans="1:16" ht="26.25" customHeight="1" x14ac:dyDescent="0.2">
      <c r="A16" s="14"/>
      <c r="B16" s="14"/>
      <c r="C16" s="76" t="s">
        <v>123</v>
      </c>
      <c r="D16" s="81" t="s">
        <v>49</v>
      </c>
      <c r="E16" s="13">
        <v>44428</v>
      </c>
      <c r="F16" s="79" t="s">
        <v>98</v>
      </c>
      <c r="G16" s="13">
        <v>44431</v>
      </c>
      <c r="H16" s="80" t="s">
        <v>99</v>
      </c>
      <c r="I16" s="17">
        <v>70</v>
      </c>
      <c r="J16" s="17">
        <v>62</v>
      </c>
      <c r="K16" s="17">
        <v>21</v>
      </c>
      <c r="L16" s="17">
        <v>10</v>
      </c>
      <c r="M16" s="84">
        <v>22.785</v>
      </c>
      <c r="N16" s="75">
        <v>23</v>
      </c>
      <c r="O16" s="67">
        <v>7000</v>
      </c>
      <c r="P16" s="68">
        <f>Table22457891011234567[[#This Row],[PEMBULATAN]]*O16</f>
        <v>161000</v>
      </c>
    </row>
    <row r="17" spans="1:16" ht="26.25" customHeight="1" x14ac:dyDescent="0.2">
      <c r="A17" s="14"/>
      <c r="B17" s="14"/>
      <c r="C17" s="76" t="s">
        <v>124</v>
      </c>
      <c r="D17" s="81" t="s">
        <v>49</v>
      </c>
      <c r="E17" s="13">
        <v>44428</v>
      </c>
      <c r="F17" s="79" t="s">
        <v>98</v>
      </c>
      <c r="G17" s="13">
        <v>44431</v>
      </c>
      <c r="H17" s="80" t="s">
        <v>99</v>
      </c>
      <c r="I17" s="17">
        <v>74</v>
      </c>
      <c r="J17" s="17">
        <v>63</v>
      </c>
      <c r="K17" s="17">
        <v>30</v>
      </c>
      <c r="L17" s="17">
        <v>9</v>
      </c>
      <c r="M17" s="84">
        <v>34.965000000000003</v>
      </c>
      <c r="N17" s="75">
        <v>35</v>
      </c>
      <c r="O17" s="67">
        <v>7000</v>
      </c>
      <c r="P17" s="68">
        <f>Table22457891011234567[[#This Row],[PEMBULATAN]]*O17</f>
        <v>245000</v>
      </c>
    </row>
    <row r="18" spans="1:16" ht="26.25" customHeight="1" x14ac:dyDescent="0.2">
      <c r="A18" s="14"/>
      <c r="B18" s="14"/>
      <c r="C18" s="76" t="s">
        <v>125</v>
      </c>
      <c r="D18" s="81" t="s">
        <v>49</v>
      </c>
      <c r="E18" s="13">
        <v>44428</v>
      </c>
      <c r="F18" s="79" t="s">
        <v>98</v>
      </c>
      <c r="G18" s="13">
        <v>44431</v>
      </c>
      <c r="H18" s="80" t="s">
        <v>99</v>
      </c>
      <c r="I18" s="17">
        <v>30</v>
      </c>
      <c r="J18" s="17">
        <v>16</v>
      </c>
      <c r="K18" s="17">
        <v>21</v>
      </c>
      <c r="L18" s="17">
        <v>10</v>
      </c>
      <c r="M18" s="84">
        <v>2.52</v>
      </c>
      <c r="N18" s="75">
        <v>10</v>
      </c>
      <c r="O18" s="67">
        <v>7000</v>
      </c>
      <c r="P18" s="68">
        <f>Table22457891011234567[[#This Row],[PEMBULATAN]]*O18</f>
        <v>70000</v>
      </c>
    </row>
    <row r="19" spans="1:16" ht="26.25" customHeight="1" x14ac:dyDescent="0.2">
      <c r="A19" s="14"/>
      <c r="B19" s="14"/>
      <c r="C19" s="76" t="s">
        <v>126</v>
      </c>
      <c r="D19" s="81" t="s">
        <v>49</v>
      </c>
      <c r="E19" s="13">
        <v>44428</v>
      </c>
      <c r="F19" s="79" t="s">
        <v>98</v>
      </c>
      <c r="G19" s="13">
        <v>44431</v>
      </c>
      <c r="H19" s="80" t="s">
        <v>99</v>
      </c>
      <c r="I19" s="17">
        <v>83</v>
      </c>
      <c r="J19" s="17">
        <v>53</v>
      </c>
      <c r="K19" s="17">
        <v>33</v>
      </c>
      <c r="L19" s="17">
        <v>28</v>
      </c>
      <c r="M19" s="84">
        <v>36.29175</v>
      </c>
      <c r="N19" s="75">
        <v>36</v>
      </c>
      <c r="O19" s="67">
        <v>7000</v>
      </c>
      <c r="P19" s="68">
        <f>Table22457891011234567[[#This Row],[PEMBULATAN]]*O19</f>
        <v>252000</v>
      </c>
    </row>
    <row r="20" spans="1:16" ht="26.25" customHeight="1" x14ac:dyDescent="0.2">
      <c r="A20" s="14"/>
      <c r="B20" s="14"/>
      <c r="C20" s="76" t="s">
        <v>127</v>
      </c>
      <c r="D20" s="81" t="s">
        <v>49</v>
      </c>
      <c r="E20" s="13">
        <v>44428</v>
      </c>
      <c r="F20" s="79" t="s">
        <v>98</v>
      </c>
      <c r="G20" s="13">
        <v>44431</v>
      </c>
      <c r="H20" s="80" t="s">
        <v>99</v>
      </c>
      <c r="I20" s="17">
        <v>72</v>
      </c>
      <c r="J20" s="17">
        <v>72</v>
      </c>
      <c r="K20" s="17">
        <v>21</v>
      </c>
      <c r="L20" s="17">
        <v>8</v>
      </c>
      <c r="M20" s="84">
        <v>27.216000000000001</v>
      </c>
      <c r="N20" s="75">
        <v>27</v>
      </c>
      <c r="O20" s="67">
        <v>7000</v>
      </c>
      <c r="P20" s="68">
        <f>Table22457891011234567[[#This Row],[PEMBULATAN]]*O20</f>
        <v>189000</v>
      </c>
    </row>
    <row r="21" spans="1:16" ht="26.25" customHeight="1" x14ac:dyDescent="0.2">
      <c r="A21" s="14"/>
      <c r="B21" s="14"/>
      <c r="C21" s="76" t="s">
        <v>128</v>
      </c>
      <c r="D21" s="81" t="s">
        <v>49</v>
      </c>
      <c r="E21" s="13">
        <v>44428</v>
      </c>
      <c r="F21" s="79" t="s">
        <v>98</v>
      </c>
      <c r="G21" s="13">
        <v>44431</v>
      </c>
      <c r="H21" s="80" t="s">
        <v>99</v>
      </c>
      <c r="I21" s="17">
        <v>56</v>
      </c>
      <c r="J21" s="17">
        <v>354</v>
      </c>
      <c r="K21" s="17">
        <v>16</v>
      </c>
      <c r="L21" s="17">
        <v>10</v>
      </c>
      <c r="M21" s="84">
        <v>79.296000000000006</v>
      </c>
      <c r="N21" s="75">
        <v>79</v>
      </c>
      <c r="O21" s="67">
        <v>7000</v>
      </c>
      <c r="P21" s="68">
        <f>Table22457891011234567[[#This Row],[PEMBULATAN]]*O21</f>
        <v>553000</v>
      </c>
    </row>
    <row r="22" spans="1:16" ht="26.25" customHeight="1" x14ac:dyDescent="0.2">
      <c r="A22" s="14"/>
      <c r="B22" s="14"/>
      <c r="C22" s="76" t="s">
        <v>129</v>
      </c>
      <c r="D22" s="81" t="s">
        <v>49</v>
      </c>
      <c r="E22" s="13">
        <v>44428</v>
      </c>
      <c r="F22" s="79" t="s">
        <v>98</v>
      </c>
      <c r="G22" s="13">
        <v>44431</v>
      </c>
      <c r="H22" s="80" t="s">
        <v>99</v>
      </c>
      <c r="I22" s="17">
        <v>78</v>
      </c>
      <c r="J22" s="17">
        <v>47</v>
      </c>
      <c r="K22" s="17">
        <v>27</v>
      </c>
      <c r="L22" s="17">
        <v>20</v>
      </c>
      <c r="M22" s="84">
        <v>24.7455</v>
      </c>
      <c r="N22" s="75">
        <v>25</v>
      </c>
      <c r="O22" s="67">
        <v>7000</v>
      </c>
      <c r="P22" s="68">
        <f>Table22457891011234567[[#This Row],[PEMBULATAN]]*O22</f>
        <v>175000</v>
      </c>
    </row>
    <row r="23" spans="1:16" ht="26.25" customHeight="1" x14ac:dyDescent="0.2">
      <c r="A23" s="14"/>
      <c r="B23" s="14"/>
      <c r="C23" s="76" t="s">
        <v>130</v>
      </c>
      <c r="D23" s="81" t="s">
        <v>49</v>
      </c>
      <c r="E23" s="13">
        <v>44428</v>
      </c>
      <c r="F23" s="79" t="s">
        <v>98</v>
      </c>
      <c r="G23" s="13">
        <v>44431</v>
      </c>
      <c r="H23" s="80" t="s">
        <v>99</v>
      </c>
      <c r="I23" s="17">
        <v>45</v>
      </c>
      <c r="J23" s="17">
        <v>22</v>
      </c>
      <c r="K23" s="17">
        <v>12</v>
      </c>
      <c r="L23" s="17">
        <v>5</v>
      </c>
      <c r="M23" s="84">
        <v>2.97</v>
      </c>
      <c r="N23" s="75">
        <v>5</v>
      </c>
      <c r="O23" s="67">
        <v>7000</v>
      </c>
      <c r="P23" s="68">
        <f>Table22457891011234567[[#This Row],[PEMBULATAN]]*O23</f>
        <v>35000</v>
      </c>
    </row>
    <row r="24" spans="1:16" ht="26.25" customHeight="1" x14ac:dyDescent="0.2">
      <c r="A24" s="14"/>
      <c r="B24" s="14"/>
      <c r="C24" s="76" t="s">
        <v>131</v>
      </c>
      <c r="D24" s="81" t="s">
        <v>49</v>
      </c>
      <c r="E24" s="13">
        <v>44428</v>
      </c>
      <c r="F24" s="79" t="s">
        <v>98</v>
      </c>
      <c r="G24" s="13">
        <v>44431</v>
      </c>
      <c r="H24" s="80" t="s">
        <v>99</v>
      </c>
      <c r="I24" s="17">
        <v>76</v>
      </c>
      <c r="J24" s="17">
        <v>53</v>
      </c>
      <c r="K24" s="17">
        <v>30</v>
      </c>
      <c r="L24" s="17">
        <v>24</v>
      </c>
      <c r="M24" s="84">
        <v>30.21</v>
      </c>
      <c r="N24" s="75">
        <v>30</v>
      </c>
      <c r="O24" s="67">
        <v>7000</v>
      </c>
      <c r="P24" s="68">
        <f>Table22457891011234567[[#This Row],[PEMBULATAN]]*O24</f>
        <v>210000</v>
      </c>
    </row>
    <row r="25" spans="1:16" ht="26.25" customHeight="1" x14ac:dyDescent="0.2">
      <c r="A25" s="14"/>
      <c r="B25" s="14"/>
      <c r="C25" s="76" t="s">
        <v>132</v>
      </c>
      <c r="D25" s="81" t="s">
        <v>49</v>
      </c>
      <c r="E25" s="13">
        <v>44428</v>
      </c>
      <c r="F25" s="79" t="s">
        <v>98</v>
      </c>
      <c r="G25" s="13">
        <v>44431</v>
      </c>
      <c r="H25" s="80" t="s">
        <v>99</v>
      </c>
      <c r="I25" s="17">
        <v>40</v>
      </c>
      <c r="J25" s="17">
        <v>38</v>
      </c>
      <c r="K25" s="17">
        <v>16</v>
      </c>
      <c r="L25" s="17">
        <v>6</v>
      </c>
      <c r="M25" s="84">
        <v>6.08</v>
      </c>
      <c r="N25" s="75">
        <v>6</v>
      </c>
      <c r="O25" s="67">
        <v>7000</v>
      </c>
      <c r="P25" s="68">
        <f>Table22457891011234567[[#This Row],[PEMBULATAN]]*O25</f>
        <v>42000</v>
      </c>
    </row>
    <row r="26" spans="1:16" ht="26.25" customHeight="1" x14ac:dyDescent="0.2">
      <c r="A26" s="14"/>
      <c r="B26" s="14"/>
      <c r="C26" s="76" t="s">
        <v>133</v>
      </c>
      <c r="D26" s="81" t="s">
        <v>49</v>
      </c>
      <c r="E26" s="13">
        <v>44428</v>
      </c>
      <c r="F26" s="79" t="s">
        <v>98</v>
      </c>
      <c r="G26" s="13">
        <v>44431</v>
      </c>
      <c r="H26" s="80" t="s">
        <v>99</v>
      </c>
      <c r="I26" s="17">
        <v>71</v>
      </c>
      <c r="J26" s="17">
        <v>42</v>
      </c>
      <c r="K26" s="17">
        <v>18</v>
      </c>
      <c r="L26" s="17">
        <v>12</v>
      </c>
      <c r="M26" s="84">
        <v>13.419</v>
      </c>
      <c r="N26" s="75">
        <v>13</v>
      </c>
      <c r="O26" s="67">
        <v>7000</v>
      </c>
      <c r="P26" s="68">
        <f>Table22457891011234567[[#This Row],[PEMBULATAN]]*O26</f>
        <v>91000</v>
      </c>
    </row>
    <row r="27" spans="1:16" ht="26.25" customHeight="1" x14ac:dyDescent="0.2">
      <c r="A27" s="14"/>
      <c r="B27" s="14"/>
      <c r="C27" s="76" t="s">
        <v>134</v>
      </c>
      <c r="D27" s="81" t="s">
        <v>49</v>
      </c>
      <c r="E27" s="13">
        <v>44428</v>
      </c>
      <c r="F27" s="79" t="s">
        <v>98</v>
      </c>
      <c r="G27" s="13">
        <v>44431</v>
      </c>
      <c r="H27" s="80" t="s">
        <v>99</v>
      </c>
      <c r="I27" s="17">
        <v>53</v>
      </c>
      <c r="J27" s="17">
        <v>54</v>
      </c>
      <c r="K27" s="17">
        <v>31</v>
      </c>
      <c r="L27" s="17">
        <v>7</v>
      </c>
      <c r="M27" s="84">
        <v>22.180499999999999</v>
      </c>
      <c r="N27" s="75">
        <v>22</v>
      </c>
      <c r="O27" s="67">
        <v>7000</v>
      </c>
      <c r="P27" s="68">
        <f>Table22457891011234567[[#This Row],[PEMBULATAN]]*O27</f>
        <v>154000</v>
      </c>
    </row>
    <row r="28" spans="1:16" ht="26.25" customHeight="1" x14ac:dyDescent="0.2">
      <c r="A28" s="14"/>
      <c r="B28" s="14"/>
      <c r="C28" s="76" t="s">
        <v>135</v>
      </c>
      <c r="D28" s="81" t="s">
        <v>49</v>
      </c>
      <c r="E28" s="13">
        <v>44428</v>
      </c>
      <c r="F28" s="79" t="s">
        <v>98</v>
      </c>
      <c r="G28" s="13">
        <v>44431</v>
      </c>
      <c r="H28" s="80" t="s">
        <v>99</v>
      </c>
      <c r="I28" s="17">
        <v>76</v>
      </c>
      <c r="J28" s="17">
        <v>45</v>
      </c>
      <c r="K28" s="17">
        <v>23</v>
      </c>
      <c r="L28" s="17">
        <v>3</v>
      </c>
      <c r="M28" s="84">
        <v>19.664999999999999</v>
      </c>
      <c r="N28" s="75">
        <v>20</v>
      </c>
      <c r="O28" s="67">
        <v>7000</v>
      </c>
      <c r="P28" s="68">
        <f>Table22457891011234567[[#This Row],[PEMBULATAN]]*O28</f>
        <v>140000</v>
      </c>
    </row>
    <row r="29" spans="1:16" ht="26.25" customHeight="1" x14ac:dyDescent="0.2">
      <c r="A29" s="14"/>
      <c r="B29" s="14"/>
      <c r="C29" s="76" t="s">
        <v>136</v>
      </c>
      <c r="D29" s="81" t="s">
        <v>49</v>
      </c>
      <c r="E29" s="13">
        <v>44428</v>
      </c>
      <c r="F29" s="79" t="s">
        <v>98</v>
      </c>
      <c r="G29" s="13">
        <v>44431</v>
      </c>
      <c r="H29" s="80" t="s">
        <v>99</v>
      </c>
      <c r="I29" s="17">
        <v>87</v>
      </c>
      <c r="J29" s="17">
        <v>60</v>
      </c>
      <c r="K29" s="17">
        <v>20</v>
      </c>
      <c r="L29" s="17">
        <v>6</v>
      </c>
      <c r="M29" s="84">
        <v>26.1</v>
      </c>
      <c r="N29" s="75">
        <v>26</v>
      </c>
      <c r="O29" s="67">
        <v>7000</v>
      </c>
      <c r="P29" s="68">
        <f>Table22457891011234567[[#This Row],[PEMBULATAN]]*O29</f>
        <v>182000</v>
      </c>
    </row>
    <row r="30" spans="1:16" ht="26.25" customHeight="1" x14ac:dyDescent="0.2">
      <c r="A30" s="14"/>
      <c r="B30" s="14"/>
      <c r="C30" s="76" t="s">
        <v>137</v>
      </c>
      <c r="D30" s="81" t="s">
        <v>49</v>
      </c>
      <c r="E30" s="13">
        <v>44428</v>
      </c>
      <c r="F30" s="79" t="s">
        <v>98</v>
      </c>
      <c r="G30" s="13">
        <v>44431</v>
      </c>
      <c r="H30" s="80" t="s">
        <v>99</v>
      </c>
      <c r="I30" s="17">
        <v>87</v>
      </c>
      <c r="J30" s="17">
        <v>47</v>
      </c>
      <c r="K30" s="17">
        <v>40</v>
      </c>
      <c r="L30" s="17">
        <v>21</v>
      </c>
      <c r="M30" s="84">
        <v>40.89</v>
      </c>
      <c r="N30" s="75">
        <v>41</v>
      </c>
      <c r="O30" s="67">
        <v>7000</v>
      </c>
      <c r="P30" s="68">
        <f>Table22457891011234567[[#This Row],[PEMBULATAN]]*O30</f>
        <v>287000</v>
      </c>
    </row>
    <row r="31" spans="1:16" ht="26.25" customHeight="1" x14ac:dyDescent="0.2">
      <c r="A31" s="14"/>
      <c r="B31" s="14"/>
      <c r="C31" s="76" t="s">
        <v>138</v>
      </c>
      <c r="D31" s="81" t="s">
        <v>49</v>
      </c>
      <c r="E31" s="13">
        <v>44428</v>
      </c>
      <c r="F31" s="79" t="s">
        <v>98</v>
      </c>
      <c r="G31" s="13">
        <v>44431</v>
      </c>
      <c r="H31" s="80" t="s">
        <v>99</v>
      </c>
      <c r="I31" s="17">
        <v>79</v>
      </c>
      <c r="J31" s="17">
        <v>57</v>
      </c>
      <c r="K31" s="17">
        <v>24</v>
      </c>
      <c r="L31" s="17">
        <v>20</v>
      </c>
      <c r="M31" s="84">
        <v>27.018000000000001</v>
      </c>
      <c r="N31" s="75">
        <v>27</v>
      </c>
      <c r="O31" s="67">
        <v>7000</v>
      </c>
      <c r="P31" s="68">
        <f>Table22457891011234567[[#This Row],[PEMBULATAN]]*O31</f>
        <v>189000</v>
      </c>
    </row>
    <row r="32" spans="1:16" ht="26.25" customHeight="1" x14ac:dyDescent="0.2">
      <c r="A32" s="14"/>
      <c r="B32" s="14"/>
      <c r="C32" s="76" t="s">
        <v>139</v>
      </c>
      <c r="D32" s="81" t="s">
        <v>49</v>
      </c>
      <c r="E32" s="13">
        <v>44428</v>
      </c>
      <c r="F32" s="79" t="s">
        <v>98</v>
      </c>
      <c r="G32" s="13">
        <v>44431</v>
      </c>
      <c r="H32" s="80" t="s">
        <v>99</v>
      </c>
      <c r="I32" s="17">
        <v>70</v>
      </c>
      <c r="J32" s="17">
        <v>66</v>
      </c>
      <c r="K32" s="17">
        <v>30</v>
      </c>
      <c r="L32" s="17">
        <v>4</v>
      </c>
      <c r="M32" s="84">
        <v>34.65</v>
      </c>
      <c r="N32" s="75">
        <v>35</v>
      </c>
      <c r="O32" s="67">
        <v>7000</v>
      </c>
      <c r="P32" s="68">
        <f>Table22457891011234567[[#This Row],[PEMBULATAN]]*O32</f>
        <v>245000</v>
      </c>
    </row>
    <row r="33" spans="1:16" ht="26.25" customHeight="1" x14ac:dyDescent="0.2">
      <c r="A33" s="14"/>
      <c r="B33" s="14"/>
      <c r="C33" s="76" t="s">
        <v>140</v>
      </c>
      <c r="D33" s="81" t="s">
        <v>49</v>
      </c>
      <c r="E33" s="13">
        <v>44428</v>
      </c>
      <c r="F33" s="79" t="s">
        <v>98</v>
      </c>
      <c r="G33" s="13">
        <v>44431</v>
      </c>
      <c r="H33" s="80" t="s">
        <v>99</v>
      </c>
      <c r="I33" s="17">
        <v>73</v>
      </c>
      <c r="J33" s="17">
        <v>55</v>
      </c>
      <c r="K33" s="17">
        <v>23</v>
      </c>
      <c r="L33" s="17">
        <v>16</v>
      </c>
      <c r="M33" s="84">
        <v>23.08625</v>
      </c>
      <c r="N33" s="75">
        <v>23</v>
      </c>
      <c r="O33" s="67">
        <v>7000</v>
      </c>
      <c r="P33" s="68">
        <f>Table22457891011234567[[#This Row],[PEMBULATAN]]*O33</f>
        <v>161000</v>
      </c>
    </row>
    <row r="34" spans="1:16" ht="26.25" customHeight="1" x14ac:dyDescent="0.2">
      <c r="A34" s="14"/>
      <c r="B34" s="14"/>
      <c r="C34" s="76" t="s">
        <v>141</v>
      </c>
      <c r="D34" s="81" t="s">
        <v>49</v>
      </c>
      <c r="E34" s="13">
        <v>44428</v>
      </c>
      <c r="F34" s="79" t="s">
        <v>98</v>
      </c>
      <c r="G34" s="13">
        <v>44431</v>
      </c>
      <c r="H34" s="80" t="s">
        <v>99</v>
      </c>
      <c r="I34" s="17">
        <v>37</v>
      </c>
      <c r="J34" s="17">
        <v>28</v>
      </c>
      <c r="K34" s="17">
        <v>22</v>
      </c>
      <c r="L34" s="17">
        <v>10</v>
      </c>
      <c r="M34" s="84">
        <v>5.6980000000000004</v>
      </c>
      <c r="N34" s="75">
        <v>10</v>
      </c>
      <c r="O34" s="67">
        <v>7000</v>
      </c>
      <c r="P34" s="68">
        <f>Table22457891011234567[[#This Row],[PEMBULATAN]]*O34</f>
        <v>70000</v>
      </c>
    </row>
    <row r="35" spans="1:16" ht="22.5" customHeight="1" x14ac:dyDescent="0.2">
      <c r="A35" s="122" t="s">
        <v>30</v>
      </c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4"/>
      <c r="M35" s="82">
        <f>SUBTOTAL(109,Table22457891011234567[KG VOLUME])</f>
        <v>783.77075000000002</v>
      </c>
      <c r="N35" s="71">
        <f>SUM(N3:N34)</f>
        <v>853</v>
      </c>
      <c r="O35" s="125">
        <f>SUM(P3:P34)</f>
        <v>5971000</v>
      </c>
      <c r="P35" s="126"/>
    </row>
    <row r="36" spans="1:16" ht="18" customHeight="1" x14ac:dyDescent="0.2">
      <c r="A36" s="94"/>
      <c r="B36" s="59" t="s">
        <v>42</v>
      </c>
      <c r="C36" s="58"/>
      <c r="D36" s="60" t="s">
        <v>43</v>
      </c>
      <c r="E36" s="94"/>
      <c r="F36" s="94"/>
      <c r="G36" s="94"/>
      <c r="H36" s="94"/>
      <c r="I36" s="94"/>
      <c r="J36" s="94"/>
      <c r="K36" s="94"/>
      <c r="L36" s="94"/>
      <c r="M36" s="95"/>
      <c r="N36" s="96" t="s">
        <v>649</v>
      </c>
      <c r="O36" s="97"/>
      <c r="P36" s="97">
        <v>0</v>
      </c>
    </row>
    <row r="37" spans="1:16" ht="18" customHeight="1" thickBot="1" x14ac:dyDescent="0.25">
      <c r="A37" s="94"/>
      <c r="B37" s="59"/>
      <c r="C37" s="58"/>
      <c r="D37" s="60"/>
      <c r="E37" s="94"/>
      <c r="F37" s="94"/>
      <c r="G37" s="94"/>
      <c r="H37" s="94"/>
      <c r="I37" s="94"/>
      <c r="J37" s="94"/>
      <c r="K37" s="94"/>
      <c r="L37" s="94"/>
      <c r="M37" s="95"/>
      <c r="N37" s="98" t="s">
        <v>650</v>
      </c>
      <c r="O37" s="99"/>
      <c r="P37" s="99">
        <f>O35-P36</f>
        <v>5971000</v>
      </c>
    </row>
    <row r="38" spans="1:16" ht="18" customHeight="1" x14ac:dyDescent="0.2">
      <c r="A38" s="11"/>
      <c r="H38" s="66"/>
      <c r="N38" s="65" t="s">
        <v>31</v>
      </c>
      <c r="P38" s="72">
        <f>P37*1%</f>
        <v>59710</v>
      </c>
    </row>
    <row r="39" spans="1:16" ht="18" customHeight="1" thickBot="1" x14ac:dyDescent="0.25">
      <c r="A39" s="11"/>
      <c r="H39" s="66"/>
      <c r="N39" s="65" t="s">
        <v>651</v>
      </c>
      <c r="P39" s="74">
        <f>P37*2%</f>
        <v>119420</v>
      </c>
    </row>
    <row r="40" spans="1:16" ht="18" customHeight="1" x14ac:dyDescent="0.2">
      <c r="A40" s="11"/>
      <c r="H40" s="66"/>
      <c r="N40" s="69" t="s">
        <v>32</v>
      </c>
      <c r="O40" s="70"/>
      <c r="P40" s="73">
        <f>P37+P38-P39</f>
        <v>5911290</v>
      </c>
    </row>
    <row r="42" spans="1:16" x14ac:dyDescent="0.2">
      <c r="A42" s="11"/>
      <c r="H42" s="66"/>
      <c r="P42" s="74"/>
    </row>
    <row r="43" spans="1:16" x14ac:dyDescent="0.2">
      <c r="A43" s="11"/>
      <c r="H43" s="66"/>
      <c r="O43" s="61"/>
      <c r="P43" s="74"/>
    </row>
    <row r="44" spans="1:16" s="3" customFormat="1" x14ac:dyDescent="0.25">
      <c r="A44" s="11"/>
      <c r="B44" s="2"/>
      <c r="C44" s="2"/>
      <c r="E44" s="12"/>
      <c r="H44" s="66"/>
      <c r="N44" s="16"/>
      <c r="O44" s="16"/>
      <c r="P44" s="16"/>
    </row>
    <row r="45" spans="1:16" s="3" customFormat="1" x14ac:dyDescent="0.25">
      <c r="A45" s="11"/>
      <c r="B45" s="2"/>
      <c r="C45" s="2"/>
      <c r="E45" s="12"/>
      <c r="H45" s="66"/>
      <c r="N45" s="16"/>
      <c r="O45" s="16"/>
      <c r="P45" s="16"/>
    </row>
    <row r="46" spans="1:16" s="3" customFormat="1" x14ac:dyDescent="0.25">
      <c r="A46" s="11"/>
      <c r="B46" s="2"/>
      <c r="C46" s="2"/>
      <c r="E46" s="12"/>
      <c r="H46" s="66"/>
      <c r="N46" s="16"/>
      <c r="O46" s="16"/>
      <c r="P46" s="16"/>
    </row>
    <row r="47" spans="1:16" s="3" customFormat="1" x14ac:dyDescent="0.25">
      <c r="A47" s="11"/>
      <c r="B47" s="2"/>
      <c r="C47" s="2"/>
      <c r="E47" s="12"/>
      <c r="H47" s="66"/>
      <c r="N47" s="16"/>
      <c r="O47" s="16"/>
      <c r="P47" s="16"/>
    </row>
    <row r="48" spans="1:16" s="3" customFormat="1" x14ac:dyDescent="0.25">
      <c r="A48" s="11"/>
      <c r="B48" s="2"/>
      <c r="C48" s="2"/>
      <c r="E48" s="12"/>
      <c r="H48" s="66"/>
      <c r="N48" s="16"/>
      <c r="O48" s="16"/>
      <c r="P48" s="16"/>
    </row>
    <row r="49" spans="1:16" s="3" customFormat="1" x14ac:dyDescent="0.25">
      <c r="A49" s="11"/>
      <c r="B49" s="2"/>
      <c r="C49" s="2"/>
      <c r="E49" s="12"/>
      <c r="H49" s="66"/>
      <c r="N49" s="16"/>
      <c r="O49" s="16"/>
      <c r="P49" s="16"/>
    </row>
    <row r="50" spans="1:16" s="3" customFormat="1" x14ac:dyDescent="0.25">
      <c r="A50" s="11"/>
      <c r="B50" s="2"/>
      <c r="C50" s="2"/>
      <c r="E50" s="12"/>
      <c r="H50" s="66"/>
      <c r="N50" s="16"/>
      <c r="O50" s="16"/>
      <c r="P50" s="16"/>
    </row>
    <row r="51" spans="1:16" s="3" customFormat="1" x14ac:dyDescent="0.25">
      <c r="A51" s="11"/>
      <c r="B51" s="2"/>
      <c r="C51" s="2"/>
      <c r="E51" s="12"/>
      <c r="H51" s="66"/>
      <c r="N51" s="16"/>
      <c r="O51" s="16"/>
      <c r="P51" s="16"/>
    </row>
    <row r="52" spans="1:16" s="3" customFormat="1" x14ac:dyDescent="0.25">
      <c r="A52" s="11"/>
      <c r="B52" s="2"/>
      <c r="C52" s="2"/>
      <c r="E52" s="12"/>
      <c r="H52" s="66"/>
      <c r="N52" s="16"/>
      <c r="O52" s="16"/>
      <c r="P52" s="16"/>
    </row>
    <row r="53" spans="1:16" s="3" customFormat="1" x14ac:dyDescent="0.25">
      <c r="A53" s="11"/>
      <c r="B53" s="2"/>
      <c r="C53" s="2"/>
      <c r="E53" s="12"/>
      <c r="H53" s="66"/>
      <c r="N53" s="16"/>
      <c r="O53" s="16"/>
      <c r="P53" s="16"/>
    </row>
    <row r="54" spans="1:16" s="3" customFormat="1" x14ac:dyDescent="0.25">
      <c r="A54" s="11"/>
      <c r="B54" s="2"/>
      <c r="C54" s="2"/>
      <c r="E54" s="12"/>
      <c r="H54" s="66"/>
      <c r="N54" s="16"/>
      <c r="O54" s="16"/>
      <c r="P54" s="16"/>
    </row>
    <row r="55" spans="1:16" s="3" customFormat="1" x14ac:dyDescent="0.25">
      <c r="A55" s="11"/>
      <c r="B55" s="2"/>
      <c r="C55" s="2"/>
      <c r="E55" s="12"/>
      <c r="H55" s="66"/>
      <c r="N55" s="16"/>
      <c r="O55" s="16"/>
      <c r="P55" s="16"/>
    </row>
  </sheetData>
  <mergeCells count="3">
    <mergeCell ref="A3:A4"/>
    <mergeCell ref="A35:L35"/>
    <mergeCell ref="O35:P35"/>
  </mergeCells>
  <conditionalFormatting sqref="B3">
    <cfRule type="duplicateValues" dxfId="375" priority="2"/>
  </conditionalFormatting>
  <conditionalFormatting sqref="B4">
    <cfRule type="duplicateValues" dxfId="374" priority="1"/>
  </conditionalFormatting>
  <conditionalFormatting sqref="B5:B34">
    <cfRule type="duplicateValues" dxfId="373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5" sqref="F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570312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26.25" customHeight="1" x14ac:dyDescent="0.2">
      <c r="A3" s="120" t="s">
        <v>646</v>
      </c>
      <c r="B3" s="77" t="s">
        <v>142</v>
      </c>
      <c r="C3" s="9" t="s">
        <v>143</v>
      </c>
      <c r="D3" s="79" t="s">
        <v>49</v>
      </c>
      <c r="E3" s="13">
        <v>44428</v>
      </c>
      <c r="F3" s="79" t="s">
        <v>98</v>
      </c>
      <c r="G3" s="13">
        <v>44431</v>
      </c>
      <c r="H3" s="10" t="s">
        <v>99</v>
      </c>
      <c r="I3" s="1">
        <v>103</v>
      </c>
      <c r="J3" s="1">
        <v>56</v>
      </c>
      <c r="K3" s="1">
        <v>56</v>
      </c>
      <c r="L3" s="1">
        <v>12</v>
      </c>
      <c r="M3" s="83">
        <v>80.751999999999995</v>
      </c>
      <c r="N3" s="8">
        <v>81</v>
      </c>
      <c r="O3" s="67">
        <v>7000</v>
      </c>
      <c r="P3" s="68">
        <f>Table224578910112345678[[#This Row],[PEMBULATAN]]*O3</f>
        <v>567000</v>
      </c>
    </row>
    <row r="4" spans="1:16" ht="26.25" customHeight="1" x14ac:dyDescent="0.2">
      <c r="A4" s="121"/>
      <c r="B4" s="78"/>
      <c r="C4" s="9" t="s">
        <v>144</v>
      </c>
      <c r="D4" s="79" t="s">
        <v>49</v>
      </c>
      <c r="E4" s="13">
        <v>44428</v>
      </c>
      <c r="F4" s="79" t="s">
        <v>98</v>
      </c>
      <c r="G4" s="13">
        <v>44431</v>
      </c>
      <c r="H4" s="10" t="s">
        <v>99</v>
      </c>
      <c r="I4" s="1">
        <v>103</v>
      </c>
      <c r="J4" s="1">
        <v>56</v>
      </c>
      <c r="K4" s="1">
        <v>56</v>
      </c>
      <c r="L4" s="1">
        <v>12</v>
      </c>
      <c r="M4" s="83">
        <v>80.751999999999995</v>
      </c>
      <c r="N4" s="8">
        <v>81</v>
      </c>
      <c r="O4" s="67">
        <v>7000</v>
      </c>
      <c r="P4" s="68">
        <f>Table224578910112345678[[#This Row],[PEMBULATAN]]*O4</f>
        <v>567000</v>
      </c>
    </row>
    <row r="5" spans="1:16" ht="26.25" customHeight="1" x14ac:dyDescent="0.2">
      <c r="A5" s="14"/>
      <c r="B5" s="14"/>
      <c r="C5" s="9" t="s">
        <v>145</v>
      </c>
      <c r="D5" s="79" t="s">
        <v>49</v>
      </c>
      <c r="E5" s="13">
        <v>44428</v>
      </c>
      <c r="F5" s="79" t="s">
        <v>98</v>
      </c>
      <c r="G5" s="13">
        <v>44431</v>
      </c>
      <c r="H5" s="10" t="s">
        <v>99</v>
      </c>
      <c r="I5" s="1">
        <v>103</v>
      </c>
      <c r="J5" s="1">
        <v>56</v>
      </c>
      <c r="K5" s="1">
        <v>56</v>
      </c>
      <c r="L5" s="1">
        <v>12</v>
      </c>
      <c r="M5" s="83">
        <v>80.751999999999995</v>
      </c>
      <c r="N5" s="8">
        <v>81</v>
      </c>
      <c r="O5" s="67">
        <v>7000</v>
      </c>
      <c r="P5" s="68">
        <f>Table224578910112345678[[#This Row],[PEMBULATAN]]*O5</f>
        <v>567000</v>
      </c>
    </row>
    <row r="6" spans="1:16" ht="26.25" customHeight="1" x14ac:dyDescent="0.2">
      <c r="A6" s="14"/>
      <c r="B6" s="14"/>
      <c r="C6" s="76" t="s">
        <v>146</v>
      </c>
      <c r="D6" s="81" t="s">
        <v>49</v>
      </c>
      <c r="E6" s="13">
        <v>44428</v>
      </c>
      <c r="F6" s="79" t="s">
        <v>98</v>
      </c>
      <c r="G6" s="13">
        <v>44431</v>
      </c>
      <c r="H6" s="80" t="s">
        <v>99</v>
      </c>
      <c r="I6" s="17">
        <v>33</v>
      </c>
      <c r="J6" s="17">
        <v>20</v>
      </c>
      <c r="K6" s="17">
        <v>22</v>
      </c>
      <c r="L6" s="17">
        <v>8</v>
      </c>
      <c r="M6" s="84">
        <v>3.63</v>
      </c>
      <c r="N6" s="75">
        <v>8</v>
      </c>
      <c r="O6" s="67">
        <v>7000</v>
      </c>
      <c r="P6" s="68">
        <f>Table224578910112345678[[#This Row],[PEMBULATAN]]*O6</f>
        <v>56000</v>
      </c>
    </row>
    <row r="7" spans="1:16" ht="26.25" customHeight="1" x14ac:dyDescent="0.2">
      <c r="A7" s="14"/>
      <c r="B7" s="14"/>
      <c r="C7" s="76" t="s">
        <v>147</v>
      </c>
      <c r="D7" s="81" t="s">
        <v>49</v>
      </c>
      <c r="E7" s="13">
        <v>44428</v>
      </c>
      <c r="F7" s="79" t="s">
        <v>98</v>
      </c>
      <c r="G7" s="13">
        <v>44431</v>
      </c>
      <c r="H7" s="80" t="s">
        <v>99</v>
      </c>
      <c r="I7" s="17">
        <v>33</v>
      </c>
      <c r="J7" s="17">
        <v>20</v>
      </c>
      <c r="K7" s="17">
        <v>22</v>
      </c>
      <c r="L7" s="17">
        <v>8</v>
      </c>
      <c r="M7" s="84">
        <v>3.63</v>
      </c>
      <c r="N7" s="75">
        <v>8</v>
      </c>
      <c r="O7" s="67">
        <v>7000</v>
      </c>
      <c r="P7" s="68">
        <f>Table224578910112345678[[#This Row],[PEMBULATAN]]*O7</f>
        <v>56000</v>
      </c>
    </row>
    <row r="8" spans="1:16" ht="26.25" customHeight="1" x14ac:dyDescent="0.2">
      <c r="A8" s="14"/>
      <c r="B8" s="14"/>
      <c r="C8" s="76" t="s">
        <v>148</v>
      </c>
      <c r="D8" s="81" t="s">
        <v>49</v>
      </c>
      <c r="E8" s="13">
        <v>44428</v>
      </c>
      <c r="F8" s="79" t="s">
        <v>98</v>
      </c>
      <c r="G8" s="13">
        <v>44431</v>
      </c>
      <c r="H8" s="80" t="s">
        <v>99</v>
      </c>
      <c r="I8" s="17">
        <v>85</v>
      </c>
      <c r="J8" s="17">
        <v>51</v>
      </c>
      <c r="K8" s="17">
        <v>12</v>
      </c>
      <c r="L8" s="17">
        <v>10</v>
      </c>
      <c r="M8" s="84">
        <v>13.005000000000001</v>
      </c>
      <c r="N8" s="75">
        <v>13</v>
      </c>
      <c r="O8" s="67">
        <v>7000</v>
      </c>
      <c r="P8" s="68">
        <f>Table224578910112345678[[#This Row],[PEMBULATAN]]*O8</f>
        <v>91000</v>
      </c>
    </row>
    <row r="9" spans="1:16" ht="26.25" customHeight="1" x14ac:dyDescent="0.2">
      <c r="A9" s="14"/>
      <c r="B9" s="14"/>
      <c r="C9" s="76" t="s">
        <v>149</v>
      </c>
      <c r="D9" s="81" t="s">
        <v>49</v>
      </c>
      <c r="E9" s="13">
        <v>44428</v>
      </c>
      <c r="F9" s="79" t="s">
        <v>98</v>
      </c>
      <c r="G9" s="13">
        <v>44431</v>
      </c>
      <c r="H9" s="80" t="s">
        <v>99</v>
      </c>
      <c r="I9" s="17">
        <v>43</v>
      </c>
      <c r="J9" s="17">
        <v>43</v>
      </c>
      <c r="K9" s="17">
        <v>6</v>
      </c>
      <c r="L9" s="17">
        <v>2</v>
      </c>
      <c r="M9" s="84">
        <v>2.7734999999999999</v>
      </c>
      <c r="N9" s="75">
        <v>3</v>
      </c>
      <c r="O9" s="67">
        <v>7000</v>
      </c>
      <c r="P9" s="68">
        <f>Table224578910112345678[[#This Row],[PEMBULATAN]]*O9</f>
        <v>21000</v>
      </c>
    </row>
    <row r="10" spans="1:16" ht="26.25" customHeight="1" x14ac:dyDescent="0.2">
      <c r="A10" s="14"/>
      <c r="B10" s="15"/>
      <c r="C10" s="76" t="s">
        <v>150</v>
      </c>
      <c r="D10" s="81" t="s">
        <v>49</v>
      </c>
      <c r="E10" s="13">
        <v>44428</v>
      </c>
      <c r="F10" s="79" t="s">
        <v>98</v>
      </c>
      <c r="G10" s="13">
        <v>44431</v>
      </c>
      <c r="H10" s="80" t="s">
        <v>99</v>
      </c>
      <c r="I10" s="17">
        <v>47</v>
      </c>
      <c r="J10" s="17">
        <v>45</v>
      </c>
      <c r="K10" s="17">
        <v>46</v>
      </c>
      <c r="L10" s="17">
        <v>12</v>
      </c>
      <c r="M10" s="84">
        <v>24.322500000000002</v>
      </c>
      <c r="N10" s="75">
        <v>24</v>
      </c>
      <c r="O10" s="67">
        <v>7000</v>
      </c>
      <c r="P10" s="68">
        <f>Table224578910112345678[[#This Row],[PEMBULATAN]]*O10</f>
        <v>168000</v>
      </c>
    </row>
    <row r="11" spans="1:16" ht="26.25" customHeight="1" x14ac:dyDescent="0.2">
      <c r="A11" s="14"/>
      <c r="B11" s="14" t="s">
        <v>151</v>
      </c>
      <c r="C11" s="76" t="s">
        <v>152</v>
      </c>
      <c r="D11" s="81" t="s">
        <v>49</v>
      </c>
      <c r="E11" s="13">
        <v>44428</v>
      </c>
      <c r="F11" s="79" t="s">
        <v>98</v>
      </c>
      <c r="G11" s="13">
        <v>44431</v>
      </c>
      <c r="H11" s="80" t="s">
        <v>99</v>
      </c>
      <c r="I11" s="17">
        <v>67</v>
      </c>
      <c r="J11" s="17">
        <v>30</v>
      </c>
      <c r="K11" s="17">
        <v>30</v>
      </c>
      <c r="L11" s="17">
        <v>10</v>
      </c>
      <c r="M11" s="84">
        <v>15.074999999999999</v>
      </c>
      <c r="N11" s="75">
        <v>15</v>
      </c>
      <c r="O11" s="67">
        <v>7000</v>
      </c>
      <c r="P11" s="68">
        <f>Table224578910112345678[[#This Row],[PEMBULATAN]]*O11</f>
        <v>105000</v>
      </c>
    </row>
    <row r="12" spans="1:16" ht="26.25" customHeight="1" x14ac:dyDescent="0.2">
      <c r="A12" s="14"/>
      <c r="B12" s="14"/>
      <c r="C12" s="76" t="s">
        <v>153</v>
      </c>
      <c r="D12" s="81" t="s">
        <v>49</v>
      </c>
      <c r="E12" s="13">
        <v>44428</v>
      </c>
      <c r="F12" s="79" t="s">
        <v>98</v>
      </c>
      <c r="G12" s="13">
        <v>44431</v>
      </c>
      <c r="H12" s="80" t="s">
        <v>99</v>
      </c>
      <c r="I12" s="17">
        <v>38</v>
      </c>
      <c r="J12" s="17">
        <v>38</v>
      </c>
      <c r="K12" s="17">
        <v>34</v>
      </c>
      <c r="L12" s="17">
        <v>11</v>
      </c>
      <c r="M12" s="84">
        <v>12.273999999999999</v>
      </c>
      <c r="N12" s="75">
        <v>12</v>
      </c>
      <c r="O12" s="67">
        <v>7000</v>
      </c>
      <c r="P12" s="68">
        <f>Table224578910112345678[[#This Row],[PEMBULATAN]]*O12</f>
        <v>84000</v>
      </c>
    </row>
    <row r="13" spans="1:16" ht="26.25" customHeight="1" x14ac:dyDescent="0.2">
      <c r="A13" s="14"/>
      <c r="B13" s="14"/>
      <c r="C13" s="76" t="s">
        <v>154</v>
      </c>
      <c r="D13" s="81" t="s">
        <v>49</v>
      </c>
      <c r="E13" s="13">
        <v>44428</v>
      </c>
      <c r="F13" s="79" t="s">
        <v>98</v>
      </c>
      <c r="G13" s="13">
        <v>44431</v>
      </c>
      <c r="H13" s="80" t="s">
        <v>99</v>
      </c>
      <c r="I13" s="17">
        <v>45</v>
      </c>
      <c r="J13" s="17">
        <v>23</v>
      </c>
      <c r="K13" s="17">
        <v>8</v>
      </c>
      <c r="L13" s="17">
        <v>9</v>
      </c>
      <c r="M13" s="84">
        <v>2.0699999999999998</v>
      </c>
      <c r="N13" s="75">
        <v>9</v>
      </c>
      <c r="O13" s="67">
        <v>7000</v>
      </c>
      <c r="P13" s="68">
        <f>Table224578910112345678[[#This Row],[PEMBULATAN]]*O13</f>
        <v>63000</v>
      </c>
    </row>
    <row r="14" spans="1:16" ht="26.25" customHeight="1" x14ac:dyDescent="0.2">
      <c r="A14" s="14"/>
      <c r="B14" s="14"/>
      <c r="C14" s="76" t="s">
        <v>155</v>
      </c>
      <c r="D14" s="81" t="s">
        <v>49</v>
      </c>
      <c r="E14" s="13">
        <v>44428</v>
      </c>
      <c r="F14" s="79" t="s">
        <v>98</v>
      </c>
      <c r="G14" s="13">
        <v>44431</v>
      </c>
      <c r="H14" s="80" t="s">
        <v>99</v>
      </c>
      <c r="I14" s="17">
        <v>60</v>
      </c>
      <c r="J14" s="17">
        <v>20</v>
      </c>
      <c r="K14" s="17">
        <v>45</v>
      </c>
      <c r="L14" s="17">
        <v>15</v>
      </c>
      <c r="M14" s="84">
        <v>13.5</v>
      </c>
      <c r="N14" s="75">
        <v>15</v>
      </c>
      <c r="O14" s="67">
        <v>7000</v>
      </c>
      <c r="P14" s="68">
        <f>Table224578910112345678[[#This Row],[PEMBULATAN]]*O14</f>
        <v>105000</v>
      </c>
    </row>
    <row r="15" spans="1:16" ht="26.25" customHeight="1" x14ac:dyDescent="0.2">
      <c r="A15" s="14"/>
      <c r="B15" s="14"/>
      <c r="C15" s="76" t="s">
        <v>156</v>
      </c>
      <c r="D15" s="81" t="s">
        <v>49</v>
      </c>
      <c r="E15" s="13">
        <v>44428</v>
      </c>
      <c r="F15" s="79" t="s">
        <v>98</v>
      </c>
      <c r="G15" s="13">
        <v>44431</v>
      </c>
      <c r="H15" s="80" t="s">
        <v>99</v>
      </c>
      <c r="I15" s="17">
        <v>47</v>
      </c>
      <c r="J15" s="17">
        <v>22</v>
      </c>
      <c r="K15" s="17">
        <v>39</v>
      </c>
      <c r="L15" s="17">
        <v>20</v>
      </c>
      <c r="M15" s="84">
        <v>10.0815</v>
      </c>
      <c r="N15" s="75">
        <v>20</v>
      </c>
      <c r="O15" s="67">
        <v>7000</v>
      </c>
      <c r="P15" s="68">
        <f>Table224578910112345678[[#This Row],[PEMBULATAN]]*O15</f>
        <v>140000</v>
      </c>
    </row>
    <row r="16" spans="1:16" ht="26.25" customHeight="1" x14ac:dyDescent="0.2">
      <c r="A16" s="14"/>
      <c r="B16" s="14"/>
      <c r="C16" s="76" t="s">
        <v>157</v>
      </c>
      <c r="D16" s="81" t="s">
        <v>49</v>
      </c>
      <c r="E16" s="13">
        <v>44428</v>
      </c>
      <c r="F16" s="79" t="s">
        <v>98</v>
      </c>
      <c r="G16" s="13">
        <v>44431</v>
      </c>
      <c r="H16" s="80" t="s">
        <v>99</v>
      </c>
      <c r="I16" s="17">
        <v>38</v>
      </c>
      <c r="J16" s="17">
        <v>22</v>
      </c>
      <c r="K16" s="17">
        <v>37</v>
      </c>
      <c r="L16" s="17">
        <v>10</v>
      </c>
      <c r="M16" s="84">
        <v>7.7329999999999997</v>
      </c>
      <c r="N16" s="75">
        <v>10</v>
      </c>
      <c r="O16" s="67">
        <v>7000</v>
      </c>
      <c r="P16" s="68">
        <f>Table224578910112345678[[#This Row],[PEMBULATAN]]*O16</f>
        <v>70000</v>
      </c>
    </row>
    <row r="17" spans="1:16" ht="26.25" customHeight="1" x14ac:dyDescent="0.2">
      <c r="A17" s="14"/>
      <c r="B17" s="14"/>
      <c r="C17" s="76" t="s">
        <v>158</v>
      </c>
      <c r="D17" s="81" t="s">
        <v>49</v>
      </c>
      <c r="E17" s="13">
        <v>44428</v>
      </c>
      <c r="F17" s="79" t="s">
        <v>98</v>
      </c>
      <c r="G17" s="13">
        <v>44431</v>
      </c>
      <c r="H17" s="80" t="s">
        <v>99</v>
      </c>
      <c r="I17" s="17">
        <v>50</v>
      </c>
      <c r="J17" s="17">
        <v>37</v>
      </c>
      <c r="K17" s="17">
        <v>40</v>
      </c>
      <c r="L17" s="17">
        <v>9</v>
      </c>
      <c r="M17" s="84">
        <v>18.5</v>
      </c>
      <c r="N17" s="75">
        <v>19</v>
      </c>
      <c r="O17" s="67">
        <v>7000</v>
      </c>
      <c r="P17" s="68">
        <f>Table224578910112345678[[#This Row],[PEMBULATAN]]*O17</f>
        <v>133000</v>
      </c>
    </row>
    <row r="18" spans="1:16" ht="22.5" customHeight="1" x14ac:dyDescent="0.2">
      <c r="A18" s="122" t="s">
        <v>30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4"/>
      <c r="M18" s="82">
        <f>SUBTOTAL(109,Table224578910112345678[KG VOLUME])</f>
        <v>368.85049999999995</v>
      </c>
      <c r="N18" s="71">
        <f>SUM(N3:N17)</f>
        <v>399</v>
      </c>
      <c r="O18" s="125">
        <f>SUM(P3:P17)</f>
        <v>2793000</v>
      </c>
      <c r="P18" s="126"/>
    </row>
    <row r="19" spans="1:16" ht="18" customHeight="1" x14ac:dyDescent="0.2">
      <c r="A19" s="94"/>
      <c r="B19" s="59" t="s">
        <v>42</v>
      </c>
      <c r="C19" s="58"/>
      <c r="D19" s="60" t="s">
        <v>43</v>
      </c>
      <c r="E19" s="94"/>
      <c r="F19" s="94"/>
      <c r="G19" s="94"/>
      <c r="H19" s="94"/>
      <c r="I19" s="94"/>
      <c r="J19" s="94"/>
      <c r="K19" s="94"/>
      <c r="L19" s="94"/>
      <c r="M19" s="95"/>
      <c r="N19" s="96" t="s">
        <v>649</v>
      </c>
      <c r="O19" s="97"/>
      <c r="P19" s="97">
        <v>0</v>
      </c>
    </row>
    <row r="20" spans="1:16" ht="18" customHeight="1" thickBot="1" x14ac:dyDescent="0.25">
      <c r="A20" s="94"/>
      <c r="B20" s="59"/>
      <c r="C20" s="58"/>
      <c r="D20" s="60"/>
      <c r="E20" s="94"/>
      <c r="F20" s="94"/>
      <c r="G20" s="94"/>
      <c r="H20" s="94"/>
      <c r="I20" s="94"/>
      <c r="J20" s="94"/>
      <c r="K20" s="94"/>
      <c r="L20" s="94"/>
      <c r="M20" s="95"/>
      <c r="N20" s="98" t="s">
        <v>650</v>
      </c>
      <c r="O20" s="99"/>
      <c r="P20" s="99">
        <f>O18-P19</f>
        <v>2793000</v>
      </c>
    </row>
    <row r="21" spans="1:16" ht="18" customHeight="1" x14ac:dyDescent="0.2">
      <c r="A21" s="11"/>
      <c r="H21" s="66"/>
      <c r="N21" s="65" t="s">
        <v>31</v>
      </c>
      <c r="P21" s="72">
        <f>P20*1%</f>
        <v>27930</v>
      </c>
    </row>
    <row r="22" spans="1:16" ht="18" customHeight="1" thickBot="1" x14ac:dyDescent="0.25">
      <c r="A22" s="11"/>
      <c r="H22" s="66"/>
      <c r="N22" s="65" t="s">
        <v>651</v>
      </c>
      <c r="P22" s="74">
        <f>P20*2%</f>
        <v>55860</v>
      </c>
    </row>
    <row r="23" spans="1:16" ht="18" customHeight="1" x14ac:dyDescent="0.2">
      <c r="A23" s="11"/>
      <c r="H23" s="66"/>
      <c r="N23" s="69" t="s">
        <v>32</v>
      </c>
      <c r="O23" s="70"/>
      <c r="P23" s="73">
        <f>P20+P21-P22</f>
        <v>2765070</v>
      </c>
    </row>
    <row r="25" spans="1:16" x14ac:dyDescent="0.2">
      <c r="A25" s="11"/>
      <c r="H25" s="66"/>
      <c r="P25" s="74"/>
    </row>
    <row r="26" spans="1:16" x14ac:dyDescent="0.2">
      <c r="A26" s="11"/>
      <c r="H26" s="66"/>
      <c r="O26" s="61"/>
      <c r="P26" s="74"/>
    </row>
    <row r="27" spans="1:16" s="3" customFormat="1" x14ac:dyDescent="0.25">
      <c r="A27" s="11"/>
      <c r="B27" s="2"/>
      <c r="C27" s="2"/>
      <c r="E27" s="12"/>
      <c r="H27" s="66"/>
      <c r="N27" s="16"/>
      <c r="O27" s="16"/>
      <c r="P27" s="16"/>
    </row>
    <row r="28" spans="1:16" s="3" customFormat="1" x14ac:dyDescent="0.25">
      <c r="A28" s="11"/>
      <c r="B28" s="2"/>
      <c r="C28" s="2"/>
      <c r="E28" s="12"/>
      <c r="H28" s="66"/>
      <c r="N28" s="16"/>
      <c r="O28" s="16"/>
      <c r="P28" s="16"/>
    </row>
    <row r="29" spans="1:16" s="3" customFormat="1" x14ac:dyDescent="0.25">
      <c r="A29" s="11"/>
      <c r="B29" s="2"/>
      <c r="C29" s="2"/>
      <c r="E29" s="12"/>
      <c r="H29" s="66"/>
      <c r="N29" s="16"/>
      <c r="O29" s="16"/>
      <c r="P29" s="16"/>
    </row>
    <row r="30" spans="1:16" s="3" customFormat="1" x14ac:dyDescent="0.25">
      <c r="A30" s="11"/>
      <c r="B30" s="2"/>
      <c r="C30" s="2"/>
      <c r="E30" s="12"/>
      <c r="H30" s="66"/>
      <c r="N30" s="16"/>
      <c r="O30" s="16"/>
      <c r="P30" s="16"/>
    </row>
    <row r="31" spans="1:16" s="3" customFormat="1" x14ac:dyDescent="0.25">
      <c r="A31" s="11"/>
      <c r="B31" s="2"/>
      <c r="C31" s="2"/>
      <c r="E31" s="12"/>
      <c r="H31" s="66"/>
      <c r="N31" s="16"/>
      <c r="O31" s="16"/>
      <c r="P31" s="16"/>
    </row>
    <row r="32" spans="1:16" s="3" customFormat="1" x14ac:dyDescent="0.25">
      <c r="A32" s="11"/>
      <c r="B32" s="2"/>
      <c r="C32" s="2"/>
      <c r="E32" s="12"/>
      <c r="H32" s="66"/>
      <c r="N32" s="16"/>
      <c r="O32" s="16"/>
      <c r="P32" s="16"/>
    </row>
    <row r="33" spans="1:16" s="3" customFormat="1" x14ac:dyDescent="0.25">
      <c r="A33" s="11"/>
      <c r="B33" s="2"/>
      <c r="C33" s="2"/>
      <c r="E33" s="12"/>
      <c r="H33" s="66"/>
      <c r="N33" s="16"/>
      <c r="O33" s="16"/>
      <c r="P33" s="16"/>
    </row>
    <row r="34" spans="1:16" s="3" customFormat="1" x14ac:dyDescent="0.25">
      <c r="A34" s="11"/>
      <c r="B34" s="2"/>
      <c r="C34" s="2"/>
      <c r="E34" s="12"/>
      <c r="H34" s="66"/>
      <c r="N34" s="16"/>
      <c r="O34" s="16"/>
      <c r="P34" s="16"/>
    </row>
    <row r="35" spans="1:16" s="3" customFormat="1" x14ac:dyDescent="0.25">
      <c r="A35" s="11"/>
      <c r="B35" s="2"/>
      <c r="C35" s="2"/>
      <c r="E35" s="12"/>
      <c r="H35" s="66"/>
      <c r="N35" s="16"/>
      <c r="O35" s="16"/>
      <c r="P35" s="16"/>
    </row>
    <row r="36" spans="1:16" s="3" customFormat="1" x14ac:dyDescent="0.25">
      <c r="A36" s="11"/>
      <c r="B36" s="2"/>
      <c r="C36" s="2"/>
      <c r="E36" s="12"/>
      <c r="H36" s="66"/>
      <c r="N36" s="16"/>
      <c r="O36" s="16"/>
      <c r="P36" s="16"/>
    </row>
    <row r="37" spans="1:16" s="3" customFormat="1" x14ac:dyDescent="0.25">
      <c r="A37" s="11"/>
      <c r="B37" s="2"/>
      <c r="C37" s="2"/>
      <c r="E37" s="12"/>
      <c r="H37" s="66"/>
      <c r="N37" s="16"/>
      <c r="O37" s="16"/>
      <c r="P37" s="16"/>
    </row>
    <row r="38" spans="1:16" s="3" customFormat="1" x14ac:dyDescent="0.25">
      <c r="A38" s="11"/>
      <c r="B38" s="2"/>
      <c r="C38" s="2"/>
      <c r="E38" s="12"/>
      <c r="H38" s="66"/>
      <c r="N38" s="16"/>
      <c r="O38" s="16"/>
      <c r="P38" s="16"/>
    </row>
  </sheetData>
  <mergeCells count="3">
    <mergeCell ref="A3:A4"/>
    <mergeCell ref="A18:L18"/>
    <mergeCell ref="O18:P18"/>
  </mergeCells>
  <conditionalFormatting sqref="B3">
    <cfRule type="duplicateValues" dxfId="357" priority="2"/>
  </conditionalFormatting>
  <conditionalFormatting sqref="B4">
    <cfRule type="duplicateValues" dxfId="356" priority="1"/>
  </conditionalFormatting>
  <conditionalFormatting sqref="B5:B17">
    <cfRule type="duplicateValues" dxfId="355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3"/>
  <sheetViews>
    <sheetView zoomScale="110" zoomScaleNormal="110" workbookViewId="0">
      <pane xSplit="3" ySplit="2" topLeftCell="D3" activePane="bottomRight" state="frozen"/>
      <selection activeCell="H14" sqref="H14"/>
      <selection pane="topRight" activeCell="H14" sqref="H14"/>
      <selection pane="bottomLeft" activeCell="H14" sqref="H14"/>
      <selection pane="bottomRight" activeCell="C10" sqref="C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26.25" customHeight="1" x14ac:dyDescent="0.2">
      <c r="A3" s="120" t="s">
        <v>642</v>
      </c>
      <c r="B3" s="77" t="s">
        <v>547</v>
      </c>
      <c r="C3" s="9" t="s">
        <v>548</v>
      </c>
      <c r="D3" s="79" t="s">
        <v>49</v>
      </c>
      <c r="E3" s="13">
        <v>44428</v>
      </c>
      <c r="F3" s="79" t="s">
        <v>98</v>
      </c>
      <c r="G3" s="13">
        <v>44431</v>
      </c>
      <c r="H3" s="10" t="s">
        <v>99</v>
      </c>
      <c r="I3" s="1">
        <v>47</v>
      </c>
      <c r="J3" s="1">
        <v>42</v>
      </c>
      <c r="K3" s="1">
        <v>22</v>
      </c>
      <c r="L3" s="1">
        <v>12</v>
      </c>
      <c r="M3" s="83">
        <v>10.856999999999999</v>
      </c>
      <c r="N3" s="8">
        <v>11</v>
      </c>
      <c r="O3" s="67">
        <v>7000</v>
      </c>
      <c r="P3" s="68">
        <f>Table22457891011234567829[[#This Row],[PEMBULATAN]]*O3</f>
        <v>77000</v>
      </c>
    </row>
    <row r="4" spans="1:16" ht="26.25" customHeight="1" x14ac:dyDescent="0.2">
      <c r="A4" s="121"/>
      <c r="B4" s="78"/>
      <c r="C4" s="9" t="s">
        <v>549</v>
      </c>
      <c r="D4" s="79" t="s">
        <v>49</v>
      </c>
      <c r="E4" s="13">
        <v>44428</v>
      </c>
      <c r="F4" s="79" t="s">
        <v>98</v>
      </c>
      <c r="G4" s="13">
        <v>44431</v>
      </c>
      <c r="H4" s="10" t="s">
        <v>99</v>
      </c>
      <c r="I4" s="1">
        <v>45</v>
      </c>
      <c r="J4" s="1">
        <v>47</v>
      </c>
      <c r="K4" s="1">
        <v>47</v>
      </c>
      <c r="L4" s="1">
        <v>9</v>
      </c>
      <c r="M4" s="83">
        <v>24.85125</v>
      </c>
      <c r="N4" s="8">
        <v>25</v>
      </c>
      <c r="O4" s="67">
        <v>7000</v>
      </c>
      <c r="P4" s="68">
        <f>Table22457891011234567829[[#This Row],[PEMBULATAN]]*O4</f>
        <v>175000</v>
      </c>
    </row>
    <row r="5" spans="1:16" ht="26.25" customHeight="1" x14ac:dyDescent="0.2">
      <c r="A5" s="14"/>
      <c r="B5" s="14"/>
      <c r="C5" s="9" t="s">
        <v>550</v>
      </c>
      <c r="D5" s="79" t="s">
        <v>49</v>
      </c>
      <c r="E5" s="13">
        <v>44428</v>
      </c>
      <c r="F5" s="79" t="s">
        <v>98</v>
      </c>
      <c r="G5" s="13">
        <v>44431</v>
      </c>
      <c r="H5" s="10" t="s">
        <v>99</v>
      </c>
      <c r="I5" s="1">
        <v>42</v>
      </c>
      <c r="J5" s="1">
        <v>32</v>
      </c>
      <c r="K5" s="1">
        <v>26</v>
      </c>
      <c r="L5" s="1">
        <v>8</v>
      </c>
      <c r="M5" s="83">
        <v>8.7360000000000007</v>
      </c>
      <c r="N5" s="8">
        <v>9</v>
      </c>
      <c r="O5" s="67">
        <v>7000</v>
      </c>
      <c r="P5" s="68">
        <f>Table22457891011234567829[[#This Row],[PEMBULATAN]]*O5</f>
        <v>63000</v>
      </c>
    </row>
    <row r="6" spans="1:16" ht="26.25" customHeight="1" x14ac:dyDescent="0.2">
      <c r="A6" s="14"/>
      <c r="B6" s="15"/>
      <c r="C6" s="76" t="s">
        <v>551</v>
      </c>
      <c r="D6" s="81" t="s">
        <v>49</v>
      </c>
      <c r="E6" s="13">
        <v>44428</v>
      </c>
      <c r="F6" s="79" t="s">
        <v>98</v>
      </c>
      <c r="G6" s="13">
        <v>44431</v>
      </c>
      <c r="H6" s="80" t="s">
        <v>99</v>
      </c>
      <c r="I6" s="17">
        <v>68</v>
      </c>
      <c r="J6" s="17">
        <v>47</v>
      </c>
      <c r="K6" s="17">
        <v>36</v>
      </c>
      <c r="L6" s="17">
        <v>12</v>
      </c>
      <c r="M6" s="84">
        <v>28.763999999999999</v>
      </c>
      <c r="N6" s="75">
        <v>29</v>
      </c>
      <c r="O6" s="67">
        <v>7000</v>
      </c>
      <c r="P6" s="68">
        <f>Table22457891011234567829[[#This Row],[PEMBULATAN]]*O6</f>
        <v>203000</v>
      </c>
    </row>
    <row r="7" spans="1:16" ht="26.25" customHeight="1" x14ac:dyDescent="0.2">
      <c r="A7" s="14"/>
      <c r="B7" s="14" t="s">
        <v>552</v>
      </c>
      <c r="C7" s="76" t="s">
        <v>553</v>
      </c>
      <c r="D7" s="81" t="s">
        <v>49</v>
      </c>
      <c r="E7" s="13">
        <v>44428</v>
      </c>
      <c r="F7" s="79" t="s">
        <v>98</v>
      </c>
      <c r="G7" s="13">
        <v>44431</v>
      </c>
      <c r="H7" s="80" t="s">
        <v>99</v>
      </c>
      <c r="I7" s="17">
        <v>48</v>
      </c>
      <c r="J7" s="17">
        <v>48</v>
      </c>
      <c r="K7" s="17">
        <v>37</v>
      </c>
      <c r="L7" s="17">
        <v>12</v>
      </c>
      <c r="M7" s="84">
        <v>21.312000000000001</v>
      </c>
      <c r="N7" s="75">
        <v>22</v>
      </c>
      <c r="O7" s="67">
        <v>7000</v>
      </c>
      <c r="P7" s="68">
        <f>Table22457891011234567829[[#This Row],[PEMBULATAN]]*O7</f>
        <v>154000</v>
      </c>
    </row>
    <row r="8" spans="1:16" ht="26.25" customHeight="1" x14ac:dyDescent="0.2">
      <c r="A8" s="14"/>
      <c r="B8" s="14"/>
      <c r="C8" s="76" t="s">
        <v>554</v>
      </c>
      <c r="D8" s="81" t="s">
        <v>49</v>
      </c>
      <c r="E8" s="13">
        <v>44428</v>
      </c>
      <c r="F8" s="79" t="s">
        <v>98</v>
      </c>
      <c r="G8" s="13">
        <v>44431</v>
      </c>
      <c r="H8" s="80" t="s">
        <v>99</v>
      </c>
      <c r="I8" s="17">
        <v>57</v>
      </c>
      <c r="J8" s="17">
        <v>54</v>
      </c>
      <c r="K8" s="17">
        <v>27</v>
      </c>
      <c r="L8" s="17">
        <v>9</v>
      </c>
      <c r="M8" s="84">
        <v>20.776499999999999</v>
      </c>
      <c r="N8" s="75">
        <v>21</v>
      </c>
      <c r="O8" s="67">
        <v>7000</v>
      </c>
      <c r="P8" s="68">
        <f>Table22457891011234567829[[#This Row],[PEMBULATAN]]*O8</f>
        <v>147000</v>
      </c>
    </row>
    <row r="9" spans="1:16" ht="26.25" customHeight="1" x14ac:dyDescent="0.2">
      <c r="A9" s="14"/>
      <c r="B9" s="14"/>
      <c r="C9" s="76" t="s">
        <v>555</v>
      </c>
      <c r="D9" s="81" t="s">
        <v>49</v>
      </c>
      <c r="E9" s="13">
        <v>44428</v>
      </c>
      <c r="F9" s="79" t="s">
        <v>98</v>
      </c>
      <c r="G9" s="13">
        <v>44431</v>
      </c>
      <c r="H9" s="80" t="s">
        <v>99</v>
      </c>
      <c r="I9" s="17">
        <v>45</v>
      </c>
      <c r="J9" s="17">
        <v>47</v>
      </c>
      <c r="K9" s="17">
        <v>47</v>
      </c>
      <c r="L9" s="17">
        <v>9</v>
      </c>
      <c r="M9" s="84">
        <v>24.85125</v>
      </c>
      <c r="N9" s="75">
        <v>25</v>
      </c>
      <c r="O9" s="67">
        <v>7000</v>
      </c>
      <c r="P9" s="68">
        <f>Table22457891011234567829[[#This Row],[PEMBULATAN]]*O9</f>
        <v>175000</v>
      </c>
    </row>
    <row r="10" spans="1:16" ht="26.25" customHeight="1" x14ac:dyDescent="0.2">
      <c r="A10" s="14"/>
      <c r="B10" s="14"/>
      <c r="C10" s="76" t="s">
        <v>556</v>
      </c>
      <c r="D10" s="81" t="s">
        <v>49</v>
      </c>
      <c r="E10" s="13">
        <v>44428</v>
      </c>
      <c r="F10" s="79" t="s">
        <v>98</v>
      </c>
      <c r="G10" s="13">
        <v>44431</v>
      </c>
      <c r="H10" s="80" t="s">
        <v>99</v>
      </c>
      <c r="I10" s="17">
        <v>47</v>
      </c>
      <c r="J10" s="17">
        <v>42</v>
      </c>
      <c r="K10" s="17">
        <v>20</v>
      </c>
      <c r="L10" s="17">
        <v>6</v>
      </c>
      <c r="M10" s="84">
        <v>9.8699999999999992</v>
      </c>
      <c r="N10" s="75">
        <v>10</v>
      </c>
      <c r="O10" s="67">
        <v>7000</v>
      </c>
      <c r="P10" s="68">
        <f>Table22457891011234567829[[#This Row],[PEMBULATAN]]*O10</f>
        <v>70000</v>
      </c>
    </row>
    <row r="11" spans="1:16" ht="26.25" customHeight="1" x14ac:dyDescent="0.2">
      <c r="A11" s="14"/>
      <c r="B11" s="14"/>
      <c r="C11" s="76" t="s">
        <v>557</v>
      </c>
      <c r="D11" s="81" t="s">
        <v>49</v>
      </c>
      <c r="E11" s="13">
        <v>44428</v>
      </c>
      <c r="F11" s="79" t="s">
        <v>98</v>
      </c>
      <c r="G11" s="13">
        <v>44431</v>
      </c>
      <c r="H11" s="80" t="s">
        <v>99</v>
      </c>
      <c r="I11" s="17">
        <v>60</v>
      </c>
      <c r="J11" s="17">
        <v>47</v>
      </c>
      <c r="K11" s="17">
        <v>26</v>
      </c>
      <c r="L11" s="17">
        <v>12</v>
      </c>
      <c r="M11" s="84">
        <v>18.329999999999998</v>
      </c>
      <c r="N11" s="75">
        <v>19</v>
      </c>
      <c r="O11" s="67">
        <v>7000</v>
      </c>
      <c r="P11" s="68">
        <f>Table22457891011234567829[[#This Row],[PEMBULATAN]]*O11</f>
        <v>133000</v>
      </c>
    </row>
    <row r="12" spans="1:16" ht="26.25" customHeight="1" x14ac:dyDescent="0.2">
      <c r="A12" s="14"/>
      <c r="B12" s="14"/>
      <c r="C12" s="76" t="s">
        <v>558</v>
      </c>
      <c r="D12" s="81" t="s">
        <v>49</v>
      </c>
      <c r="E12" s="13">
        <v>44428</v>
      </c>
      <c r="F12" s="79" t="s">
        <v>98</v>
      </c>
      <c r="G12" s="13">
        <v>44431</v>
      </c>
      <c r="H12" s="80" t="s">
        <v>99</v>
      </c>
      <c r="I12" s="17">
        <v>47</v>
      </c>
      <c r="J12" s="17">
        <v>41</v>
      </c>
      <c r="K12" s="17">
        <v>12</v>
      </c>
      <c r="L12" s="17">
        <v>5</v>
      </c>
      <c r="M12" s="84">
        <v>5.7809999999999997</v>
      </c>
      <c r="N12" s="75">
        <v>6</v>
      </c>
      <c r="O12" s="67">
        <v>7000</v>
      </c>
      <c r="P12" s="68">
        <f>Table22457891011234567829[[#This Row],[PEMBULATAN]]*O12</f>
        <v>42000</v>
      </c>
    </row>
    <row r="13" spans="1:16" ht="22.5" customHeight="1" x14ac:dyDescent="0.2">
      <c r="A13" s="122" t="s">
        <v>30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4"/>
      <c r="M13" s="82">
        <f>SUBTOTAL(109,Table22457891011234567829[KG VOLUME])</f>
        <v>174.12900000000002</v>
      </c>
      <c r="N13" s="71">
        <f>SUM(N3:N12)</f>
        <v>177</v>
      </c>
      <c r="O13" s="125">
        <f>SUM(P3:P12)</f>
        <v>1239000</v>
      </c>
      <c r="P13" s="126"/>
    </row>
    <row r="14" spans="1:16" ht="18" customHeight="1" x14ac:dyDescent="0.2">
      <c r="A14" s="94"/>
      <c r="B14" s="59" t="s">
        <v>42</v>
      </c>
      <c r="C14" s="58"/>
      <c r="D14" s="60" t="s">
        <v>43</v>
      </c>
      <c r="E14" s="94"/>
      <c r="F14" s="94"/>
      <c r="G14" s="94"/>
      <c r="H14" s="94"/>
      <c r="I14" s="94"/>
      <c r="J14" s="94"/>
      <c r="K14" s="94"/>
      <c r="L14" s="94"/>
      <c r="M14" s="95"/>
      <c r="N14" s="96" t="s">
        <v>649</v>
      </c>
      <c r="O14" s="97"/>
      <c r="P14" s="97">
        <v>0</v>
      </c>
    </row>
    <row r="15" spans="1:16" ht="18" customHeight="1" thickBot="1" x14ac:dyDescent="0.25">
      <c r="A15" s="94"/>
      <c r="B15" s="59"/>
      <c r="C15" s="58"/>
      <c r="D15" s="60"/>
      <c r="E15" s="94"/>
      <c r="F15" s="94"/>
      <c r="G15" s="94"/>
      <c r="H15" s="94"/>
      <c r="I15" s="94"/>
      <c r="J15" s="94"/>
      <c r="K15" s="94"/>
      <c r="L15" s="94"/>
      <c r="M15" s="95"/>
      <c r="N15" s="98" t="s">
        <v>650</v>
      </c>
      <c r="O15" s="99"/>
      <c r="P15" s="99">
        <f>O13-P14</f>
        <v>1239000</v>
      </c>
    </row>
    <row r="16" spans="1:16" ht="18" customHeight="1" x14ac:dyDescent="0.2">
      <c r="A16" s="11"/>
      <c r="H16" s="66"/>
      <c r="N16" s="65" t="s">
        <v>31</v>
      </c>
      <c r="P16" s="72">
        <f>P15*1%</f>
        <v>12390</v>
      </c>
    </row>
    <row r="17" spans="1:16" ht="18" customHeight="1" thickBot="1" x14ac:dyDescent="0.25">
      <c r="A17" s="11"/>
      <c r="H17" s="66"/>
      <c r="N17" s="65" t="s">
        <v>651</v>
      </c>
      <c r="P17" s="74">
        <f>P15*2%</f>
        <v>24780</v>
      </c>
    </row>
    <row r="18" spans="1:16" ht="18" customHeight="1" x14ac:dyDescent="0.2">
      <c r="A18" s="11"/>
      <c r="H18" s="66"/>
      <c r="N18" s="69" t="s">
        <v>32</v>
      </c>
      <c r="O18" s="70"/>
      <c r="P18" s="73">
        <f>P15+P16-P17</f>
        <v>1226610</v>
      </c>
    </row>
    <row r="20" spans="1:16" x14ac:dyDescent="0.2">
      <c r="A20" s="11"/>
      <c r="H20" s="66"/>
      <c r="P20" s="74"/>
    </row>
    <row r="21" spans="1:16" x14ac:dyDescent="0.2">
      <c r="A21" s="11"/>
      <c r="H21" s="66"/>
      <c r="O21" s="61"/>
      <c r="P21" s="74"/>
    </row>
    <row r="22" spans="1:16" s="3" customFormat="1" x14ac:dyDescent="0.25">
      <c r="A22" s="11"/>
      <c r="B22" s="2"/>
      <c r="C22" s="2"/>
      <c r="E22" s="12"/>
      <c r="H22" s="66"/>
      <c r="N22" s="16"/>
      <c r="O22" s="16"/>
      <c r="P22" s="16"/>
    </row>
    <row r="23" spans="1:16" s="3" customFormat="1" x14ac:dyDescent="0.25">
      <c r="A23" s="11"/>
      <c r="B23" s="2"/>
      <c r="C23" s="2"/>
      <c r="E23" s="12"/>
      <c r="H23" s="66"/>
      <c r="N23" s="16"/>
      <c r="O23" s="16"/>
      <c r="P23" s="16"/>
    </row>
    <row r="24" spans="1:16" s="3" customFormat="1" x14ac:dyDescent="0.25">
      <c r="A24" s="11"/>
      <c r="B24" s="2"/>
      <c r="C24" s="2"/>
      <c r="E24" s="12"/>
      <c r="H24" s="66"/>
      <c r="N24" s="16"/>
      <c r="O24" s="16"/>
      <c r="P24" s="16"/>
    </row>
    <row r="25" spans="1:16" s="3" customFormat="1" x14ac:dyDescent="0.25">
      <c r="A25" s="11"/>
      <c r="B25" s="2"/>
      <c r="C25" s="2"/>
      <c r="E25" s="12"/>
      <c r="H25" s="66"/>
      <c r="N25" s="16"/>
      <c r="O25" s="16"/>
      <c r="P25" s="16"/>
    </row>
    <row r="26" spans="1:16" s="3" customFormat="1" x14ac:dyDescent="0.25">
      <c r="A26" s="11"/>
      <c r="B26" s="2"/>
      <c r="C26" s="2"/>
      <c r="E26" s="12"/>
      <c r="H26" s="66"/>
      <c r="N26" s="16"/>
      <c r="O26" s="16"/>
      <c r="P26" s="16"/>
    </row>
    <row r="27" spans="1:16" s="3" customFormat="1" x14ac:dyDescent="0.25">
      <c r="A27" s="11"/>
      <c r="B27" s="2"/>
      <c r="C27" s="2"/>
      <c r="E27" s="12"/>
      <c r="H27" s="66"/>
      <c r="N27" s="16"/>
      <c r="O27" s="16"/>
      <c r="P27" s="16"/>
    </row>
    <row r="28" spans="1:16" s="3" customFormat="1" x14ac:dyDescent="0.25">
      <c r="A28" s="11"/>
      <c r="B28" s="2"/>
      <c r="C28" s="2"/>
      <c r="E28" s="12"/>
      <c r="H28" s="66"/>
      <c r="N28" s="16"/>
      <c r="O28" s="16"/>
      <c r="P28" s="16"/>
    </row>
    <row r="29" spans="1:16" s="3" customFormat="1" x14ac:dyDescent="0.25">
      <c r="A29" s="11"/>
      <c r="B29" s="2"/>
      <c r="C29" s="2"/>
      <c r="E29" s="12"/>
      <c r="H29" s="66"/>
      <c r="N29" s="16"/>
      <c r="O29" s="16"/>
      <c r="P29" s="16"/>
    </row>
    <row r="30" spans="1:16" s="3" customFormat="1" x14ac:dyDescent="0.25">
      <c r="A30" s="11"/>
      <c r="B30" s="2"/>
      <c r="C30" s="2"/>
      <c r="E30" s="12"/>
      <c r="H30" s="66"/>
      <c r="N30" s="16"/>
      <c r="O30" s="16"/>
      <c r="P30" s="16"/>
    </row>
    <row r="31" spans="1:16" s="3" customFormat="1" x14ac:dyDescent="0.25">
      <c r="A31" s="11"/>
      <c r="B31" s="2"/>
      <c r="C31" s="2"/>
      <c r="E31" s="12"/>
      <c r="H31" s="66"/>
      <c r="N31" s="16"/>
      <c r="O31" s="16"/>
      <c r="P31" s="16"/>
    </row>
    <row r="32" spans="1:16" s="3" customFormat="1" x14ac:dyDescent="0.25">
      <c r="A32" s="11"/>
      <c r="B32" s="2"/>
      <c r="C32" s="2"/>
      <c r="E32" s="12"/>
      <c r="H32" s="66"/>
      <c r="N32" s="16"/>
      <c r="O32" s="16"/>
      <c r="P32" s="16"/>
    </row>
    <row r="33" spans="1:16" s="3" customFormat="1" x14ac:dyDescent="0.25">
      <c r="A33" s="11"/>
      <c r="B33" s="2"/>
      <c r="C33" s="2"/>
      <c r="E33" s="12"/>
      <c r="H33" s="66"/>
      <c r="N33" s="16"/>
      <c r="O33" s="16"/>
      <c r="P33" s="16"/>
    </row>
  </sheetData>
  <mergeCells count="3">
    <mergeCell ref="A3:A4"/>
    <mergeCell ref="A13:L13"/>
    <mergeCell ref="O13:P13"/>
  </mergeCells>
  <conditionalFormatting sqref="B3">
    <cfRule type="duplicateValues" dxfId="339" priority="2"/>
  </conditionalFormatting>
  <conditionalFormatting sqref="B4">
    <cfRule type="duplicateValues" dxfId="338" priority="1"/>
  </conditionalFormatting>
  <conditionalFormatting sqref="B5:B12">
    <cfRule type="duplicateValues" dxfId="337" priority="2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21" sqref="N2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0.4257812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26.25" customHeight="1" x14ac:dyDescent="0.2">
      <c r="A3" s="120" t="s">
        <v>574</v>
      </c>
      <c r="B3" s="77" t="s">
        <v>159</v>
      </c>
      <c r="C3" s="9" t="s">
        <v>160</v>
      </c>
      <c r="D3" s="79" t="s">
        <v>49</v>
      </c>
      <c r="E3" s="13">
        <v>44429</v>
      </c>
      <c r="F3" s="79" t="s">
        <v>50</v>
      </c>
      <c r="G3" s="13">
        <v>44435</v>
      </c>
      <c r="H3" s="10" t="s">
        <v>172</v>
      </c>
      <c r="I3" s="1">
        <v>36</v>
      </c>
      <c r="J3" s="1">
        <v>30</v>
      </c>
      <c r="K3" s="1">
        <v>13</v>
      </c>
      <c r="L3" s="1">
        <v>21</v>
      </c>
      <c r="M3" s="83">
        <v>3.51</v>
      </c>
      <c r="N3" s="8">
        <v>21</v>
      </c>
      <c r="O3" s="67">
        <v>7000</v>
      </c>
      <c r="P3" s="68">
        <f>Table2245789101123456789[[#This Row],[PEMBULATAN]]*O3</f>
        <v>147000</v>
      </c>
    </row>
    <row r="4" spans="1:16" ht="26.25" customHeight="1" x14ac:dyDescent="0.2">
      <c r="A4" s="121"/>
      <c r="B4" s="78"/>
      <c r="C4" s="9" t="s">
        <v>161</v>
      </c>
      <c r="D4" s="79" t="s">
        <v>49</v>
      </c>
      <c r="E4" s="13">
        <v>44429</v>
      </c>
      <c r="F4" s="79" t="s">
        <v>50</v>
      </c>
      <c r="G4" s="13">
        <v>44435</v>
      </c>
      <c r="H4" s="10" t="s">
        <v>172</v>
      </c>
      <c r="I4" s="1">
        <v>80</v>
      </c>
      <c r="J4" s="1">
        <v>59</v>
      </c>
      <c r="K4" s="1">
        <v>25</v>
      </c>
      <c r="L4" s="1">
        <v>21</v>
      </c>
      <c r="M4" s="83">
        <v>29.5</v>
      </c>
      <c r="N4" s="8">
        <v>30</v>
      </c>
      <c r="O4" s="67">
        <v>7000</v>
      </c>
      <c r="P4" s="68">
        <f>Table2245789101123456789[[#This Row],[PEMBULATAN]]*O4</f>
        <v>210000</v>
      </c>
    </row>
    <row r="5" spans="1:16" ht="26.25" customHeight="1" x14ac:dyDescent="0.2">
      <c r="A5" s="14"/>
      <c r="B5" s="14"/>
      <c r="C5" s="9" t="s">
        <v>162</v>
      </c>
      <c r="D5" s="79" t="s">
        <v>49</v>
      </c>
      <c r="E5" s="13">
        <v>44429</v>
      </c>
      <c r="F5" s="79" t="s">
        <v>50</v>
      </c>
      <c r="G5" s="13">
        <v>44435</v>
      </c>
      <c r="H5" s="10" t="s">
        <v>172</v>
      </c>
      <c r="I5" s="1">
        <v>94</v>
      </c>
      <c r="J5" s="1">
        <v>50</v>
      </c>
      <c r="K5" s="1">
        <v>17</v>
      </c>
      <c r="L5" s="1">
        <v>8</v>
      </c>
      <c r="M5" s="83">
        <v>19.975000000000001</v>
      </c>
      <c r="N5" s="8">
        <v>20</v>
      </c>
      <c r="O5" s="67">
        <v>7000</v>
      </c>
      <c r="P5" s="68">
        <f>Table2245789101123456789[[#This Row],[PEMBULATAN]]*O5</f>
        <v>140000</v>
      </c>
    </row>
    <row r="6" spans="1:16" ht="26.25" customHeight="1" x14ac:dyDescent="0.2">
      <c r="A6" s="14"/>
      <c r="B6" s="14"/>
      <c r="C6" s="76" t="s">
        <v>163</v>
      </c>
      <c r="D6" s="81" t="s">
        <v>49</v>
      </c>
      <c r="E6" s="13">
        <v>44429</v>
      </c>
      <c r="F6" s="79" t="s">
        <v>50</v>
      </c>
      <c r="G6" s="13">
        <v>44435</v>
      </c>
      <c r="H6" s="80" t="s">
        <v>172</v>
      </c>
      <c r="I6" s="17">
        <v>51</v>
      </c>
      <c r="J6" s="17">
        <v>40</v>
      </c>
      <c r="K6" s="17">
        <v>10</v>
      </c>
      <c r="L6" s="17">
        <v>25</v>
      </c>
      <c r="M6" s="84">
        <v>5.0999999999999996</v>
      </c>
      <c r="N6" s="75">
        <v>25</v>
      </c>
      <c r="O6" s="67">
        <v>7000</v>
      </c>
      <c r="P6" s="68">
        <f>Table2245789101123456789[[#This Row],[PEMBULATAN]]*O6</f>
        <v>175000</v>
      </c>
    </row>
    <row r="7" spans="1:16" ht="26.25" customHeight="1" x14ac:dyDescent="0.2">
      <c r="A7" s="14"/>
      <c r="B7" s="14"/>
      <c r="C7" s="76" t="s">
        <v>164</v>
      </c>
      <c r="D7" s="81" t="s">
        <v>49</v>
      </c>
      <c r="E7" s="13">
        <v>44429</v>
      </c>
      <c r="F7" s="79" t="s">
        <v>50</v>
      </c>
      <c r="G7" s="13">
        <v>44435</v>
      </c>
      <c r="H7" s="80" t="s">
        <v>172</v>
      </c>
      <c r="I7" s="17">
        <v>90</v>
      </c>
      <c r="J7" s="17">
        <v>45</v>
      </c>
      <c r="K7" s="17">
        <v>38</v>
      </c>
      <c r="L7" s="17">
        <v>6</v>
      </c>
      <c r="M7" s="84">
        <v>38.475000000000001</v>
      </c>
      <c r="N7" s="75">
        <v>38</v>
      </c>
      <c r="O7" s="67">
        <v>7000</v>
      </c>
      <c r="P7" s="68">
        <f>Table2245789101123456789[[#This Row],[PEMBULATAN]]*O7</f>
        <v>266000</v>
      </c>
    </row>
    <row r="8" spans="1:16" ht="26.25" customHeight="1" x14ac:dyDescent="0.2">
      <c r="A8" s="14"/>
      <c r="B8" s="14"/>
      <c r="C8" s="76" t="s">
        <v>165</v>
      </c>
      <c r="D8" s="81" t="s">
        <v>49</v>
      </c>
      <c r="E8" s="13">
        <v>44429</v>
      </c>
      <c r="F8" s="79" t="s">
        <v>50</v>
      </c>
      <c r="G8" s="13">
        <v>44435</v>
      </c>
      <c r="H8" s="80" t="s">
        <v>172</v>
      </c>
      <c r="I8" s="17">
        <v>56</v>
      </c>
      <c r="J8" s="17">
        <v>37</v>
      </c>
      <c r="K8" s="17">
        <v>22</v>
      </c>
      <c r="L8" s="17">
        <v>9</v>
      </c>
      <c r="M8" s="84">
        <v>11.396000000000001</v>
      </c>
      <c r="N8" s="75">
        <v>11</v>
      </c>
      <c r="O8" s="67">
        <v>7000</v>
      </c>
      <c r="P8" s="68">
        <f>Table2245789101123456789[[#This Row],[PEMBULATAN]]*O8</f>
        <v>77000</v>
      </c>
    </row>
    <row r="9" spans="1:16" ht="26.25" customHeight="1" x14ac:dyDescent="0.2">
      <c r="A9" s="14"/>
      <c r="B9" s="14"/>
      <c r="C9" s="76" t="s">
        <v>166</v>
      </c>
      <c r="D9" s="81" t="s">
        <v>49</v>
      </c>
      <c r="E9" s="13">
        <v>44429</v>
      </c>
      <c r="F9" s="79" t="s">
        <v>50</v>
      </c>
      <c r="G9" s="13">
        <v>44435</v>
      </c>
      <c r="H9" s="80" t="s">
        <v>172</v>
      </c>
      <c r="I9" s="17">
        <v>84</v>
      </c>
      <c r="J9" s="17">
        <v>50</v>
      </c>
      <c r="K9" s="17">
        <v>30</v>
      </c>
      <c r="L9" s="17">
        <v>4</v>
      </c>
      <c r="M9" s="84">
        <v>31.5</v>
      </c>
      <c r="N9" s="75">
        <v>32</v>
      </c>
      <c r="O9" s="67">
        <v>7000</v>
      </c>
      <c r="P9" s="68">
        <f>Table2245789101123456789[[#This Row],[PEMBULATAN]]*O9</f>
        <v>224000</v>
      </c>
    </row>
    <row r="10" spans="1:16" ht="26.25" customHeight="1" x14ac:dyDescent="0.2">
      <c r="A10" s="14"/>
      <c r="B10" s="14"/>
      <c r="C10" s="76" t="s">
        <v>167</v>
      </c>
      <c r="D10" s="81" t="s">
        <v>49</v>
      </c>
      <c r="E10" s="13">
        <v>44429</v>
      </c>
      <c r="F10" s="79" t="s">
        <v>50</v>
      </c>
      <c r="G10" s="13">
        <v>44435</v>
      </c>
      <c r="H10" s="80" t="s">
        <v>172</v>
      </c>
      <c r="I10" s="17">
        <v>82</v>
      </c>
      <c r="J10" s="17">
        <v>60</v>
      </c>
      <c r="K10" s="17">
        <v>20</v>
      </c>
      <c r="L10" s="17">
        <v>19</v>
      </c>
      <c r="M10" s="84">
        <v>24.6</v>
      </c>
      <c r="N10" s="75">
        <v>25</v>
      </c>
      <c r="O10" s="67">
        <v>7000</v>
      </c>
      <c r="P10" s="68">
        <f>Table2245789101123456789[[#This Row],[PEMBULATAN]]*O10</f>
        <v>175000</v>
      </c>
    </row>
    <row r="11" spans="1:16" ht="26.25" customHeight="1" x14ac:dyDescent="0.2">
      <c r="A11" s="14"/>
      <c r="B11" s="14"/>
      <c r="C11" s="76" t="s">
        <v>168</v>
      </c>
      <c r="D11" s="81" t="s">
        <v>49</v>
      </c>
      <c r="E11" s="13">
        <v>44429</v>
      </c>
      <c r="F11" s="79" t="s">
        <v>50</v>
      </c>
      <c r="G11" s="13">
        <v>44435</v>
      </c>
      <c r="H11" s="80" t="s">
        <v>172</v>
      </c>
      <c r="I11" s="17">
        <v>50</v>
      </c>
      <c r="J11" s="17">
        <v>45</v>
      </c>
      <c r="K11" s="17">
        <v>35</v>
      </c>
      <c r="L11" s="17">
        <v>6</v>
      </c>
      <c r="M11" s="84">
        <v>19.6875</v>
      </c>
      <c r="N11" s="75">
        <v>20</v>
      </c>
      <c r="O11" s="67">
        <v>7000</v>
      </c>
      <c r="P11" s="68">
        <f>Table2245789101123456789[[#This Row],[PEMBULATAN]]*O11</f>
        <v>140000</v>
      </c>
    </row>
    <row r="12" spans="1:16" ht="26.25" customHeight="1" x14ac:dyDescent="0.2">
      <c r="A12" s="14"/>
      <c r="B12" s="14"/>
      <c r="C12" s="76" t="s">
        <v>169</v>
      </c>
      <c r="D12" s="81" t="s">
        <v>49</v>
      </c>
      <c r="E12" s="13">
        <v>44429</v>
      </c>
      <c r="F12" s="79" t="s">
        <v>50</v>
      </c>
      <c r="G12" s="13">
        <v>44435</v>
      </c>
      <c r="H12" s="80" t="s">
        <v>172</v>
      </c>
      <c r="I12" s="17">
        <v>30</v>
      </c>
      <c r="J12" s="17">
        <v>30</v>
      </c>
      <c r="K12" s="17">
        <v>25</v>
      </c>
      <c r="L12" s="17">
        <v>18</v>
      </c>
      <c r="M12" s="84">
        <v>5.625</v>
      </c>
      <c r="N12" s="75">
        <v>18</v>
      </c>
      <c r="O12" s="67">
        <v>7000</v>
      </c>
      <c r="P12" s="68">
        <f>Table2245789101123456789[[#This Row],[PEMBULATAN]]*O12</f>
        <v>126000</v>
      </c>
    </row>
    <row r="13" spans="1:16" ht="26.25" customHeight="1" x14ac:dyDescent="0.2">
      <c r="A13" s="14"/>
      <c r="B13" s="14"/>
      <c r="C13" s="76" t="s">
        <v>170</v>
      </c>
      <c r="D13" s="81" t="s">
        <v>49</v>
      </c>
      <c r="E13" s="13">
        <v>44429</v>
      </c>
      <c r="F13" s="79" t="s">
        <v>50</v>
      </c>
      <c r="G13" s="13">
        <v>44435</v>
      </c>
      <c r="H13" s="80" t="s">
        <v>172</v>
      </c>
      <c r="I13" s="17">
        <v>80</v>
      </c>
      <c r="J13" s="17">
        <v>50</v>
      </c>
      <c r="K13" s="17">
        <v>20</v>
      </c>
      <c r="L13" s="17">
        <v>6</v>
      </c>
      <c r="M13" s="84">
        <v>20</v>
      </c>
      <c r="N13" s="75">
        <v>20</v>
      </c>
      <c r="O13" s="67">
        <v>7000</v>
      </c>
      <c r="P13" s="68">
        <f>Table2245789101123456789[[#This Row],[PEMBULATAN]]*O13</f>
        <v>140000</v>
      </c>
    </row>
    <row r="14" spans="1:16" ht="26.25" customHeight="1" x14ac:dyDescent="0.2">
      <c r="A14" s="14"/>
      <c r="B14" s="14"/>
      <c r="C14" s="76" t="s">
        <v>171</v>
      </c>
      <c r="D14" s="81" t="s">
        <v>49</v>
      </c>
      <c r="E14" s="13">
        <v>44429</v>
      </c>
      <c r="F14" s="79" t="s">
        <v>50</v>
      </c>
      <c r="G14" s="13">
        <v>44435</v>
      </c>
      <c r="H14" s="80" t="s">
        <v>172</v>
      </c>
      <c r="I14" s="17">
        <v>30</v>
      </c>
      <c r="J14" s="17">
        <v>70</v>
      </c>
      <c r="K14" s="17">
        <v>27</v>
      </c>
      <c r="L14" s="17">
        <v>9</v>
      </c>
      <c r="M14" s="84">
        <v>14.175000000000001</v>
      </c>
      <c r="N14" s="75">
        <v>14</v>
      </c>
      <c r="O14" s="67">
        <v>7000</v>
      </c>
      <c r="P14" s="68">
        <f>Table2245789101123456789[[#This Row],[PEMBULATAN]]*O14</f>
        <v>98000</v>
      </c>
    </row>
    <row r="15" spans="1:16" ht="22.5" customHeight="1" x14ac:dyDescent="0.2">
      <c r="A15" s="122" t="s">
        <v>30</v>
      </c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4"/>
      <c r="M15" s="82">
        <f>SUBTOTAL(109,Table2245789101123456789[KG VOLUME])</f>
        <v>223.54350000000002</v>
      </c>
      <c r="N15" s="71">
        <f>SUM(N3:N14)</f>
        <v>274</v>
      </c>
      <c r="O15" s="125">
        <f>SUM(P3:P14)</f>
        <v>1918000</v>
      </c>
      <c r="P15" s="126"/>
    </row>
    <row r="16" spans="1:16" ht="18" customHeight="1" x14ac:dyDescent="0.2">
      <c r="A16" s="94"/>
      <c r="B16" s="59" t="s">
        <v>42</v>
      </c>
      <c r="C16" s="58"/>
      <c r="D16" s="60" t="s">
        <v>43</v>
      </c>
      <c r="E16" s="94"/>
      <c r="F16" s="94"/>
      <c r="G16" s="94"/>
      <c r="H16" s="94"/>
      <c r="I16" s="94"/>
      <c r="J16" s="94"/>
      <c r="K16" s="94"/>
      <c r="L16" s="94"/>
      <c r="M16" s="95"/>
      <c r="N16" s="96" t="s">
        <v>649</v>
      </c>
      <c r="O16" s="97"/>
      <c r="P16" s="97">
        <v>0</v>
      </c>
    </row>
    <row r="17" spans="1:16" ht="18" customHeight="1" thickBot="1" x14ac:dyDescent="0.25">
      <c r="A17" s="94"/>
      <c r="B17" s="59"/>
      <c r="C17" s="58"/>
      <c r="D17" s="60"/>
      <c r="E17" s="94"/>
      <c r="F17" s="94"/>
      <c r="G17" s="94"/>
      <c r="H17" s="94"/>
      <c r="I17" s="94"/>
      <c r="J17" s="94"/>
      <c r="K17" s="94"/>
      <c r="L17" s="94"/>
      <c r="M17" s="95"/>
      <c r="N17" s="98" t="s">
        <v>650</v>
      </c>
      <c r="O17" s="99"/>
      <c r="P17" s="99">
        <f>O15-P16</f>
        <v>1918000</v>
      </c>
    </row>
    <row r="18" spans="1:16" ht="18" customHeight="1" x14ac:dyDescent="0.2">
      <c r="A18" s="11"/>
      <c r="H18" s="66"/>
      <c r="N18" s="65" t="s">
        <v>31</v>
      </c>
      <c r="P18" s="72">
        <f>P17*1%</f>
        <v>19180</v>
      </c>
    </row>
    <row r="19" spans="1:16" ht="18" customHeight="1" thickBot="1" x14ac:dyDescent="0.25">
      <c r="A19" s="11"/>
      <c r="H19" s="66"/>
      <c r="N19" s="65" t="s">
        <v>651</v>
      </c>
      <c r="P19" s="74">
        <f>P17*2%</f>
        <v>38360</v>
      </c>
    </row>
    <row r="20" spans="1:16" ht="18" customHeight="1" x14ac:dyDescent="0.2">
      <c r="A20" s="11"/>
      <c r="H20" s="66"/>
      <c r="N20" s="69" t="s">
        <v>32</v>
      </c>
      <c r="O20" s="70"/>
      <c r="P20" s="73">
        <f>P17+P18-P19</f>
        <v>1898820</v>
      </c>
    </row>
    <row r="22" spans="1:16" x14ac:dyDescent="0.2">
      <c r="A22" s="11"/>
      <c r="H22" s="66"/>
      <c r="P22" s="74"/>
    </row>
    <row r="23" spans="1:16" x14ac:dyDescent="0.2">
      <c r="A23" s="11"/>
      <c r="H23" s="66"/>
      <c r="O23" s="61"/>
      <c r="P23" s="74"/>
    </row>
    <row r="24" spans="1:16" s="3" customFormat="1" x14ac:dyDescent="0.25">
      <c r="A24" s="11"/>
      <c r="B24" s="2"/>
      <c r="C24" s="2"/>
      <c r="E24" s="12"/>
      <c r="H24" s="66"/>
      <c r="N24" s="16"/>
      <c r="O24" s="16"/>
      <c r="P24" s="16"/>
    </row>
    <row r="25" spans="1:16" s="3" customFormat="1" x14ac:dyDescent="0.25">
      <c r="A25" s="11"/>
      <c r="B25" s="2"/>
      <c r="C25" s="2"/>
      <c r="E25" s="12"/>
      <c r="H25" s="66"/>
      <c r="N25" s="16"/>
      <c r="O25" s="16"/>
      <c r="P25" s="16"/>
    </row>
    <row r="26" spans="1:16" s="3" customFormat="1" x14ac:dyDescent="0.25">
      <c r="A26" s="11"/>
      <c r="B26" s="2"/>
      <c r="C26" s="2"/>
      <c r="E26" s="12"/>
      <c r="H26" s="66"/>
      <c r="N26" s="16"/>
      <c r="O26" s="16"/>
      <c r="P26" s="16"/>
    </row>
    <row r="27" spans="1:16" s="3" customFormat="1" x14ac:dyDescent="0.25">
      <c r="A27" s="11"/>
      <c r="B27" s="2"/>
      <c r="C27" s="2"/>
      <c r="E27" s="12"/>
      <c r="H27" s="66"/>
      <c r="N27" s="16"/>
      <c r="O27" s="16"/>
      <c r="P27" s="16"/>
    </row>
    <row r="28" spans="1:16" s="3" customFormat="1" x14ac:dyDescent="0.25">
      <c r="A28" s="11"/>
      <c r="B28" s="2"/>
      <c r="C28" s="2"/>
      <c r="E28" s="12"/>
      <c r="H28" s="66"/>
      <c r="N28" s="16"/>
      <c r="O28" s="16"/>
      <c r="P28" s="16"/>
    </row>
    <row r="29" spans="1:16" s="3" customFormat="1" x14ac:dyDescent="0.25">
      <c r="A29" s="11"/>
      <c r="B29" s="2"/>
      <c r="C29" s="2"/>
      <c r="E29" s="12"/>
      <c r="H29" s="66"/>
      <c r="N29" s="16"/>
      <c r="O29" s="16"/>
      <c r="P29" s="16"/>
    </row>
    <row r="30" spans="1:16" s="3" customFormat="1" x14ac:dyDescent="0.25">
      <c r="A30" s="11"/>
      <c r="B30" s="2"/>
      <c r="C30" s="2"/>
      <c r="E30" s="12"/>
      <c r="H30" s="66"/>
      <c r="N30" s="16"/>
      <c r="O30" s="16"/>
      <c r="P30" s="16"/>
    </row>
    <row r="31" spans="1:16" s="3" customFormat="1" x14ac:dyDescent="0.25">
      <c r="A31" s="11"/>
      <c r="B31" s="2"/>
      <c r="C31" s="2"/>
      <c r="E31" s="12"/>
      <c r="H31" s="66"/>
      <c r="N31" s="16"/>
      <c r="O31" s="16"/>
      <c r="P31" s="16"/>
    </row>
    <row r="32" spans="1:16" s="3" customFormat="1" x14ac:dyDescent="0.25">
      <c r="A32" s="11"/>
      <c r="B32" s="2"/>
      <c r="C32" s="2"/>
      <c r="E32" s="12"/>
      <c r="H32" s="66"/>
      <c r="N32" s="16"/>
      <c r="O32" s="16"/>
      <c r="P32" s="16"/>
    </row>
    <row r="33" spans="1:16" s="3" customFormat="1" x14ac:dyDescent="0.25">
      <c r="A33" s="11"/>
      <c r="B33" s="2"/>
      <c r="C33" s="2"/>
      <c r="E33" s="12"/>
      <c r="H33" s="66"/>
      <c r="N33" s="16"/>
      <c r="O33" s="16"/>
      <c r="P33" s="16"/>
    </row>
    <row r="34" spans="1:16" s="3" customFormat="1" x14ac:dyDescent="0.25">
      <c r="A34" s="11"/>
      <c r="B34" s="2"/>
      <c r="C34" s="2"/>
      <c r="E34" s="12"/>
      <c r="H34" s="66"/>
      <c r="N34" s="16"/>
      <c r="O34" s="16"/>
      <c r="P34" s="16"/>
    </row>
    <row r="35" spans="1:16" s="3" customFormat="1" x14ac:dyDescent="0.25">
      <c r="A35" s="11"/>
      <c r="B35" s="2"/>
      <c r="C35" s="2"/>
      <c r="E35" s="12"/>
      <c r="H35" s="66"/>
      <c r="N35" s="16"/>
      <c r="O35" s="16"/>
      <c r="P35" s="16"/>
    </row>
  </sheetData>
  <mergeCells count="3">
    <mergeCell ref="A3:A4"/>
    <mergeCell ref="A15:L15"/>
    <mergeCell ref="O15:P15"/>
  </mergeCells>
  <conditionalFormatting sqref="B3">
    <cfRule type="duplicateValues" dxfId="321" priority="2"/>
  </conditionalFormatting>
  <conditionalFormatting sqref="B4">
    <cfRule type="duplicateValues" dxfId="320" priority="1"/>
  </conditionalFormatting>
  <conditionalFormatting sqref="B5:B14">
    <cfRule type="duplicateValues" dxfId="319" priority="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8"/>
  <sheetViews>
    <sheetView zoomScaleNormal="10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5" sqref="D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0.4257812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26.25" customHeight="1" x14ac:dyDescent="0.2">
      <c r="A3" s="120" t="s">
        <v>647</v>
      </c>
      <c r="B3" s="77" t="s">
        <v>590</v>
      </c>
      <c r="C3" s="9" t="s">
        <v>591</v>
      </c>
      <c r="D3" s="79" t="s">
        <v>49</v>
      </c>
      <c r="E3" s="13">
        <v>44429</v>
      </c>
      <c r="F3" s="79" t="s">
        <v>50</v>
      </c>
      <c r="G3" s="13">
        <v>44435</v>
      </c>
      <c r="H3" s="10" t="s">
        <v>172</v>
      </c>
      <c r="I3" s="1">
        <v>85</v>
      </c>
      <c r="J3" s="1">
        <v>40</v>
      </c>
      <c r="K3" s="1">
        <v>30</v>
      </c>
      <c r="L3" s="1">
        <v>22</v>
      </c>
      <c r="M3" s="83">
        <v>25.5</v>
      </c>
      <c r="N3" s="8">
        <v>26</v>
      </c>
      <c r="O3" s="67">
        <v>7000</v>
      </c>
      <c r="P3" s="68">
        <f>Table224578910112345678932[[#This Row],[PEMBULATAN]]*O3</f>
        <v>182000</v>
      </c>
    </row>
    <row r="4" spans="1:16" ht="26.25" customHeight="1" x14ac:dyDescent="0.2">
      <c r="A4" s="121"/>
      <c r="B4" s="78"/>
      <c r="C4" s="9" t="s">
        <v>592</v>
      </c>
      <c r="D4" s="79" t="s">
        <v>49</v>
      </c>
      <c r="E4" s="13">
        <v>44429</v>
      </c>
      <c r="F4" s="79" t="s">
        <v>50</v>
      </c>
      <c r="G4" s="13">
        <v>44435</v>
      </c>
      <c r="H4" s="10" t="s">
        <v>172</v>
      </c>
      <c r="I4" s="1">
        <v>70</v>
      </c>
      <c r="J4" s="1">
        <v>60</v>
      </c>
      <c r="K4" s="1">
        <v>25</v>
      </c>
      <c r="L4" s="1">
        <v>13</v>
      </c>
      <c r="M4" s="83">
        <v>26.25</v>
      </c>
      <c r="N4" s="8">
        <v>26</v>
      </c>
      <c r="O4" s="67">
        <v>7000</v>
      </c>
      <c r="P4" s="68">
        <f>Table224578910112345678932[[#This Row],[PEMBULATAN]]*O4</f>
        <v>182000</v>
      </c>
    </row>
    <row r="5" spans="1:16" ht="26.25" customHeight="1" x14ac:dyDescent="0.2">
      <c r="A5" s="14"/>
      <c r="B5" s="14"/>
      <c r="C5" s="9" t="s">
        <v>593</v>
      </c>
      <c r="D5" s="79" t="s">
        <v>49</v>
      </c>
      <c r="E5" s="13">
        <v>44429</v>
      </c>
      <c r="F5" s="79" t="s">
        <v>50</v>
      </c>
      <c r="G5" s="13">
        <v>44435</v>
      </c>
      <c r="H5" s="10" t="s">
        <v>172</v>
      </c>
      <c r="I5" s="1">
        <v>80</v>
      </c>
      <c r="J5" s="1">
        <v>55</v>
      </c>
      <c r="K5" s="1">
        <v>25</v>
      </c>
      <c r="L5" s="1">
        <v>10</v>
      </c>
      <c r="M5" s="83">
        <v>27.5</v>
      </c>
      <c r="N5" s="8">
        <v>28</v>
      </c>
      <c r="O5" s="67">
        <v>7000</v>
      </c>
      <c r="P5" s="68">
        <f>Table224578910112345678932[[#This Row],[PEMBULATAN]]*O5</f>
        <v>196000</v>
      </c>
    </row>
    <row r="6" spans="1:16" ht="26.25" customHeight="1" x14ac:dyDescent="0.2">
      <c r="A6" s="14"/>
      <c r="B6" s="14"/>
      <c r="C6" s="76" t="s">
        <v>594</v>
      </c>
      <c r="D6" s="81" t="s">
        <v>49</v>
      </c>
      <c r="E6" s="13">
        <v>44429</v>
      </c>
      <c r="F6" s="79" t="s">
        <v>50</v>
      </c>
      <c r="G6" s="13">
        <v>44435</v>
      </c>
      <c r="H6" s="80" t="s">
        <v>172</v>
      </c>
      <c r="I6" s="17">
        <v>45</v>
      </c>
      <c r="J6" s="17">
        <v>36</v>
      </c>
      <c r="K6" s="17">
        <v>27</v>
      </c>
      <c r="L6" s="17">
        <v>13</v>
      </c>
      <c r="M6" s="84">
        <v>10.935</v>
      </c>
      <c r="N6" s="75">
        <v>13</v>
      </c>
      <c r="O6" s="67">
        <v>7000</v>
      </c>
      <c r="P6" s="68">
        <f>Table224578910112345678932[[#This Row],[PEMBULATAN]]*O6</f>
        <v>91000</v>
      </c>
    </row>
    <row r="7" spans="1:16" ht="26.25" customHeight="1" x14ac:dyDescent="0.2">
      <c r="A7" s="14"/>
      <c r="B7" s="14"/>
      <c r="C7" s="76" t="s">
        <v>595</v>
      </c>
      <c r="D7" s="81" t="s">
        <v>49</v>
      </c>
      <c r="E7" s="13">
        <v>44429</v>
      </c>
      <c r="F7" s="79" t="s">
        <v>50</v>
      </c>
      <c r="G7" s="13">
        <v>44435</v>
      </c>
      <c r="H7" s="80" t="s">
        <v>172</v>
      </c>
      <c r="I7" s="17">
        <v>87</v>
      </c>
      <c r="J7" s="17">
        <v>60</v>
      </c>
      <c r="K7" s="17">
        <v>29</v>
      </c>
      <c r="L7" s="17">
        <v>15</v>
      </c>
      <c r="M7" s="84">
        <v>37.844999999999999</v>
      </c>
      <c r="N7" s="75">
        <v>38</v>
      </c>
      <c r="O7" s="67">
        <v>7000</v>
      </c>
      <c r="P7" s="68">
        <f>Table224578910112345678932[[#This Row],[PEMBULATAN]]*O7</f>
        <v>266000</v>
      </c>
    </row>
    <row r="8" spans="1:16" ht="26.25" customHeight="1" x14ac:dyDescent="0.2">
      <c r="A8" s="14"/>
      <c r="B8" s="14"/>
      <c r="C8" s="76" t="s">
        <v>596</v>
      </c>
      <c r="D8" s="81" t="s">
        <v>49</v>
      </c>
      <c r="E8" s="13">
        <v>44429</v>
      </c>
      <c r="F8" s="79" t="s">
        <v>50</v>
      </c>
      <c r="G8" s="13">
        <v>44435</v>
      </c>
      <c r="H8" s="80" t="s">
        <v>172</v>
      </c>
      <c r="I8" s="17">
        <v>85</v>
      </c>
      <c r="J8" s="17">
        <v>60</v>
      </c>
      <c r="K8" s="17">
        <v>20</v>
      </c>
      <c r="L8" s="17">
        <v>8</v>
      </c>
      <c r="M8" s="84">
        <v>25.5</v>
      </c>
      <c r="N8" s="75">
        <v>26</v>
      </c>
      <c r="O8" s="67">
        <v>7000</v>
      </c>
      <c r="P8" s="68">
        <f>Table224578910112345678932[[#This Row],[PEMBULATAN]]*O8</f>
        <v>182000</v>
      </c>
    </row>
    <row r="9" spans="1:16" ht="26.25" customHeight="1" x14ac:dyDescent="0.2">
      <c r="A9" s="14"/>
      <c r="B9" s="14"/>
      <c r="C9" s="76" t="s">
        <v>597</v>
      </c>
      <c r="D9" s="81" t="s">
        <v>49</v>
      </c>
      <c r="E9" s="13">
        <v>44429</v>
      </c>
      <c r="F9" s="79" t="s">
        <v>50</v>
      </c>
      <c r="G9" s="13">
        <v>44435</v>
      </c>
      <c r="H9" s="80" t="s">
        <v>172</v>
      </c>
      <c r="I9" s="17">
        <v>95</v>
      </c>
      <c r="J9" s="17">
        <v>35</v>
      </c>
      <c r="K9" s="17">
        <v>20</v>
      </c>
      <c r="L9" s="17">
        <v>15</v>
      </c>
      <c r="M9" s="84">
        <v>16.625</v>
      </c>
      <c r="N9" s="75">
        <v>17</v>
      </c>
      <c r="O9" s="67">
        <v>7000</v>
      </c>
      <c r="P9" s="68">
        <f>Table224578910112345678932[[#This Row],[PEMBULATAN]]*O9</f>
        <v>119000</v>
      </c>
    </row>
    <row r="10" spans="1:16" ht="26.25" customHeight="1" x14ac:dyDescent="0.2">
      <c r="A10" s="14"/>
      <c r="B10" s="15"/>
      <c r="C10" s="76" t="s">
        <v>598</v>
      </c>
      <c r="D10" s="81" t="s">
        <v>49</v>
      </c>
      <c r="E10" s="13">
        <v>44429</v>
      </c>
      <c r="F10" s="79" t="s">
        <v>50</v>
      </c>
      <c r="G10" s="13">
        <v>44435</v>
      </c>
      <c r="H10" s="80" t="s">
        <v>172</v>
      </c>
      <c r="I10" s="17">
        <v>65</v>
      </c>
      <c r="J10" s="17">
        <v>45</v>
      </c>
      <c r="K10" s="17">
        <v>2</v>
      </c>
      <c r="L10" s="17">
        <v>12</v>
      </c>
      <c r="M10" s="84">
        <v>1.4624999999999999</v>
      </c>
      <c r="N10" s="75">
        <v>12</v>
      </c>
      <c r="O10" s="67">
        <v>7000</v>
      </c>
      <c r="P10" s="68">
        <f>Table224578910112345678932[[#This Row],[PEMBULATAN]]*O10</f>
        <v>84000</v>
      </c>
    </row>
    <row r="11" spans="1:16" ht="26.25" customHeight="1" x14ac:dyDescent="0.2">
      <c r="A11" s="14"/>
      <c r="B11" s="14" t="s">
        <v>599</v>
      </c>
      <c r="C11" s="76" t="s">
        <v>600</v>
      </c>
      <c r="D11" s="81" t="s">
        <v>49</v>
      </c>
      <c r="E11" s="13">
        <v>44429</v>
      </c>
      <c r="F11" s="79" t="s">
        <v>50</v>
      </c>
      <c r="G11" s="13">
        <v>44435</v>
      </c>
      <c r="H11" s="80" t="s">
        <v>172</v>
      </c>
      <c r="I11" s="17">
        <v>55</v>
      </c>
      <c r="J11" s="17">
        <v>29</v>
      </c>
      <c r="K11" s="17">
        <v>15</v>
      </c>
      <c r="L11" s="17">
        <v>12</v>
      </c>
      <c r="M11" s="84">
        <v>5.9812500000000002</v>
      </c>
      <c r="N11" s="75">
        <v>12</v>
      </c>
      <c r="O11" s="67">
        <v>7000</v>
      </c>
      <c r="P11" s="68">
        <f>Table224578910112345678932[[#This Row],[PEMBULATAN]]*O11</f>
        <v>84000</v>
      </c>
    </row>
    <row r="12" spans="1:16" ht="26.25" customHeight="1" x14ac:dyDescent="0.2">
      <c r="A12" s="14"/>
      <c r="B12" s="14"/>
      <c r="C12" s="76" t="s">
        <v>601</v>
      </c>
      <c r="D12" s="81" t="s">
        <v>49</v>
      </c>
      <c r="E12" s="13">
        <v>44429</v>
      </c>
      <c r="F12" s="79" t="s">
        <v>50</v>
      </c>
      <c r="G12" s="13">
        <v>44435</v>
      </c>
      <c r="H12" s="80" t="s">
        <v>172</v>
      </c>
      <c r="I12" s="17">
        <v>130</v>
      </c>
      <c r="J12" s="17">
        <v>10</v>
      </c>
      <c r="K12" s="17">
        <v>10</v>
      </c>
      <c r="L12" s="17">
        <v>12</v>
      </c>
      <c r="M12" s="84">
        <v>3.25</v>
      </c>
      <c r="N12" s="75">
        <v>12</v>
      </c>
      <c r="O12" s="67">
        <v>7000</v>
      </c>
      <c r="P12" s="68">
        <f>Table224578910112345678932[[#This Row],[PEMBULATAN]]*O12</f>
        <v>84000</v>
      </c>
    </row>
    <row r="13" spans="1:16" ht="26.25" customHeight="1" x14ac:dyDescent="0.2">
      <c r="A13" s="14"/>
      <c r="B13" s="14"/>
      <c r="C13" s="76" t="s">
        <v>602</v>
      </c>
      <c r="D13" s="81" t="s">
        <v>49</v>
      </c>
      <c r="E13" s="13">
        <v>44429</v>
      </c>
      <c r="F13" s="79" t="s">
        <v>50</v>
      </c>
      <c r="G13" s="13">
        <v>44435</v>
      </c>
      <c r="H13" s="80" t="s">
        <v>172</v>
      </c>
      <c r="I13" s="17">
        <v>50</v>
      </c>
      <c r="J13" s="17">
        <v>50</v>
      </c>
      <c r="K13" s="17">
        <v>30</v>
      </c>
      <c r="L13" s="17">
        <v>12</v>
      </c>
      <c r="M13" s="84">
        <v>18.75</v>
      </c>
      <c r="N13" s="75">
        <v>19</v>
      </c>
      <c r="O13" s="67">
        <v>7000</v>
      </c>
      <c r="P13" s="68">
        <f>Table224578910112345678932[[#This Row],[PEMBULATAN]]*O13</f>
        <v>133000</v>
      </c>
    </row>
    <row r="14" spans="1:16" ht="26.25" customHeight="1" x14ac:dyDescent="0.2">
      <c r="A14" s="14"/>
      <c r="B14" s="14"/>
      <c r="C14" s="76" t="s">
        <v>603</v>
      </c>
      <c r="D14" s="81" t="s">
        <v>49</v>
      </c>
      <c r="E14" s="13">
        <v>44429</v>
      </c>
      <c r="F14" s="79" t="s">
        <v>50</v>
      </c>
      <c r="G14" s="13">
        <v>44435</v>
      </c>
      <c r="H14" s="80" t="s">
        <v>172</v>
      </c>
      <c r="I14" s="17">
        <v>50</v>
      </c>
      <c r="J14" s="17">
        <v>45</v>
      </c>
      <c r="K14" s="17">
        <v>25</v>
      </c>
      <c r="L14" s="17">
        <v>11</v>
      </c>
      <c r="M14" s="84">
        <v>14.0625</v>
      </c>
      <c r="N14" s="75">
        <v>14</v>
      </c>
      <c r="O14" s="67">
        <v>7000</v>
      </c>
      <c r="P14" s="68">
        <f>Table224578910112345678932[[#This Row],[PEMBULATAN]]*O14</f>
        <v>98000</v>
      </c>
    </row>
    <row r="15" spans="1:16" ht="26.25" customHeight="1" x14ac:dyDescent="0.2">
      <c r="A15" s="14"/>
      <c r="B15" s="14"/>
      <c r="C15" s="76" t="s">
        <v>604</v>
      </c>
      <c r="D15" s="81" t="s">
        <v>49</v>
      </c>
      <c r="E15" s="13">
        <v>44429</v>
      </c>
      <c r="F15" s="79" t="s">
        <v>50</v>
      </c>
      <c r="G15" s="13">
        <v>44435</v>
      </c>
      <c r="H15" s="80" t="s">
        <v>172</v>
      </c>
      <c r="I15" s="17">
        <v>100</v>
      </c>
      <c r="J15" s="17">
        <v>60</v>
      </c>
      <c r="K15" s="17">
        <v>30</v>
      </c>
      <c r="L15" s="17">
        <v>6</v>
      </c>
      <c r="M15" s="84">
        <v>45</v>
      </c>
      <c r="N15" s="75">
        <v>45</v>
      </c>
      <c r="O15" s="67">
        <v>7000</v>
      </c>
      <c r="P15" s="68">
        <f>Table224578910112345678932[[#This Row],[PEMBULATAN]]*O15</f>
        <v>315000</v>
      </c>
    </row>
    <row r="16" spans="1:16" ht="26.25" customHeight="1" x14ac:dyDescent="0.2">
      <c r="A16" s="14"/>
      <c r="B16" s="14"/>
      <c r="C16" s="76" t="s">
        <v>605</v>
      </c>
      <c r="D16" s="81" t="s">
        <v>49</v>
      </c>
      <c r="E16" s="13">
        <v>44429</v>
      </c>
      <c r="F16" s="79" t="s">
        <v>50</v>
      </c>
      <c r="G16" s="13">
        <v>44435</v>
      </c>
      <c r="H16" s="80" t="s">
        <v>172</v>
      </c>
      <c r="I16" s="17">
        <v>79</v>
      </c>
      <c r="J16" s="17">
        <v>41</v>
      </c>
      <c r="K16" s="17">
        <v>3</v>
      </c>
      <c r="L16" s="17">
        <v>11</v>
      </c>
      <c r="M16" s="84">
        <v>2.4292500000000001</v>
      </c>
      <c r="N16" s="75">
        <v>11</v>
      </c>
      <c r="O16" s="67">
        <v>7000</v>
      </c>
      <c r="P16" s="68">
        <f>Table224578910112345678932[[#This Row],[PEMBULATAN]]*O16</f>
        <v>77000</v>
      </c>
    </row>
    <row r="17" spans="1:16" ht="26.25" customHeight="1" x14ac:dyDescent="0.2">
      <c r="A17" s="14"/>
      <c r="B17" s="14"/>
      <c r="C17" s="76" t="s">
        <v>606</v>
      </c>
      <c r="D17" s="81" t="s">
        <v>49</v>
      </c>
      <c r="E17" s="13">
        <v>44429</v>
      </c>
      <c r="F17" s="79" t="s">
        <v>50</v>
      </c>
      <c r="G17" s="13">
        <v>44435</v>
      </c>
      <c r="H17" s="80" t="s">
        <v>172</v>
      </c>
      <c r="I17" s="17">
        <v>37</v>
      </c>
      <c r="J17" s="17">
        <v>60</v>
      </c>
      <c r="K17" s="17">
        <v>57</v>
      </c>
      <c r="L17" s="17">
        <v>10</v>
      </c>
      <c r="M17" s="84">
        <v>31.635000000000002</v>
      </c>
      <c r="N17" s="75">
        <v>32</v>
      </c>
      <c r="O17" s="67">
        <v>7000</v>
      </c>
      <c r="P17" s="68">
        <f>Table224578910112345678932[[#This Row],[PEMBULATAN]]*O17</f>
        <v>224000</v>
      </c>
    </row>
    <row r="18" spans="1:16" ht="26.25" customHeight="1" x14ac:dyDescent="0.2">
      <c r="A18" s="14"/>
      <c r="B18" s="14"/>
      <c r="C18" s="76" t="s">
        <v>607</v>
      </c>
      <c r="D18" s="81" t="s">
        <v>49</v>
      </c>
      <c r="E18" s="13">
        <v>44429</v>
      </c>
      <c r="F18" s="79" t="s">
        <v>50</v>
      </c>
      <c r="G18" s="13">
        <v>44435</v>
      </c>
      <c r="H18" s="80" t="s">
        <v>172</v>
      </c>
      <c r="I18" s="17">
        <v>35</v>
      </c>
      <c r="J18" s="17">
        <v>32</v>
      </c>
      <c r="K18" s="17">
        <v>13</v>
      </c>
      <c r="L18" s="17">
        <v>10</v>
      </c>
      <c r="M18" s="84">
        <v>3.64</v>
      </c>
      <c r="N18" s="75">
        <v>10</v>
      </c>
      <c r="O18" s="67">
        <v>7000</v>
      </c>
      <c r="P18" s="68">
        <f>Table224578910112345678932[[#This Row],[PEMBULATAN]]*O18</f>
        <v>70000</v>
      </c>
    </row>
    <row r="19" spans="1:16" ht="26.25" customHeight="1" x14ac:dyDescent="0.2">
      <c r="A19" s="14"/>
      <c r="B19" s="14"/>
      <c r="C19" s="76" t="s">
        <v>608</v>
      </c>
      <c r="D19" s="81" t="s">
        <v>49</v>
      </c>
      <c r="E19" s="13">
        <v>44429</v>
      </c>
      <c r="F19" s="79" t="s">
        <v>50</v>
      </c>
      <c r="G19" s="13">
        <v>44435</v>
      </c>
      <c r="H19" s="80" t="s">
        <v>172</v>
      </c>
      <c r="I19" s="17">
        <v>90</v>
      </c>
      <c r="J19" s="17">
        <v>63</v>
      </c>
      <c r="K19" s="17">
        <v>20</v>
      </c>
      <c r="L19" s="17">
        <v>6</v>
      </c>
      <c r="M19" s="84">
        <v>28.35</v>
      </c>
      <c r="N19" s="75">
        <v>28</v>
      </c>
      <c r="O19" s="67">
        <v>7000</v>
      </c>
      <c r="P19" s="68">
        <f>Table224578910112345678932[[#This Row],[PEMBULATAN]]*O19</f>
        <v>196000</v>
      </c>
    </row>
    <row r="20" spans="1:16" ht="26.25" customHeight="1" x14ac:dyDescent="0.2">
      <c r="A20" s="14"/>
      <c r="B20" s="14"/>
      <c r="C20" s="76" t="s">
        <v>609</v>
      </c>
      <c r="D20" s="81" t="s">
        <v>49</v>
      </c>
      <c r="E20" s="13">
        <v>44429</v>
      </c>
      <c r="F20" s="79" t="s">
        <v>50</v>
      </c>
      <c r="G20" s="13">
        <v>44435</v>
      </c>
      <c r="H20" s="80" t="s">
        <v>172</v>
      </c>
      <c r="I20" s="17">
        <v>42</v>
      </c>
      <c r="J20" s="17">
        <v>21</v>
      </c>
      <c r="K20" s="17">
        <v>21</v>
      </c>
      <c r="L20" s="17">
        <v>11</v>
      </c>
      <c r="M20" s="84">
        <v>4.6304999999999996</v>
      </c>
      <c r="N20" s="75">
        <v>11</v>
      </c>
      <c r="O20" s="67">
        <v>7000</v>
      </c>
      <c r="P20" s="68">
        <f>Table224578910112345678932[[#This Row],[PEMBULATAN]]*O20</f>
        <v>77000</v>
      </c>
    </row>
    <row r="21" spans="1:16" ht="26.25" customHeight="1" x14ac:dyDescent="0.2">
      <c r="A21" s="14"/>
      <c r="B21" s="14"/>
      <c r="C21" s="76" t="s">
        <v>610</v>
      </c>
      <c r="D21" s="81" t="s">
        <v>49</v>
      </c>
      <c r="E21" s="13">
        <v>44429</v>
      </c>
      <c r="F21" s="79" t="s">
        <v>50</v>
      </c>
      <c r="G21" s="13">
        <v>44435</v>
      </c>
      <c r="H21" s="80" t="s">
        <v>172</v>
      </c>
      <c r="I21" s="17">
        <v>62</v>
      </c>
      <c r="J21" s="17">
        <v>40</v>
      </c>
      <c r="K21" s="17">
        <v>35</v>
      </c>
      <c r="L21" s="17">
        <v>5</v>
      </c>
      <c r="M21" s="84">
        <v>21.7</v>
      </c>
      <c r="N21" s="75">
        <v>22</v>
      </c>
      <c r="O21" s="67">
        <v>7000</v>
      </c>
      <c r="P21" s="68">
        <f>Table224578910112345678932[[#This Row],[PEMBULATAN]]*O21</f>
        <v>154000</v>
      </c>
    </row>
    <row r="22" spans="1:16" ht="26.25" customHeight="1" x14ac:dyDescent="0.2">
      <c r="A22" s="14"/>
      <c r="B22" s="14"/>
      <c r="C22" s="76" t="s">
        <v>611</v>
      </c>
      <c r="D22" s="81" t="s">
        <v>49</v>
      </c>
      <c r="E22" s="13">
        <v>44429</v>
      </c>
      <c r="F22" s="79" t="s">
        <v>50</v>
      </c>
      <c r="G22" s="13">
        <v>44435</v>
      </c>
      <c r="H22" s="80" t="s">
        <v>172</v>
      </c>
      <c r="I22" s="17">
        <v>65</v>
      </c>
      <c r="J22" s="17">
        <v>56</v>
      </c>
      <c r="K22" s="17">
        <v>28</v>
      </c>
      <c r="L22" s="17">
        <v>6</v>
      </c>
      <c r="M22" s="84">
        <v>25.48</v>
      </c>
      <c r="N22" s="75">
        <v>25</v>
      </c>
      <c r="O22" s="67">
        <v>7000</v>
      </c>
      <c r="P22" s="68">
        <f>Table224578910112345678932[[#This Row],[PEMBULATAN]]*O22</f>
        <v>175000</v>
      </c>
    </row>
    <row r="23" spans="1:16" ht="26.25" customHeight="1" x14ac:dyDescent="0.2">
      <c r="A23" s="14"/>
      <c r="B23" s="14"/>
      <c r="C23" s="76" t="s">
        <v>612</v>
      </c>
      <c r="D23" s="81" t="s">
        <v>49</v>
      </c>
      <c r="E23" s="13">
        <v>44429</v>
      </c>
      <c r="F23" s="79" t="s">
        <v>50</v>
      </c>
      <c r="G23" s="13">
        <v>44435</v>
      </c>
      <c r="H23" s="80" t="s">
        <v>172</v>
      </c>
      <c r="I23" s="17">
        <v>82</v>
      </c>
      <c r="J23" s="17">
        <v>65</v>
      </c>
      <c r="K23" s="17">
        <v>27</v>
      </c>
      <c r="L23" s="17">
        <v>10</v>
      </c>
      <c r="M23" s="84">
        <v>35.977499999999999</v>
      </c>
      <c r="N23" s="75">
        <v>36</v>
      </c>
      <c r="O23" s="67">
        <v>7000</v>
      </c>
      <c r="P23" s="68">
        <f>Table224578910112345678932[[#This Row],[PEMBULATAN]]*O23</f>
        <v>252000</v>
      </c>
    </row>
    <row r="24" spans="1:16" ht="26.25" customHeight="1" x14ac:dyDescent="0.2">
      <c r="A24" s="14"/>
      <c r="B24" s="14"/>
      <c r="C24" s="76" t="s">
        <v>613</v>
      </c>
      <c r="D24" s="81" t="s">
        <v>49</v>
      </c>
      <c r="E24" s="13">
        <v>44429</v>
      </c>
      <c r="F24" s="79" t="s">
        <v>50</v>
      </c>
      <c r="G24" s="13">
        <v>44435</v>
      </c>
      <c r="H24" s="80" t="s">
        <v>172</v>
      </c>
      <c r="I24" s="17">
        <v>78</v>
      </c>
      <c r="J24" s="17">
        <v>15</v>
      </c>
      <c r="K24" s="17">
        <v>10</v>
      </c>
      <c r="L24" s="17">
        <v>11</v>
      </c>
      <c r="M24" s="84">
        <v>2.9249999999999998</v>
      </c>
      <c r="N24" s="75">
        <v>11</v>
      </c>
      <c r="O24" s="67">
        <v>7000</v>
      </c>
      <c r="P24" s="68">
        <f>Table224578910112345678932[[#This Row],[PEMBULATAN]]*O24</f>
        <v>77000</v>
      </c>
    </row>
    <row r="25" spans="1:16" ht="26.25" customHeight="1" x14ac:dyDescent="0.2">
      <c r="A25" s="14"/>
      <c r="B25" s="14"/>
      <c r="C25" s="76" t="s">
        <v>148</v>
      </c>
      <c r="D25" s="81" t="s">
        <v>49</v>
      </c>
      <c r="E25" s="13">
        <v>44429</v>
      </c>
      <c r="F25" s="79" t="s">
        <v>50</v>
      </c>
      <c r="G25" s="13">
        <v>44435</v>
      </c>
      <c r="H25" s="80" t="s">
        <v>172</v>
      </c>
      <c r="I25" s="17">
        <v>45</v>
      </c>
      <c r="J25" s="17">
        <v>27</v>
      </c>
      <c r="K25" s="17">
        <v>18</v>
      </c>
      <c r="L25" s="17">
        <v>10</v>
      </c>
      <c r="M25" s="84">
        <v>5.4675000000000002</v>
      </c>
      <c r="N25" s="75">
        <v>10</v>
      </c>
      <c r="O25" s="67">
        <v>7000</v>
      </c>
      <c r="P25" s="68">
        <f>Table224578910112345678932[[#This Row],[PEMBULATAN]]*O25</f>
        <v>70000</v>
      </c>
    </row>
    <row r="26" spans="1:16" ht="26.25" customHeight="1" x14ac:dyDescent="0.2">
      <c r="A26" s="14"/>
      <c r="B26" s="14"/>
      <c r="C26" s="76" t="s">
        <v>614</v>
      </c>
      <c r="D26" s="81" t="s">
        <v>49</v>
      </c>
      <c r="E26" s="13">
        <v>44429</v>
      </c>
      <c r="F26" s="79" t="s">
        <v>50</v>
      </c>
      <c r="G26" s="13">
        <v>44435</v>
      </c>
      <c r="H26" s="80" t="s">
        <v>172</v>
      </c>
      <c r="I26" s="17">
        <v>75</v>
      </c>
      <c r="J26" s="17">
        <v>55</v>
      </c>
      <c r="K26" s="17">
        <v>35</v>
      </c>
      <c r="L26" s="17">
        <v>11</v>
      </c>
      <c r="M26" s="84">
        <v>36.09375</v>
      </c>
      <c r="N26" s="75">
        <v>36</v>
      </c>
      <c r="O26" s="67">
        <v>7000</v>
      </c>
      <c r="P26" s="68">
        <f>Table224578910112345678932[[#This Row],[PEMBULATAN]]*O26</f>
        <v>252000</v>
      </c>
    </row>
    <row r="27" spans="1:16" ht="26.25" customHeight="1" x14ac:dyDescent="0.2">
      <c r="A27" s="14"/>
      <c r="B27" s="14"/>
      <c r="C27" s="76" t="s">
        <v>615</v>
      </c>
      <c r="D27" s="81" t="s">
        <v>49</v>
      </c>
      <c r="E27" s="13">
        <v>44429</v>
      </c>
      <c r="F27" s="79" t="s">
        <v>50</v>
      </c>
      <c r="G27" s="13">
        <v>44435</v>
      </c>
      <c r="H27" s="80" t="s">
        <v>172</v>
      </c>
      <c r="I27" s="17">
        <v>85</v>
      </c>
      <c r="J27" s="17">
        <v>26</v>
      </c>
      <c r="K27" s="17">
        <v>50</v>
      </c>
      <c r="L27" s="17">
        <v>6</v>
      </c>
      <c r="M27" s="84">
        <v>27.625</v>
      </c>
      <c r="N27" s="75">
        <v>28</v>
      </c>
      <c r="O27" s="67">
        <v>7000</v>
      </c>
      <c r="P27" s="68">
        <f>Table224578910112345678932[[#This Row],[PEMBULATAN]]*O27</f>
        <v>196000</v>
      </c>
    </row>
    <row r="28" spans="1:16" ht="26.25" customHeight="1" x14ac:dyDescent="0.2">
      <c r="A28" s="14"/>
      <c r="B28" s="14"/>
      <c r="C28" s="76" t="s">
        <v>616</v>
      </c>
      <c r="D28" s="81" t="s">
        <v>49</v>
      </c>
      <c r="E28" s="13">
        <v>44429</v>
      </c>
      <c r="F28" s="79" t="s">
        <v>50</v>
      </c>
      <c r="G28" s="13">
        <v>44435</v>
      </c>
      <c r="H28" s="80" t="s">
        <v>172</v>
      </c>
      <c r="I28" s="17">
        <v>86</v>
      </c>
      <c r="J28" s="17">
        <v>50</v>
      </c>
      <c r="K28" s="17">
        <v>26</v>
      </c>
      <c r="L28" s="17">
        <v>11</v>
      </c>
      <c r="M28" s="84">
        <v>27.95</v>
      </c>
      <c r="N28" s="75">
        <v>28</v>
      </c>
      <c r="O28" s="67">
        <v>7000</v>
      </c>
      <c r="P28" s="68">
        <f>Table224578910112345678932[[#This Row],[PEMBULATAN]]*O28</f>
        <v>196000</v>
      </c>
    </row>
    <row r="29" spans="1:16" ht="26.25" customHeight="1" x14ac:dyDescent="0.2">
      <c r="A29" s="14"/>
      <c r="B29" s="14"/>
      <c r="C29" s="76" t="s">
        <v>617</v>
      </c>
      <c r="D29" s="81" t="s">
        <v>49</v>
      </c>
      <c r="E29" s="13">
        <v>44429</v>
      </c>
      <c r="F29" s="79" t="s">
        <v>50</v>
      </c>
      <c r="G29" s="13">
        <v>44435</v>
      </c>
      <c r="H29" s="80" t="s">
        <v>172</v>
      </c>
      <c r="I29" s="17">
        <v>36</v>
      </c>
      <c r="J29" s="17">
        <v>30</v>
      </c>
      <c r="K29" s="17">
        <v>13</v>
      </c>
      <c r="L29" s="17">
        <v>18</v>
      </c>
      <c r="M29" s="84">
        <v>3.51</v>
      </c>
      <c r="N29" s="75">
        <v>18</v>
      </c>
      <c r="O29" s="67">
        <v>7000</v>
      </c>
      <c r="P29" s="68">
        <f>Table224578910112345678932[[#This Row],[PEMBULATAN]]*O29</f>
        <v>126000</v>
      </c>
    </row>
    <row r="30" spans="1:16" ht="26.25" customHeight="1" x14ac:dyDescent="0.2">
      <c r="A30" s="14"/>
      <c r="B30" s="14"/>
      <c r="C30" s="76" t="s">
        <v>618</v>
      </c>
      <c r="D30" s="81" t="s">
        <v>49</v>
      </c>
      <c r="E30" s="13">
        <v>44429</v>
      </c>
      <c r="F30" s="79" t="s">
        <v>50</v>
      </c>
      <c r="G30" s="13">
        <v>44435</v>
      </c>
      <c r="H30" s="80" t="s">
        <v>172</v>
      </c>
      <c r="I30" s="17">
        <v>80</v>
      </c>
      <c r="J30" s="17">
        <v>59</v>
      </c>
      <c r="K30" s="17">
        <v>25</v>
      </c>
      <c r="L30" s="17">
        <v>9</v>
      </c>
      <c r="M30" s="84">
        <v>29.5</v>
      </c>
      <c r="N30" s="75">
        <v>30</v>
      </c>
      <c r="O30" s="67">
        <v>7000</v>
      </c>
      <c r="P30" s="68">
        <f>Table224578910112345678932[[#This Row],[PEMBULATAN]]*O30</f>
        <v>210000</v>
      </c>
    </row>
    <row r="31" spans="1:16" ht="26.25" customHeight="1" x14ac:dyDescent="0.2">
      <c r="A31" s="14"/>
      <c r="B31" s="14"/>
      <c r="C31" s="76" t="s">
        <v>619</v>
      </c>
      <c r="D31" s="81" t="s">
        <v>49</v>
      </c>
      <c r="E31" s="13">
        <v>44429</v>
      </c>
      <c r="F31" s="79" t="s">
        <v>50</v>
      </c>
      <c r="G31" s="13">
        <v>44435</v>
      </c>
      <c r="H31" s="80" t="s">
        <v>172</v>
      </c>
      <c r="I31" s="17">
        <v>94</v>
      </c>
      <c r="J31" s="17">
        <v>50</v>
      </c>
      <c r="K31" s="17">
        <v>17</v>
      </c>
      <c r="L31" s="17">
        <v>4</v>
      </c>
      <c r="M31" s="84">
        <v>19.975000000000001</v>
      </c>
      <c r="N31" s="75">
        <v>20</v>
      </c>
      <c r="O31" s="67">
        <v>7000</v>
      </c>
      <c r="P31" s="68">
        <f>Table224578910112345678932[[#This Row],[PEMBULATAN]]*O31</f>
        <v>140000</v>
      </c>
    </row>
    <row r="32" spans="1:16" ht="26.25" customHeight="1" x14ac:dyDescent="0.2">
      <c r="A32" s="14"/>
      <c r="B32" s="14"/>
      <c r="C32" s="76" t="s">
        <v>620</v>
      </c>
      <c r="D32" s="81" t="s">
        <v>49</v>
      </c>
      <c r="E32" s="13">
        <v>44429</v>
      </c>
      <c r="F32" s="79" t="s">
        <v>50</v>
      </c>
      <c r="G32" s="13">
        <v>44435</v>
      </c>
      <c r="H32" s="80" t="s">
        <v>172</v>
      </c>
      <c r="I32" s="17">
        <v>51</v>
      </c>
      <c r="J32" s="17">
        <v>40</v>
      </c>
      <c r="K32" s="17">
        <v>10</v>
      </c>
      <c r="L32" s="17">
        <v>4</v>
      </c>
      <c r="M32" s="84">
        <v>5.0999999999999996</v>
      </c>
      <c r="N32" s="75">
        <v>5</v>
      </c>
      <c r="O32" s="67">
        <v>7000</v>
      </c>
      <c r="P32" s="68">
        <f>Table224578910112345678932[[#This Row],[PEMBULATAN]]*O32</f>
        <v>35000</v>
      </c>
    </row>
    <row r="33" spans="1:16" ht="26.25" customHeight="1" x14ac:dyDescent="0.2">
      <c r="A33" s="14"/>
      <c r="B33" s="14"/>
      <c r="C33" s="76" t="s">
        <v>621</v>
      </c>
      <c r="D33" s="81" t="s">
        <v>49</v>
      </c>
      <c r="E33" s="13">
        <v>44429</v>
      </c>
      <c r="F33" s="79" t="s">
        <v>50</v>
      </c>
      <c r="G33" s="13">
        <v>44435</v>
      </c>
      <c r="H33" s="80" t="s">
        <v>172</v>
      </c>
      <c r="I33" s="17">
        <v>90</v>
      </c>
      <c r="J33" s="17">
        <v>45</v>
      </c>
      <c r="K33" s="17">
        <v>38</v>
      </c>
      <c r="L33" s="17">
        <v>4</v>
      </c>
      <c r="M33" s="84">
        <v>38.475000000000001</v>
      </c>
      <c r="N33" s="75">
        <v>38</v>
      </c>
      <c r="O33" s="67">
        <v>7000</v>
      </c>
      <c r="P33" s="68">
        <f>Table224578910112345678932[[#This Row],[PEMBULATAN]]*O33</f>
        <v>266000</v>
      </c>
    </row>
    <row r="34" spans="1:16" ht="26.25" customHeight="1" x14ac:dyDescent="0.2">
      <c r="A34" s="14"/>
      <c r="B34" s="14"/>
      <c r="C34" s="76" t="s">
        <v>622</v>
      </c>
      <c r="D34" s="81" t="s">
        <v>49</v>
      </c>
      <c r="E34" s="13">
        <v>44429</v>
      </c>
      <c r="F34" s="79" t="s">
        <v>50</v>
      </c>
      <c r="G34" s="13">
        <v>44435</v>
      </c>
      <c r="H34" s="80" t="s">
        <v>172</v>
      </c>
      <c r="I34" s="17">
        <v>56</v>
      </c>
      <c r="J34" s="17">
        <v>37</v>
      </c>
      <c r="K34" s="17">
        <v>22</v>
      </c>
      <c r="L34" s="17">
        <v>11</v>
      </c>
      <c r="M34" s="84">
        <v>11.396000000000001</v>
      </c>
      <c r="N34" s="75">
        <v>11</v>
      </c>
      <c r="O34" s="67">
        <v>7000</v>
      </c>
      <c r="P34" s="68">
        <f>Table224578910112345678932[[#This Row],[PEMBULATAN]]*O34</f>
        <v>77000</v>
      </c>
    </row>
    <row r="35" spans="1:16" ht="26.25" customHeight="1" x14ac:dyDescent="0.2">
      <c r="A35" s="14"/>
      <c r="B35" s="14"/>
      <c r="C35" s="76" t="s">
        <v>623</v>
      </c>
      <c r="D35" s="81" t="s">
        <v>49</v>
      </c>
      <c r="E35" s="13">
        <v>44429</v>
      </c>
      <c r="F35" s="79" t="s">
        <v>50</v>
      </c>
      <c r="G35" s="13">
        <v>44435</v>
      </c>
      <c r="H35" s="80" t="s">
        <v>172</v>
      </c>
      <c r="I35" s="17">
        <v>84</v>
      </c>
      <c r="J35" s="17">
        <v>50</v>
      </c>
      <c r="K35" s="17">
        <v>30</v>
      </c>
      <c r="L35" s="17">
        <v>12</v>
      </c>
      <c r="M35" s="84">
        <v>31.5</v>
      </c>
      <c r="N35" s="75">
        <v>32</v>
      </c>
      <c r="O35" s="67">
        <v>7000</v>
      </c>
      <c r="P35" s="68">
        <f>Table224578910112345678932[[#This Row],[PEMBULATAN]]*O35</f>
        <v>224000</v>
      </c>
    </row>
    <row r="36" spans="1:16" ht="26.25" customHeight="1" x14ac:dyDescent="0.2">
      <c r="A36" s="14"/>
      <c r="B36" s="14"/>
      <c r="C36" s="76" t="s">
        <v>624</v>
      </c>
      <c r="D36" s="81" t="s">
        <v>49</v>
      </c>
      <c r="E36" s="13">
        <v>44429</v>
      </c>
      <c r="F36" s="79" t="s">
        <v>50</v>
      </c>
      <c r="G36" s="13">
        <v>44435</v>
      </c>
      <c r="H36" s="80" t="s">
        <v>172</v>
      </c>
      <c r="I36" s="17">
        <v>82</v>
      </c>
      <c r="J36" s="17">
        <v>60</v>
      </c>
      <c r="K36" s="17">
        <v>20</v>
      </c>
      <c r="L36" s="17">
        <v>6</v>
      </c>
      <c r="M36" s="84">
        <v>24.6</v>
      </c>
      <c r="N36" s="75">
        <v>25</v>
      </c>
      <c r="O36" s="67">
        <v>7000</v>
      </c>
      <c r="P36" s="68">
        <f>Table224578910112345678932[[#This Row],[PEMBULATAN]]*O36</f>
        <v>175000</v>
      </c>
    </row>
    <row r="37" spans="1:16" ht="26.25" customHeight="1" x14ac:dyDescent="0.2">
      <c r="A37" s="14"/>
      <c r="B37" s="14"/>
      <c r="C37" s="76" t="s">
        <v>625</v>
      </c>
      <c r="D37" s="81" t="s">
        <v>49</v>
      </c>
      <c r="E37" s="13">
        <v>44429</v>
      </c>
      <c r="F37" s="79" t="s">
        <v>50</v>
      </c>
      <c r="G37" s="13">
        <v>44435</v>
      </c>
      <c r="H37" s="80" t="s">
        <v>172</v>
      </c>
      <c r="I37" s="17">
        <v>50</v>
      </c>
      <c r="J37" s="17">
        <v>45</v>
      </c>
      <c r="K37" s="17">
        <v>35</v>
      </c>
      <c r="L37" s="17">
        <v>11</v>
      </c>
      <c r="M37" s="84">
        <v>19.6875</v>
      </c>
      <c r="N37" s="75">
        <v>20</v>
      </c>
      <c r="O37" s="67">
        <v>7000</v>
      </c>
      <c r="P37" s="68">
        <f>Table224578910112345678932[[#This Row],[PEMBULATAN]]*O37</f>
        <v>140000</v>
      </c>
    </row>
    <row r="38" spans="1:16" ht="22.5" customHeight="1" x14ac:dyDescent="0.2">
      <c r="A38" s="122" t="s">
        <v>30</v>
      </c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4"/>
      <c r="M38" s="82">
        <f>SUBTOTAL(109,Table224578910112345678932[KG VOLUME])</f>
        <v>696.30825000000004</v>
      </c>
      <c r="N38" s="71">
        <f>SUM(N3:N37)</f>
        <v>775</v>
      </c>
      <c r="O38" s="125">
        <f>SUM(P3:P37)</f>
        <v>5425000</v>
      </c>
      <c r="P38" s="126"/>
    </row>
    <row r="39" spans="1:16" ht="18" customHeight="1" x14ac:dyDescent="0.2">
      <c r="A39" s="94"/>
      <c r="B39" s="59" t="s">
        <v>42</v>
      </c>
      <c r="C39" s="58"/>
      <c r="D39" s="60" t="s">
        <v>43</v>
      </c>
      <c r="E39" s="94"/>
      <c r="F39" s="94"/>
      <c r="G39" s="94"/>
      <c r="H39" s="94"/>
      <c r="I39" s="94"/>
      <c r="J39" s="94"/>
      <c r="K39" s="94"/>
      <c r="L39" s="94"/>
      <c r="M39" s="95"/>
      <c r="N39" s="96" t="s">
        <v>649</v>
      </c>
      <c r="O39" s="97"/>
      <c r="P39" s="97">
        <v>0</v>
      </c>
    </row>
    <row r="40" spans="1:16" ht="18" customHeight="1" thickBot="1" x14ac:dyDescent="0.25">
      <c r="A40" s="94"/>
      <c r="B40" s="59"/>
      <c r="C40" s="58"/>
      <c r="D40" s="60"/>
      <c r="E40" s="94"/>
      <c r="F40" s="94"/>
      <c r="G40" s="94"/>
      <c r="H40" s="94"/>
      <c r="I40" s="94"/>
      <c r="J40" s="94"/>
      <c r="K40" s="94"/>
      <c r="L40" s="94"/>
      <c r="M40" s="95"/>
      <c r="N40" s="98" t="s">
        <v>650</v>
      </c>
      <c r="O40" s="99"/>
      <c r="P40" s="99">
        <f>O38-P39</f>
        <v>5425000</v>
      </c>
    </row>
    <row r="41" spans="1:16" ht="18" customHeight="1" x14ac:dyDescent="0.2">
      <c r="A41" s="11"/>
      <c r="H41" s="66"/>
      <c r="N41" s="65" t="s">
        <v>31</v>
      </c>
      <c r="P41" s="72">
        <f>P40*1%</f>
        <v>54250</v>
      </c>
    </row>
    <row r="42" spans="1:16" ht="18" customHeight="1" thickBot="1" x14ac:dyDescent="0.25">
      <c r="A42" s="11"/>
      <c r="H42" s="66"/>
      <c r="N42" s="65" t="s">
        <v>651</v>
      </c>
      <c r="P42" s="74">
        <f>P40*2%</f>
        <v>108500</v>
      </c>
    </row>
    <row r="43" spans="1:16" ht="18" customHeight="1" x14ac:dyDescent="0.2">
      <c r="A43" s="11"/>
      <c r="H43" s="66"/>
      <c r="N43" s="69" t="s">
        <v>32</v>
      </c>
      <c r="O43" s="70"/>
      <c r="P43" s="73">
        <f>P40+P41-P42</f>
        <v>5370750</v>
      </c>
    </row>
    <row r="45" spans="1:16" x14ac:dyDescent="0.2">
      <c r="A45" s="11"/>
      <c r="H45" s="66"/>
      <c r="P45" s="74"/>
    </row>
    <row r="46" spans="1:16" x14ac:dyDescent="0.2">
      <c r="A46" s="11"/>
      <c r="H46" s="66"/>
      <c r="O46" s="61"/>
      <c r="P46" s="74"/>
    </row>
    <row r="47" spans="1:16" s="3" customFormat="1" x14ac:dyDescent="0.25">
      <c r="A47" s="11"/>
      <c r="B47" s="2"/>
      <c r="C47" s="2"/>
      <c r="E47" s="12"/>
      <c r="H47" s="66"/>
      <c r="N47" s="16"/>
      <c r="O47" s="16"/>
      <c r="P47" s="16"/>
    </row>
    <row r="48" spans="1:16" s="3" customFormat="1" x14ac:dyDescent="0.25">
      <c r="A48" s="11"/>
      <c r="B48" s="2"/>
      <c r="C48" s="2"/>
      <c r="E48" s="12"/>
      <c r="H48" s="66"/>
      <c r="N48" s="16"/>
      <c r="O48" s="16"/>
      <c r="P48" s="16"/>
    </row>
    <row r="49" spans="1:16" s="3" customFormat="1" x14ac:dyDescent="0.25">
      <c r="A49" s="11"/>
      <c r="B49" s="2"/>
      <c r="C49" s="2"/>
      <c r="E49" s="12"/>
      <c r="H49" s="66"/>
      <c r="N49" s="16"/>
      <c r="O49" s="16"/>
      <c r="P49" s="16"/>
    </row>
    <row r="50" spans="1:16" s="3" customFormat="1" x14ac:dyDescent="0.25">
      <c r="A50" s="11"/>
      <c r="B50" s="2"/>
      <c r="C50" s="2"/>
      <c r="E50" s="12"/>
      <c r="H50" s="66"/>
      <c r="N50" s="16"/>
      <c r="O50" s="16"/>
      <c r="P50" s="16"/>
    </row>
    <row r="51" spans="1:16" s="3" customFormat="1" x14ac:dyDescent="0.25">
      <c r="A51" s="11"/>
      <c r="B51" s="2"/>
      <c r="C51" s="2"/>
      <c r="E51" s="12"/>
      <c r="H51" s="66"/>
      <c r="N51" s="16"/>
      <c r="O51" s="16"/>
      <c r="P51" s="16"/>
    </row>
    <row r="52" spans="1:16" s="3" customFormat="1" x14ac:dyDescent="0.25">
      <c r="A52" s="11"/>
      <c r="B52" s="2"/>
      <c r="C52" s="2"/>
      <c r="E52" s="12"/>
      <c r="H52" s="66"/>
      <c r="N52" s="16"/>
      <c r="O52" s="16"/>
      <c r="P52" s="16"/>
    </row>
    <row r="53" spans="1:16" s="3" customFormat="1" x14ac:dyDescent="0.25">
      <c r="A53" s="11"/>
      <c r="B53" s="2"/>
      <c r="C53" s="2"/>
      <c r="E53" s="12"/>
      <c r="H53" s="66"/>
      <c r="N53" s="16"/>
      <c r="O53" s="16"/>
      <c r="P53" s="16"/>
    </row>
    <row r="54" spans="1:16" s="3" customFormat="1" x14ac:dyDescent="0.25">
      <c r="A54" s="11"/>
      <c r="B54" s="2"/>
      <c r="C54" s="2"/>
      <c r="E54" s="12"/>
      <c r="H54" s="66"/>
      <c r="N54" s="16"/>
      <c r="O54" s="16"/>
      <c r="P54" s="16"/>
    </row>
    <row r="55" spans="1:16" s="3" customFormat="1" x14ac:dyDescent="0.25">
      <c r="A55" s="11"/>
      <c r="B55" s="2"/>
      <c r="C55" s="2"/>
      <c r="E55" s="12"/>
      <c r="H55" s="66"/>
      <c r="N55" s="16"/>
      <c r="O55" s="16"/>
      <c r="P55" s="16"/>
    </row>
    <row r="56" spans="1:16" s="3" customFormat="1" x14ac:dyDescent="0.25">
      <c r="A56" s="11"/>
      <c r="B56" s="2"/>
      <c r="C56" s="2"/>
      <c r="E56" s="12"/>
      <c r="H56" s="66"/>
      <c r="N56" s="16"/>
      <c r="O56" s="16"/>
      <c r="P56" s="16"/>
    </row>
    <row r="57" spans="1:16" s="3" customFormat="1" x14ac:dyDescent="0.25">
      <c r="A57" s="11"/>
      <c r="B57" s="2"/>
      <c r="C57" s="2"/>
      <c r="E57" s="12"/>
      <c r="H57" s="66"/>
      <c r="N57" s="16"/>
      <c r="O57" s="16"/>
      <c r="P57" s="16"/>
    </row>
    <row r="58" spans="1:16" s="3" customFormat="1" x14ac:dyDescent="0.25">
      <c r="A58" s="11"/>
      <c r="B58" s="2"/>
      <c r="C58" s="2"/>
      <c r="E58" s="12"/>
      <c r="H58" s="66"/>
      <c r="N58" s="16"/>
      <c r="O58" s="16"/>
      <c r="P58" s="16"/>
    </row>
  </sheetData>
  <mergeCells count="3">
    <mergeCell ref="A3:A4"/>
    <mergeCell ref="A38:L38"/>
    <mergeCell ref="O38:P38"/>
  </mergeCells>
  <conditionalFormatting sqref="B3">
    <cfRule type="duplicateValues" dxfId="303" priority="2"/>
  </conditionalFormatting>
  <conditionalFormatting sqref="B4">
    <cfRule type="duplicateValues" dxfId="302" priority="1"/>
  </conditionalFormatting>
  <conditionalFormatting sqref="B5:B37">
    <cfRule type="duplicateValues" dxfId="301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M12" sqref="M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26.25" customHeight="1" x14ac:dyDescent="0.2">
      <c r="A3" s="87" t="s">
        <v>575</v>
      </c>
      <c r="B3" s="77" t="s">
        <v>173</v>
      </c>
      <c r="C3" s="9" t="s">
        <v>174</v>
      </c>
      <c r="D3" s="79" t="s">
        <v>49</v>
      </c>
      <c r="E3" s="13">
        <v>44430</v>
      </c>
      <c r="F3" s="79" t="s">
        <v>50</v>
      </c>
      <c r="G3" s="13">
        <v>44435</v>
      </c>
      <c r="H3" s="10" t="s">
        <v>172</v>
      </c>
      <c r="I3" s="1">
        <v>53</v>
      </c>
      <c r="J3" s="1">
        <v>35</v>
      </c>
      <c r="K3" s="1">
        <v>30</v>
      </c>
      <c r="L3" s="1">
        <v>10</v>
      </c>
      <c r="M3" s="83">
        <v>13.9125</v>
      </c>
      <c r="N3" s="8">
        <v>14</v>
      </c>
      <c r="O3" s="67">
        <v>7000</v>
      </c>
      <c r="P3" s="68">
        <f>Table224578910112345678910[[#This Row],[PEMBULATAN]]*O3</f>
        <v>98000</v>
      </c>
    </row>
    <row r="4" spans="1:16" ht="22.5" customHeight="1" x14ac:dyDescent="0.2">
      <c r="A4" s="122" t="s">
        <v>30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4"/>
      <c r="M4" s="82">
        <f>SUBTOTAL(109,Table224578910112345678910[KG VOLUME])</f>
        <v>13.9125</v>
      </c>
      <c r="N4" s="71">
        <f>SUM(N3:N3)</f>
        <v>14</v>
      </c>
      <c r="O4" s="125">
        <f>SUM(P3:P3)</f>
        <v>98000</v>
      </c>
      <c r="P4" s="126"/>
    </row>
    <row r="5" spans="1:16" ht="18" customHeight="1" x14ac:dyDescent="0.2">
      <c r="A5" s="94"/>
      <c r="B5" s="59" t="s">
        <v>42</v>
      </c>
      <c r="C5" s="58"/>
      <c r="D5" s="60" t="s">
        <v>43</v>
      </c>
      <c r="E5" s="94"/>
      <c r="F5" s="94"/>
      <c r="G5" s="94"/>
      <c r="H5" s="94"/>
      <c r="I5" s="94"/>
      <c r="J5" s="94"/>
      <c r="K5" s="94"/>
      <c r="L5" s="94"/>
      <c r="M5" s="95"/>
      <c r="N5" s="96" t="s">
        <v>649</v>
      </c>
      <c r="O5" s="97"/>
      <c r="P5" s="97">
        <v>0</v>
      </c>
    </row>
    <row r="6" spans="1:16" ht="18" customHeight="1" thickBot="1" x14ac:dyDescent="0.25">
      <c r="A6" s="94"/>
      <c r="B6" s="59"/>
      <c r="C6" s="58"/>
      <c r="D6" s="60"/>
      <c r="E6" s="94"/>
      <c r="F6" s="94"/>
      <c r="G6" s="94"/>
      <c r="H6" s="94"/>
      <c r="I6" s="94"/>
      <c r="J6" s="94"/>
      <c r="K6" s="94"/>
      <c r="L6" s="94"/>
      <c r="M6" s="95"/>
      <c r="N6" s="98" t="s">
        <v>650</v>
      </c>
      <c r="O6" s="99"/>
      <c r="P6" s="99">
        <f>O4-P5</f>
        <v>98000</v>
      </c>
    </row>
    <row r="7" spans="1:16" ht="18" customHeight="1" x14ac:dyDescent="0.2">
      <c r="A7" s="11"/>
      <c r="H7" s="66"/>
      <c r="N7" s="65" t="s">
        <v>31</v>
      </c>
      <c r="P7" s="72">
        <f>P6*1%</f>
        <v>980</v>
      </c>
    </row>
    <row r="8" spans="1:16" ht="18" customHeight="1" thickBot="1" x14ac:dyDescent="0.25">
      <c r="A8" s="11"/>
      <c r="H8" s="66"/>
      <c r="N8" s="65" t="s">
        <v>651</v>
      </c>
      <c r="P8" s="74">
        <f>P6*2%</f>
        <v>1960</v>
      </c>
    </row>
    <row r="9" spans="1:16" ht="18" customHeight="1" x14ac:dyDescent="0.2">
      <c r="A9" s="11"/>
      <c r="H9" s="66"/>
      <c r="N9" s="69" t="s">
        <v>32</v>
      </c>
      <c r="O9" s="70"/>
      <c r="P9" s="73">
        <f>P6+P7-P8</f>
        <v>97020</v>
      </c>
    </row>
    <row r="11" spans="1:16" x14ac:dyDescent="0.2">
      <c r="A11" s="11"/>
      <c r="H11" s="66"/>
      <c r="P11" s="74"/>
    </row>
    <row r="12" spans="1:16" x14ac:dyDescent="0.2">
      <c r="A12" s="11"/>
      <c r="H12" s="66"/>
      <c r="O12" s="61"/>
      <c r="P12" s="74"/>
    </row>
    <row r="13" spans="1:16" s="3" customFormat="1" x14ac:dyDescent="0.25">
      <c r="A13" s="11"/>
      <c r="B13" s="2"/>
      <c r="C13" s="2"/>
      <c r="E13" s="12"/>
      <c r="H13" s="66"/>
      <c r="N13" s="16"/>
      <c r="O13" s="16"/>
      <c r="P13" s="16"/>
    </row>
    <row r="14" spans="1:16" s="3" customFormat="1" x14ac:dyDescent="0.25">
      <c r="A14" s="11"/>
      <c r="B14" s="2"/>
      <c r="C14" s="2"/>
      <c r="E14" s="12"/>
      <c r="H14" s="66"/>
      <c r="N14" s="16"/>
      <c r="O14" s="16"/>
      <c r="P14" s="16"/>
    </row>
    <row r="15" spans="1:16" s="3" customFormat="1" x14ac:dyDescent="0.25">
      <c r="A15" s="11"/>
      <c r="B15" s="2"/>
      <c r="C15" s="2"/>
      <c r="E15" s="12"/>
      <c r="H15" s="66"/>
      <c r="N15" s="16"/>
      <c r="O15" s="16"/>
      <c r="P15" s="16"/>
    </row>
    <row r="16" spans="1:16" s="3" customFormat="1" x14ac:dyDescent="0.25">
      <c r="A16" s="11"/>
      <c r="B16" s="2"/>
      <c r="C16" s="2"/>
      <c r="E16" s="12"/>
      <c r="H16" s="66"/>
      <c r="N16" s="16"/>
      <c r="O16" s="16"/>
      <c r="P16" s="16"/>
    </row>
    <row r="17" spans="1:16" s="3" customFormat="1" x14ac:dyDescent="0.25">
      <c r="A17" s="11"/>
      <c r="B17" s="2"/>
      <c r="C17" s="2"/>
      <c r="E17" s="12"/>
      <c r="H17" s="66"/>
      <c r="N17" s="16"/>
      <c r="O17" s="16"/>
      <c r="P17" s="16"/>
    </row>
    <row r="18" spans="1:16" s="3" customFormat="1" x14ac:dyDescent="0.25">
      <c r="A18" s="11"/>
      <c r="B18" s="2"/>
      <c r="C18" s="2"/>
      <c r="E18" s="12"/>
      <c r="H18" s="66"/>
      <c r="N18" s="16"/>
      <c r="O18" s="16"/>
      <c r="P18" s="16"/>
    </row>
    <row r="19" spans="1:16" s="3" customFormat="1" x14ac:dyDescent="0.25">
      <c r="A19" s="11"/>
      <c r="B19" s="2"/>
      <c r="C19" s="2"/>
      <c r="E19" s="12"/>
      <c r="H19" s="66"/>
      <c r="N19" s="16"/>
      <c r="O19" s="16"/>
      <c r="P19" s="16"/>
    </row>
    <row r="20" spans="1:16" s="3" customFormat="1" x14ac:dyDescent="0.25">
      <c r="A20" s="11"/>
      <c r="B20" s="2"/>
      <c r="C20" s="2"/>
      <c r="E20" s="12"/>
      <c r="H20" s="66"/>
      <c r="N20" s="16"/>
      <c r="O20" s="16"/>
      <c r="P20" s="16"/>
    </row>
    <row r="21" spans="1:16" s="3" customFormat="1" x14ac:dyDescent="0.25">
      <c r="A21" s="11"/>
      <c r="B21" s="2"/>
      <c r="C21" s="2"/>
      <c r="E21" s="12"/>
      <c r="H21" s="66"/>
      <c r="N21" s="16"/>
      <c r="O21" s="16"/>
      <c r="P21" s="16"/>
    </row>
    <row r="22" spans="1:16" s="3" customFormat="1" x14ac:dyDescent="0.25">
      <c r="A22" s="11"/>
      <c r="B22" s="2"/>
      <c r="C22" s="2"/>
      <c r="E22" s="12"/>
      <c r="H22" s="66"/>
      <c r="N22" s="16"/>
      <c r="O22" s="16"/>
      <c r="P22" s="16"/>
    </row>
    <row r="23" spans="1:16" s="3" customFormat="1" x14ac:dyDescent="0.25">
      <c r="A23" s="11"/>
      <c r="B23" s="2"/>
      <c r="C23" s="2"/>
      <c r="E23" s="12"/>
      <c r="H23" s="66"/>
      <c r="N23" s="16"/>
      <c r="O23" s="16"/>
      <c r="P23" s="16"/>
    </row>
    <row r="24" spans="1:16" s="3" customFormat="1" x14ac:dyDescent="0.25">
      <c r="A24" s="11"/>
      <c r="B24" s="2"/>
      <c r="C24" s="2"/>
      <c r="E24" s="12"/>
      <c r="H24" s="66"/>
      <c r="N24" s="16"/>
      <c r="O24" s="16"/>
      <c r="P24" s="16"/>
    </row>
  </sheetData>
  <mergeCells count="2">
    <mergeCell ref="A4:L4"/>
    <mergeCell ref="O4:P4"/>
  </mergeCells>
  <conditionalFormatting sqref="B3">
    <cfRule type="duplicateValues" dxfId="285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2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L41" sqref="L4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0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26.25" customHeight="1" x14ac:dyDescent="0.2">
      <c r="A3" s="120" t="s">
        <v>576</v>
      </c>
      <c r="B3" s="77" t="s">
        <v>175</v>
      </c>
      <c r="C3" s="9" t="s">
        <v>176</v>
      </c>
      <c r="D3" s="79" t="s">
        <v>49</v>
      </c>
      <c r="E3" s="13">
        <v>44430</v>
      </c>
      <c r="F3" s="79" t="s">
        <v>50</v>
      </c>
      <c r="G3" s="13">
        <v>44435</v>
      </c>
      <c r="H3" s="10" t="s">
        <v>172</v>
      </c>
      <c r="I3" s="1">
        <v>64</v>
      </c>
      <c r="J3" s="1">
        <v>54</v>
      </c>
      <c r="K3" s="1">
        <v>30</v>
      </c>
      <c r="L3" s="1">
        <v>12</v>
      </c>
      <c r="M3" s="83">
        <v>25.92</v>
      </c>
      <c r="N3" s="8">
        <v>26</v>
      </c>
      <c r="O3" s="67">
        <v>7000</v>
      </c>
      <c r="P3" s="68">
        <f>Table22457891011234567891012[[#This Row],[PEMBULATAN]]*O3</f>
        <v>182000</v>
      </c>
    </row>
    <row r="4" spans="1:16" ht="26.25" customHeight="1" x14ac:dyDescent="0.2">
      <c r="A4" s="121"/>
      <c r="B4" s="78"/>
      <c r="C4" s="9" t="s">
        <v>177</v>
      </c>
      <c r="D4" s="79" t="s">
        <v>49</v>
      </c>
      <c r="E4" s="13">
        <v>44430</v>
      </c>
      <c r="F4" s="79" t="s">
        <v>50</v>
      </c>
      <c r="G4" s="13">
        <v>44435</v>
      </c>
      <c r="H4" s="10" t="s">
        <v>172</v>
      </c>
      <c r="I4" s="1">
        <v>51</v>
      </c>
      <c r="J4" s="1">
        <v>51</v>
      </c>
      <c r="K4" s="1">
        <v>17</v>
      </c>
      <c r="L4" s="1">
        <v>11</v>
      </c>
      <c r="M4" s="83">
        <v>11.05425</v>
      </c>
      <c r="N4" s="8">
        <v>11</v>
      </c>
      <c r="O4" s="67">
        <v>7000</v>
      </c>
      <c r="P4" s="68">
        <f>Table22457891011234567891012[[#This Row],[PEMBULATAN]]*O4</f>
        <v>77000</v>
      </c>
    </row>
    <row r="5" spans="1:16" ht="26.25" customHeight="1" x14ac:dyDescent="0.2">
      <c r="A5" s="14"/>
      <c r="B5" s="14"/>
      <c r="C5" s="9" t="s">
        <v>178</v>
      </c>
      <c r="D5" s="79" t="s">
        <v>49</v>
      </c>
      <c r="E5" s="13">
        <v>44430</v>
      </c>
      <c r="F5" s="79" t="s">
        <v>50</v>
      </c>
      <c r="G5" s="13">
        <v>44435</v>
      </c>
      <c r="H5" s="10" t="s">
        <v>172</v>
      </c>
      <c r="I5" s="1">
        <v>92</v>
      </c>
      <c r="J5" s="1">
        <v>58</v>
      </c>
      <c r="K5" s="1">
        <v>34</v>
      </c>
      <c r="L5" s="1">
        <v>14</v>
      </c>
      <c r="M5" s="83">
        <v>45.356000000000002</v>
      </c>
      <c r="N5" s="8">
        <v>45</v>
      </c>
      <c r="O5" s="67">
        <v>7000</v>
      </c>
      <c r="P5" s="68">
        <f>Table22457891011234567891012[[#This Row],[PEMBULATAN]]*O5</f>
        <v>315000</v>
      </c>
    </row>
    <row r="6" spans="1:16" ht="26.25" customHeight="1" x14ac:dyDescent="0.2">
      <c r="A6" s="14"/>
      <c r="B6" s="14"/>
      <c r="C6" s="76" t="s">
        <v>179</v>
      </c>
      <c r="D6" s="81" t="s">
        <v>49</v>
      </c>
      <c r="E6" s="13">
        <v>44430</v>
      </c>
      <c r="F6" s="79" t="s">
        <v>50</v>
      </c>
      <c r="G6" s="13">
        <v>44435</v>
      </c>
      <c r="H6" s="80" t="s">
        <v>172</v>
      </c>
      <c r="I6" s="17">
        <v>90</v>
      </c>
      <c r="J6" s="17">
        <v>50</v>
      </c>
      <c r="K6" s="17">
        <v>30</v>
      </c>
      <c r="L6" s="17">
        <v>10</v>
      </c>
      <c r="M6" s="84">
        <v>33.75</v>
      </c>
      <c r="N6" s="75">
        <v>34</v>
      </c>
      <c r="O6" s="67">
        <v>7000</v>
      </c>
      <c r="P6" s="68">
        <f>Table22457891011234567891012[[#This Row],[PEMBULATAN]]*O6</f>
        <v>238000</v>
      </c>
    </row>
    <row r="7" spans="1:16" ht="26.25" customHeight="1" x14ac:dyDescent="0.2">
      <c r="A7" s="14"/>
      <c r="B7" s="14"/>
      <c r="C7" s="76" t="s">
        <v>180</v>
      </c>
      <c r="D7" s="81" t="s">
        <v>49</v>
      </c>
      <c r="E7" s="13">
        <v>44430</v>
      </c>
      <c r="F7" s="79" t="s">
        <v>50</v>
      </c>
      <c r="G7" s="13">
        <v>44435</v>
      </c>
      <c r="H7" s="80" t="s">
        <v>172</v>
      </c>
      <c r="I7" s="17">
        <v>65</v>
      </c>
      <c r="J7" s="17">
        <v>54</v>
      </c>
      <c r="K7" s="17">
        <v>26</v>
      </c>
      <c r="L7" s="17">
        <v>10</v>
      </c>
      <c r="M7" s="84">
        <v>22.815000000000001</v>
      </c>
      <c r="N7" s="75">
        <v>23</v>
      </c>
      <c r="O7" s="67">
        <v>7000</v>
      </c>
      <c r="P7" s="68">
        <f>Table22457891011234567891012[[#This Row],[PEMBULATAN]]*O7</f>
        <v>161000</v>
      </c>
    </row>
    <row r="8" spans="1:16" ht="26.25" customHeight="1" x14ac:dyDescent="0.2">
      <c r="A8" s="14"/>
      <c r="B8" s="14"/>
      <c r="C8" s="76" t="s">
        <v>181</v>
      </c>
      <c r="D8" s="81" t="s">
        <v>49</v>
      </c>
      <c r="E8" s="13">
        <v>44430</v>
      </c>
      <c r="F8" s="79" t="s">
        <v>50</v>
      </c>
      <c r="G8" s="13">
        <v>44435</v>
      </c>
      <c r="H8" s="80" t="s">
        <v>172</v>
      </c>
      <c r="I8" s="17">
        <v>55</v>
      </c>
      <c r="J8" s="17">
        <v>54</v>
      </c>
      <c r="K8" s="17">
        <v>24</v>
      </c>
      <c r="L8" s="17">
        <v>13</v>
      </c>
      <c r="M8" s="84">
        <v>17.82</v>
      </c>
      <c r="N8" s="75">
        <v>18</v>
      </c>
      <c r="O8" s="67">
        <v>7000</v>
      </c>
      <c r="P8" s="68">
        <f>Table22457891011234567891012[[#This Row],[PEMBULATAN]]*O8</f>
        <v>126000</v>
      </c>
    </row>
    <row r="9" spans="1:16" ht="26.25" customHeight="1" x14ac:dyDescent="0.2">
      <c r="A9" s="14"/>
      <c r="B9" s="14"/>
      <c r="C9" s="76" t="s">
        <v>182</v>
      </c>
      <c r="D9" s="81" t="s">
        <v>49</v>
      </c>
      <c r="E9" s="13">
        <v>44430</v>
      </c>
      <c r="F9" s="79" t="s">
        <v>50</v>
      </c>
      <c r="G9" s="13">
        <v>44435</v>
      </c>
      <c r="H9" s="80" t="s">
        <v>172</v>
      </c>
      <c r="I9" s="17">
        <v>92</v>
      </c>
      <c r="J9" s="17">
        <v>50</v>
      </c>
      <c r="K9" s="17">
        <v>25</v>
      </c>
      <c r="L9" s="17">
        <v>9</v>
      </c>
      <c r="M9" s="84">
        <v>28.75</v>
      </c>
      <c r="N9" s="75">
        <v>29</v>
      </c>
      <c r="O9" s="67">
        <v>7000</v>
      </c>
      <c r="P9" s="68">
        <f>Table22457891011234567891012[[#This Row],[PEMBULATAN]]*O9</f>
        <v>203000</v>
      </c>
    </row>
    <row r="10" spans="1:16" ht="26.25" customHeight="1" x14ac:dyDescent="0.2">
      <c r="A10" s="14"/>
      <c r="B10" s="14"/>
      <c r="C10" s="76" t="s">
        <v>183</v>
      </c>
      <c r="D10" s="81" t="s">
        <v>49</v>
      </c>
      <c r="E10" s="13">
        <v>44430</v>
      </c>
      <c r="F10" s="79" t="s">
        <v>50</v>
      </c>
      <c r="G10" s="13">
        <v>44435</v>
      </c>
      <c r="H10" s="80" t="s">
        <v>172</v>
      </c>
      <c r="I10" s="17">
        <v>90</v>
      </c>
      <c r="J10" s="17">
        <v>60</v>
      </c>
      <c r="K10" s="17">
        <v>30</v>
      </c>
      <c r="L10" s="17">
        <v>12</v>
      </c>
      <c r="M10" s="84">
        <v>40.5</v>
      </c>
      <c r="N10" s="75">
        <v>41</v>
      </c>
      <c r="O10" s="67">
        <v>7000</v>
      </c>
      <c r="P10" s="68">
        <f>Table22457891011234567891012[[#This Row],[PEMBULATAN]]*O10</f>
        <v>287000</v>
      </c>
    </row>
    <row r="11" spans="1:16" ht="26.25" customHeight="1" x14ac:dyDescent="0.2">
      <c r="A11" s="14"/>
      <c r="B11" s="14"/>
      <c r="C11" s="76" t="s">
        <v>184</v>
      </c>
      <c r="D11" s="81" t="s">
        <v>49</v>
      </c>
      <c r="E11" s="13">
        <v>44430</v>
      </c>
      <c r="F11" s="79" t="s">
        <v>50</v>
      </c>
      <c r="G11" s="13">
        <v>44435</v>
      </c>
      <c r="H11" s="80" t="s">
        <v>172</v>
      </c>
      <c r="I11" s="17">
        <v>90</v>
      </c>
      <c r="J11" s="17">
        <v>60</v>
      </c>
      <c r="K11" s="17">
        <v>19</v>
      </c>
      <c r="L11" s="17">
        <v>11</v>
      </c>
      <c r="M11" s="84">
        <v>25.65</v>
      </c>
      <c r="N11" s="75">
        <v>26</v>
      </c>
      <c r="O11" s="67">
        <v>7000</v>
      </c>
      <c r="P11" s="68">
        <f>Table22457891011234567891012[[#This Row],[PEMBULATAN]]*O11</f>
        <v>182000</v>
      </c>
    </row>
    <row r="12" spans="1:16" ht="26.25" customHeight="1" x14ac:dyDescent="0.2">
      <c r="A12" s="14"/>
      <c r="B12" s="14"/>
      <c r="C12" s="76" t="s">
        <v>185</v>
      </c>
      <c r="D12" s="81" t="s">
        <v>49</v>
      </c>
      <c r="E12" s="13">
        <v>44430</v>
      </c>
      <c r="F12" s="79" t="s">
        <v>50</v>
      </c>
      <c r="G12" s="13">
        <v>44435</v>
      </c>
      <c r="H12" s="80" t="s">
        <v>172</v>
      </c>
      <c r="I12" s="17">
        <v>53</v>
      </c>
      <c r="J12" s="17">
        <v>51</v>
      </c>
      <c r="K12" s="17">
        <v>21</v>
      </c>
      <c r="L12" s="17">
        <v>9</v>
      </c>
      <c r="M12" s="84">
        <v>14.19075</v>
      </c>
      <c r="N12" s="75">
        <v>14</v>
      </c>
      <c r="O12" s="67">
        <v>7000</v>
      </c>
      <c r="P12" s="68">
        <f>Table22457891011234567891012[[#This Row],[PEMBULATAN]]*O12</f>
        <v>98000</v>
      </c>
    </row>
    <row r="13" spans="1:16" ht="26.25" customHeight="1" x14ac:dyDescent="0.2">
      <c r="A13" s="14"/>
      <c r="B13" s="14"/>
      <c r="C13" s="76" t="s">
        <v>186</v>
      </c>
      <c r="D13" s="81" t="s">
        <v>49</v>
      </c>
      <c r="E13" s="13">
        <v>44430</v>
      </c>
      <c r="F13" s="79" t="s">
        <v>50</v>
      </c>
      <c r="G13" s="13">
        <v>44435</v>
      </c>
      <c r="H13" s="80" t="s">
        <v>172</v>
      </c>
      <c r="I13" s="17">
        <v>87</v>
      </c>
      <c r="J13" s="17">
        <v>55</v>
      </c>
      <c r="K13" s="17">
        <v>27</v>
      </c>
      <c r="L13" s="17">
        <v>12</v>
      </c>
      <c r="M13" s="84">
        <v>32.298749999999998</v>
      </c>
      <c r="N13" s="75">
        <v>32</v>
      </c>
      <c r="O13" s="67">
        <v>7000</v>
      </c>
      <c r="P13" s="68">
        <f>Table22457891011234567891012[[#This Row],[PEMBULATAN]]*O13</f>
        <v>224000</v>
      </c>
    </row>
    <row r="14" spans="1:16" ht="26.25" customHeight="1" x14ac:dyDescent="0.2">
      <c r="A14" s="14"/>
      <c r="B14" s="14"/>
      <c r="C14" s="76" t="s">
        <v>187</v>
      </c>
      <c r="D14" s="81" t="s">
        <v>49</v>
      </c>
      <c r="E14" s="13">
        <v>44430</v>
      </c>
      <c r="F14" s="79" t="s">
        <v>50</v>
      </c>
      <c r="G14" s="13">
        <v>44435</v>
      </c>
      <c r="H14" s="80" t="s">
        <v>172</v>
      </c>
      <c r="I14" s="17">
        <v>98</v>
      </c>
      <c r="J14" s="17">
        <v>55</v>
      </c>
      <c r="K14" s="17">
        <v>20</v>
      </c>
      <c r="L14" s="17">
        <v>12</v>
      </c>
      <c r="M14" s="84">
        <v>26.95</v>
      </c>
      <c r="N14" s="75">
        <v>27</v>
      </c>
      <c r="O14" s="67">
        <v>7000</v>
      </c>
      <c r="P14" s="68">
        <f>Table22457891011234567891012[[#This Row],[PEMBULATAN]]*O14</f>
        <v>189000</v>
      </c>
    </row>
    <row r="15" spans="1:16" ht="26.25" customHeight="1" x14ac:dyDescent="0.2">
      <c r="A15" s="14"/>
      <c r="B15" s="14"/>
      <c r="C15" s="76" t="s">
        <v>188</v>
      </c>
      <c r="D15" s="81" t="s">
        <v>49</v>
      </c>
      <c r="E15" s="13">
        <v>44430</v>
      </c>
      <c r="F15" s="79" t="s">
        <v>50</v>
      </c>
      <c r="G15" s="13">
        <v>44435</v>
      </c>
      <c r="H15" s="80" t="s">
        <v>172</v>
      </c>
      <c r="I15" s="17">
        <v>80</v>
      </c>
      <c r="J15" s="17">
        <v>54</v>
      </c>
      <c r="K15" s="17">
        <v>21</v>
      </c>
      <c r="L15" s="17">
        <v>11</v>
      </c>
      <c r="M15" s="84">
        <v>22.68</v>
      </c>
      <c r="N15" s="75">
        <v>23</v>
      </c>
      <c r="O15" s="67">
        <v>7000</v>
      </c>
      <c r="P15" s="68">
        <f>Table22457891011234567891012[[#This Row],[PEMBULATAN]]*O15</f>
        <v>161000</v>
      </c>
    </row>
    <row r="16" spans="1:16" ht="26.25" customHeight="1" x14ac:dyDescent="0.2">
      <c r="A16" s="14"/>
      <c r="B16" s="14"/>
      <c r="C16" s="76" t="s">
        <v>189</v>
      </c>
      <c r="D16" s="81" t="s">
        <v>49</v>
      </c>
      <c r="E16" s="13">
        <v>44430</v>
      </c>
      <c r="F16" s="79" t="s">
        <v>50</v>
      </c>
      <c r="G16" s="13">
        <v>44435</v>
      </c>
      <c r="H16" s="80" t="s">
        <v>172</v>
      </c>
      <c r="I16" s="17">
        <v>60</v>
      </c>
      <c r="J16" s="17">
        <v>40</v>
      </c>
      <c r="K16" s="17">
        <v>36</v>
      </c>
      <c r="L16" s="17">
        <v>8</v>
      </c>
      <c r="M16" s="84">
        <v>21.6</v>
      </c>
      <c r="N16" s="75">
        <v>22</v>
      </c>
      <c r="O16" s="67">
        <v>7000</v>
      </c>
      <c r="P16" s="68">
        <f>Table22457891011234567891012[[#This Row],[PEMBULATAN]]*O16</f>
        <v>154000</v>
      </c>
    </row>
    <row r="17" spans="1:16" ht="26.25" customHeight="1" x14ac:dyDescent="0.2">
      <c r="A17" s="14"/>
      <c r="B17" s="14"/>
      <c r="C17" s="76" t="s">
        <v>190</v>
      </c>
      <c r="D17" s="81" t="s">
        <v>49</v>
      </c>
      <c r="E17" s="13">
        <v>44430</v>
      </c>
      <c r="F17" s="79" t="s">
        <v>50</v>
      </c>
      <c r="G17" s="13">
        <v>44435</v>
      </c>
      <c r="H17" s="80" t="s">
        <v>172</v>
      </c>
      <c r="I17" s="17">
        <v>58</v>
      </c>
      <c r="J17" s="17">
        <v>50</v>
      </c>
      <c r="K17" s="17">
        <v>33</v>
      </c>
      <c r="L17" s="17">
        <v>8</v>
      </c>
      <c r="M17" s="84">
        <v>23.925000000000001</v>
      </c>
      <c r="N17" s="75">
        <v>24</v>
      </c>
      <c r="O17" s="67">
        <v>7000</v>
      </c>
      <c r="P17" s="68">
        <f>Table22457891011234567891012[[#This Row],[PEMBULATAN]]*O17</f>
        <v>168000</v>
      </c>
    </row>
    <row r="18" spans="1:16" ht="26.25" customHeight="1" x14ac:dyDescent="0.2">
      <c r="A18" s="14"/>
      <c r="B18" s="14"/>
      <c r="C18" s="76" t="s">
        <v>191</v>
      </c>
      <c r="D18" s="81" t="s">
        <v>49</v>
      </c>
      <c r="E18" s="13">
        <v>44430</v>
      </c>
      <c r="F18" s="79" t="s">
        <v>50</v>
      </c>
      <c r="G18" s="13">
        <v>44435</v>
      </c>
      <c r="H18" s="80" t="s">
        <v>172</v>
      </c>
      <c r="I18" s="17">
        <v>50</v>
      </c>
      <c r="J18" s="17">
        <v>40</v>
      </c>
      <c r="K18" s="17">
        <v>10</v>
      </c>
      <c r="L18" s="17">
        <v>8</v>
      </c>
      <c r="M18" s="84">
        <v>5</v>
      </c>
      <c r="N18" s="75">
        <v>8</v>
      </c>
      <c r="O18" s="67">
        <v>7000</v>
      </c>
      <c r="P18" s="68">
        <f>Table22457891011234567891012[[#This Row],[PEMBULATAN]]*O18</f>
        <v>56000</v>
      </c>
    </row>
    <row r="19" spans="1:16" ht="26.25" customHeight="1" x14ac:dyDescent="0.2">
      <c r="A19" s="14"/>
      <c r="B19" s="14"/>
      <c r="C19" s="76" t="s">
        <v>192</v>
      </c>
      <c r="D19" s="81" t="s">
        <v>49</v>
      </c>
      <c r="E19" s="13">
        <v>44430</v>
      </c>
      <c r="F19" s="79" t="s">
        <v>50</v>
      </c>
      <c r="G19" s="13">
        <v>44435</v>
      </c>
      <c r="H19" s="80" t="s">
        <v>172</v>
      </c>
      <c r="I19" s="17">
        <v>50</v>
      </c>
      <c r="J19" s="17">
        <v>40</v>
      </c>
      <c r="K19" s="17">
        <v>10</v>
      </c>
      <c r="L19" s="17">
        <v>8</v>
      </c>
      <c r="M19" s="84">
        <v>5</v>
      </c>
      <c r="N19" s="75">
        <v>8</v>
      </c>
      <c r="O19" s="67">
        <v>7000</v>
      </c>
      <c r="P19" s="68">
        <f>Table22457891011234567891012[[#This Row],[PEMBULATAN]]*O19</f>
        <v>56000</v>
      </c>
    </row>
    <row r="20" spans="1:16" ht="26.25" customHeight="1" x14ac:dyDescent="0.2">
      <c r="A20" s="14"/>
      <c r="B20" s="14"/>
      <c r="C20" s="76" t="s">
        <v>193</v>
      </c>
      <c r="D20" s="81" t="s">
        <v>49</v>
      </c>
      <c r="E20" s="13">
        <v>44430</v>
      </c>
      <c r="F20" s="79" t="s">
        <v>50</v>
      </c>
      <c r="G20" s="13">
        <v>44435</v>
      </c>
      <c r="H20" s="80" t="s">
        <v>172</v>
      </c>
      <c r="I20" s="17">
        <v>73</v>
      </c>
      <c r="J20" s="17">
        <v>31</v>
      </c>
      <c r="K20" s="17">
        <v>6</v>
      </c>
      <c r="L20" s="17">
        <v>8</v>
      </c>
      <c r="M20" s="84">
        <v>3.3944999999999999</v>
      </c>
      <c r="N20" s="75">
        <v>8</v>
      </c>
      <c r="O20" s="67">
        <v>7000</v>
      </c>
      <c r="P20" s="68">
        <f>Table22457891011234567891012[[#This Row],[PEMBULATAN]]*O20</f>
        <v>56000</v>
      </c>
    </row>
    <row r="21" spans="1:16" ht="26.25" customHeight="1" x14ac:dyDescent="0.2">
      <c r="A21" s="14"/>
      <c r="B21" s="14"/>
      <c r="C21" s="76" t="s">
        <v>194</v>
      </c>
      <c r="D21" s="81" t="s">
        <v>49</v>
      </c>
      <c r="E21" s="13">
        <v>44430</v>
      </c>
      <c r="F21" s="79" t="s">
        <v>50</v>
      </c>
      <c r="G21" s="13">
        <v>44435</v>
      </c>
      <c r="H21" s="80" t="s">
        <v>172</v>
      </c>
      <c r="I21" s="17">
        <v>50</v>
      </c>
      <c r="J21" s="17">
        <v>35</v>
      </c>
      <c r="K21" s="17">
        <v>8</v>
      </c>
      <c r="L21" s="17">
        <v>8</v>
      </c>
      <c r="M21" s="84">
        <v>3.5</v>
      </c>
      <c r="N21" s="75">
        <v>8</v>
      </c>
      <c r="O21" s="67">
        <v>7000</v>
      </c>
      <c r="P21" s="68">
        <f>Table22457891011234567891012[[#This Row],[PEMBULATAN]]*O21</f>
        <v>56000</v>
      </c>
    </row>
    <row r="22" spans="1:16" ht="26.25" customHeight="1" x14ac:dyDescent="0.2">
      <c r="A22" s="14"/>
      <c r="B22" s="14"/>
      <c r="C22" s="76" t="s">
        <v>195</v>
      </c>
      <c r="D22" s="81" t="s">
        <v>49</v>
      </c>
      <c r="E22" s="13">
        <v>44430</v>
      </c>
      <c r="F22" s="79" t="s">
        <v>50</v>
      </c>
      <c r="G22" s="13">
        <v>44435</v>
      </c>
      <c r="H22" s="80" t="s">
        <v>172</v>
      </c>
      <c r="I22" s="17">
        <v>26</v>
      </c>
      <c r="J22" s="17">
        <v>23</v>
      </c>
      <c r="K22" s="17">
        <v>18</v>
      </c>
      <c r="L22" s="17">
        <v>6</v>
      </c>
      <c r="M22" s="84">
        <v>2.6909999999999998</v>
      </c>
      <c r="N22" s="75">
        <v>6</v>
      </c>
      <c r="O22" s="67">
        <v>7000</v>
      </c>
      <c r="P22" s="68">
        <f>Table22457891011234567891012[[#This Row],[PEMBULATAN]]*O22</f>
        <v>42000</v>
      </c>
    </row>
    <row r="23" spans="1:16" ht="26.25" customHeight="1" x14ac:dyDescent="0.2">
      <c r="A23" s="14"/>
      <c r="B23" s="14"/>
      <c r="C23" s="76" t="s">
        <v>196</v>
      </c>
      <c r="D23" s="81" t="s">
        <v>49</v>
      </c>
      <c r="E23" s="13">
        <v>44430</v>
      </c>
      <c r="F23" s="79" t="s">
        <v>50</v>
      </c>
      <c r="G23" s="13">
        <v>44435</v>
      </c>
      <c r="H23" s="80" t="s">
        <v>172</v>
      </c>
      <c r="I23" s="17">
        <v>94</v>
      </c>
      <c r="J23" s="17">
        <v>48</v>
      </c>
      <c r="K23" s="17">
        <v>32</v>
      </c>
      <c r="L23" s="17">
        <v>9</v>
      </c>
      <c r="M23" s="84">
        <v>36.095999999999997</v>
      </c>
      <c r="N23" s="75">
        <v>36</v>
      </c>
      <c r="O23" s="67">
        <v>7000</v>
      </c>
      <c r="P23" s="68">
        <f>Table22457891011234567891012[[#This Row],[PEMBULATAN]]*O23</f>
        <v>252000</v>
      </c>
    </row>
    <row r="24" spans="1:16" ht="26.25" customHeight="1" x14ac:dyDescent="0.2">
      <c r="A24" s="14"/>
      <c r="B24" s="14"/>
      <c r="C24" s="76" t="s">
        <v>197</v>
      </c>
      <c r="D24" s="81" t="s">
        <v>49</v>
      </c>
      <c r="E24" s="13">
        <v>44430</v>
      </c>
      <c r="F24" s="79" t="s">
        <v>50</v>
      </c>
      <c r="G24" s="13">
        <v>44435</v>
      </c>
      <c r="H24" s="80" t="s">
        <v>172</v>
      </c>
      <c r="I24" s="17">
        <v>45</v>
      </c>
      <c r="J24" s="17">
        <v>25</v>
      </c>
      <c r="K24" s="17">
        <v>28</v>
      </c>
      <c r="L24" s="17">
        <v>24</v>
      </c>
      <c r="M24" s="84">
        <v>7.875</v>
      </c>
      <c r="N24" s="75">
        <v>24</v>
      </c>
      <c r="O24" s="67">
        <v>7000</v>
      </c>
      <c r="P24" s="68">
        <f>Table22457891011234567891012[[#This Row],[PEMBULATAN]]*O24</f>
        <v>168000</v>
      </c>
    </row>
    <row r="25" spans="1:16" ht="26.25" customHeight="1" x14ac:dyDescent="0.2">
      <c r="A25" s="14"/>
      <c r="B25" s="14"/>
      <c r="C25" s="76" t="s">
        <v>198</v>
      </c>
      <c r="D25" s="81" t="s">
        <v>49</v>
      </c>
      <c r="E25" s="13">
        <v>44430</v>
      </c>
      <c r="F25" s="79" t="s">
        <v>50</v>
      </c>
      <c r="G25" s="13">
        <v>44435</v>
      </c>
      <c r="H25" s="80" t="s">
        <v>172</v>
      </c>
      <c r="I25" s="17">
        <v>46</v>
      </c>
      <c r="J25" s="17">
        <v>30</v>
      </c>
      <c r="K25" s="17">
        <v>44</v>
      </c>
      <c r="L25" s="17">
        <v>5</v>
      </c>
      <c r="M25" s="84">
        <v>15.18</v>
      </c>
      <c r="N25" s="75">
        <v>15</v>
      </c>
      <c r="O25" s="67">
        <v>7000</v>
      </c>
      <c r="P25" s="68">
        <f>Table22457891011234567891012[[#This Row],[PEMBULATAN]]*O25</f>
        <v>105000</v>
      </c>
    </row>
    <row r="26" spans="1:16" ht="26.25" customHeight="1" x14ac:dyDescent="0.2">
      <c r="A26" s="14"/>
      <c r="B26" s="14"/>
      <c r="C26" s="76" t="s">
        <v>199</v>
      </c>
      <c r="D26" s="81" t="s">
        <v>49</v>
      </c>
      <c r="E26" s="13">
        <v>44430</v>
      </c>
      <c r="F26" s="79" t="s">
        <v>50</v>
      </c>
      <c r="G26" s="13">
        <v>44435</v>
      </c>
      <c r="H26" s="80" t="s">
        <v>172</v>
      </c>
      <c r="I26" s="17">
        <v>62</v>
      </c>
      <c r="J26" s="17">
        <v>41</v>
      </c>
      <c r="K26" s="17">
        <v>18</v>
      </c>
      <c r="L26" s="17">
        <v>9</v>
      </c>
      <c r="M26" s="84">
        <v>11.439</v>
      </c>
      <c r="N26" s="75">
        <v>11</v>
      </c>
      <c r="O26" s="67">
        <v>7000</v>
      </c>
      <c r="P26" s="68">
        <f>Table22457891011234567891012[[#This Row],[PEMBULATAN]]*O26</f>
        <v>77000</v>
      </c>
    </row>
    <row r="27" spans="1:16" ht="26.25" customHeight="1" x14ac:dyDescent="0.2">
      <c r="A27" s="14"/>
      <c r="B27" s="14"/>
      <c r="C27" s="76" t="s">
        <v>200</v>
      </c>
      <c r="D27" s="81" t="s">
        <v>49</v>
      </c>
      <c r="E27" s="13">
        <v>44430</v>
      </c>
      <c r="F27" s="79" t="s">
        <v>50</v>
      </c>
      <c r="G27" s="13">
        <v>44435</v>
      </c>
      <c r="H27" s="80" t="s">
        <v>172</v>
      </c>
      <c r="I27" s="17">
        <v>50</v>
      </c>
      <c r="J27" s="17">
        <v>25</v>
      </c>
      <c r="K27" s="17">
        <v>30</v>
      </c>
      <c r="L27" s="17">
        <v>12</v>
      </c>
      <c r="M27" s="84">
        <v>9.375</v>
      </c>
      <c r="N27" s="75">
        <v>12</v>
      </c>
      <c r="O27" s="67">
        <v>7000</v>
      </c>
      <c r="P27" s="68">
        <f>Table22457891011234567891012[[#This Row],[PEMBULATAN]]*O27</f>
        <v>84000</v>
      </c>
    </row>
    <row r="28" spans="1:16" ht="26.25" customHeight="1" x14ac:dyDescent="0.2">
      <c r="A28" s="14"/>
      <c r="B28" s="14"/>
      <c r="C28" s="76" t="s">
        <v>201</v>
      </c>
      <c r="D28" s="81" t="s">
        <v>49</v>
      </c>
      <c r="E28" s="13">
        <v>44430</v>
      </c>
      <c r="F28" s="79" t="s">
        <v>50</v>
      </c>
      <c r="G28" s="13">
        <v>44435</v>
      </c>
      <c r="H28" s="80" t="s">
        <v>172</v>
      </c>
      <c r="I28" s="17">
        <v>90</v>
      </c>
      <c r="J28" s="17">
        <v>64</v>
      </c>
      <c r="K28" s="17">
        <v>21</v>
      </c>
      <c r="L28" s="17">
        <v>10</v>
      </c>
      <c r="M28" s="84">
        <v>30.24</v>
      </c>
      <c r="N28" s="75">
        <v>30</v>
      </c>
      <c r="O28" s="67">
        <v>7000</v>
      </c>
      <c r="P28" s="68">
        <f>Table22457891011234567891012[[#This Row],[PEMBULATAN]]*O28</f>
        <v>210000</v>
      </c>
    </row>
    <row r="29" spans="1:16" ht="26.25" customHeight="1" x14ac:dyDescent="0.2">
      <c r="A29" s="14"/>
      <c r="B29" s="14"/>
      <c r="C29" s="76" t="s">
        <v>202</v>
      </c>
      <c r="D29" s="81" t="s">
        <v>49</v>
      </c>
      <c r="E29" s="13">
        <v>44430</v>
      </c>
      <c r="F29" s="79" t="s">
        <v>50</v>
      </c>
      <c r="G29" s="13">
        <v>44435</v>
      </c>
      <c r="H29" s="80" t="s">
        <v>172</v>
      </c>
      <c r="I29" s="17">
        <v>40</v>
      </c>
      <c r="J29" s="17">
        <v>40</v>
      </c>
      <c r="K29" s="17">
        <v>30</v>
      </c>
      <c r="L29" s="17">
        <v>9</v>
      </c>
      <c r="M29" s="84">
        <v>12</v>
      </c>
      <c r="N29" s="75">
        <v>12</v>
      </c>
      <c r="O29" s="67">
        <v>7000</v>
      </c>
      <c r="P29" s="68">
        <f>Table22457891011234567891012[[#This Row],[PEMBULATAN]]*O29</f>
        <v>84000</v>
      </c>
    </row>
    <row r="30" spans="1:16" ht="26.25" customHeight="1" x14ac:dyDescent="0.2">
      <c r="A30" s="14"/>
      <c r="B30" s="14"/>
      <c r="C30" s="76" t="s">
        <v>203</v>
      </c>
      <c r="D30" s="81" t="s">
        <v>49</v>
      </c>
      <c r="E30" s="13">
        <v>44430</v>
      </c>
      <c r="F30" s="79" t="s">
        <v>50</v>
      </c>
      <c r="G30" s="13">
        <v>44435</v>
      </c>
      <c r="H30" s="80" t="s">
        <v>172</v>
      </c>
      <c r="I30" s="17">
        <v>154</v>
      </c>
      <c r="J30" s="17">
        <v>25</v>
      </c>
      <c r="K30" s="17">
        <v>24</v>
      </c>
      <c r="L30" s="17">
        <v>11</v>
      </c>
      <c r="M30" s="84">
        <v>23.1</v>
      </c>
      <c r="N30" s="75">
        <v>23</v>
      </c>
      <c r="O30" s="67">
        <v>7000</v>
      </c>
      <c r="P30" s="68">
        <f>Table22457891011234567891012[[#This Row],[PEMBULATAN]]*O30</f>
        <v>161000</v>
      </c>
    </row>
    <row r="31" spans="1:16" ht="26.25" customHeight="1" x14ac:dyDescent="0.2">
      <c r="A31" s="14"/>
      <c r="B31" s="14"/>
      <c r="C31" s="76" t="s">
        <v>204</v>
      </c>
      <c r="D31" s="81" t="s">
        <v>49</v>
      </c>
      <c r="E31" s="13">
        <v>44430</v>
      </c>
      <c r="F31" s="79" t="s">
        <v>50</v>
      </c>
      <c r="G31" s="13">
        <v>44435</v>
      </c>
      <c r="H31" s="80" t="s">
        <v>172</v>
      </c>
      <c r="I31" s="17">
        <v>172</v>
      </c>
      <c r="J31" s="17">
        <v>46</v>
      </c>
      <c r="K31" s="17">
        <v>20</v>
      </c>
      <c r="L31" s="17">
        <v>8</v>
      </c>
      <c r="M31" s="84">
        <v>39.56</v>
      </c>
      <c r="N31" s="75">
        <v>40</v>
      </c>
      <c r="O31" s="67">
        <v>7000</v>
      </c>
      <c r="P31" s="68">
        <f>Table22457891011234567891012[[#This Row],[PEMBULATAN]]*O31</f>
        <v>280000</v>
      </c>
    </row>
    <row r="32" spans="1:16" ht="22.5" customHeight="1" x14ac:dyDescent="0.2">
      <c r="A32" s="122" t="s">
        <v>30</v>
      </c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4"/>
      <c r="M32" s="82">
        <f>SUBTOTAL(109,Table22457891011234567891012[KG VOLUME])</f>
        <v>597.71025000000009</v>
      </c>
      <c r="N32" s="71">
        <f>SUM(N3:N31)</f>
        <v>636</v>
      </c>
      <c r="O32" s="125">
        <f>SUM(P3:P31)</f>
        <v>4452000</v>
      </c>
      <c r="P32" s="126"/>
    </row>
    <row r="33" spans="1:16" ht="18" customHeight="1" x14ac:dyDescent="0.2">
      <c r="A33" s="94"/>
      <c r="B33" s="59" t="s">
        <v>42</v>
      </c>
      <c r="C33" s="58"/>
      <c r="D33" s="60" t="s">
        <v>43</v>
      </c>
      <c r="E33" s="94"/>
      <c r="F33" s="94"/>
      <c r="G33" s="94"/>
      <c r="H33" s="94"/>
      <c r="I33" s="94"/>
      <c r="J33" s="94"/>
      <c r="K33" s="94"/>
      <c r="L33" s="94"/>
      <c r="M33" s="95"/>
      <c r="N33" s="96" t="s">
        <v>649</v>
      </c>
      <c r="O33" s="97"/>
      <c r="P33" s="97">
        <v>0</v>
      </c>
    </row>
    <row r="34" spans="1:16" ht="18" customHeight="1" thickBot="1" x14ac:dyDescent="0.25">
      <c r="A34" s="94"/>
      <c r="B34" s="59"/>
      <c r="C34" s="58"/>
      <c r="D34" s="60"/>
      <c r="E34" s="94"/>
      <c r="F34" s="94"/>
      <c r="G34" s="94"/>
      <c r="H34" s="94"/>
      <c r="I34" s="94"/>
      <c r="J34" s="94"/>
      <c r="K34" s="94"/>
      <c r="L34" s="94"/>
      <c r="M34" s="95"/>
      <c r="N34" s="98" t="s">
        <v>650</v>
      </c>
      <c r="O34" s="99"/>
      <c r="P34" s="99">
        <f>O32-P33</f>
        <v>4452000</v>
      </c>
    </row>
    <row r="35" spans="1:16" ht="18" customHeight="1" x14ac:dyDescent="0.2">
      <c r="A35" s="11"/>
      <c r="H35" s="66"/>
      <c r="N35" s="65" t="s">
        <v>31</v>
      </c>
      <c r="P35" s="72">
        <f>P34*1%</f>
        <v>44520</v>
      </c>
    </row>
    <row r="36" spans="1:16" ht="18" customHeight="1" thickBot="1" x14ac:dyDescent="0.25">
      <c r="A36" s="11"/>
      <c r="H36" s="66"/>
      <c r="N36" s="65" t="s">
        <v>651</v>
      </c>
      <c r="P36" s="74">
        <f>P34*2%</f>
        <v>89040</v>
      </c>
    </row>
    <row r="37" spans="1:16" ht="18" customHeight="1" x14ac:dyDescent="0.2">
      <c r="A37" s="11"/>
      <c r="H37" s="66"/>
      <c r="N37" s="69" t="s">
        <v>32</v>
      </c>
      <c r="O37" s="70"/>
      <c r="P37" s="73">
        <f>P34+P35-P36</f>
        <v>4407480</v>
      </c>
    </row>
    <row r="39" spans="1:16" x14ac:dyDescent="0.2">
      <c r="A39" s="11"/>
      <c r="H39" s="66"/>
      <c r="P39" s="74"/>
    </row>
    <row r="40" spans="1:16" x14ac:dyDescent="0.2">
      <c r="A40" s="11"/>
      <c r="H40" s="66"/>
      <c r="O40" s="61"/>
      <c r="P40" s="74"/>
    </row>
    <row r="41" spans="1:16" s="3" customFormat="1" x14ac:dyDescent="0.25">
      <c r="A41" s="11"/>
      <c r="B41" s="2"/>
      <c r="C41" s="2"/>
      <c r="E41" s="12"/>
      <c r="H41" s="66"/>
      <c r="N41" s="16"/>
      <c r="O41" s="16"/>
      <c r="P41" s="16"/>
    </row>
    <row r="42" spans="1:16" s="3" customFormat="1" x14ac:dyDescent="0.25">
      <c r="A42" s="11"/>
      <c r="B42" s="2"/>
      <c r="C42" s="2"/>
      <c r="E42" s="12"/>
      <c r="H42" s="66"/>
      <c r="N42" s="16"/>
      <c r="O42" s="16"/>
      <c r="P42" s="16"/>
    </row>
    <row r="43" spans="1:16" s="3" customFormat="1" x14ac:dyDescent="0.25">
      <c r="A43" s="11"/>
      <c r="B43" s="2"/>
      <c r="C43" s="2"/>
      <c r="E43" s="12"/>
      <c r="H43" s="66"/>
      <c r="N43" s="16"/>
      <c r="O43" s="16"/>
      <c r="P43" s="16"/>
    </row>
    <row r="44" spans="1:16" s="3" customFormat="1" x14ac:dyDescent="0.25">
      <c r="A44" s="11"/>
      <c r="B44" s="2"/>
      <c r="C44" s="2"/>
      <c r="E44" s="12"/>
      <c r="H44" s="66"/>
      <c r="N44" s="16"/>
      <c r="O44" s="16"/>
      <c r="P44" s="16"/>
    </row>
    <row r="45" spans="1:16" s="3" customFormat="1" x14ac:dyDescent="0.25">
      <c r="A45" s="11"/>
      <c r="B45" s="2"/>
      <c r="C45" s="2"/>
      <c r="E45" s="12"/>
      <c r="H45" s="66"/>
      <c r="N45" s="16"/>
      <c r="O45" s="16"/>
      <c r="P45" s="16"/>
    </row>
    <row r="46" spans="1:16" s="3" customFormat="1" x14ac:dyDescent="0.25">
      <c r="A46" s="11"/>
      <c r="B46" s="2"/>
      <c r="C46" s="2"/>
      <c r="E46" s="12"/>
      <c r="H46" s="66"/>
      <c r="N46" s="16"/>
      <c r="O46" s="16"/>
      <c r="P46" s="16"/>
    </row>
    <row r="47" spans="1:16" s="3" customFormat="1" x14ac:dyDescent="0.25">
      <c r="A47" s="11"/>
      <c r="B47" s="2"/>
      <c r="C47" s="2"/>
      <c r="E47" s="12"/>
      <c r="H47" s="66"/>
      <c r="N47" s="16"/>
      <c r="O47" s="16"/>
      <c r="P47" s="16"/>
    </row>
    <row r="48" spans="1:16" s="3" customFormat="1" x14ac:dyDescent="0.25">
      <c r="A48" s="11"/>
      <c r="B48" s="2"/>
      <c r="C48" s="2"/>
      <c r="E48" s="12"/>
      <c r="H48" s="66"/>
      <c r="N48" s="16"/>
      <c r="O48" s="16"/>
      <c r="P48" s="16"/>
    </row>
    <row r="49" spans="1:16" s="3" customFormat="1" x14ac:dyDescent="0.25">
      <c r="A49" s="11"/>
      <c r="B49" s="2"/>
      <c r="C49" s="2"/>
      <c r="E49" s="12"/>
      <c r="H49" s="66"/>
      <c r="N49" s="16"/>
      <c r="O49" s="16"/>
      <c r="P49" s="16"/>
    </row>
    <row r="50" spans="1:16" s="3" customFormat="1" x14ac:dyDescent="0.25">
      <c r="A50" s="11"/>
      <c r="B50" s="2"/>
      <c r="C50" s="2"/>
      <c r="E50" s="12"/>
      <c r="H50" s="66"/>
      <c r="N50" s="16"/>
      <c r="O50" s="16"/>
      <c r="P50" s="16"/>
    </row>
    <row r="51" spans="1:16" s="3" customFormat="1" x14ac:dyDescent="0.25">
      <c r="A51" s="11"/>
      <c r="B51" s="2"/>
      <c r="C51" s="2"/>
      <c r="E51" s="12"/>
      <c r="H51" s="66"/>
      <c r="N51" s="16"/>
      <c r="O51" s="16"/>
      <c r="P51" s="16"/>
    </row>
    <row r="52" spans="1:16" s="3" customFormat="1" x14ac:dyDescent="0.25">
      <c r="A52" s="11"/>
      <c r="B52" s="2"/>
      <c r="C52" s="2"/>
      <c r="E52" s="12"/>
      <c r="H52" s="66"/>
      <c r="N52" s="16"/>
      <c r="O52" s="16"/>
      <c r="P52" s="16"/>
    </row>
  </sheetData>
  <mergeCells count="3">
    <mergeCell ref="A3:A4"/>
    <mergeCell ref="A32:L32"/>
    <mergeCell ref="O32:P32"/>
  </mergeCells>
  <conditionalFormatting sqref="B3">
    <cfRule type="duplicateValues" dxfId="269" priority="2"/>
  </conditionalFormatting>
  <conditionalFormatting sqref="B4">
    <cfRule type="duplicateValues" dxfId="268" priority="1"/>
  </conditionalFormatting>
  <conditionalFormatting sqref="B5:B31">
    <cfRule type="duplicateValues" dxfId="267" priority="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22" sqref="H2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0.2851562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26.25" customHeight="1" x14ac:dyDescent="0.2">
      <c r="A3" s="120" t="s">
        <v>577</v>
      </c>
      <c r="B3" s="77" t="s">
        <v>205</v>
      </c>
      <c r="C3" s="9" t="s">
        <v>206</v>
      </c>
      <c r="D3" s="79" t="s">
        <v>49</v>
      </c>
      <c r="E3" s="13">
        <v>44431</v>
      </c>
      <c r="F3" s="79" t="s">
        <v>214</v>
      </c>
      <c r="G3" s="13">
        <v>44435</v>
      </c>
      <c r="H3" s="10" t="s">
        <v>215</v>
      </c>
      <c r="I3" s="1">
        <v>96</v>
      </c>
      <c r="J3" s="1">
        <v>52</v>
      </c>
      <c r="K3" s="1">
        <v>40</v>
      </c>
      <c r="L3" s="1">
        <v>27</v>
      </c>
      <c r="M3" s="83">
        <v>49.92</v>
      </c>
      <c r="N3" s="8">
        <v>50</v>
      </c>
      <c r="O3" s="67">
        <v>7000</v>
      </c>
      <c r="P3" s="68">
        <f>Table2245789101123456789101213[[#This Row],[PEMBULATAN]]*O3</f>
        <v>350000</v>
      </c>
    </row>
    <row r="4" spans="1:16" ht="26.25" customHeight="1" x14ac:dyDescent="0.2">
      <c r="A4" s="121"/>
      <c r="B4" s="78"/>
      <c r="C4" s="9" t="s">
        <v>207</v>
      </c>
      <c r="D4" s="79" t="s">
        <v>49</v>
      </c>
      <c r="E4" s="13">
        <v>44431</v>
      </c>
      <c r="F4" s="79" t="s">
        <v>214</v>
      </c>
      <c r="G4" s="13">
        <v>44435</v>
      </c>
      <c r="H4" s="10" t="s">
        <v>215</v>
      </c>
      <c r="I4" s="1">
        <v>90</v>
      </c>
      <c r="J4" s="1">
        <v>60</v>
      </c>
      <c r="K4" s="1">
        <v>22</v>
      </c>
      <c r="L4" s="1">
        <v>16</v>
      </c>
      <c r="M4" s="83">
        <v>29.7</v>
      </c>
      <c r="N4" s="8">
        <v>30</v>
      </c>
      <c r="O4" s="67">
        <v>7000</v>
      </c>
      <c r="P4" s="68">
        <f>Table2245789101123456789101213[[#This Row],[PEMBULATAN]]*O4</f>
        <v>210000</v>
      </c>
    </row>
    <row r="5" spans="1:16" ht="26.25" customHeight="1" x14ac:dyDescent="0.2">
      <c r="A5" s="14"/>
      <c r="B5" s="14"/>
      <c r="C5" s="9" t="s">
        <v>208</v>
      </c>
      <c r="D5" s="79" t="s">
        <v>49</v>
      </c>
      <c r="E5" s="13">
        <v>44431</v>
      </c>
      <c r="F5" s="79" t="s">
        <v>214</v>
      </c>
      <c r="G5" s="13">
        <v>44435</v>
      </c>
      <c r="H5" s="10" t="s">
        <v>215</v>
      </c>
      <c r="I5" s="1">
        <v>30</v>
      </c>
      <c r="J5" s="1">
        <v>27</v>
      </c>
      <c r="K5" s="1">
        <v>20</v>
      </c>
      <c r="L5" s="1">
        <v>16</v>
      </c>
      <c r="M5" s="83">
        <v>4.05</v>
      </c>
      <c r="N5" s="8">
        <v>16</v>
      </c>
      <c r="O5" s="67">
        <v>7000</v>
      </c>
      <c r="P5" s="68">
        <f>Table2245789101123456789101213[[#This Row],[PEMBULATAN]]*O5</f>
        <v>112000</v>
      </c>
    </row>
    <row r="6" spans="1:16" ht="26.25" customHeight="1" x14ac:dyDescent="0.2">
      <c r="A6" s="14"/>
      <c r="B6" s="14"/>
      <c r="C6" s="76" t="s">
        <v>209</v>
      </c>
      <c r="D6" s="81" t="s">
        <v>49</v>
      </c>
      <c r="E6" s="13">
        <v>44431</v>
      </c>
      <c r="F6" s="79" t="s">
        <v>214</v>
      </c>
      <c r="G6" s="13">
        <v>44435</v>
      </c>
      <c r="H6" s="80" t="s">
        <v>215</v>
      </c>
      <c r="I6" s="17">
        <v>54</v>
      </c>
      <c r="J6" s="17">
        <v>40</v>
      </c>
      <c r="K6" s="17">
        <v>10</v>
      </c>
      <c r="L6" s="17">
        <v>8</v>
      </c>
      <c r="M6" s="84">
        <v>5.4</v>
      </c>
      <c r="N6" s="75">
        <v>8</v>
      </c>
      <c r="O6" s="67">
        <v>7000</v>
      </c>
      <c r="P6" s="68">
        <f>Table2245789101123456789101213[[#This Row],[PEMBULATAN]]*O6</f>
        <v>56000</v>
      </c>
    </row>
    <row r="7" spans="1:16" ht="26.25" customHeight="1" x14ac:dyDescent="0.2">
      <c r="A7" s="14"/>
      <c r="B7" s="14"/>
      <c r="C7" s="76" t="s">
        <v>210</v>
      </c>
      <c r="D7" s="81" t="s">
        <v>49</v>
      </c>
      <c r="E7" s="13">
        <v>44431</v>
      </c>
      <c r="F7" s="79" t="s">
        <v>214</v>
      </c>
      <c r="G7" s="13">
        <v>44435</v>
      </c>
      <c r="H7" s="80" t="s">
        <v>215</v>
      </c>
      <c r="I7" s="17">
        <v>43</v>
      </c>
      <c r="J7" s="17">
        <v>33</v>
      </c>
      <c r="K7" s="17">
        <v>21</v>
      </c>
      <c r="L7" s="17">
        <v>8</v>
      </c>
      <c r="M7" s="84">
        <v>7.4497499999999999</v>
      </c>
      <c r="N7" s="75">
        <v>8</v>
      </c>
      <c r="O7" s="67">
        <v>7000</v>
      </c>
      <c r="P7" s="68">
        <f>Table2245789101123456789101213[[#This Row],[PEMBULATAN]]*O7</f>
        <v>56000</v>
      </c>
    </row>
    <row r="8" spans="1:16" ht="26.25" customHeight="1" x14ac:dyDescent="0.2">
      <c r="A8" s="14"/>
      <c r="B8" s="14"/>
      <c r="C8" s="76" t="s">
        <v>211</v>
      </c>
      <c r="D8" s="81" t="s">
        <v>49</v>
      </c>
      <c r="E8" s="13">
        <v>44431</v>
      </c>
      <c r="F8" s="79" t="s">
        <v>214</v>
      </c>
      <c r="G8" s="13">
        <v>44435</v>
      </c>
      <c r="H8" s="80" t="s">
        <v>215</v>
      </c>
      <c r="I8" s="17">
        <v>46</v>
      </c>
      <c r="J8" s="17">
        <v>28</v>
      </c>
      <c r="K8" s="17">
        <v>47</v>
      </c>
      <c r="L8" s="17">
        <v>6</v>
      </c>
      <c r="M8" s="84">
        <v>15.134</v>
      </c>
      <c r="N8" s="75">
        <v>15</v>
      </c>
      <c r="O8" s="67">
        <v>7000</v>
      </c>
      <c r="P8" s="68">
        <f>Table2245789101123456789101213[[#This Row],[PEMBULATAN]]*O8</f>
        <v>105000</v>
      </c>
    </row>
    <row r="9" spans="1:16" ht="26.25" customHeight="1" x14ac:dyDescent="0.2">
      <c r="A9" s="14"/>
      <c r="B9" s="14"/>
      <c r="C9" s="76" t="s">
        <v>212</v>
      </c>
      <c r="D9" s="81" t="s">
        <v>49</v>
      </c>
      <c r="E9" s="13">
        <v>44431</v>
      </c>
      <c r="F9" s="79" t="s">
        <v>214</v>
      </c>
      <c r="G9" s="13">
        <v>44435</v>
      </c>
      <c r="H9" s="80" t="s">
        <v>215</v>
      </c>
      <c r="I9" s="17">
        <v>40</v>
      </c>
      <c r="J9" s="17">
        <v>32</v>
      </c>
      <c r="K9" s="17">
        <v>32</v>
      </c>
      <c r="L9" s="17">
        <v>13</v>
      </c>
      <c r="M9" s="84">
        <v>10.24</v>
      </c>
      <c r="N9" s="75">
        <v>13</v>
      </c>
      <c r="O9" s="67">
        <v>7000</v>
      </c>
      <c r="P9" s="68">
        <f>Table2245789101123456789101213[[#This Row],[PEMBULATAN]]*O9</f>
        <v>91000</v>
      </c>
    </row>
    <row r="10" spans="1:16" ht="26.25" customHeight="1" x14ac:dyDescent="0.2">
      <c r="A10" s="14"/>
      <c r="B10" s="14"/>
      <c r="C10" s="76" t="s">
        <v>213</v>
      </c>
      <c r="D10" s="81" t="s">
        <v>49</v>
      </c>
      <c r="E10" s="13">
        <v>44431</v>
      </c>
      <c r="F10" s="79" t="s">
        <v>214</v>
      </c>
      <c r="G10" s="13">
        <v>44435</v>
      </c>
      <c r="H10" s="80" t="s">
        <v>215</v>
      </c>
      <c r="I10" s="17">
        <v>84</v>
      </c>
      <c r="J10" s="17">
        <v>60</v>
      </c>
      <c r="K10" s="17">
        <v>30</v>
      </c>
      <c r="L10" s="17">
        <v>25</v>
      </c>
      <c r="M10" s="84">
        <v>37.799999999999997</v>
      </c>
      <c r="N10" s="75">
        <v>38</v>
      </c>
      <c r="O10" s="67">
        <v>7000</v>
      </c>
      <c r="P10" s="68">
        <f>Table2245789101123456789101213[[#This Row],[PEMBULATAN]]*O10</f>
        <v>266000</v>
      </c>
    </row>
    <row r="11" spans="1:16" ht="22.5" customHeight="1" x14ac:dyDescent="0.2">
      <c r="A11" s="122" t="s">
        <v>30</v>
      </c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4"/>
      <c r="M11" s="82">
        <f>SUBTOTAL(109,Table2245789101123456789101213[KG VOLUME])</f>
        <v>159.69374999999999</v>
      </c>
      <c r="N11" s="71">
        <f>SUM(N3:N10)</f>
        <v>178</v>
      </c>
      <c r="O11" s="125">
        <f>SUM(P3:P10)</f>
        <v>1246000</v>
      </c>
      <c r="P11" s="126"/>
    </row>
    <row r="12" spans="1:16" ht="18" customHeight="1" x14ac:dyDescent="0.2">
      <c r="A12" s="94"/>
      <c r="B12" s="59" t="s">
        <v>42</v>
      </c>
      <c r="C12" s="58"/>
      <c r="D12" s="60" t="s">
        <v>43</v>
      </c>
      <c r="E12" s="94"/>
      <c r="F12" s="94"/>
      <c r="G12" s="94"/>
      <c r="H12" s="94"/>
      <c r="I12" s="94"/>
      <c r="J12" s="94"/>
      <c r="K12" s="94"/>
      <c r="L12" s="94"/>
      <c r="M12" s="95"/>
      <c r="N12" s="96" t="s">
        <v>649</v>
      </c>
      <c r="O12" s="97"/>
      <c r="P12" s="97">
        <v>0</v>
      </c>
    </row>
    <row r="13" spans="1:16" ht="18" customHeight="1" thickBot="1" x14ac:dyDescent="0.25">
      <c r="A13" s="94"/>
      <c r="B13" s="59"/>
      <c r="C13" s="58"/>
      <c r="D13" s="60"/>
      <c r="E13" s="94"/>
      <c r="F13" s="94"/>
      <c r="G13" s="94"/>
      <c r="H13" s="94"/>
      <c r="I13" s="94"/>
      <c r="J13" s="94"/>
      <c r="K13" s="94"/>
      <c r="L13" s="94"/>
      <c r="M13" s="95"/>
      <c r="N13" s="98" t="s">
        <v>650</v>
      </c>
      <c r="O13" s="99"/>
      <c r="P13" s="99">
        <f>O11-P12</f>
        <v>1246000</v>
      </c>
    </row>
    <row r="14" spans="1:16" ht="18" customHeight="1" x14ac:dyDescent="0.2">
      <c r="A14" s="11"/>
      <c r="H14" s="66"/>
      <c r="N14" s="65" t="s">
        <v>31</v>
      </c>
      <c r="P14" s="72">
        <f>P13*1%</f>
        <v>12460</v>
      </c>
    </row>
    <row r="15" spans="1:16" ht="18" customHeight="1" thickBot="1" x14ac:dyDescent="0.25">
      <c r="A15" s="11"/>
      <c r="H15" s="66"/>
      <c r="N15" s="65" t="s">
        <v>651</v>
      </c>
      <c r="P15" s="74">
        <f>P13*2%</f>
        <v>24920</v>
      </c>
    </row>
    <row r="16" spans="1:16" ht="18" customHeight="1" x14ac:dyDescent="0.2">
      <c r="A16" s="11"/>
      <c r="H16" s="66"/>
      <c r="N16" s="69" t="s">
        <v>32</v>
      </c>
      <c r="O16" s="70"/>
      <c r="P16" s="73">
        <f>P13+P14-P15</f>
        <v>1233540</v>
      </c>
    </row>
    <row r="18" spans="1:16" x14ac:dyDescent="0.2">
      <c r="A18" s="11"/>
      <c r="H18" s="66"/>
      <c r="P18" s="74"/>
    </row>
    <row r="19" spans="1:16" x14ac:dyDescent="0.2">
      <c r="A19" s="11"/>
      <c r="H19" s="66"/>
      <c r="O19" s="61"/>
      <c r="P19" s="74"/>
    </row>
    <row r="20" spans="1:16" s="3" customFormat="1" x14ac:dyDescent="0.25">
      <c r="A20" s="11"/>
      <c r="B20" s="2"/>
      <c r="C20" s="2"/>
      <c r="E20" s="12"/>
      <c r="H20" s="66"/>
      <c r="N20" s="16"/>
      <c r="O20" s="16"/>
      <c r="P20" s="16"/>
    </row>
    <row r="21" spans="1:16" s="3" customFormat="1" x14ac:dyDescent="0.25">
      <c r="A21" s="11"/>
      <c r="B21" s="2"/>
      <c r="C21" s="2"/>
      <c r="E21" s="12"/>
      <c r="H21" s="66"/>
      <c r="N21" s="16"/>
      <c r="O21" s="16"/>
      <c r="P21" s="16"/>
    </row>
    <row r="22" spans="1:16" s="3" customFormat="1" x14ac:dyDescent="0.25">
      <c r="A22" s="11"/>
      <c r="B22" s="2"/>
      <c r="C22" s="2"/>
      <c r="E22" s="12"/>
      <c r="H22" s="66"/>
      <c r="N22" s="16"/>
      <c r="O22" s="16"/>
      <c r="P22" s="16"/>
    </row>
    <row r="23" spans="1:16" s="3" customFormat="1" x14ac:dyDescent="0.25">
      <c r="A23" s="11"/>
      <c r="B23" s="2"/>
      <c r="C23" s="2"/>
      <c r="E23" s="12"/>
      <c r="H23" s="66"/>
      <c r="N23" s="16"/>
      <c r="O23" s="16"/>
      <c r="P23" s="16"/>
    </row>
    <row r="24" spans="1:16" s="3" customFormat="1" x14ac:dyDescent="0.25">
      <c r="A24" s="11"/>
      <c r="B24" s="2"/>
      <c r="C24" s="2"/>
      <c r="E24" s="12"/>
      <c r="H24" s="66"/>
      <c r="N24" s="16"/>
      <c r="O24" s="16"/>
      <c r="P24" s="16"/>
    </row>
    <row r="25" spans="1:16" s="3" customFormat="1" x14ac:dyDescent="0.25">
      <c r="A25" s="11"/>
      <c r="B25" s="2"/>
      <c r="C25" s="2"/>
      <c r="E25" s="12"/>
      <c r="H25" s="66"/>
      <c r="N25" s="16"/>
      <c r="O25" s="16"/>
      <c r="P25" s="16"/>
    </row>
    <row r="26" spans="1:16" s="3" customFormat="1" x14ac:dyDescent="0.25">
      <c r="A26" s="11"/>
      <c r="B26" s="2"/>
      <c r="C26" s="2"/>
      <c r="E26" s="12"/>
      <c r="H26" s="66"/>
      <c r="N26" s="16"/>
      <c r="O26" s="16"/>
      <c r="P26" s="16"/>
    </row>
    <row r="27" spans="1:16" s="3" customFormat="1" x14ac:dyDescent="0.25">
      <c r="A27" s="11"/>
      <c r="B27" s="2"/>
      <c r="C27" s="2"/>
      <c r="E27" s="12"/>
      <c r="H27" s="66"/>
      <c r="N27" s="16"/>
      <c r="O27" s="16"/>
      <c r="P27" s="16"/>
    </row>
    <row r="28" spans="1:16" s="3" customFormat="1" x14ac:dyDescent="0.25">
      <c r="A28" s="11"/>
      <c r="B28" s="2"/>
      <c r="C28" s="2"/>
      <c r="E28" s="12"/>
      <c r="H28" s="66"/>
      <c r="N28" s="16"/>
      <c r="O28" s="16"/>
      <c r="P28" s="16"/>
    </row>
    <row r="29" spans="1:16" s="3" customFormat="1" x14ac:dyDescent="0.25">
      <c r="A29" s="11"/>
      <c r="B29" s="2"/>
      <c r="C29" s="2"/>
      <c r="E29" s="12"/>
      <c r="H29" s="66"/>
      <c r="N29" s="16"/>
      <c r="O29" s="16"/>
      <c r="P29" s="16"/>
    </row>
    <row r="30" spans="1:16" s="3" customFormat="1" x14ac:dyDescent="0.25">
      <c r="A30" s="11"/>
      <c r="B30" s="2"/>
      <c r="C30" s="2"/>
      <c r="E30" s="12"/>
      <c r="H30" s="66"/>
      <c r="N30" s="16"/>
      <c r="O30" s="16"/>
      <c r="P30" s="16"/>
    </row>
    <row r="31" spans="1:16" s="3" customFormat="1" x14ac:dyDescent="0.25">
      <c r="A31" s="11"/>
      <c r="B31" s="2"/>
      <c r="C31" s="2"/>
      <c r="E31" s="12"/>
      <c r="H31" s="66"/>
      <c r="N31" s="16"/>
      <c r="O31" s="16"/>
      <c r="P31" s="16"/>
    </row>
  </sheetData>
  <mergeCells count="3">
    <mergeCell ref="A3:A4"/>
    <mergeCell ref="A11:L11"/>
    <mergeCell ref="O11:P11"/>
  </mergeCells>
  <conditionalFormatting sqref="B3">
    <cfRule type="duplicateValues" dxfId="251" priority="2"/>
  </conditionalFormatting>
  <conditionalFormatting sqref="B4">
    <cfRule type="duplicateValues" dxfId="250" priority="1"/>
  </conditionalFormatting>
  <conditionalFormatting sqref="B5:B10">
    <cfRule type="duplicateValues" dxfId="249" priority="1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6"/>
  <sheetViews>
    <sheetView zoomScale="110" zoomScaleNormal="110" workbookViewId="0">
      <pane xSplit="3" ySplit="2" topLeftCell="D39" activePane="bottomRight" state="frozen"/>
      <selection pane="topRight" activeCell="B1" sqref="B1"/>
      <selection pane="bottomLeft" activeCell="A3" sqref="A3"/>
      <selection pane="bottomRight" activeCell="B3" sqref="A3:XFD3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9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30" customHeight="1" x14ac:dyDescent="0.2">
      <c r="A3" s="120" t="s">
        <v>578</v>
      </c>
      <c r="B3" s="77" t="s">
        <v>216</v>
      </c>
      <c r="C3" s="9" t="s">
        <v>217</v>
      </c>
      <c r="D3" s="79" t="s">
        <v>49</v>
      </c>
      <c r="E3" s="13">
        <v>44432</v>
      </c>
      <c r="F3" s="79" t="s">
        <v>253</v>
      </c>
      <c r="G3" s="13">
        <v>44435</v>
      </c>
      <c r="H3" s="10" t="s">
        <v>172</v>
      </c>
      <c r="I3" s="1">
        <v>21</v>
      </c>
      <c r="J3" s="1">
        <v>73</v>
      </c>
      <c r="K3" s="1">
        <v>54</v>
      </c>
      <c r="L3" s="1">
        <v>22</v>
      </c>
      <c r="M3" s="83">
        <v>20.695499999999999</v>
      </c>
      <c r="N3" s="8">
        <v>22</v>
      </c>
      <c r="O3" s="67">
        <v>7000</v>
      </c>
      <c r="P3" s="68">
        <f>Table224578910112345678910121314[[#This Row],[PEMBULATAN]]*O3</f>
        <v>154000</v>
      </c>
    </row>
    <row r="4" spans="1:16" ht="30" customHeight="1" x14ac:dyDescent="0.2">
      <c r="A4" s="121"/>
      <c r="B4" s="85"/>
      <c r="C4" s="9" t="s">
        <v>218</v>
      </c>
      <c r="D4" s="79" t="s">
        <v>49</v>
      </c>
      <c r="E4" s="13">
        <v>44432</v>
      </c>
      <c r="F4" s="79" t="s">
        <v>253</v>
      </c>
      <c r="G4" s="13">
        <v>44435</v>
      </c>
      <c r="H4" s="10" t="s">
        <v>172</v>
      </c>
      <c r="I4" s="1">
        <v>9</v>
      </c>
      <c r="J4" s="1">
        <v>81</v>
      </c>
      <c r="K4" s="1">
        <v>57</v>
      </c>
      <c r="L4" s="1">
        <v>25</v>
      </c>
      <c r="M4" s="83">
        <v>10.388249999999999</v>
      </c>
      <c r="N4" s="8">
        <v>25</v>
      </c>
      <c r="O4" s="67">
        <v>7000</v>
      </c>
      <c r="P4" s="68">
        <f>Table224578910112345678910121314[[#This Row],[PEMBULATAN]]*O4</f>
        <v>175000</v>
      </c>
    </row>
    <row r="5" spans="1:16" ht="30" customHeight="1" x14ac:dyDescent="0.2">
      <c r="A5" s="14"/>
      <c r="B5" s="14" t="s">
        <v>219</v>
      </c>
      <c r="C5" s="9" t="s">
        <v>220</v>
      </c>
      <c r="D5" s="79" t="s">
        <v>49</v>
      </c>
      <c r="E5" s="13">
        <v>44432</v>
      </c>
      <c r="F5" s="79" t="s">
        <v>253</v>
      </c>
      <c r="G5" s="13">
        <v>44435</v>
      </c>
      <c r="H5" s="10" t="s">
        <v>172</v>
      </c>
      <c r="I5" s="1">
        <v>19</v>
      </c>
      <c r="J5" s="1">
        <v>87</v>
      </c>
      <c r="K5" s="1">
        <v>43</v>
      </c>
      <c r="L5" s="1">
        <v>36</v>
      </c>
      <c r="M5" s="83">
        <v>17.769749999999998</v>
      </c>
      <c r="N5" s="8">
        <v>36</v>
      </c>
      <c r="O5" s="67">
        <v>7000</v>
      </c>
      <c r="P5" s="68">
        <f>Table224578910112345678910121314[[#This Row],[PEMBULATAN]]*O5</f>
        <v>252000</v>
      </c>
    </row>
    <row r="6" spans="1:16" ht="30" customHeight="1" x14ac:dyDescent="0.2">
      <c r="A6" s="14"/>
      <c r="B6" s="14"/>
      <c r="C6" s="76" t="s">
        <v>221</v>
      </c>
      <c r="D6" s="81" t="s">
        <v>49</v>
      </c>
      <c r="E6" s="13">
        <v>44432</v>
      </c>
      <c r="F6" s="79" t="s">
        <v>253</v>
      </c>
      <c r="G6" s="13">
        <v>44435</v>
      </c>
      <c r="H6" s="80" t="s">
        <v>172</v>
      </c>
      <c r="I6" s="17">
        <v>7</v>
      </c>
      <c r="J6" s="17">
        <v>30</v>
      </c>
      <c r="K6" s="17">
        <v>23</v>
      </c>
      <c r="L6" s="17">
        <v>16</v>
      </c>
      <c r="M6" s="84">
        <v>1.2075</v>
      </c>
      <c r="N6" s="75">
        <v>16</v>
      </c>
      <c r="O6" s="67">
        <v>7000</v>
      </c>
      <c r="P6" s="68">
        <f>Table224578910112345678910121314[[#This Row],[PEMBULATAN]]*O6</f>
        <v>112000</v>
      </c>
    </row>
    <row r="7" spans="1:16" ht="30" customHeight="1" x14ac:dyDescent="0.2">
      <c r="A7" s="14"/>
      <c r="B7" s="14"/>
      <c r="C7" s="76" t="s">
        <v>222</v>
      </c>
      <c r="D7" s="81" t="s">
        <v>49</v>
      </c>
      <c r="E7" s="13">
        <v>44432</v>
      </c>
      <c r="F7" s="79" t="s">
        <v>253</v>
      </c>
      <c r="G7" s="13">
        <v>44435</v>
      </c>
      <c r="H7" s="80" t="s">
        <v>172</v>
      </c>
      <c r="I7" s="17">
        <v>18</v>
      </c>
      <c r="J7" s="17">
        <v>76</v>
      </c>
      <c r="K7" s="17">
        <v>21</v>
      </c>
      <c r="L7" s="17">
        <v>21</v>
      </c>
      <c r="M7" s="84">
        <v>7.1820000000000004</v>
      </c>
      <c r="N7" s="75">
        <v>21</v>
      </c>
      <c r="O7" s="67">
        <v>7000</v>
      </c>
      <c r="P7" s="68">
        <f>Table224578910112345678910121314[[#This Row],[PEMBULATAN]]*O7</f>
        <v>147000</v>
      </c>
    </row>
    <row r="8" spans="1:16" ht="30" customHeight="1" x14ac:dyDescent="0.2">
      <c r="A8" s="14"/>
      <c r="B8" s="14"/>
      <c r="C8" s="76" t="s">
        <v>223</v>
      </c>
      <c r="D8" s="81" t="s">
        <v>49</v>
      </c>
      <c r="E8" s="13">
        <v>44432</v>
      </c>
      <c r="F8" s="79" t="s">
        <v>253</v>
      </c>
      <c r="G8" s="13">
        <v>44435</v>
      </c>
      <c r="H8" s="80" t="s">
        <v>172</v>
      </c>
      <c r="I8" s="17">
        <v>4</v>
      </c>
      <c r="J8" s="17">
        <v>63</v>
      </c>
      <c r="K8" s="17">
        <v>37</v>
      </c>
      <c r="L8" s="17">
        <v>24</v>
      </c>
      <c r="M8" s="84">
        <v>2.331</v>
      </c>
      <c r="N8" s="75">
        <v>24</v>
      </c>
      <c r="O8" s="67">
        <v>7000</v>
      </c>
      <c r="P8" s="68">
        <f>Table224578910112345678910121314[[#This Row],[PEMBULATAN]]*O8</f>
        <v>168000</v>
      </c>
    </row>
    <row r="9" spans="1:16" ht="30" customHeight="1" x14ac:dyDescent="0.2">
      <c r="A9" s="14"/>
      <c r="B9" s="14"/>
      <c r="C9" s="76" t="s">
        <v>224</v>
      </c>
      <c r="D9" s="81" t="s">
        <v>49</v>
      </c>
      <c r="E9" s="13">
        <v>44432</v>
      </c>
      <c r="F9" s="79" t="s">
        <v>253</v>
      </c>
      <c r="G9" s="13">
        <v>44435</v>
      </c>
      <c r="H9" s="80" t="s">
        <v>172</v>
      </c>
      <c r="I9" s="17">
        <v>15</v>
      </c>
      <c r="J9" s="17">
        <v>92</v>
      </c>
      <c r="K9" s="17">
        <v>64</v>
      </c>
      <c r="L9" s="17">
        <v>27</v>
      </c>
      <c r="M9" s="84">
        <v>22.08</v>
      </c>
      <c r="N9" s="75">
        <v>27</v>
      </c>
      <c r="O9" s="67">
        <v>7000</v>
      </c>
      <c r="P9" s="68">
        <f>Table224578910112345678910121314[[#This Row],[PEMBULATAN]]*O9</f>
        <v>189000</v>
      </c>
    </row>
    <row r="10" spans="1:16" ht="30" customHeight="1" x14ac:dyDescent="0.2">
      <c r="A10" s="14"/>
      <c r="B10" s="14"/>
      <c r="C10" s="76" t="s">
        <v>225</v>
      </c>
      <c r="D10" s="81" t="s">
        <v>49</v>
      </c>
      <c r="E10" s="13">
        <v>44432</v>
      </c>
      <c r="F10" s="79" t="s">
        <v>253</v>
      </c>
      <c r="G10" s="13">
        <v>44435</v>
      </c>
      <c r="H10" s="80" t="s">
        <v>172</v>
      </c>
      <c r="I10" s="17">
        <v>44</v>
      </c>
      <c r="J10" s="17">
        <v>43</v>
      </c>
      <c r="K10" s="17">
        <v>15</v>
      </c>
      <c r="L10" s="17">
        <v>14</v>
      </c>
      <c r="M10" s="84">
        <v>7.0949999999999998</v>
      </c>
      <c r="N10" s="75">
        <v>14</v>
      </c>
      <c r="O10" s="67">
        <v>7000</v>
      </c>
      <c r="P10" s="68">
        <f>Table224578910112345678910121314[[#This Row],[PEMBULATAN]]*O10</f>
        <v>98000</v>
      </c>
    </row>
    <row r="11" spans="1:16" ht="30" customHeight="1" x14ac:dyDescent="0.2">
      <c r="A11" s="14"/>
      <c r="B11" s="15"/>
      <c r="C11" s="76" t="s">
        <v>226</v>
      </c>
      <c r="D11" s="81" t="s">
        <v>49</v>
      </c>
      <c r="E11" s="13">
        <v>44432</v>
      </c>
      <c r="F11" s="79" t="s">
        <v>253</v>
      </c>
      <c r="G11" s="13">
        <v>44435</v>
      </c>
      <c r="H11" s="80" t="s">
        <v>172</v>
      </c>
      <c r="I11" s="17">
        <v>37</v>
      </c>
      <c r="J11" s="17">
        <v>37</v>
      </c>
      <c r="K11" s="17">
        <v>30</v>
      </c>
      <c r="L11" s="17">
        <v>5</v>
      </c>
      <c r="M11" s="84">
        <v>10.2675</v>
      </c>
      <c r="N11" s="75">
        <v>10</v>
      </c>
      <c r="O11" s="67">
        <v>7000</v>
      </c>
      <c r="P11" s="68">
        <f>Table224578910112345678910121314[[#This Row],[PEMBULATAN]]*O11</f>
        <v>70000</v>
      </c>
    </row>
    <row r="12" spans="1:16" ht="30" customHeight="1" x14ac:dyDescent="0.2">
      <c r="A12" s="14"/>
      <c r="B12" s="14" t="s">
        <v>227</v>
      </c>
      <c r="C12" s="76" t="s">
        <v>228</v>
      </c>
      <c r="D12" s="81" t="s">
        <v>49</v>
      </c>
      <c r="E12" s="13">
        <v>44432</v>
      </c>
      <c r="F12" s="79" t="s">
        <v>253</v>
      </c>
      <c r="G12" s="13">
        <v>44435</v>
      </c>
      <c r="H12" s="80" t="s">
        <v>172</v>
      </c>
      <c r="I12" s="17">
        <v>67</v>
      </c>
      <c r="J12" s="17">
        <v>57</v>
      </c>
      <c r="K12" s="17">
        <v>59</v>
      </c>
      <c r="L12" s="17">
        <v>10</v>
      </c>
      <c r="M12" s="84">
        <v>56.330249999999999</v>
      </c>
      <c r="N12" s="75">
        <v>56</v>
      </c>
      <c r="O12" s="67">
        <v>7000</v>
      </c>
      <c r="P12" s="68">
        <f>Table224578910112345678910121314[[#This Row],[PEMBULATAN]]*O12</f>
        <v>392000</v>
      </c>
    </row>
    <row r="13" spans="1:16" ht="30" customHeight="1" x14ac:dyDescent="0.2">
      <c r="A13" s="14"/>
      <c r="B13" s="14"/>
      <c r="C13" s="76" t="s">
        <v>229</v>
      </c>
      <c r="D13" s="81" t="s">
        <v>49</v>
      </c>
      <c r="E13" s="13">
        <v>44432</v>
      </c>
      <c r="F13" s="79" t="s">
        <v>253</v>
      </c>
      <c r="G13" s="13">
        <v>44435</v>
      </c>
      <c r="H13" s="80" t="s">
        <v>172</v>
      </c>
      <c r="I13" s="17">
        <v>39</v>
      </c>
      <c r="J13" s="17">
        <v>37</v>
      </c>
      <c r="K13" s="17">
        <v>29</v>
      </c>
      <c r="L13" s="17">
        <v>6</v>
      </c>
      <c r="M13" s="84">
        <v>10.46175</v>
      </c>
      <c r="N13" s="75">
        <v>10</v>
      </c>
      <c r="O13" s="67">
        <v>7000</v>
      </c>
      <c r="P13" s="68">
        <f>Table224578910112345678910121314[[#This Row],[PEMBULATAN]]*O13</f>
        <v>70000</v>
      </c>
    </row>
    <row r="14" spans="1:16" ht="30" customHeight="1" x14ac:dyDescent="0.2">
      <c r="A14" s="14"/>
      <c r="B14" s="14"/>
      <c r="C14" s="76" t="s">
        <v>230</v>
      </c>
      <c r="D14" s="81" t="s">
        <v>49</v>
      </c>
      <c r="E14" s="13">
        <v>44432</v>
      </c>
      <c r="F14" s="79" t="s">
        <v>253</v>
      </c>
      <c r="G14" s="13">
        <v>44435</v>
      </c>
      <c r="H14" s="80" t="s">
        <v>172</v>
      </c>
      <c r="I14" s="17">
        <v>70</v>
      </c>
      <c r="J14" s="17">
        <v>33</v>
      </c>
      <c r="K14" s="17">
        <v>32</v>
      </c>
      <c r="L14" s="17">
        <v>6</v>
      </c>
      <c r="M14" s="84">
        <v>18.48</v>
      </c>
      <c r="N14" s="75">
        <v>18</v>
      </c>
      <c r="O14" s="67">
        <v>7000</v>
      </c>
      <c r="P14" s="68">
        <f>Table224578910112345678910121314[[#This Row],[PEMBULATAN]]*O14</f>
        <v>126000</v>
      </c>
    </row>
    <row r="15" spans="1:16" ht="30" customHeight="1" x14ac:dyDescent="0.2">
      <c r="A15" s="14"/>
      <c r="B15" s="14"/>
      <c r="C15" s="76" t="s">
        <v>231</v>
      </c>
      <c r="D15" s="81" t="s">
        <v>49</v>
      </c>
      <c r="E15" s="13">
        <v>44432</v>
      </c>
      <c r="F15" s="79" t="s">
        <v>253</v>
      </c>
      <c r="G15" s="13">
        <v>44435</v>
      </c>
      <c r="H15" s="80" t="s">
        <v>172</v>
      </c>
      <c r="I15" s="17">
        <v>74</v>
      </c>
      <c r="J15" s="17">
        <v>50</v>
      </c>
      <c r="K15" s="17">
        <v>24</v>
      </c>
      <c r="L15" s="17">
        <v>15</v>
      </c>
      <c r="M15" s="84">
        <v>22.2</v>
      </c>
      <c r="N15" s="75">
        <v>22</v>
      </c>
      <c r="O15" s="67">
        <v>7000</v>
      </c>
      <c r="P15" s="68">
        <f>Table224578910112345678910121314[[#This Row],[PEMBULATAN]]*O15</f>
        <v>154000</v>
      </c>
    </row>
    <row r="16" spans="1:16" ht="30" customHeight="1" x14ac:dyDescent="0.2">
      <c r="A16" s="14"/>
      <c r="B16" s="14"/>
      <c r="C16" s="76" t="s">
        <v>232</v>
      </c>
      <c r="D16" s="81" t="s">
        <v>49</v>
      </c>
      <c r="E16" s="13">
        <v>44432</v>
      </c>
      <c r="F16" s="79" t="s">
        <v>253</v>
      </c>
      <c r="G16" s="13">
        <v>44435</v>
      </c>
      <c r="H16" s="80" t="s">
        <v>172</v>
      </c>
      <c r="I16" s="17">
        <v>72</v>
      </c>
      <c r="J16" s="17">
        <v>62</v>
      </c>
      <c r="K16" s="17">
        <v>29</v>
      </c>
      <c r="L16" s="17">
        <v>8</v>
      </c>
      <c r="M16" s="84">
        <v>32.363999999999997</v>
      </c>
      <c r="N16" s="75">
        <v>32</v>
      </c>
      <c r="O16" s="67">
        <v>7000</v>
      </c>
      <c r="P16" s="68">
        <f>Table224578910112345678910121314[[#This Row],[PEMBULATAN]]*O16</f>
        <v>224000</v>
      </c>
    </row>
    <row r="17" spans="1:16" ht="30" customHeight="1" x14ac:dyDescent="0.2">
      <c r="A17" s="14"/>
      <c r="B17" s="14"/>
      <c r="C17" s="76" t="s">
        <v>233</v>
      </c>
      <c r="D17" s="81" t="s">
        <v>49</v>
      </c>
      <c r="E17" s="13">
        <v>44432</v>
      </c>
      <c r="F17" s="79" t="s">
        <v>253</v>
      </c>
      <c r="G17" s="13">
        <v>44435</v>
      </c>
      <c r="H17" s="80" t="s">
        <v>172</v>
      </c>
      <c r="I17" s="17">
        <v>72</v>
      </c>
      <c r="J17" s="17">
        <v>42</v>
      </c>
      <c r="K17" s="17">
        <v>37</v>
      </c>
      <c r="L17" s="17">
        <v>20</v>
      </c>
      <c r="M17" s="84">
        <v>27.972000000000001</v>
      </c>
      <c r="N17" s="75">
        <v>28</v>
      </c>
      <c r="O17" s="67">
        <v>7000</v>
      </c>
      <c r="P17" s="68">
        <f>Table224578910112345678910121314[[#This Row],[PEMBULATAN]]*O17</f>
        <v>196000</v>
      </c>
    </row>
    <row r="18" spans="1:16" ht="30" customHeight="1" x14ac:dyDescent="0.2">
      <c r="A18" s="14"/>
      <c r="B18" s="14"/>
      <c r="C18" s="76" t="s">
        <v>234</v>
      </c>
      <c r="D18" s="81" t="s">
        <v>49</v>
      </c>
      <c r="E18" s="13">
        <v>44432</v>
      </c>
      <c r="F18" s="79" t="s">
        <v>253</v>
      </c>
      <c r="G18" s="13">
        <v>44435</v>
      </c>
      <c r="H18" s="80" t="s">
        <v>172</v>
      </c>
      <c r="I18" s="17">
        <v>54</v>
      </c>
      <c r="J18" s="17">
        <v>57</v>
      </c>
      <c r="K18" s="17">
        <v>32</v>
      </c>
      <c r="L18" s="17">
        <v>15</v>
      </c>
      <c r="M18" s="84">
        <v>24.623999999999999</v>
      </c>
      <c r="N18" s="75">
        <v>25</v>
      </c>
      <c r="O18" s="67">
        <v>7000</v>
      </c>
      <c r="P18" s="68">
        <f>Table224578910112345678910121314[[#This Row],[PEMBULATAN]]*O18</f>
        <v>175000</v>
      </c>
    </row>
    <row r="19" spans="1:16" ht="30" customHeight="1" x14ac:dyDescent="0.2">
      <c r="A19" s="14"/>
      <c r="B19" s="14"/>
      <c r="C19" s="76" t="s">
        <v>235</v>
      </c>
      <c r="D19" s="81" t="s">
        <v>49</v>
      </c>
      <c r="E19" s="13">
        <v>44432</v>
      </c>
      <c r="F19" s="79" t="s">
        <v>253</v>
      </c>
      <c r="G19" s="13">
        <v>44435</v>
      </c>
      <c r="H19" s="80" t="s">
        <v>172</v>
      </c>
      <c r="I19" s="17">
        <v>56</v>
      </c>
      <c r="J19" s="17">
        <v>47</v>
      </c>
      <c r="K19" s="17">
        <v>21</v>
      </c>
      <c r="L19" s="17">
        <v>13</v>
      </c>
      <c r="M19" s="84">
        <v>13.818</v>
      </c>
      <c r="N19" s="75">
        <v>14</v>
      </c>
      <c r="O19" s="67">
        <v>7000</v>
      </c>
      <c r="P19" s="68">
        <f>Table224578910112345678910121314[[#This Row],[PEMBULATAN]]*O19</f>
        <v>98000</v>
      </c>
    </row>
    <row r="20" spans="1:16" ht="30" customHeight="1" x14ac:dyDescent="0.2">
      <c r="A20" s="14"/>
      <c r="B20" s="14"/>
      <c r="C20" s="76" t="s">
        <v>236</v>
      </c>
      <c r="D20" s="81" t="s">
        <v>49</v>
      </c>
      <c r="E20" s="13">
        <v>44432</v>
      </c>
      <c r="F20" s="79" t="s">
        <v>253</v>
      </c>
      <c r="G20" s="13">
        <v>44435</v>
      </c>
      <c r="H20" s="80" t="s">
        <v>172</v>
      </c>
      <c r="I20" s="17">
        <v>56</v>
      </c>
      <c r="J20" s="17">
        <v>39</v>
      </c>
      <c r="K20" s="17">
        <v>39</v>
      </c>
      <c r="L20" s="17">
        <v>10</v>
      </c>
      <c r="M20" s="84">
        <v>21.294</v>
      </c>
      <c r="N20" s="75">
        <v>21</v>
      </c>
      <c r="O20" s="67">
        <v>7000</v>
      </c>
      <c r="P20" s="68">
        <f>Table224578910112345678910121314[[#This Row],[PEMBULATAN]]*O20</f>
        <v>147000</v>
      </c>
    </row>
    <row r="21" spans="1:16" ht="30" customHeight="1" x14ac:dyDescent="0.2">
      <c r="A21" s="14"/>
      <c r="B21" s="15"/>
      <c r="C21" s="76" t="s">
        <v>237</v>
      </c>
      <c r="D21" s="81" t="s">
        <v>49</v>
      </c>
      <c r="E21" s="13">
        <v>44432</v>
      </c>
      <c r="F21" s="79" t="s">
        <v>253</v>
      </c>
      <c r="G21" s="13">
        <v>44435</v>
      </c>
      <c r="H21" s="80" t="s">
        <v>172</v>
      </c>
      <c r="I21" s="17">
        <v>42</v>
      </c>
      <c r="J21" s="17">
        <v>28</v>
      </c>
      <c r="K21" s="17">
        <v>28</v>
      </c>
      <c r="L21" s="17">
        <v>6</v>
      </c>
      <c r="M21" s="84">
        <v>8.2319999999999993</v>
      </c>
      <c r="N21" s="75">
        <v>8</v>
      </c>
      <c r="O21" s="67">
        <v>7000</v>
      </c>
      <c r="P21" s="68">
        <f>Table224578910112345678910121314[[#This Row],[PEMBULATAN]]*O21</f>
        <v>56000</v>
      </c>
    </row>
    <row r="22" spans="1:16" ht="30" customHeight="1" x14ac:dyDescent="0.2">
      <c r="A22" s="14"/>
      <c r="B22" s="14" t="s">
        <v>238</v>
      </c>
      <c r="C22" s="76" t="s">
        <v>239</v>
      </c>
      <c r="D22" s="81" t="s">
        <v>49</v>
      </c>
      <c r="E22" s="13">
        <v>44432</v>
      </c>
      <c r="F22" s="79" t="s">
        <v>253</v>
      </c>
      <c r="G22" s="13">
        <v>44435</v>
      </c>
      <c r="H22" s="80" t="s">
        <v>172</v>
      </c>
      <c r="I22" s="17">
        <v>33</v>
      </c>
      <c r="J22" s="17">
        <v>10</v>
      </c>
      <c r="K22" s="17">
        <v>5</v>
      </c>
      <c r="L22" s="17">
        <v>1</v>
      </c>
      <c r="M22" s="84">
        <v>0.41249999999999998</v>
      </c>
      <c r="N22" s="75">
        <v>1</v>
      </c>
      <c r="O22" s="67">
        <v>7000</v>
      </c>
      <c r="P22" s="68">
        <f>Table224578910112345678910121314[[#This Row],[PEMBULATAN]]*O22</f>
        <v>7000</v>
      </c>
    </row>
    <row r="23" spans="1:16" ht="30" customHeight="1" x14ac:dyDescent="0.2">
      <c r="A23" s="14"/>
      <c r="B23" s="14"/>
      <c r="C23" s="76" t="s">
        <v>240</v>
      </c>
      <c r="D23" s="81" t="s">
        <v>49</v>
      </c>
      <c r="E23" s="13">
        <v>44432</v>
      </c>
      <c r="F23" s="79" t="s">
        <v>253</v>
      </c>
      <c r="G23" s="13">
        <v>44435</v>
      </c>
      <c r="H23" s="80" t="s">
        <v>172</v>
      </c>
      <c r="I23" s="17">
        <v>33</v>
      </c>
      <c r="J23" s="17">
        <v>23</v>
      </c>
      <c r="K23" s="17">
        <v>18</v>
      </c>
      <c r="L23" s="17">
        <v>8</v>
      </c>
      <c r="M23" s="84">
        <v>3.4155000000000002</v>
      </c>
      <c r="N23" s="75">
        <v>8</v>
      </c>
      <c r="O23" s="67">
        <v>7000</v>
      </c>
      <c r="P23" s="68">
        <f>Table224578910112345678910121314[[#This Row],[PEMBULATAN]]*O23</f>
        <v>56000</v>
      </c>
    </row>
    <row r="24" spans="1:16" ht="30" customHeight="1" x14ac:dyDescent="0.2">
      <c r="A24" s="14"/>
      <c r="B24" s="14"/>
      <c r="C24" s="76" t="s">
        <v>241</v>
      </c>
      <c r="D24" s="81" t="s">
        <v>49</v>
      </c>
      <c r="E24" s="13">
        <v>44432</v>
      </c>
      <c r="F24" s="79" t="s">
        <v>253</v>
      </c>
      <c r="G24" s="13">
        <v>44435</v>
      </c>
      <c r="H24" s="80" t="s">
        <v>172</v>
      </c>
      <c r="I24" s="17">
        <v>33</v>
      </c>
      <c r="J24" s="17">
        <v>23</v>
      </c>
      <c r="K24" s="17">
        <v>18</v>
      </c>
      <c r="L24" s="17">
        <v>8</v>
      </c>
      <c r="M24" s="84">
        <v>3.4155000000000002</v>
      </c>
      <c r="N24" s="75">
        <v>8</v>
      </c>
      <c r="O24" s="67">
        <v>7000</v>
      </c>
      <c r="P24" s="68">
        <f>Table224578910112345678910121314[[#This Row],[PEMBULATAN]]*O24</f>
        <v>56000</v>
      </c>
    </row>
    <row r="25" spans="1:16" ht="30" customHeight="1" x14ac:dyDescent="0.2">
      <c r="A25" s="14"/>
      <c r="B25" s="14"/>
      <c r="C25" s="76" t="s">
        <v>242</v>
      </c>
      <c r="D25" s="81" t="s">
        <v>49</v>
      </c>
      <c r="E25" s="13">
        <v>44432</v>
      </c>
      <c r="F25" s="79" t="s">
        <v>253</v>
      </c>
      <c r="G25" s="13">
        <v>44435</v>
      </c>
      <c r="H25" s="80" t="s">
        <v>172</v>
      </c>
      <c r="I25" s="17">
        <v>33</v>
      </c>
      <c r="J25" s="17">
        <v>23</v>
      </c>
      <c r="K25" s="17">
        <v>18</v>
      </c>
      <c r="L25" s="17">
        <v>8</v>
      </c>
      <c r="M25" s="84">
        <v>3.4155000000000002</v>
      </c>
      <c r="N25" s="75">
        <v>8</v>
      </c>
      <c r="O25" s="67">
        <v>7000</v>
      </c>
      <c r="P25" s="68">
        <f>Table224578910112345678910121314[[#This Row],[PEMBULATAN]]*O25</f>
        <v>56000</v>
      </c>
    </row>
    <row r="26" spans="1:16" ht="30" customHeight="1" x14ac:dyDescent="0.2">
      <c r="A26" s="14"/>
      <c r="B26" s="14"/>
      <c r="C26" s="76" t="s">
        <v>243</v>
      </c>
      <c r="D26" s="81" t="s">
        <v>49</v>
      </c>
      <c r="E26" s="13">
        <v>44432</v>
      </c>
      <c r="F26" s="79" t="s">
        <v>253</v>
      </c>
      <c r="G26" s="13">
        <v>44435</v>
      </c>
      <c r="H26" s="80" t="s">
        <v>172</v>
      </c>
      <c r="I26" s="17">
        <v>33</v>
      </c>
      <c r="J26" s="17">
        <v>27</v>
      </c>
      <c r="K26" s="17">
        <v>20</v>
      </c>
      <c r="L26" s="17">
        <v>8</v>
      </c>
      <c r="M26" s="84">
        <v>4.4550000000000001</v>
      </c>
      <c r="N26" s="75">
        <v>8</v>
      </c>
      <c r="O26" s="67">
        <v>7000</v>
      </c>
      <c r="P26" s="68">
        <f>Table224578910112345678910121314[[#This Row],[PEMBULATAN]]*O26</f>
        <v>56000</v>
      </c>
    </row>
    <row r="27" spans="1:16" ht="30" customHeight="1" x14ac:dyDescent="0.2">
      <c r="A27" s="14"/>
      <c r="B27" s="14"/>
      <c r="C27" s="76" t="s">
        <v>244</v>
      </c>
      <c r="D27" s="81" t="s">
        <v>49</v>
      </c>
      <c r="E27" s="13">
        <v>44432</v>
      </c>
      <c r="F27" s="79" t="s">
        <v>253</v>
      </c>
      <c r="G27" s="13">
        <v>44435</v>
      </c>
      <c r="H27" s="80" t="s">
        <v>172</v>
      </c>
      <c r="I27" s="17">
        <v>37</v>
      </c>
      <c r="J27" s="17">
        <v>37</v>
      </c>
      <c r="K27" s="17">
        <v>19</v>
      </c>
      <c r="L27" s="17">
        <v>12</v>
      </c>
      <c r="M27" s="84">
        <v>6.5027499999999998</v>
      </c>
      <c r="N27" s="75">
        <v>12</v>
      </c>
      <c r="O27" s="67">
        <v>7000</v>
      </c>
      <c r="P27" s="68">
        <f>Table224578910112345678910121314[[#This Row],[PEMBULATAN]]*O27</f>
        <v>84000</v>
      </c>
    </row>
    <row r="28" spans="1:16" ht="30" customHeight="1" x14ac:dyDescent="0.2">
      <c r="A28" s="14"/>
      <c r="B28" s="14"/>
      <c r="C28" s="76" t="s">
        <v>245</v>
      </c>
      <c r="D28" s="81" t="s">
        <v>49</v>
      </c>
      <c r="E28" s="13">
        <v>44432</v>
      </c>
      <c r="F28" s="79" t="s">
        <v>253</v>
      </c>
      <c r="G28" s="13">
        <v>44435</v>
      </c>
      <c r="H28" s="80" t="s">
        <v>172</v>
      </c>
      <c r="I28" s="17">
        <v>37</v>
      </c>
      <c r="J28" s="17">
        <v>35</v>
      </c>
      <c r="K28" s="17">
        <v>19</v>
      </c>
      <c r="L28" s="17">
        <v>12</v>
      </c>
      <c r="M28" s="84">
        <v>6.1512500000000001</v>
      </c>
      <c r="N28" s="75">
        <v>12</v>
      </c>
      <c r="O28" s="67">
        <v>7000</v>
      </c>
      <c r="P28" s="68">
        <f>Table224578910112345678910121314[[#This Row],[PEMBULATAN]]*O28</f>
        <v>84000</v>
      </c>
    </row>
    <row r="29" spans="1:16" ht="30" customHeight="1" x14ac:dyDescent="0.2">
      <c r="A29" s="14"/>
      <c r="B29" s="14"/>
      <c r="C29" s="76" t="s">
        <v>246</v>
      </c>
      <c r="D29" s="81" t="s">
        <v>49</v>
      </c>
      <c r="E29" s="13">
        <v>44432</v>
      </c>
      <c r="F29" s="79" t="s">
        <v>253</v>
      </c>
      <c r="G29" s="13">
        <v>44435</v>
      </c>
      <c r="H29" s="80" t="s">
        <v>172</v>
      </c>
      <c r="I29" s="17">
        <v>33</v>
      </c>
      <c r="J29" s="17">
        <v>23</v>
      </c>
      <c r="K29" s="17">
        <v>18</v>
      </c>
      <c r="L29" s="17">
        <v>8</v>
      </c>
      <c r="M29" s="84">
        <v>3.4155000000000002</v>
      </c>
      <c r="N29" s="75">
        <v>8</v>
      </c>
      <c r="O29" s="67">
        <v>7000</v>
      </c>
      <c r="P29" s="68">
        <f>Table224578910112345678910121314[[#This Row],[PEMBULATAN]]*O29</f>
        <v>56000</v>
      </c>
    </row>
    <row r="30" spans="1:16" ht="30" customHeight="1" x14ac:dyDescent="0.2">
      <c r="A30" s="14"/>
      <c r="B30" s="14"/>
      <c r="C30" s="76" t="s">
        <v>247</v>
      </c>
      <c r="D30" s="81" t="s">
        <v>49</v>
      </c>
      <c r="E30" s="13">
        <v>44432</v>
      </c>
      <c r="F30" s="79" t="s">
        <v>253</v>
      </c>
      <c r="G30" s="13">
        <v>44435</v>
      </c>
      <c r="H30" s="80" t="s">
        <v>172</v>
      </c>
      <c r="I30" s="17">
        <v>48</v>
      </c>
      <c r="J30" s="17">
        <v>36</v>
      </c>
      <c r="K30" s="17">
        <v>16</v>
      </c>
      <c r="L30" s="17">
        <v>5</v>
      </c>
      <c r="M30" s="84">
        <v>6.9119999999999999</v>
      </c>
      <c r="N30" s="75">
        <v>7</v>
      </c>
      <c r="O30" s="67">
        <v>7000</v>
      </c>
      <c r="P30" s="68">
        <f>Table224578910112345678910121314[[#This Row],[PEMBULATAN]]*O30</f>
        <v>49000</v>
      </c>
    </row>
    <row r="31" spans="1:16" ht="30" customHeight="1" x14ac:dyDescent="0.2">
      <c r="A31" s="14"/>
      <c r="B31" s="14"/>
      <c r="C31" s="76" t="s">
        <v>248</v>
      </c>
      <c r="D31" s="81" t="s">
        <v>49</v>
      </c>
      <c r="E31" s="13">
        <v>44432</v>
      </c>
      <c r="F31" s="79" t="s">
        <v>253</v>
      </c>
      <c r="G31" s="13">
        <v>44435</v>
      </c>
      <c r="H31" s="80" t="s">
        <v>172</v>
      </c>
      <c r="I31" s="17">
        <v>26</v>
      </c>
      <c r="J31" s="17">
        <v>22</v>
      </c>
      <c r="K31" s="17">
        <v>12</v>
      </c>
      <c r="L31" s="17">
        <v>1</v>
      </c>
      <c r="M31" s="84">
        <v>1.716</v>
      </c>
      <c r="N31" s="75">
        <v>2</v>
      </c>
      <c r="O31" s="67">
        <v>7000</v>
      </c>
      <c r="P31" s="68">
        <f>Table224578910112345678910121314[[#This Row],[PEMBULATAN]]*O31</f>
        <v>14000</v>
      </c>
    </row>
    <row r="32" spans="1:16" ht="30" customHeight="1" x14ac:dyDescent="0.2">
      <c r="A32" s="14"/>
      <c r="B32" s="14"/>
      <c r="C32" s="76" t="s">
        <v>249</v>
      </c>
      <c r="D32" s="81" t="s">
        <v>49</v>
      </c>
      <c r="E32" s="13">
        <v>44432</v>
      </c>
      <c r="F32" s="79" t="s">
        <v>253</v>
      </c>
      <c r="G32" s="13">
        <v>44435</v>
      </c>
      <c r="H32" s="80" t="s">
        <v>172</v>
      </c>
      <c r="I32" s="17">
        <v>33</v>
      </c>
      <c r="J32" s="17">
        <v>10</v>
      </c>
      <c r="K32" s="17">
        <v>5</v>
      </c>
      <c r="L32" s="17">
        <v>1</v>
      </c>
      <c r="M32" s="84">
        <v>0.41249999999999998</v>
      </c>
      <c r="N32" s="75">
        <v>1</v>
      </c>
      <c r="O32" s="67">
        <v>7000</v>
      </c>
      <c r="P32" s="68">
        <f>Table224578910112345678910121314[[#This Row],[PEMBULATAN]]*O32</f>
        <v>7000</v>
      </c>
    </row>
    <row r="33" spans="1:16" ht="30" customHeight="1" x14ac:dyDescent="0.2">
      <c r="A33" s="14"/>
      <c r="B33" s="14"/>
      <c r="C33" s="76" t="s">
        <v>250</v>
      </c>
      <c r="D33" s="81" t="s">
        <v>49</v>
      </c>
      <c r="E33" s="13">
        <v>44432</v>
      </c>
      <c r="F33" s="79" t="s">
        <v>253</v>
      </c>
      <c r="G33" s="13">
        <v>44435</v>
      </c>
      <c r="H33" s="80" t="s">
        <v>172</v>
      </c>
      <c r="I33" s="17">
        <v>33</v>
      </c>
      <c r="J33" s="17">
        <v>10</v>
      </c>
      <c r="K33" s="17">
        <v>5</v>
      </c>
      <c r="L33" s="17">
        <v>1</v>
      </c>
      <c r="M33" s="84">
        <v>0.41249999999999998</v>
      </c>
      <c r="N33" s="75">
        <v>1</v>
      </c>
      <c r="O33" s="67">
        <v>7000</v>
      </c>
      <c r="P33" s="68">
        <f>Table224578910112345678910121314[[#This Row],[PEMBULATAN]]*O33</f>
        <v>7000</v>
      </c>
    </row>
    <row r="34" spans="1:16" ht="30" customHeight="1" x14ac:dyDescent="0.2">
      <c r="A34" s="14"/>
      <c r="B34" s="14"/>
      <c r="C34" s="76" t="s">
        <v>251</v>
      </c>
      <c r="D34" s="81" t="s">
        <v>49</v>
      </c>
      <c r="E34" s="13">
        <v>44432</v>
      </c>
      <c r="F34" s="79" t="s">
        <v>253</v>
      </c>
      <c r="G34" s="13">
        <v>44435</v>
      </c>
      <c r="H34" s="80" t="s">
        <v>172</v>
      </c>
      <c r="I34" s="17">
        <v>33</v>
      </c>
      <c r="J34" s="17">
        <v>10</v>
      </c>
      <c r="K34" s="17">
        <v>5</v>
      </c>
      <c r="L34" s="17">
        <v>1</v>
      </c>
      <c r="M34" s="84">
        <v>0.41249999999999998</v>
      </c>
      <c r="N34" s="75">
        <v>1</v>
      </c>
      <c r="O34" s="67">
        <v>7000</v>
      </c>
      <c r="P34" s="68">
        <f>Table224578910112345678910121314[[#This Row],[PEMBULATAN]]*O34</f>
        <v>7000</v>
      </c>
    </row>
    <row r="35" spans="1:16" ht="30" customHeight="1" x14ac:dyDescent="0.2">
      <c r="A35" s="14"/>
      <c r="B35" s="14"/>
      <c r="C35" s="76" t="s">
        <v>252</v>
      </c>
      <c r="D35" s="81" t="s">
        <v>49</v>
      </c>
      <c r="E35" s="13">
        <v>44432</v>
      </c>
      <c r="F35" s="79" t="s">
        <v>253</v>
      </c>
      <c r="G35" s="13">
        <v>44435</v>
      </c>
      <c r="H35" s="80" t="s">
        <v>172</v>
      </c>
      <c r="I35" s="17">
        <v>36</v>
      </c>
      <c r="J35" s="17">
        <v>36</v>
      </c>
      <c r="K35" s="17">
        <v>20</v>
      </c>
      <c r="L35" s="17">
        <v>12</v>
      </c>
      <c r="M35" s="84">
        <v>6.48</v>
      </c>
      <c r="N35" s="75">
        <v>12</v>
      </c>
      <c r="O35" s="67">
        <v>7000</v>
      </c>
      <c r="P35" s="68">
        <f>Table224578910112345678910121314[[#This Row],[PEMBULATAN]]*O35</f>
        <v>84000</v>
      </c>
    </row>
    <row r="36" spans="1:16" ht="22.5" customHeight="1" x14ac:dyDescent="0.2">
      <c r="A36" s="122" t="s">
        <v>30</v>
      </c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4"/>
      <c r="M36" s="82">
        <f>SUBTOTAL(109,Table224578910112345678910121314[KG VOLUME])</f>
        <v>382.32150000000001</v>
      </c>
      <c r="N36" s="71">
        <f>SUM(N3:N35)</f>
        <v>518</v>
      </c>
      <c r="O36" s="125">
        <f>SUM(P3:P35)</f>
        <v>3626000</v>
      </c>
      <c r="P36" s="126"/>
    </row>
    <row r="37" spans="1:16" ht="18" customHeight="1" x14ac:dyDescent="0.2">
      <c r="A37" s="94"/>
      <c r="B37" s="59" t="s">
        <v>42</v>
      </c>
      <c r="C37" s="58"/>
      <c r="D37" s="60" t="s">
        <v>43</v>
      </c>
      <c r="E37" s="94"/>
      <c r="F37" s="94"/>
      <c r="G37" s="94"/>
      <c r="H37" s="94"/>
      <c r="I37" s="94"/>
      <c r="J37" s="94"/>
      <c r="K37" s="94"/>
      <c r="L37" s="94"/>
      <c r="M37" s="95"/>
      <c r="N37" s="96" t="s">
        <v>649</v>
      </c>
      <c r="O37" s="97"/>
      <c r="P37" s="97">
        <v>0</v>
      </c>
    </row>
    <row r="38" spans="1:16" ht="18" customHeight="1" thickBot="1" x14ac:dyDescent="0.25">
      <c r="A38" s="94"/>
      <c r="B38" s="59"/>
      <c r="C38" s="58"/>
      <c r="D38" s="60"/>
      <c r="E38" s="94"/>
      <c r="F38" s="94"/>
      <c r="G38" s="94"/>
      <c r="H38" s="94"/>
      <c r="I38" s="94"/>
      <c r="J38" s="94"/>
      <c r="K38" s="94"/>
      <c r="L38" s="94"/>
      <c r="M38" s="95"/>
      <c r="N38" s="98" t="s">
        <v>650</v>
      </c>
      <c r="O38" s="99"/>
      <c r="P38" s="99">
        <f>O36-P37</f>
        <v>3626000</v>
      </c>
    </row>
    <row r="39" spans="1:16" ht="18" customHeight="1" x14ac:dyDescent="0.2">
      <c r="A39" s="11"/>
      <c r="H39" s="66"/>
      <c r="N39" s="65" t="s">
        <v>31</v>
      </c>
      <c r="P39" s="72">
        <f>P38*1%</f>
        <v>36260</v>
      </c>
    </row>
    <row r="40" spans="1:16" ht="18" customHeight="1" thickBot="1" x14ac:dyDescent="0.25">
      <c r="A40" s="11"/>
      <c r="H40" s="66"/>
      <c r="N40" s="65" t="s">
        <v>651</v>
      </c>
      <c r="P40" s="74">
        <f>P38*2%</f>
        <v>72520</v>
      </c>
    </row>
    <row r="41" spans="1:16" ht="18" customHeight="1" x14ac:dyDescent="0.2">
      <c r="A41" s="11"/>
      <c r="H41" s="66"/>
      <c r="N41" s="69" t="s">
        <v>32</v>
      </c>
      <c r="O41" s="70"/>
      <c r="P41" s="73">
        <f>P38+P39-P40</f>
        <v>3589740</v>
      </c>
    </row>
    <row r="43" spans="1:16" x14ac:dyDescent="0.2">
      <c r="A43" s="11"/>
      <c r="H43" s="66"/>
      <c r="P43" s="74"/>
    </row>
    <row r="44" spans="1:16" x14ac:dyDescent="0.2">
      <c r="A44" s="11"/>
      <c r="H44" s="66"/>
      <c r="O44" s="61"/>
      <c r="P44" s="74"/>
    </row>
    <row r="45" spans="1:16" s="3" customFormat="1" x14ac:dyDescent="0.25">
      <c r="A45" s="11"/>
      <c r="B45" s="2"/>
      <c r="C45" s="2"/>
      <c r="E45" s="12"/>
      <c r="H45" s="66"/>
      <c r="N45" s="16"/>
      <c r="O45" s="16"/>
      <c r="P45" s="16"/>
    </row>
    <row r="46" spans="1:16" s="3" customFormat="1" x14ac:dyDescent="0.25">
      <c r="A46" s="11"/>
      <c r="B46" s="2"/>
      <c r="C46" s="2"/>
      <c r="E46" s="12"/>
      <c r="H46" s="66"/>
      <c r="N46" s="16"/>
      <c r="O46" s="16"/>
      <c r="P46" s="16"/>
    </row>
    <row r="47" spans="1:16" s="3" customFormat="1" x14ac:dyDescent="0.25">
      <c r="A47" s="11"/>
      <c r="B47" s="2"/>
      <c r="C47" s="2"/>
      <c r="E47" s="12"/>
      <c r="H47" s="66"/>
      <c r="N47" s="16"/>
      <c r="O47" s="16"/>
      <c r="P47" s="16"/>
    </row>
    <row r="48" spans="1:16" s="3" customFormat="1" x14ac:dyDescent="0.25">
      <c r="A48" s="11"/>
      <c r="B48" s="2"/>
      <c r="C48" s="2"/>
      <c r="E48" s="12"/>
      <c r="H48" s="66"/>
      <c r="N48" s="16"/>
      <c r="O48" s="16"/>
      <c r="P48" s="16"/>
    </row>
    <row r="49" spans="1:16" s="3" customFormat="1" x14ac:dyDescent="0.25">
      <c r="A49" s="11"/>
      <c r="B49" s="2"/>
      <c r="C49" s="2"/>
      <c r="E49" s="12"/>
      <c r="H49" s="66"/>
      <c r="N49" s="16"/>
      <c r="O49" s="16"/>
      <c r="P49" s="16"/>
    </row>
    <row r="50" spans="1:16" s="3" customFormat="1" x14ac:dyDescent="0.25">
      <c r="A50" s="11"/>
      <c r="B50" s="2"/>
      <c r="C50" s="2"/>
      <c r="E50" s="12"/>
      <c r="H50" s="66"/>
      <c r="N50" s="16"/>
      <c r="O50" s="16"/>
      <c r="P50" s="16"/>
    </row>
    <row r="51" spans="1:16" s="3" customFormat="1" x14ac:dyDescent="0.25">
      <c r="A51" s="11"/>
      <c r="B51" s="2"/>
      <c r="C51" s="2"/>
      <c r="E51" s="12"/>
      <c r="H51" s="66"/>
      <c r="N51" s="16"/>
      <c r="O51" s="16"/>
      <c r="P51" s="16"/>
    </row>
    <row r="52" spans="1:16" s="3" customFormat="1" x14ac:dyDescent="0.25">
      <c r="A52" s="11"/>
      <c r="B52" s="2"/>
      <c r="C52" s="2"/>
      <c r="E52" s="12"/>
      <c r="H52" s="66"/>
      <c r="N52" s="16"/>
      <c r="O52" s="16"/>
      <c r="P52" s="16"/>
    </row>
    <row r="53" spans="1:16" s="3" customFormat="1" x14ac:dyDescent="0.25">
      <c r="A53" s="11"/>
      <c r="B53" s="2"/>
      <c r="C53" s="2"/>
      <c r="E53" s="12"/>
      <c r="H53" s="66"/>
      <c r="N53" s="16"/>
      <c r="O53" s="16"/>
      <c r="P53" s="16"/>
    </row>
    <row r="54" spans="1:16" s="3" customFormat="1" x14ac:dyDescent="0.25">
      <c r="A54" s="11"/>
      <c r="B54" s="2"/>
      <c r="C54" s="2"/>
      <c r="E54" s="12"/>
      <c r="H54" s="66"/>
      <c r="N54" s="16"/>
      <c r="O54" s="16"/>
      <c r="P54" s="16"/>
    </row>
    <row r="55" spans="1:16" s="3" customFormat="1" x14ac:dyDescent="0.25">
      <c r="A55" s="11"/>
      <c r="B55" s="2"/>
      <c r="C55" s="2"/>
      <c r="E55" s="12"/>
      <c r="H55" s="66"/>
      <c r="N55" s="16"/>
      <c r="O55" s="16"/>
      <c r="P55" s="16"/>
    </row>
    <row r="56" spans="1:16" s="3" customFormat="1" x14ac:dyDescent="0.25">
      <c r="A56" s="11"/>
      <c r="B56" s="2"/>
      <c r="C56" s="2"/>
      <c r="E56" s="12"/>
      <c r="H56" s="66"/>
      <c r="N56" s="16"/>
      <c r="O56" s="16"/>
      <c r="P56" s="16"/>
    </row>
  </sheetData>
  <mergeCells count="3">
    <mergeCell ref="A3:A4"/>
    <mergeCell ref="A36:L36"/>
    <mergeCell ref="O36:P36"/>
  </mergeCells>
  <conditionalFormatting sqref="B3">
    <cfRule type="duplicateValues" dxfId="233" priority="2"/>
  </conditionalFormatting>
  <conditionalFormatting sqref="B4">
    <cfRule type="duplicateValues" dxfId="232" priority="1"/>
  </conditionalFormatting>
  <conditionalFormatting sqref="B5:B35">
    <cfRule type="duplicateValues" dxfId="231" priority="1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0"/>
  <sheetViews>
    <sheetView zoomScale="110" zoomScaleNormal="110" workbookViewId="0">
      <pane xSplit="3" ySplit="2" topLeftCell="D17" activePane="bottomRight" state="frozen"/>
      <selection pane="topRight" activeCell="B1" sqref="B1"/>
      <selection pane="bottomLeft" activeCell="A3" sqref="A3"/>
      <selection pane="bottomRight" activeCell="E24" sqref="E2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0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28.5" customHeight="1" x14ac:dyDescent="0.2">
      <c r="A3" s="120" t="s">
        <v>648</v>
      </c>
      <c r="B3" s="77" t="s">
        <v>254</v>
      </c>
      <c r="C3" s="9" t="s">
        <v>255</v>
      </c>
      <c r="D3" s="79" t="s">
        <v>49</v>
      </c>
      <c r="E3" s="13">
        <v>44433</v>
      </c>
      <c r="F3" s="79" t="s">
        <v>253</v>
      </c>
      <c r="G3" s="13">
        <v>44435</v>
      </c>
      <c r="H3" s="10" t="s">
        <v>172</v>
      </c>
      <c r="I3" s="1">
        <v>8</v>
      </c>
      <c r="J3" s="1">
        <v>56</v>
      </c>
      <c r="K3" s="1">
        <v>40</v>
      </c>
      <c r="L3" s="1">
        <v>19</v>
      </c>
      <c r="M3" s="83">
        <v>4.4800000000000004</v>
      </c>
      <c r="N3" s="8">
        <v>19</v>
      </c>
      <c r="O3" s="67">
        <v>7000</v>
      </c>
      <c r="P3" s="68">
        <f>Table22457891011234567891012131415[[#This Row],[PEMBULATAN]]*O3</f>
        <v>133000</v>
      </c>
    </row>
    <row r="4" spans="1:16" ht="28.5" customHeight="1" x14ac:dyDescent="0.2">
      <c r="A4" s="121"/>
      <c r="B4" s="78"/>
      <c r="C4" s="9" t="s">
        <v>256</v>
      </c>
      <c r="D4" s="79" t="s">
        <v>49</v>
      </c>
      <c r="E4" s="13">
        <v>44433</v>
      </c>
      <c r="F4" s="79" t="s">
        <v>253</v>
      </c>
      <c r="G4" s="13">
        <v>44435</v>
      </c>
      <c r="H4" s="10" t="s">
        <v>172</v>
      </c>
      <c r="I4" s="1">
        <v>13</v>
      </c>
      <c r="J4" s="1">
        <v>72</v>
      </c>
      <c r="K4" s="1">
        <v>48</v>
      </c>
      <c r="L4" s="1">
        <v>27</v>
      </c>
      <c r="M4" s="83">
        <v>11.231999999999999</v>
      </c>
      <c r="N4" s="8">
        <v>27</v>
      </c>
      <c r="O4" s="67">
        <v>7000</v>
      </c>
      <c r="P4" s="68">
        <f>Table22457891011234567891012131415[[#This Row],[PEMBULATAN]]*O4</f>
        <v>189000</v>
      </c>
    </row>
    <row r="5" spans="1:16" ht="28.5" customHeight="1" x14ac:dyDescent="0.2">
      <c r="A5" s="14"/>
      <c r="B5" s="15"/>
      <c r="C5" s="9" t="s">
        <v>257</v>
      </c>
      <c r="D5" s="79" t="s">
        <v>49</v>
      </c>
      <c r="E5" s="13">
        <v>44433</v>
      </c>
      <c r="F5" s="79" t="s">
        <v>253</v>
      </c>
      <c r="G5" s="13">
        <v>44435</v>
      </c>
      <c r="H5" s="10" t="s">
        <v>172</v>
      </c>
      <c r="I5" s="1">
        <v>1</v>
      </c>
      <c r="J5" s="1">
        <v>16</v>
      </c>
      <c r="K5" s="1">
        <v>15</v>
      </c>
      <c r="L5" s="1">
        <v>9</v>
      </c>
      <c r="M5" s="83">
        <v>0.06</v>
      </c>
      <c r="N5" s="8">
        <v>9</v>
      </c>
      <c r="O5" s="67">
        <v>7000</v>
      </c>
      <c r="P5" s="68">
        <f>Table22457891011234567891012131415[[#This Row],[PEMBULATAN]]*O5</f>
        <v>63000</v>
      </c>
    </row>
    <row r="6" spans="1:16" ht="28.5" customHeight="1" x14ac:dyDescent="0.2">
      <c r="A6" s="14"/>
      <c r="B6" s="14" t="s">
        <v>258</v>
      </c>
      <c r="C6" s="76" t="s">
        <v>259</v>
      </c>
      <c r="D6" s="81" t="s">
        <v>49</v>
      </c>
      <c r="E6" s="13">
        <v>44433</v>
      </c>
      <c r="F6" s="79" t="s">
        <v>253</v>
      </c>
      <c r="G6" s="13">
        <v>44435</v>
      </c>
      <c r="H6" s="80" t="s">
        <v>172</v>
      </c>
      <c r="I6" s="17">
        <v>15</v>
      </c>
      <c r="J6" s="17">
        <v>39</v>
      </c>
      <c r="K6" s="17">
        <v>39</v>
      </c>
      <c r="L6" s="17">
        <v>39</v>
      </c>
      <c r="M6" s="84">
        <v>5.7037500000000003</v>
      </c>
      <c r="N6" s="75">
        <v>39</v>
      </c>
      <c r="O6" s="67">
        <v>7000</v>
      </c>
      <c r="P6" s="68">
        <f>Table22457891011234567891012131415[[#This Row],[PEMBULATAN]]*O6</f>
        <v>273000</v>
      </c>
    </row>
    <row r="7" spans="1:16" ht="28.5" customHeight="1" x14ac:dyDescent="0.2">
      <c r="A7" s="14"/>
      <c r="B7" s="14"/>
      <c r="C7" s="76" t="s">
        <v>260</v>
      </c>
      <c r="D7" s="81" t="s">
        <v>49</v>
      </c>
      <c r="E7" s="13">
        <v>44433</v>
      </c>
      <c r="F7" s="79" t="s">
        <v>253</v>
      </c>
      <c r="G7" s="13">
        <v>44435</v>
      </c>
      <c r="H7" s="80" t="s">
        <v>172</v>
      </c>
      <c r="I7" s="17">
        <v>14</v>
      </c>
      <c r="J7" s="17">
        <v>50</v>
      </c>
      <c r="K7" s="17">
        <v>33</v>
      </c>
      <c r="L7" s="17">
        <v>22</v>
      </c>
      <c r="M7" s="84">
        <v>5.7750000000000004</v>
      </c>
      <c r="N7" s="75">
        <v>22</v>
      </c>
      <c r="O7" s="67">
        <v>7000</v>
      </c>
      <c r="P7" s="68">
        <f>Table22457891011234567891012131415[[#This Row],[PEMBULATAN]]*O7</f>
        <v>154000</v>
      </c>
    </row>
    <row r="8" spans="1:16" ht="28.5" customHeight="1" x14ac:dyDescent="0.2">
      <c r="A8" s="14"/>
      <c r="B8" s="14"/>
      <c r="C8" s="76" t="s">
        <v>261</v>
      </c>
      <c r="D8" s="81" t="s">
        <v>49</v>
      </c>
      <c r="E8" s="13">
        <v>44433</v>
      </c>
      <c r="F8" s="79" t="s">
        <v>253</v>
      </c>
      <c r="G8" s="13">
        <v>44435</v>
      </c>
      <c r="H8" s="80" t="s">
        <v>172</v>
      </c>
      <c r="I8" s="17">
        <v>18</v>
      </c>
      <c r="J8" s="17">
        <v>66</v>
      </c>
      <c r="K8" s="17">
        <v>39</v>
      </c>
      <c r="L8" s="17">
        <v>49</v>
      </c>
      <c r="M8" s="84">
        <v>11.583</v>
      </c>
      <c r="N8" s="75">
        <v>49</v>
      </c>
      <c r="O8" s="67">
        <v>7000</v>
      </c>
      <c r="P8" s="68">
        <f>Table22457891011234567891012131415[[#This Row],[PEMBULATAN]]*O8</f>
        <v>343000</v>
      </c>
    </row>
    <row r="9" spans="1:16" ht="28.5" customHeight="1" x14ac:dyDescent="0.2">
      <c r="A9" s="14"/>
      <c r="B9" s="14"/>
      <c r="C9" s="76" t="s">
        <v>262</v>
      </c>
      <c r="D9" s="81" t="s">
        <v>49</v>
      </c>
      <c r="E9" s="13">
        <v>44433</v>
      </c>
      <c r="F9" s="79" t="s">
        <v>253</v>
      </c>
      <c r="G9" s="13">
        <v>44435</v>
      </c>
      <c r="H9" s="80" t="s">
        <v>172</v>
      </c>
      <c r="I9" s="17">
        <v>50</v>
      </c>
      <c r="J9" s="17">
        <v>36</v>
      </c>
      <c r="K9" s="17">
        <v>12</v>
      </c>
      <c r="L9" s="17">
        <v>10</v>
      </c>
      <c r="M9" s="84">
        <v>5.4</v>
      </c>
      <c r="N9" s="75">
        <v>10</v>
      </c>
      <c r="O9" s="67">
        <v>7000</v>
      </c>
      <c r="P9" s="68">
        <f>Table22457891011234567891012131415[[#This Row],[PEMBULATAN]]*O9</f>
        <v>70000</v>
      </c>
    </row>
    <row r="10" spans="1:16" ht="28.5" customHeight="1" x14ac:dyDescent="0.2">
      <c r="A10" s="14"/>
      <c r="B10" s="14"/>
      <c r="C10" s="76" t="s">
        <v>263</v>
      </c>
      <c r="D10" s="81" t="s">
        <v>49</v>
      </c>
      <c r="E10" s="13">
        <v>44433</v>
      </c>
      <c r="F10" s="79" t="s">
        <v>253</v>
      </c>
      <c r="G10" s="13">
        <v>44435</v>
      </c>
      <c r="H10" s="80" t="s">
        <v>172</v>
      </c>
      <c r="I10" s="17">
        <v>10</v>
      </c>
      <c r="J10" s="17">
        <v>47</v>
      </c>
      <c r="K10" s="17">
        <v>25</v>
      </c>
      <c r="L10" s="17">
        <v>24</v>
      </c>
      <c r="M10" s="84">
        <v>2.9375</v>
      </c>
      <c r="N10" s="75">
        <v>24</v>
      </c>
      <c r="O10" s="67">
        <v>7000</v>
      </c>
      <c r="P10" s="68">
        <f>Table22457891011234567891012131415[[#This Row],[PEMBULATAN]]*O10</f>
        <v>168000</v>
      </c>
    </row>
    <row r="11" spans="1:16" ht="28.5" customHeight="1" x14ac:dyDescent="0.2">
      <c r="A11" s="14"/>
      <c r="B11" s="14"/>
      <c r="C11" s="76" t="s">
        <v>264</v>
      </c>
      <c r="D11" s="81" t="s">
        <v>49</v>
      </c>
      <c r="E11" s="13">
        <v>44433</v>
      </c>
      <c r="F11" s="79" t="s">
        <v>253</v>
      </c>
      <c r="G11" s="13">
        <v>44435</v>
      </c>
      <c r="H11" s="80" t="s">
        <v>172</v>
      </c>
      <c r="I11" s="17">
        <v>9</v>
      </c>
      <c r="J11" s="17">
        <v>63</v>
      </c>
      <c r="K11" s="17">
        <v>44</v>
      </c>
      <c r="L11" s="17">
        <v>14</v>
      </c>
      <c r="M11" s="84">
        <v>6.2370000000000001</v>
      </c>
      <c r="N11" s="75">
        <v>14</v>
      </c>
      <c r="O11" s="67">
        <v>7000</v>
      </c>
      <c r="P11" s="68">
        <f>Table22457891011234567891012131415[[#This Row],[PEMBULATAN]]*O11</f>
        <v>98000</v>
      </c>
    </row>
    <row r="12" spans="1:16" ht="28.5" customHeight="1" x14ac:dyDescent="0.2">
      <c r="A12" s="14"/>
      <c r="B12" s="14"/>
      <c r="C12" s="76" t="s">
        <v>265</v>
      </c>
      <c r="D12" s="81" t="s">
        <v>49</v>
      </c>
      <c r="E12" s="13">
        <v>44433</v>
      </c>
      <c r="F12" s="79" t="s">
        <v>253</v>
      </c>
      <c r="G12" s="13">
        <v>44435</v>
      </c>
      <c r="H12" s="80" t="s">
        <v>172</v>
      </c>
      <c r="I12" s="17">
        <v>6</v>
      </c>
      <c r="J12" s="17">
        <v>37</v>
      </c>
      <c r="K12" s="17">
        <v>28</v>
      </c>
      <c r="L12" s="17">
        <v>16</v>
      </c>
      <c r="M12" s="84">
        <v>1.554</v>
      </c>
      <c r="N12" s="75">
        <v>16</v>
      </c>
      <c r="O12" s="67">
        <v>7000</v>
      </c>
      <c r="P12" s="68">
        <f>Table22457891011234567891012131415[[#This Row],[PEMBULATAN]]*O12</f>
        <v>112000</v>
      </c>
    </row>
    <row r="13" spans="1:16" ht="28.5" customHeight="1" x14ac:dyDescent="0.2">
      <c r="A13" s="14"/>
      <c r="B13" s="14"/>
      <c r="C13" s="76" t="s">
        <v>266</v>
      </c>
      <c r="D13" s="81" t="s">
        <v>49</v>
      </c>
      <c r="E13" s="13">
        <v>44433</v>
      </c>
      <c r="F13" s="79" t="s">
        <v>253</v>
      </c>
      <c r="G13" s="13">
        <v>44435</v>
      </c>
      <c r="H13" s="80" t="s">
        <v>172</v>
      </c>
      <c r="I13" s="17">
        <v>10</v>
      </c>
      <c r="J13" s="17">
        <v>56</v>
      </c>
      <c r="K13" s="17">
        <v>24</v>
      </c>
      <c r="L13" s="17">
        <v>24</v>
      </c>
      <c r="M13" s="84">
        <v>3.36</v>
      </c>
      <c r="N13" s="75">
        <v>24</v>
      </c>
      <c r="O13" s="67">
        <v>7000</v>
      </c>
      <c r="P13" s="68">
        <f>Table22457891011234567891012131415[[#This Row],[PEMBULATAN]]*O13</f>
        <v>168000</v>
      </c>
    </row>
    <row r="14" spans="1:16" ht="28.5" customHeight="1" x14ac:dyDescent="0.2">
      <c r="A14" s="14"/>
      <c r="B14" s="14"/>
      <c r="C14" s="76" t="s">
        <v>267</v>
      </c>
      <c r="D14" s="81" t="s">
        <v>49</v>
      </c>
      <c r="E14" s="13">
        <v>44433</v>
      </c>
      <c r="F14" s="79" t="s">
        <v>253</v>
      </c>
      <c r="G14" s="13">
        <v>44435</v>
      </c>
      <c r="H14" s="80" t="s">
        <v>172</v>
      </c>
      <c r="I14" s="17">
        <v>5</v>
      </c>
      <c r="J14" s="17">
        <v>45</v>
      </c>
      <c r="K14" s="17">
        <v>29</v>
      </c>
      <c r="L14" s="17">
        <v>13</v>
      </c>
      <c r="M14" s="84">
        <v>1.6312500000000001</v>
      </c>
      <c r="N14" s="75">
        <v>13</v>
      </c>
      <c r="O14" s="67">
        <v>7000</v>
      </c>
      <c r="P14" s="68">
        <f>Table22457891011234567891012131415[[#This Row],[PEMBULATAN]]*O14</f>
        <v>91000</v>
      </c>
    </row>
    <row r="15" spans="1:16" ht="28.5" customHeight="1" x14ac:dyDescent="0.2">
      <c r="A15" s="14"/>
      <c r="B15" s="14"/>
      <c r="C15" s="76" t="s">
        <v>268</v>
      </c>
      <c r="D15" s="81" t="s">
        <v>49</v>
      </c>
      <c r="E15" s="13">
        <v>44433</v>
      </c>
      <c r="F15" s="79" t="s">
        <v>253</v>
      </c>
      <c r="G15" s="13">
        <v>44435</v>
      </c>
      <c r="H15" s="80" t="s">
        <v>172</v>
      </c>
      <c r="I15" s="17">
        <v>35</v>
      </c>
      <c r="J15" s="17">
        <v>50</v>
      </c>
      <c r="K15" s="17">
        <v>36</v>
      </c>
      <c r="L15" s="17">
        <v>29</v>
      </c>
      <c r="M15" s="84">
        <v>15.75</v>
      </c>
      <c r="N15" s="75">
        <v>29</v>
      </c>
      <c r="O15" s="67">
        <v>7000</v>
      </c>
      <c r="P15" s="68">
        <f>Table22457891011234567891012131415[[#This Row],[PEMBULATAN]]*O15</f>
        <v>203000</v>
      </c>
    </row>
    <row r="16" spans="1:16" ht="28.5" customHeight="1" x14ac:dyDescent="0.2">
      <c r="A16" s="14"/>
      <c r="B16" s="15"/>
      <c r="C16" s="76" t="s">
        <v>269</v>
      </c>
      <c r="D16" s="81" t="s">
        <v>49</v>
      </c>
      <c r="E16" s="13">
        <v>44433</v>
      </c>
      <c r="F16" s="79" t="s">
        <v>253</v>
      </c>
      <c r="G16" s="13">
        <v>44435</v>
      </c>
      <c r="H16" s="80" t="s">
        <v>172</v>
      </c>
      <c r="I16" s="17">
        <v>32</v>
      </c>
      <c r="J16" s="17">
        <v>53</v>
      </c>
      <c r="K16" s="17">
        <v>35</v>
      </c>
      <c r="L16" s="17">
        <v>27</v>
      </c>
      <c r="M16" s="84">
        <v>14.84</v>
      </c>
      <c r="N16" s="75">
        <v>27</v>
      </c>
      <c r="O16" s="67">
        <v>7000</v>
      </c>
      <c r="P16" s="68">
        <f>Table22457891011234567891012131415[[#This Row],[PEMBULATAN]]*O16</f>
        <v>189000</v>
      </c>
    </row>
    <row r="17" spans="1:16" ht="28.5" customHeight="1" x14ac:dyDescent="0.2">
      <c r="A17" s="14"/>
      <c r="B17" s="14" t="s">
        <v>270</v>
      </c>
      <c r="C17" s="76" t="s">
        <v>271</v>
      </c>
      <c r="D17" s="81" t="s">
        <v>49</v>
      </c>
      <c r="E17" s="13">
        <v>44433</v>
      </c>
      <c r="F17" s="79" t="s">
        <v>253</v>
      </c>
      <c r="G17" s="13">
        <v>44435</v>
      </c>
      <c r="H17" s="80" t="s">
        <v>172</v>
      </c>
      <c r="I17" s="17">
        <v>9</v>
      </c>
      <c r="J17" s="17">
        <v>45</v>
      </c>
      <c r="K17" s="17">
        <v>29</v>
      </c>
      <c r="L17" s="17">
        <v>20</v>
      </c>
      <c r="M17" s="84">
        <v>2.9362499999999998</v>
      </c>
      <c r="N17" s="75">
        <v>20</v>
      </c>
      <c r="O17" s="67">
        <v>7000</v>
      </c>
      <c r="P17" s="68">
        <f>Table22457891011234567891012131415[[#This Row],[PEMBULATAN]]*O17</f>
        <v>140000</v>
      </c>
    </row>
    <row r="18" spans="1:16" ht="28.5" customHeight="1" x14ac:dyDescent="0.2">
      <c r="A18" s="14"/>
      <c r="B18" s="14"/>
      <c r="C18" s="76" t="s">
        <v>272</v>
      </c>
      <c r="D18" s="81" t="s">
        <v>49</v>
      </c>
      <c r="E18" s="13">
        <v>44433</v>
      </c>
      <c r="F18" s="79" t="s">
        <v>253</v>
      </c>
      <c r="G18" s="13">
        <v>44435</v>
      </c>
      <c r="H18" s="80" t="s">
        <v>172</v>
      </c>
      <c r="I18" s="17">
        <v>1</v>
      </c>
      <c r="J18" s="17">
        <v>14</v>
      </c>
      <c r="K18" s="17">
        <v>21</v>
      </c>
      <c r="L18" s="17">
        <v>10</v>
      </c>
      <c r="M18" s="84">
        <v>7.3499999999999996E-2</v>
      </c>
      <c r="N18" s="75">
        <v>10</v>
      </c>
      <c r="O18" s="67">
        <v>7000</v>
      </c>
      <c r="P18" s="68">
        <f>Table22457891011234567891012131415[[#This Row],[PEMBULATAN]]*O18</f>
        <v>70000</v>
      </c>
    </row>
    <row r="19" spans="1:16" ht="28.5" customHeight="1" x14ac:dyDescent="0.2">
      <c r="A19" s="14"/>
      <c r="B19" s="14"/>
      <c r="C19" s="76" t="s">
        <v>273</v>
      </c>
      <c r="D19" s="81" t="s">
        <v>49</v>
      </c>
      <c r="E19" s="13">
        <v>44433</v>
      </c>
      <c r="F19" s="79" t="s">
        <v>253</v>
      </c>
      <c r="G19" s="13">
        <v>44435</v>
      </c>
      <c r="H19" s="80" t="s">
        <v>172</v>
      </c>
      <c r="I19" s="17">
        <v>1</v>
      </c>
      <c r="J19" s="17">
        <v>14</v>
      </c>
      <c r="K19" s="17">
        <v>21</v>
      </c>
      <c r="L19" s="17">
        <v>10</v>
      </c>
      <c r="M19" s="84">
        <v>7.3499999999999996E-2</v>
      </c>
      <c r="N19" s="75">
        <v>10</v>
      </c>
      <c r="O19" s="67">
        <v>7000</v>
      </c>
      <c r="P19" s="68">
        <f>Table22457891011234567891012131415[[#This Row],[PEMBULATAN]]*O19</f>
        <v>70000</v>
      </c>
    </row>
    <row r="20" spans="1:16" ht="22.5" customHeight="1" x14ac:dyDescent="0.2">
      <c r="A20" s="122" t="s">
        <v>30</v>
      </c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4"/>
      <c r="M20" s="82">
        <f>SUBTOTAL(109,Table22457891011234567891012131415[KG VOLUME])</f>
        <v>93.626750000000001</v>
      </c>
      <c r="N20" s="71">
        <f>SUM(N3:N19)</f>
        <v>362</v>
      </c>
      <c r="O20" s="125">
        <f>SUM(P3:P19)</f>
        <v>2534000</v>
      </c>
      <c r="P20" s="126"/>
    </row>
    <row r="21" spans="1:16" ht="18" customHeight="1" x14ac:dyDescent="0.2">
      <c r="A21" s="94"/>
      <c r="B21" s="59" t="s">
        <v>42</v>
      </c>
      <c r="C21" s="58"/>
      <c r="D21" s="60" t="s">
        <v>43</v>
      </c>
      <c r="E21" s="94"/>
      <c r="F21" s="94"/>
      <c r="G21" s="94"/>
      <c r="H21" s="94"/>
      <c r="I21" s="94"/>
      <c r="J21" s="94"/>
      <c r="K21" s="94"/>
      <c r="L21" s="94"/>
      <c r="M21" s="95"/>
      <c r="N21" s="96" t="s">
        <v>649</v>
      </c>
      <c r="O21" s="97"/>
      <c r="P21" s="97">
        <v>0</v>
      </c>
    </row>
    <row r="22" spans="1:16" ht="18" customHeight="1" thickBot="1" x14ac:dyDescent="0.25">
      <c r="A22" s="94"/>
      <c r="B22" s="59"/>
      <c r="C22" s="58"/>
      <c r="D22" s="60"/>
      <c r="E22" s="94"/>
      <c r="F22" s="94"/>
      <c r="G22" s="94"/>
      <c r="H22" s="94"/>
      <c r="I22" s="94"/>
      <c r="J22" s="94"/>
      <c r="K22" s="94"/>
      <c r="L22" s="94"/>
      <c r="M22" s="95"/>
      <c r="N22" s="98" t="s">
        <v>650</v>
      </c>
      <c r="O22" s="99"/>
      <c r="P22" s="99">
        <f>O20-P21</f>
        <v>2534000</v>
      </c>
    </row>
    <row r="23" spans="1:16" ht="18" customHeight="1" x14ac:dyDescent="0.2">
      <c r="A23" s="11"/>
      <c r="H23" s="66"/>
      <c r="N23" s="65" t="s">
        <v>31</v>
      </c>
      <c r="P23" s="72">
        <f>P22*1%</f>
        <v>25340</v>
      </c>
    </row>
    <row r="24" spans="1:16" ht="18" customHeight="1" thickBot="1" x14ac:dyDescent="0.25">
      <c r="A24" s="11"/>
      <c r="H24" s="66"/>
      <c r="N24" s="65" t="s">
        <v>651</v>
      </c>
      <c r="P24" s="74">
        <f>P22*2%</f>
        <v>50680</v>
      </c>
    </row>
    <row r="25" spans="1:16" ht="18" customHeight="1" x14ac:dyDescent="0.2">
      <c r="A25" s="11"/>
      <c r="H25" s="66"/>
      <c r="N25" s="69" t="s">
        <v>32</v>
      </c>
      <c r="O25" s="70"/>
      <c r="P25" s="73">
        <f>P22+P23-P24</f>
        <v>2508660</v>
      </c>
    </row>
    <row r="27" spans="1:16" x14ac:dyDescent="0.2">
      <c r="A27" s="11"/>
      <c r="H27" s="66"/>
      <c r="P27" s="74"/>
    </row>
    <row r="28" spans="1:16" x14ac:dyDescent="0.2">
      <c r="A28" s="11"/>
      <c r="H28" s="66"/>
      <c r="O28" s="61"/>
      <c r="P28" s="74"/>
    </row>
    <row r="29" spans="1:16" s="3" customFormat="1" x14ac:dyDescent="0.25">
      <c r="A29" s="11"/>
      <c r="B29" s="2"/>
      <c r="C29" s="2"/>
      <c r="E29" s="12"/>
      <c r="H29" s="66"/>
      <c r="N29" s="16"/>
      <c r="O29" s="16"/>
      <c r="P29" s="16"/>
    </row>
    <row r="30" spans="1:16" s="3" customFormat="1" x14ac:dyDescent="0.25">
      <c r="A30" s="11"/>
      <c r="B30" s="2"/>
      <c r="C30" s="2"/>
      <c r="E30" s="12"/>
      <c r="H30" s="66"/>
      <c r="N30" s="16"/>
      <c r="O30" s="16"/>
      <c r="P30" s="16"/>
    </row>
    <row r="31" spans="1:16" s="3" customFormat="1" x14ac:dyDescent="0.25">
      <c r="A31" s="11"/>
      <c r="B31" s="2"/>
      <c r="C31" s="2"/>
      <c r="E31" s="12"/>
      <c r="H31" s="66"/>
      <c r="N31" s="16"/>
      <c r="O31" s="16"/>
      <c r="P31" s="16"/>
    </row>
    <row r="32" spans="1:16" s="3" customFormat="1" x14ac:dyDescent="0.25">
      <c r="A32" s="11"/>
      <c r="B32" s="2"/>
      <c r="C32" s="2"/>
      <c r="E32" s="12"/>
      <c r="H32" s="66"/>
      <c r="N32" s="16"/>
      <c r="O32" s="16"/>
      <c r="P32" s="16"/>
    </row>
    <row r="33" spans="1:16" s="3" customFormat="1" x14ac:dyDescent="0.25">
      <c r="A33" s="11"/>
      <c r="B33" s="2"/>
      <c r="C33" s="2"/>
      <c r="E33" s="12"/>
      <c r="H33" s="66"/>
      <c r="N33" s="16"/>
      <c r="O33" s="16"/>
      <c r="P33" s="16"/>
    </row>
    <row r="34" spans="1:16" s="3" customFormat="1" x14ac:dyDescent="0.25">
      <c r="A34" s="11"/>
      <c r="B34" s="2"/>
      <c r="C34" s="2"/>
      <c r="E34" s="12"/>
      <c r="H34" s="66"/>
      <c r="N34" s="16"/>
      <c r="O34" s="16"/>
      <c r="P34" s="16"/>
    </row>
    <row r="35" spans="1:16" s="3" customFormat="1" x14ac:dyDescent="0.25">
      <c r="A35" s="11"/>
      <c r="B35" s="2"/>
      <c r="C35" s="2"/>
      <c r="E35" s="12"/>
      <c r="H35" s="66"/>
      <c r="N35" s="16"/>
      <c r="O35" s="16"/>
      <c r="P35" s="16"/>
    </row>
    <row r="36" spans="1:16" s="3" customFormat="1" x14ac:dyDescent="0.25">
      <c r="A36" s="11"/>
      <c r="B36" s="2"/>
      <c r="C36" s="2"/>
      <c r="E36" s="12"/>
      <c r="H36" s="66"/>
      <c r="N36" s="16"/>
      <c r="O36" s="16"/>
      <c r="P36" s="16"/>
    </row>
    <row r="37" spans="1:16" s="3" customFormat="1" x14ac:dyDescent="0.25">
      <c r="A37" s="11"/>
      <c r="B37" s="2"/>
      <c r="C37" s="2"/>
      <c r="E37" s="12"/>
      <c r="H37" s="66"/>
      <c r="N37" s="16"/>
      <c r="O37" s="16"/>
      <c r="P37" s="16"/>
    </row>
    <row r="38" spans="1:16" s="3" customFormat="1" x14ac:dyDescent="0.25">
      <c r="A38" s="11"/>
      <c r="B38" s="2"/>
      <c r="C38" s="2"/>
      <c r="E38" s="12"/>
      <c r="H38" s="66"/>
      <c r="N38" s="16"/>
      <c r="O38" s="16"/>
      <c r="P38" s="16"/>
    </row>
    <row r="39" spans="1:16" s="3" customFormat="1" x14ac:dyDescent="0.25">
      <c r="A39" s="11"/>
      <c r="B39" s="2"/>
      <c r="C39" s="2"/>
      <c r="E39" s="12"/>
      <c r="H39" s="66"/>
      <c r="N39" s="16"/>
      <c r="O39" s="16"/>
      <c r="P39" s="16"/>
    </row>
    <row r="40" spans="1:16" s="3" customFormat="1" x14ac:dyDescent="0.25">
      <c r="A40" s="11"/>
      <c r="B40" s="2"/>
      <c r="C40" s="2"/>
      <c r="E40" s="12"/>
      <c r="H40" s="66"/>
      <c r="N40" s="16"/>
      <c r="O40" s="16"/>
      <c r="P40" s="16"/>
    </row>
  </sheetData>
  <mergeCells count="3">
    <mergeCell ref="A3:A4"/>
    <mergeCell ref="A20:L20"/>
    <mergeCell ref="O20:P20"/>
  </mergeCells>
  <conditionalFormatting sqref="B3">
    <cfRule type="duplicateValues" dxfId="215" priority="2"/>
  </conditionalFormatting>
  <conditionalFormatting sqref="B4">
    <cfRule type="duplicateValues" dxfId="214" priority="1"/>
  </conditionalFormatting>
  <conditionalFormatting sqref="B5:B19">
    <cfRule type="duplicateValues" dxfId="213" priority="1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11" sqref="D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26.25" customHeight="1" x14ac:dyDescent="0.2">
      <c r="A3" s="120" t="s">
        <v>74</v>
      </c>
      <c r="B3" s="77" t="s">
        <v>54</v>
      </c>
      <c r="C3" s="9" t="s">
        <v>55</v>
      </c>
      <c r="D3" s="79" t="s">
        <v>49</v>
      </c>
      <c r="E3" s="13">
        <v>44425</v>
      </c>
      <c r="F3" s="79" t="s">
        <v>72</v>
      </c>
      <c r="G3" s="13">
        <v>44429</v>
      </c>
      <c r="H3" s="10" t="s">
        <v>73</v>
      </c>
      <c r="I3" s="1">
        <v>70</v>
      </c>
      <c r="J3" s="1">
        <v>38</v>
      </c>
      <c r="K3" s="1">
        <v>25</v>
      </c>
      <c r="L3" s="1">
        <v>12</v>
      </c>
      <c r="M3" s="83">
        <v>16.625</v>
      </c>
      <c r="N3" s="8">
        <v>17</v>
      </c>
      <c r="O3" s="67">
        <v>7000</v>
      </c>
      <c r="P3" s="68">
        <f>Table224578910112[[#This Row],[PEMBULATAN]]*O3</f>
        <v>119000</v>
      </c>
    </row>
    <row r="4" spans="1:16" ht="26.25" customHeight="1" x14ac:dyDescent="0.2">
      <c r="A4" s="121"/>
      <c r="B4" s="78"/>
      <c r="C4" s="9" t="s">
        <v>56</v>
      </c>
      <c r="D4" s="79" t="s">
        <v>49</v>
      </c>
      <c r="E4" s="13">
        <v>44425</v>
      </c>
      <c r="F4" s="79" t="s">
        <v>72</v>
      </c>
      <c r="G4" s="13">
        <v>44429</v>
      </c>
      <c r="H4" s="10" t="s">
        <v>73</v>
      </c>
      <c r="I4" s="1">
        <v>56</v>
      </c>
      <c r="J4" s="1">
        <v>32</v>
      </c>
      <c r="K4" s="1">
        <v>15</v>
      </c>
      <c r="L4" s="1">
        <v>4</v>
      </c>
      <c r="M4" s="83">
        <v>6.72</v>
      </c>
      <c r="N4" s="8">
        <v>7</v>
      </c>
      <c r="O4" s="67">
        <v>7000</v>
      </c>
      <c r="P4" s="68">
        <f>Table224578910112[[#This Row],[PEMBULATAN]]*O4</f>
        <v>49000</v>
      </c>
    </row>
    <row r="5" spans="1:16" ht="26.25" customHeight="1" x14ac:dyDescent="0.2">
      <c r="A5" s="14"/>
      <c r="B5" s="14"/>
      <c r="C5" s="9" t="s">
        <v>57</v>
      </c>
      <c r="D5" s="79" t="s">
        <v>49</v>
      </c>
      <c r="E5" s="13">
        <v>44425</v>
      </c>
      <c r="F5" s="79" t="s">
        <v>72</v>
      </c>
      <c r="G5" s="13">
        <v>44429</v>
      </c>
      <c r="H5" s="10" t="s">
        <v>73</v>
      </c>
      <c r="I5" s="1">
        <v>50</v>
      </c>
      <c r="J5" s="1">
        <v>33</v>
      </c>
      <c r="K5" s="1">
        <v>21</v>
      </c>
      <c r="L5" s="1">
        <v>11</v>
      </c>
      <c r="M5" s="83">
        <v>8.6624999999999996</v>
      </c>
      <c r="N5" s="8">
        <v>11</v>
      </c>
      <c r="O5" s="67">
        <v>7000</v>
      </c>
      <c r="P5" s="68">
        <f>Table224578910112[[#This Row],[PEMBULATAN]]*O5</f>
        <v>77000</v>
      </c>
    </row>
    <row r="6" spans="1:16" ht="26.25" customHeight="1" x14ac:dyDescent="0.2">
      <c r="A6" s="14"/>
      <c r="B6" s="14"/>
      <c r="C6" s="76" t="s">
        <v>58</v>
      </c>
      <c r="D6" s="81" t="s">
        <v>49</v>
      </c>
      <c r="E6" s="13">
        <v>44425</v>
      </c>
      <c r="F6" s="79" t="s">
        <v>72</v>
      </c>
      <c r="G6" s="13">
        <v>44429</v>
      </c>
      <c r="H6" s="80" t="s">
        <v>73</v>
      </c>
      <c r="I6" s="17">
        <v>32</v>
      </c>
      <c r="J6" s="17">
        <v>30</v>
      </c>
      <c r="K6" s="17">
        <v>32</v>
      </c>
      <c r="L6" s="17">
        <v>13</v>
      </c>
      <c r="M6" s="84">
        <v>7.68</v>
      </c>
      <c r="N6" s="75">
        <v>13</v>
      </c>
      <c r="O6" s="67">
        <v>7000</v>
      </c>
      <c r="P6" s="68">
        <f>Table224578910112[[#This Row],[PEMBULATAN]]*O6</f>
        <v>91000</v>
      </c>
    </row>
    <row r="7" spans="1:16" ht="26.25" customHeight="1" x14ac:dyDescent="0.2">
      <c r="A7" s="14"/>
      <c r="B7" s="14"/>
      <c r="C7" s="76" t="s">
        <v>59</v>
      </c>
      <c r="D7" s="81" t="s">
        <v>49</v>
      </c>
      <c r="E7" s="13">
        <v>44425</v>
      </c>
      <c r="F7" s="79" t="s">
        <v>72</v>
      </c>
      <c r="G7" s="13">
        <v>44429</v>
      </c>
      <c r="H7" s="80" t="s">
        <v>73</v>
      </c>
      <c r="I7" s="17">
        <v>74</v>
      </c>
      <c r="J7" s="17">
        <v>38</v>
      </c>
      <c r="K7" s="17">
        <v>24</v>
      </c>
      <c r="L7" s="17">
        <v>12</v>
      </c>
      <c r="M7" s="84">
        <v>16.872</v>
      </c>
      <c r="N7" s="75">
        <v>17</v>
      </c>
      <c r="O7" s="67">
        <v>7000</v>
      </c>
      <c r="P7" s="68">
        <f>Table224578910112[[#This Row],[PEMBULATAN]]*O7</f>
        <v>119000</v>
      </c>
    </row>
    <row r="8" spans="1:16" ht="26.25" customHeight="1" x14ac:dyDescent="0.2">
      <c r="A8" s="14"/>
      <c r="B8" s="14"/>
      <c r="C8" s="76" t="s">
        <v>60</v>
      </c>
      <c r="D8" s="81" t="s">
        <v>49</v>
      </c>
      <c r="E8" s="13">
        <v>44425</v>
      </c>
      <c r="F8" s="79" t="s">
        <v>72</v>
      </c>
      <c r="G8" s="13">
        <v>44429</v>
      </c>
      <c r="H8" s="80" t="s">
        <v>73</v>
      </c>
      <c r="I8" s="17">
        <v>63</v>
      </c>
      <c r="J8" s="17">
        <v>35</v>
      </c>
      <c r="K8" s="17">
        <v>22</v>
      </c>
      <c r="L8" s="17">
        <v>10</v>
      </c>
      <c r="M8" s="84">
        <v>12.1275</v>
      </c>
      <c r="N8" s="75">
        <v>12</v>
      </c>
      <c r="O8" s="67">
        <v>7000</v>
      </c>
      <c r="P8" s="68">
        <f>Table224578910112[[#This Row],[PEMBULATAN]]*O8</f>
        <v>84000</v>
      </c>
    </row>
    <row r="9" spans="1:16" ht="26.25" customHeight="1" x14ac:dyDescent="0.2">
      <c r="A9" s="14"/>
      <c r="B9" s="14"/>
      <c r="C9" s="76" t="s">
        <v>61</v>
      </c>
      <c r="D9" s="81" t="s">
        <v>49</v>
      </c>
      <c r="E9" s="13">
        <v>44425</v>
      </c>
      <c r="F9" s="79" t="s">
        <v>72</v>
      </c>
      <c r="G9" s="13">
        <v>44429</v>
      </c>
      <c r="H9" s="80" t="s">
        <v>73</v>
      </c>
      <c r="I9" s="17">
        <v>130</v>
      </c>
      <c r="J9" s="17">
        <v>37</v>
      </c>
      <c r="K9" s="17">
        <v>8</v>
      </c>
      <c r="L9" s="17">
        <v>7</v>
      </c>
      <c r="M9" s="84">
        <v>9.6199999999999992</v>
      </c>
      <c r="N9" s="75">
        <v>10</v>
      </c>
      <c r="O9" s="67">
        <v>7000</v>
      </c>
      <c r="P9" s="68">
        <f>Table224578910112[[#This Row],[PEMBULATAN]]*O9</f>
        <v>70000</v>
      </c>
    </row>
    <row r="10" spans="1:16" ht="26.25" customHeight="1" x14ac:dyDescent="0.2">
      <c r="A10" s="14"/>
      <c r="B10" s="14"/>
      <c r="C10" s="76" t="s">
        <v>62</v>
      </c>
      <c r="D10" s="81" t="s">
        <v>49</v>
      </c>
      <c r="E10" s="13">
        <v>44425</v>
      </c>
      <c r="F10" s="79" t="s">
        <v>72</v>
      </c>
      <c r="G10" s="13">
        <v>44429</v>
      </c>
      <c r="H10" s="80" t="s">
        <v>73</v>
      </c>
      <c r="I10" s="17">
        <v>143</v>
      </c>
      <c r="J10" s="17">
        <v>7</v>
      </c>
      <c r="K10" s="17">
        <v>5</v>
      </c>
      <c r="L10" s="17">
        <v>9</v>
      </c>
      <c r="M10" s="84">
        <v>1.25125</v>
      </c>
      <c r="N10" s="75">
        <v>9</v>
      </c>
      <c r="O10" s="67">
        <v>7000</v>
      </c>
      <c r="P10" s="68">
        <f>Table224578910112[[#This Row],[PEMBULATAN]]*O10</f>
        <v>63000</v>
      </c>
    </row>
    <row r="11" spans="1:16" ht="26.25" customHeight="1" x14ac:dyDescent="0.2">
      <c r="A11" s="14"/>
      <c r="B11" s="14"/>
      <c r="C11" s="76" t="s">
        <v>63</v>
      </c>
      <c r="D11" s="81" t="s">
        <v>49</v>
      </c>
      <c r="E11" s="13">
        <v>44425</v>
      </c>
      <c r="F11" s="79" t="s">
        <v>72</v>
      </c>
      <c r="G11" s="13">
        <v>44429</v>
      </c>
      <c r="H11" s="80" t="s">
        <v>73</v>
      </c>
      <c r="I11" s="17">
        <v>96</v>
      </c>
      <c r="J11" s="17">
        <v>20</v>
      </c>
      <c r="K11" s="17">
        <v>30</v>
      </c>
      <c r="L11" s="17">
        <v>30</v>
      </c>
      <c r="M11" s="84">
        <v>14.4</v>
      </c>
      <c r="N11" s="75">
        <v>30</v>
      </c>
      <c r="O11" s="67">
        <v>7000</v>
      </c>
      <c r="P11" s="68">
        <f>Table224578910112[[#This Row],[PEMBULATAN]]*O11</f>
        <v>210000</v>
      </c>
    </row>
    <row r="12" spans="1:16" ht="26.25" customHeight="1" x14ac:dyDescent="0.2">
      <c r="A12" s="14"/>
      <c r="B12" s="14"/>
      <c r="C12" s="76" t="s">
        <v>64</v>
      </c>
      <c r="D12" s="81" t="s">
        <v>49</v>
      </c>
      <c r="E12" s="13">
        <v>44425</v>
      </c>
      <c r="F12" s="79" t="s">
        <v>72</v>
      </c>
      <c r="G12" s="13">
        <v>44429</v>
      </c>
      <c r="H12" s="80" t="s">
        <v>73</v>
      </c>
      <c r="I12" s="17">
        <v>73</v>
      </c>
      <c r="J12" s="17">
        <v>65</v>
      </c>
      <c r="K12" s="17">
        <v>17</v>
      </c>
      <c r="L12" s="17">
        <v>14</v>
      </c>
      <c r="M12" s="84">
        <v>20.166250000000002</v>
      </c>
      <c r="N12" s="75">
        <v>20</v>
      </c>
      <c r="O12" s="67">
        <v>7000</v>
      </c>
      <c r="P12" s="68">
        <f>Table224578910112[[#This Row],[PEMBULATAN]]*O12</f>
        <v>140000</v>
      </c>
    </row>
    <row r="13" spans="1:16" ht="26.25" customHeight="1" x14ac:dyDescent="0.2">
      <c r="A13" s="14"/>
      <c r="B13" s="15"/>
      <c r="C13" s="76" t="s">
        <v>65</v>
      </c>
      <c r="D13" s="81" t="s">
        <v>49</v>
      </c>
      <c r="E13" s="13">
        <v>44425</v>
      </c>
      <c r="F13" s="79" t="s">
        <v>72</v>
      </c>
      <c r="G13" s="13">
        <v>44429</v>
      </c>
      <c r="H13" s="80" t="s">
        <v>73</v>
      </c>
      <c r="I13" s="17">
        <v>61</v>
      </c>
      <c r="J13" s="17">
        <v>62</v>
      </c>
      <c r="K13" s="17">
        <v>22</v>
      </c>
      <c r="L13" s="17">
        <v>14</v>
      </c>
      <c r="M13" s="84">
        <v>20.800999999999998</v>
      </c>
      <c r="N13" s="75">
        <v>21</v>
      </c>
      <c r="O13" s="67">
        <v>7000</v>
      </c>
      <c r="P13" s="68">
        <f>Table224578910112[[#This Row],[PEMBULATAN]]*O13</f>
        <v>147000</v>
      </c>
    </row>
    <row r="14" spans="1:16" ht="26.25" customHeight="1" x14ac:dyDescent="0.2">
      <c r="A14" s="14"/>
      <c r="B14" s="14" t="s">
        <v>66</v>
      </c>
      <c r="C14" s="76" t="s">
        <v>67</v>
      </c>
      <c r="D14" s="81" t="s">
        <v>49</v>
      </c>
      <c r="E14" s="13">
        <v>44425</v>
      </c>
      <c r="F14" s="79" t="s">
        <v>72</v>
      </c>
      <c r="G14" s="13">
        <v>44429</v>
      </c>
      <c r="H14" s="80" t="s">
        <v>73</v>
      </c>
      <c r="I14" s="17">
        <v>52</v>
      </c>
      <c r="J14" s="17">
        <v>48</v>
      </c>
      <c r="K14" s="17">
        <v>9</v>
      </c>
      <c r="L14" s="17">
        <v>7</v>
      </c>
      <c r="M14" s="84">
        <v>5.6159999999999997</v>
      </c>
      <c r="N14" s="75">
        <v>7</v>
      </c>
      <c r="O14" s="67">
        <v>7000</v>
      </c>
      <c r="P14" s="68">
        <f>Table224578910112[[#This Row],[PEMBULATAN]]*O14</f>
        <v>49000</v>
      </c>
    </row>
    <row r="15" spans="1:16" ht="26.25" customHeight="1" x14ac:dyDescent="0.2">
      <c r="A15" s="14"/>
      <c r="B15" s="14"/>
      <c r="C15" s="76" t="s">
        <v>68</v>
      </c>
      <c r="D15" s="81" t="s">
        <v>49</v>
      </c>
      <c r="E15" s="13">
        <v>44425</v>
      </c>
      <c r="F15" s="79" t="s">
        <v>72</v>
      </c>
      <c r="G15" s="13">
        <v>44429</v>
      </c>
      <c r="H15" s="80" t="s">
        <v>73</v>
      </c>
      <c r="I15" s="17">
        <v>92</v>
      </c>
      <c r="J15" s="17">
        <v>39</v>
      </c>
      <c r="K15" s="17">
        <v>30</v>
      </c>
      <c r="L15" s="17">
        <v>10</v>
      </c>
      <c r="M15" s="84">
        <v>26.91</v>
      </c>
      <c r="N15" s="75">
        <v>27</v>
      </c>
      <c r="O15" s="67">
        <v>7000</v>
      </c>
      <c r="P15" s="68">
        <f>Table224578910112[[#This Row],[PEMBULATAN]]*O15</f>
        <v>189000</v>
      </c>
    </row>
    <row r="16" spans="1:16" ht="26.25" customHeight="1" x14ac:dyDescent="0.2">
      <c r="A16" s="14"/>
      <c r="B16" s="14"/>
      <c r="C16" s="76" t="s">
        <v>69</v>
      </c>
      <c r="D16" s="81" t="s">
        <v>49</v>
      </c>
      <c r="E16" s="13">
        <v>44425</v>
      </c>
      <c r="F16" s="79" t="s">
        <v>72</v>
      </c>
      <c r="G16" s="13">
        <v>44429</v>
      </c>
      <c r="H16" s="80" t="s">
        <v>73</v>
      </c>
      <c r="I16" s="17">
        <v>90</v>
      </c>
      <c r="J16" s="17">
        <v>41</v>
      </c>
      <c r="K16" s="17">
        <v>23</v>
      </c>
      <c r="L16" s="17">
        <v>9</v>
      </c>
      <c r="M16" s="84">
        <v>21.217500000000001</v>
      </c>
      <c r="N16" s="75">
        <v>21</v>
      </c>
      <c r="O16" s="67">
        <v>7000</v>
      </c>
      <c r="P16" s="68">
        <f>Table224578910112[[#This Row],[PEMBULATAN]]*O16</f>
        <v>147000</v>
      </c>
    </row>
    <row r="17" spans="1:16" ht="26.25" customHeight="1" x14ac:dyDescent="0.2">
      <c r="A17" s="14"/>
      <c r="B17" s="14"/>
      <c r="C17" s="76" t="s">
        <v>70</v>
      </c>
      <c r="D17" s="81" t="s">
        <v>49</v>
      </c>
      <c r="E17" s="13">
        <v>44425</v>
      </c>
      <c r="F17" s="79" t="s">
        <v>72</v>
      </c>
      <c r="G17" s="13">
        <v>44429</v>
      </c>
      <c r="H17" s="80" t="s">
        <v>73</v>
      </c>
      <c r="I17" s="17">
        <v>42</v>
      </c>
      <c r="J17" s="17">
        <v>28</v>
      </c>
      <c r="K17" s="17">
        <v>28</v>
      </c>
      <c r="L17" s="17">
        <v>18</v>
      </c>
      <c r="M17" s="84">
        <v>8.2319999999999993</v>
      </c>
      <c r="N17" s="75">
        <v>18</v>
      </c>
      <c r="O17" s="67">
        <v>7000</v>
      </c>
      <c r="P17" s="68">
        <f>Table224578910112[[#This Row],[PEMBULATAN]]*O17</f>
        <v>126000</v>
      </c>
    </row>
    <row r="18" spans="1:16" ht="26.25" customHeight="1" x14ac:dyDescent="0.2">
      <c r="A18" s="14"/>
      <c r="B18" s="14"/>
      <c r="C18" s="76" t="s">
        <v>71</v>
      </c>
      <c r="D18" s="81" t="s">
        <v>49</v>
      </c>
      <c r="E18" s="13">
        <v>44425</v>
      </c>
      <c r="F18" s="79" t="s">
        <v>72</v>
      </c>
      <c r="G18" s="13">
        <v>44429</v>
      </c>
      <c r="H18" s="80" t="s">
        <v>73</v>
      </c>
      <c r="I18" s="17">
        <v>23</v>
      </c>
      <c r="J18" s="17">
        <v>10</v>
      </c>
      <c r="K18" s="17">
        <v>7</v>
      </c>
      <c r="L18" s="17">
        <v>2</v>
      </c>
      <c r="M18" s="84">
        <v>0.40250000000000002</v>
      </c>
      <c r="N18" s="75">
        <v>2</v>
      </c>
      <c r="O18" s="67">
        <v>7000</v>
      </c>
      <c r="P18" s="68">
        <f>Table224578910112[[#This Row],[PEMBULATAN]]*O18</f>
        <v>14000</v>
      </c>
    </row>
    <row r="19" spans="1:16" ht="22.5" customHeight="1" x14ac:dyDescent="0.2">
      <c r="A19" s="122" t="s">
        <v>30</v>
      </c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4"/>
      <c r="M19" s="82">
        <f>SUBTOTAL(109,Table224578910112[KG VOLUME])</f>
        <v>197.30349999999999</v>
      </c>
      <c r="N19" s="71">
        <f>SUM(N3:N18)</f>
        <v>242</v>
      </c>
      <c r="O19" s="125">
        <f>SUM(P3:P18)</f>
        <v>1694000</v>
      </c>
      <c r="P19" s="126"/>
    </row>
    <row r="20" spans="1:16" ht="18" customHeight="1" x14ac:dyDescent="0.2">
      <c r="A20" s="94"/>
      <c r="B20" s="59" t="s">
        <v>42</v>
      </c>
      <c r="C20" s="58"/>
      <c r="D20" s="60" t="s">
        <v>43</v>
      </c>
      <c r="E20" s="94"/>
      <c r="F20" s="94"/>
      <c r="G20" s="94"/>
      <c r="H20" s="94"/>
      <c r="I20" s="94"/>
      <c r="J20" s="94"/>
      <c r="K20" s="94"/>
      <c r="L20" s="94"/>
      <c r="M20" s="95"/>
      <c r="N20" s="96" t="s">
        <v>649</v>
      </c>
      <c r="O20" s="97"/>
      <c r="P20" s="97">
        <v>0</v>
      </c>
    </row>
    <row r="21" spans="1:16" ht="18" customHeight="1" thickBot="1" x14ac:dyDescent="0.25">
      <c r="A21" s="94"/>
      <c r="B21" s="59"/>
      <c r="C21" s="58"/>
      <c r="D21" s="60"/>
      <c r="E21" s="94"/>
      <c r="F21" s="94"/>
      <c r="G21" s="94"/>
      <c r="H21" s="94"/>
      <c r="I21" s="94"/>
      <c r="J21" s="94"/>
      <c r="K21" s="94"/>
      <c r="L21" s="94"/>
      <c r="M21" s="95"/>
      <c r="N21" s="98" t="s">
        <v>650</v>
      </c>
      <c r="O21" s="99"/>
      <c r="P21" s="99">
        <f>O19-P20</f>
        <v>1694000</v>
      </c>
    </row>
    <row r="22" spans="1:16" ht="18" customHeight="1" x14ac:dyDescent="0.2">
      <c r="A22" s="11"/>
      <c r="H22" s="66"/>
      <c r="N22" s="65" t="s">
        <v>31</v>
      </c>
      <c r="P22" s="72">
        <f>P21*1%</f>
        <v>16940</v>
      </c>
    </row>
    <row r="23" spans="1:16" ht="18" customHeight="1" thickBot="1" x14ac:dyDescent="0.25">
      <c r="A23" s="11"/>
      <c r="H23" s="66"/>
      <c r="N23" s="65" t="s">
        <v>651</v>
      </c>
      <c r="P23" s="74">
        <f>P21*2%</f>
        <v>33880</v>
      </c>
    </row>
    <row r="24" spans="1:16" ht="18" customHeight="1" x14ac:dyDescent="0.2">
      <c r="A24" s="11"/>
      <c r="H24" s="66"/>
      <c r="N24" s="69" t="s">
        <v>32</v>
      </c>
      <c r="O24" s="70"/>
      <c r="P24" s="73">
        <f>P21+P22-P23</f>
        <v>1677060</v>
      </c>
    </row>
    <row r="26" spans="1:16" x14ac:dyDescent="0.2">
      <c r="A26" s="11"/>
      <c r="H26" s="66"/>
      <c r="P26" s="74"/>
    </row>
    <row r="27" spans="1:16" x14ac:dyDescent="0.2">
      <c r="A27" s="11"/>
      <c r="H27" s="66"/>
      <c r="O27" s="61"/>
      <c r="P27" s="74"/>
    </row>
    <row r="28" spans="1:16" s="3" customFormat="1" x14ac:dyDescent="0.25">
      <c r="A28" s="11"/>
      <c r="B28" s="2"/>
      <c r="C28" s="2"/>
      <c r="E28" s="12"/>
      <c r="H28" s="66"/>
      <c r="N28" s="16"/>
      <c r="O28" s="16"/>
      <c r="P28" s="16"/>
    </row>
    <row r="29" spans="1:16" s="3" customFormat="1" x14ac:dyDescent="0.25">
      <c r="A29" s="11"/>
      <c r="B29" s="2"/>
      <c r="C29" s="2"/>
      <c r="E29" s="12"/>
      <c r="H29" s="66"/>
      <c r="N29" s="16"/>
      <c r="O29" s="16"/>
      <c r="P29" s="16"/>
    </row>
    <row r="30" spans="1:16" s="3" customFormat="1" x14ac:dyDescent="0.25">
      <c r="A30" s="11"/>
      <c r="B30" s="2"/>
      <c r="C30" s="2"/>
      <c r="E30" s="12"/>
      <c r="H30" s="66"/>
      <c r="N30" s="16"/>
      <c r="O30" s="16"/>
      <c r="P30" s="16"/>
    </row>
    <row r="31" spans="1:16" s="3" customFormat="1" x14ac:dyDescent="0.25">
      <c r="A31" s="11"/>
      <c r="B31" s="2"/>
      <c r="C31" s="2"/>
      <c r="E31" s="12"/>
      <c r="H31" s="66"/>
      <c r="N31" s="16"/>
      <c r="O31" s="16"/>
      <c r="P31" s="16"/>
    </row>
    <row r="32" spans="1:16" s="3" customFormat="1" x14ac:dyDescent="0.25">
      <c r="A32" s="11"/>
      <c r="B32" s="2"/>
      <c r="C32" s="2"/>
      <c r="E32" s="12"/>
      <c r="H32" s="66"/>
      <c r="N32" s="16"/>
      <c r="O32" s="16"/>
      <c r="P32" s="16"/>
    </row>
    <row r="33" spans="1:16" s="3" customFormat="1" x14ac:dyDescent="0.25">
      <c r="A33" s="11"/>
      <c r="B33" s="2"/>
      <c r="C33" s="2"/>
      <c r="E33" s="12"/>
      <c r="H33" s="66"/>
      <c r="N33" s="16"/>
      <c r="O33" s="16"/>
      <c r="P33" s="16"/>
    </row>
    <row r="34" spans="1:16" s="3" customFormat="1" x14ac:dyDescent="0.25">
      <c r="A34" s="11"/>
      <c r="B34" s="2"/>
      <c r="C34" s="2"/>
      <c r="E34" s="12"/>
      <c r="H34" s="66"/>
      <c r="N34" s="16"/>
      <c r="O34" s="16"/>
      <c r="P34" s="16"/>
    </row>
    <row r="35" spans="1:16" s="3" customFormat="1" x14ac:dyDescent="0.25">
      <c r="A35" s="11"/>
      <c r="B35" s="2"/>
      <c r="C35" s="2"/>
      <c r="E35" s="12"/>
      <c r="H35" s="66"/>
      <c r="N35" s="16"/>
      <c r="O35" s="16"/>
      <c r="P35" s="16"/>
    </row>
    <row r="36" spans="1:16" s="3" customFormat="1" x14ac:dyDescent="0.25">
      <c r="A36" s="11"/>
      <c r="B36" s="2"/>
      <c r="C36" s="2"/>
      <c r="E36" s="12"/>
      <c r="H36" s="66"/>
      <c r="N36" s="16"/>
      <c r="O36" s="16"/>
      <c r="P36" s="16"/>
    </row>
    <row r="37" spans="1:16" s="3" customFormat="1" x14ac:dyDescent="0.25">
      <c r="A37" s="11"/>
      <c r="B37" s="2"/>
      <c r="C37" s="2"/>
      <c r="E37" s="12"/>
      <c r="H37" s="66"/>
      <c r="N37" s="16"/>
      <c r="O37" s="16"/>
      <c r="P37" s="16"/>
    </row>
    <row r="38" spans="1:16" s="3" customFormat="1" x14ac:dyDescent="0.25">
      <c r="A38" s="11"/>
      <c r="B38" s="2"/>
      <c r="C38" s="2"/>
      <c r="E38" s="12"/>
      <c r="H38" s="66"/>
      <c r="N38" s="16"/>
      <c r="O38" s="16"/>
      <c r="P38" s="16"/>
    </row>
    <row r="39" spans="1:16" s="3" customFormat="1" x14ac:dyDescent="0.25">
      <c r="A39" s="11"/>
      <c r="B39" s="2"/>
      <c r="C39" s="2"/>
      <c r="E39" s="12"/>
      <c r="H39" s="66"/>
      <c r="N39" s="16"/>
      <c r="O39" s="16"/>
      <c r="P39" s="16"/>
    </row>
  </sheetData>
  <mergeCells count="3">
    <mergeCell ref="A3:A4"/>
    <mergeCell ref="A19:L19"/>
    <mergeCell ref="O19:P19"/>
  </mergeCells>
  <conditionalFormatting sqref="B3">
    <cfRule type="duplicateValues" dxfId="509" priority="2"/>
  </conditionalFormatting>
  <conditionalFormatting sqref="B4">
    <cfRule type="duplicateValues" dxfId="508" priority="1"/>
  </conditionalFormatting>
  <conditionalFormatting sqref="B5:B18">
    <cfRule type="duplicateValues" dxfId="507" priority="2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8"/>
  <sheetViews>
    <sheetView zoomScale="110" zoomScaleNormal="110" workbookViewId="0">
      <pane xSplit="3" ySplit="2" topLeftCell="D45" activePane="bottomRight" state="frozen"/>
      <selection pane="topRight" activeCell="B1" sqref="B1"/>
      <selection pane="bottomLeft" activeCell="A3" sqref="A3"/>
      <selection pane="bottomRight" activeCell="H53" sqref="H5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0.2851562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25.5" customHeight="1" x14ac:dyDescent="0.2">
      <c r="A3" s="120" t="s">
        <v>579</v>
      </c>
      <c r="B3" s="77" t="s">
        <v>274</v>
      </c>
      <c r="C3" s="9" t="s">
        <v>275</v>
      </c>
      <c r="D3" s="79" t="s">
        <v>49</v>
      </c>
      <c r="E3" s="13">
        <v>44434</v>
      </c>
      <c r="F3" s="79" t="s">
        <v>253</v>
      </c>
      <c r="G3" s="13">
        <v>44435</v>
      </c>
      <c r="H3" s="10" t="s">
        <v>322</v>
      </c>
      <c r="I3" s="1">
        <v>40</v>
      </c>
      <c r="J3" s="1">
        <v>27</v>
      </c>
      <c r="K3" s="1">
        <v>25</v>
      </c>
      <c r="L3" s="1">
        <v>9</v>
      </c>
      <c r="M3" s="83">
        <v>6.75</v>
      </c>
      <c r="N3" s="8">
        <v>9</v>
      </c>
      <c r="O3" s="67">
        <v>7000</v>
      </c>
      <c r="P3" s="68">
        <f>Table2245789101123456789101213141516[[#This Row],[PEMBULATAN]]*O3</f>
        <v>63000</v>
      </c>
    </row>
    <row r="4" spans="1:16" ht="25.5" customHeight="1" x14ac:dyDescent="0.2">
      <c r="A4" s="121"/>
      <c r="B4" s="78"/>
      <c r="C4" s="9" t="s">
        <v>276</v>
      </c>
      <c r="D4" s="79" t="s">
        <v>49</v>
      </c>
      <c r="E4" s="13">
        <v>44434</v>
      </c>
      <c r="F4" s="79" t="s">
        <v>253</v>
      </c>
      <c r="G4" s="13">
        <v>44435</v>
      </c>
      <c r="H4" s="10" t="s">
        <v>322</v>
      </c>
      <c r="I4" s="1">
        <v>53</v>
      </c>
      <c r="J4" s="1">
        <v>35</v>
      </c>
      <c r="K4" s="1">
        <v>30</v>
      </c>
      <c r="L4" s="1">
        <v>8</v>
      </c>
      <c r="M4" s="83">
        <v>13.9125</v>
      </c>
      <c r="N4" s="8">
        <v>14</v>
      </c>
      <c r="O4" s="67">
        <v>7000</v>
      </c>
      <c r="P4" s="68">
        <f>Table2245789101123456789101213141516[[#This Row],[PEMBULATAN]]*O4</f>
        <v>98000</v>
      </c>
    </row>
    <row r="5" spans="1:16" ht="25.5" customHeight="1" x14ac:dyDescent="0.2">
      <c r="A5" s="14"/>
      <c r="B5" s="14"/>
      <c r="C5" s="9" t="s">
        <v>277</v>
      </c>
      <c r="D5" s="79" t="s">
        <v>49</v>
      </c>
      <c r="E5" s="13">
        <v>44434</v>
      </c>
      <c r="F5" s="79" t="s">
        <v>253</v>
      </c>
      <c r="G5" s="13">
        <v>44435</v>
      </c>
      <c r="H5" s="10" t="s">
        <v>322</v>
      </c>
      <c r="I5" s="1">
        <v>62</v>
      </c>
      <c r="J5" s="1">
        <v>41</v>
      </c>
      <c r="K5" s="1">
        <v>16</v>
      </c>
      <c r="L5" s="1">
        <v>7</v>
      </c>
      <c r="M5" s="83">
        <v>10.167999999999999</v>
      </c>
      <c r="N5" s="8">
        <v>10</v>
      </c>
      <c r="O5" s="67">
        <v>7000</v>
      </c>
      <c r="P5" s="68">
        <f>Table2245789101123456789101213141516[[#This Row],[PEMBULATAN]]*O5</f>
        <v>70000</v>
      </c>
    </row>
    <row r="6" spans="1:16" ht="25.5" customHeight="1" x14ac:dyDescent="0.2">
      <c r="A6" s="14"/>
      <c r="B6" s="15"/>
      <c r="C6" s="76" t="s">
        <v>278</v>
      </c>
      <c r="D6" s="81" t="s">
        <v>49</v>
      </c>
      <c r="E6" s="13">
        <v>44434</v>
      </c>
      <c r="F6" s="79" t="s">
        <v>253</v>
      </c>
      <c r="G6" s="13">
        <v>44435</v>
      </c>
      <c r="H6" s="80" t="s">
        <v>322</v>
      </c>
      <c r="I6" s="17">
        <v>45</v>
      </c>
      <c r="J6" s="17">
        <v>40</v>
      </c>
      <c r="K6" s="17">
        <v>30</v>
      </c>
      <c r="L6" s="17">
        <v>8</v>
      </c>
      <c r="M6" s="84">
        <v>13.5</v>
      </c>
      <c r="N6" s="75">
        <v>14</v>
      </c>
      <c r="O6" s="67">
        <v>7000</v>
      </c>
      <c r="P6" s="68">
        <f>Table2245789101123456789101213141516[[#This Row],[PEMBULATAN]]*O6</f>
        <v>98000</v>
      </c>
    </row>
    <row r="7" spans="1:16" ht="25.5" customHeight="1" x14ac:dyDescent="0.2">
      <c r="A7" s="14"/>
      <c r="B7" s="14" t="s">
        <v>279</v>
      </c>
      <c r="C7" s="76" t="s">
        <v>280</v>
      </c>
      <c r="D7" s="81" t="s">
        <v>49</v>
      </c>
      <c r="E7" s="13">
        <v>44434</v>
      </c>
      <c r="F7" s="79" t="s">
        <v>253</v>
      </c>
      <c r="G7" s="13">
        <v>44435</v>
      </c>
      <c r="H7" s="80" t="s">
        <v>322</v>
      </c>
      <c r="I7" s="17">
        <v>65</v>
      </c>
      <c r="J7" s="17">
        <v>30</v>
      </c>
      <c r="K7" s="17">
        <v>30</v>
      </c>
      <c r="L7" s="17">
        <v>8</v>
      </c>
      <c r="M7" s="84">
        <v>14.625</v>
      </c>
      <c r="N7" s="75">
        <v>15</v>
      </c>
      <c r="O7" s="67">
        <v>7000</v>
      </c>
      <c r="P7" s="68">
        <f>Table2245789101123456789101213141516[[#This Row],[PEMBULATAN]]*O7</f>
        <v>105000</v>
      </c>
    </row>
    <row r="8" spans="1:16" ht="25.5" customHeight="1" x14ac:dyDescent="0.2">
      <c r="A8" s="14"/>
      <c r="B8" s="14"/>
      <c r="C8" s="76" t="s">
        <v>281</v>
      </c>
      <c r="D8" s="81" t="s">
        <v>49</v>
      </c>
      <c r="E8" s="13">
        <v>44434</v>
      </c>
      <c r="F8" s="79" t="s">
        <v>253</v>
      </c>
      <c r="G8" s="13">
        <v>44435</v>
      </c>
      <c r="H8" s="80" t="s">
        <v>322</v>
      </c>
      <c r="I8" s="17">
        <v>58</v>
      </c>
      <c r="J8" s="17">
        <v>36</v>
      </c>
      <c r="K8" s="17">
        <v>32</v>
      </c>
      <c r="L8" s="17">
        <v>9</v>
      </c>
      <c r="M8" s="84">
        <v>16.704000000000001</v>
      </c>
      <c r="N8" s="75">
        <v>17</v>
      </c>
      <c r="O8" s="67">
        <v>7000</v>
      </c>
      <c r="P8" s="68">
        <f>Table2245789101123456789101213141516[[#This Row],[PEMBULATAN]]*O8</f>
        <v>119000</v>
      </c>
    </row>
    <row r="9" spans="1:16" ht="25.5" customHeight="1" x14ac:dyDescent="0.2">
      <c r="A9" s="14"/>
      <c r="B9" s="14"/>
      <c r="C9" s="76" t="s">
        <v>282</v>
      </c>
      <c r="D9" s="81" t="s">
        <v>49</v>
      </c>
      <c r="E9" s="13">
        <v>44434</v>
      </c>
      <c r="F9" s="79" t="s">
        <v>253</v>
      </c>
      <c r="G9" s="13">
        <v>44435</v>
      </c>
      <c r="H9" s="80" t="s">
        <v>322</v>
      </c>
      <c r="I9" s="17">
        <v>45</v>
      </c>
      <c r="J9" s="17">
        <v>33</v>
      </c>
      <c r="K9" s="17">
        <v>35</v>
      </c>
      <c r="L9" s="17">
        <v>7</v>
      </c>
      <c r="M9" s="84">
        <v>12.99375</v>
      </c>
      <c r="N9" s="75">
        <v>13</v>
      </c>
      <c r="O9" s="67">
        <v>7000</v>
      </c>
      <c r="P9" s="68">
        <f>Table2245789101123456789101213141516[[#This Row],[PEMBULATAN]]*O9</f>
        <v>91000</v>
      </c>
    </row>
    <row r="10" spans="1:16" ht="25.5" customHeight="1" x14ac:dyDescent="0.2">
      <c r="A10" s="14"/>
      <c r="B10" s="14"/>
      <c r="C10" s="76" t="s">
        <v>283</v>
      </c>
      <c r="D10" s="81" t="s">
        <v>49</v>
      </c>
      <c r="E10" s="13">
        <v>44434</v>
      </c>
      <c r="F10" s="79" t="s">
        <v>253</v>
      </c>
      <c r="G10" s="13">
        <v>44435</v>
      </c>
      <c r="H10" s="80" t="s">
        <v>322</v>
      </c>
      <c r="I10" s="17">
        <v>70</v>
      </c>
      <c r="J10" s="17">
        <v>40</v>
      </c>
      <c r="K10" s="17">
        <v>32</v>
      </c>
      <c r="L10" s="17">
        <v>10</v>
      </c>
      <c r="M10" s="84">
        <v>22.4</v>
      </c>
      <c r="N10" s="75">
        <v>22</v>
      </c>
      <c r="O10" s="67">
        <v>7000</v>
      </c>
      <c r="P10" s="68">
        <f>Table2245789101123456789101213141516[[#This Row],[PEMBULATAN]]*O10</f>
        <v>154000</v>
      </c>
    </row>
    <row r="11" spans="1:16" ht="25.5" customHeight="1" x14ac:dyDescent="0.2">
      <c r="A11" s="14"/>
      <c r="B11" s="14"/>
      <c r="C11" s="76" t="s">
        <v>284</v>
      </c>
      <c r="D11" s="81" t="s">
        <v>49</v>
      </c>
      <c r="E11" s="13">
        <v>44434</v>
      </c>
      <c r="F11" s="79" t="s">
        <v>253</v>
      </c>
      <c r="G11" s="13">
        <v>44435</v>
      </c>
      <c r="H11" s="80" t="s">
        <v>322</v>
      </c>
      <c r="I11" s="17">
        <v>40</v>
      </c>
      <c r="J11" s="17">
        <v>32</v>
      </c>
      <c r="K11" s="17">
        <v>29</v>
      </c>
      <c r="L11" s="17">
        <v>6</v>
      </c>
      <c r="M11" s="84">
        <v>9.2799999999999994</v>
      </c>
      <c r="N11" s="75">
        <v>9</v>
      </c>
      <c r="O11" s="67">
        <v>7000</v>
      </c>
      <c r="P11" s="68">
        <f>Table2245789101123456789101213141516[[#This Row],[PEMBULATAN]]*O11</f>
        <v>63000</v>
      </c>
    </row>
    <row r="12" spans="1:16" ht="25.5" customHeight="1" x14ac:dyDescent="0.2">
      <c r="A12" s="14"/>
      <c r="B12" s="14"/>
      <c r="C12" s="76" t="s">
        <v>285</v>
      </c>
      <c r="D12" s="81" t="s">
        <v>49</v>
      </c>
      <c r="E12" s="13">
        <v>44434</v>
      </c>
      <c r="F12" s="79" t="s">
        <v>253</v>
      </c>
      <c r="G12" s="13">
        <v>44435</v>
      </c>
      <c r="H12" s="80" t="s">
        <v>322</v>
      </c>
      <c r="I12" s="17">
        <v>43</v>
      </c>
      <c r="J12" s="17">
        <v>52</v>
      </c>
      <c r="K12" s="17">
        <v>20</v>
      </c>
      <c r="L12" s="17">
        <v>7</v>
      </c>
      <c r="M12" s="84">
        <v>11.18</v>
      </c>
      <c r="N12" s="75">
        <v>11</v>
      </c>
      <c r="O12" s="67">
        <v>7000</v>
      </c>
      <c r="P12" s="68">
        <f>Table2245789101123456789101213141516[[#This Row],[PEMBULATAN]]*O12</f>
        <v>77000</v>
      </c>
    </row>
    <row r="13" spans="1:16" ht="25.5" customHeight="1" x14ac:dyDescent="0.2">
      <c r="A13" s="14"/>
      <c r="B13" s="14"/>
      <c r="C13" s="76" t="s">
        <v>286</v>
      </c>
      <c r="D13" s="81" t="s">
        <v>49</v>
      </c>
      <c r="E13" s="13">
        <v>44434</v>
      </c>
      <c r="F13" s="79" t="s">
        <v>253</v>
      </c>
      <c r="G13" s="13">
        <v>44435</v>
      </c>
      <c r="H13" s="80" t="s">
        <v>322</v>
      </c>
      <c r="I13" s="17">
        <v>45</v>
      </c>
      <c r="J13" s="17">
        <v>26</v>
      </c>
      <c r="K13" s="17">
        <v>45</v>
      </c>
      <c r="L13" s="17">
        <v>5</v>
      </c>
      <c r="M13" s="84">
        <v>13.1625</v>
      </c>
      <c r="N13" s="75">
        <v>13</v>
      </c>
      <c r="O13" s="67">
        <v>7000</v>
      </c>
      <c r="P13" s="68">
        <f>Table2245789101123456789101213141516[[#This Row],[PEMBULATAN]]*O13</f>
        <v>91000</v>
      </c>
    </row>
    <row r="14" spans="1:16" ht="25.5" customHeight="1" x14ac:dyDescent="0.2">
      <c r="A14" s="14"/>
      <c r="B14" s="14"/>
      <c r="C14" s="76" t="s">
        <v>287</v>
      </c>
      <c r="D14" s="81" t="s">
        <v>49</v>
      </c>
      <c r="E14" s="13">
        <v>44434</v>
      </c>
      <c r="F14" s="79" t="s">
        <v>253</v>
      </c>
      <c r="G14" s="13">
        <v>44435</v>
      </c>
      <c r="H14" s="80" t="s">
        <v>322</v>
      </c>
      <c r="I14" s="17">
        <v>40</v>
      </c>
      <c r="J14" s="17">
        <v>53</v>
      </c>
      <c r="K14" s="17">
        <v>17</v>
      </c>
      <c r="L14" s="17">
        <v>5</v>
      </c>
      <c r="M14" s="84">
        <v>9.01</v>
      </c>
      <c r="N14" s="75">
        <v>9</v>
      </c>
      <c r="O14" s="67">
        <v>7000</v>
      </c>
      <c r="P14" s="68">
        <f>Table2245789101123456789101213141516[[#This Row],[PEMBULATAN]]*O14</f>
        <v>63000</v>
      </c>
    </row>
    <row r="15" spans="1:16" ht="25.5" customHeight="1" x14ac:dyDescent="0.2">
      <c r="A15" s="14"/>
      <c r="B15" s="14"/>
      <c r="C15" s="76" t="s">
        <v>288</v>
      </c>
      <c r="D15" s="81" t="s">
        <v>49</v>
      </c>
      <c r="E15" s="13">
        <v>44434</v>
      </c>
      <c r="F15" s="79" t="s">
        <v>253</v>
      </c>
      <c r="G15" s="13">
        <v>44435</v>
      </c>
      <c r="H15" s="80" t="s">
        <v>322</v>
      </c>
      <c r="I15" s="17">
        <v>75</v>
      </c>
      <c r="J15" s="17">
        <v>43</v>
      </c>
      <c r="K15" s="17">
        <v>31</v>
      </c>
      <c r="L15" s="17">
        <v>10</v>
      </c>
      <c r="M15" s="84">
        <v>24.993749999999999</v>
      </c>
      <c r="N15" s="75">
        <v>25</v>
      </c>
      <c r="O15" s="67">
        <v>7000</v>
      </c>
      <c r="P15" s="68">
        <f>Table2245789101123456789101213141516[[#This Row],[PEMBULATAN]]*O15</f>
        <v>175000</v>
      </c>
    </row>
    <row r="16" spans="1:16" ht="25.5" customHeight="1" x14ac:dyDescent="0.2">
      <c r="A16" s="14"/>
      <c r="B16" s="14"/>
      <c r="C16" s="76" t="s">
        <v>289</v>
      </c>
      <c r="D16" s="81" t="s">
        <v>49</v>
      </c>
      <c r="E16" s="13">
        <v>44434</v>
      </c>
      <c r="F16" s="79" t="s">
        <v>253</v>
      </c>
      <c r="G16" s="13">
        <v>44435</v>
      </c>
      <c r="H16" s="80" t="s">
        <v>322</v>
      </c>
      <c r="I16" s="17">
        <v>41</v>
      </c>
      <c r="J16" s="17">
        <v>32</v>
      </c>
      <c r="K16" s="17">
        <v>30</v>
      </c>
      <c r="L16" s="17">
        <v>5</v>
      </c>
      <c r="M16" s="84">
        <v>9.84</v>
      </c>
      <c r="N16" s="75">
        <v>10</v>
      </c>
      <c r="O16" s="67">
        <v>7000</v>
      </c>
      <c r="P16" s="68">
        <f>Table2245789101123456789101213141516[[#This Row],[PEMBULATAN]]*O16</f>
        <v>70000</v>
      </c>
    </row>
    <row r="17" spans="1:16" ht="25.5" customHeight="1" x14ac:dyDescent="0.2">
      <c r="A17" s="14"/>
      <c r="B17" s="14"/>
      <c r="C17" s="76" t="s">
        <v>290</v>
      </c>
      <c r="D17" s="81" t="s">
        <v>49</v>
      </c>
      <c r="E17" s="13">
        <v>44434</v>
      </c>
      <c r="F17" s="79" t="s">
        <v>253</v>
      </c>
      <c r="G17" s="13">
        <v>44435</v>
      </c>
      <c r="H17" s="80" t="s">
        <v>322</v>
      </c>
      <c r="I17" s="17">
        <v>36</v>
      </c>
      <c r="J17" s="17">
        <v>30</v>
      </c>
      <c r="K17" s="17">
        <v>23</v>
      </c>
      <c r="L17" s="17">
        <v>8</v>
      </c>
      <c r="M17" s="84">
        <v>6.21</v>
      </c>
      <c r="N17" s="75">
        <v>8</v>
      </c>
      <c r="O17" s="67">
        <v>7000</v>
      </c>
      <c r="P17" s="68">
        <f>Table2245789101123456789101213141516[[#This Row],[PEMBULATAN]]*O17</f>
        <v>56000</v>
      </c>
    </row>
    <row r="18" spans="1:16" ht="25.5" customHeight="1" x14ac:dyDescent="0.2">
      <c r="A18" s="14"/>
      <c r="B18" s="14"/>
      <c r="C18" s="76" t="s">
        <v>291</v>
      </c>
      <c r="D18" s="81" t="s">
        <v>49</v>
      </c>
      <c r="E18" s="13">
        <v>44434</v>
      </c>
      <c r="F18" s="79" t="s">
        <v>253</v>
      </c>
      <c r="G18" s="13">
        <v>44435</v>
      </c>
      <c r="H18" s="80" t="s">
        <v>322</v>
      </c>
      <c r="I18" s="17">
        <v>55</v>
      </c>
      <c r="J18" s="17">
        <v>38</v>
      </c>
      <c r="K18" s="17">
        <v>15</v>
      </c>
      <c r="L18" s="17">
        <v>20</v>
      </c>
      <c r="M18" s="84">
        <v>7.8375000000000004</v>
      </c>
      <c r="N18" s="75">
        <v>20</v>
      </c>
      <c r="O18" s="67">
        <v>7000</v>
      </c>
      <c r="P18" s="68">
        <f>Table2245789101123456789101213141516[[#This Row],[PEMBULATAN]]*O18</f>
        <v>140000</v>
      </c>
    </row>
    <row r="19" spans="1:16" ht="25.5" customHeight="1" x14ac:dyDescent="0.2">
      <c r="A19" s="14"/>
      <c r="B19" s="14"/>
      <c r="C19" s="76" t="s">
        <v>292</v>
      </c>
      <c r="D19" s="81" t="s">
        <v>49</v>
      </c>
      <c r="E19" s="13">
        <v>44434</v>
      </c>
      <c r="F19" s="79" t="s">
        <v>253</v>
      </c>
      <c r="G19" s="13">
        <v>44435</v>
      </c>
      <c r="H19" s="80" t="s">
        <v>322</v>
      </c>
      <c r="I19" s="17">
        <v>83</v>
      </c>
      <c r="J19" s="17">
        <v>50</v>
      </c>
      <c r="K19" s="17">
        <v>29</v>
      </c>
      <c r="L19" s="17">
        <v>28</v>
      </c>
      <c r="M19" s="84">
        <v>30.087499999999999</v>
      </c>
      <c r="N19" s="75">
        <v>30</v>
      </c>
      <c r="O19" s="67">
        <v>7000</v>
      </c>
      <c r="P19" s="68">
        <f>Table2245789101123456789101213141516[[#This Row],[PEMBULATAN]]*O19</f>
        <v>210000</v>
      </c>
    </row>
    <row r="20" spans="1:16" ht="25.5" customHeight="1" x14ac:dyDescent="0.2">
      <c r="A20" s="14"/>
      <c r="B20" s="14"/>
      <c r="C20" s="76" t="s">
        <v>293</v>
      </c>
      <c r="D20" s="81" t="s">
        <v>49</v>
      </c>
      <c r="E20" s="13">
        <v>44434</v>
      </c>
      <c r="F20" s="79" t="s">
        <v>253</v>
      </c>
      <c r="G20" s="13">
        <v>44435</v>
      </c>
      <c r="H20" s="80" t="s">
        <v>322</v>
      </c>
      <c r="I20" s="17">
        <v>43</v>
      </c>
      <c r="J20" s="17">
        <v>60</v>
      </c>
      <c r="K20" s="17">
        <v>40</v>
      </c>
      <c r="L20" s="17">
        <v>18</v>
      </c>
      <c r="M20" s="84">
        <v>25.8</v>
      </c>
      <c r="N20" s="75">
        <v>26</v>
      </c>
      <c r="O20" s="67">
        <v>7000</v>
      </c>
      <c r="P20" s="68">
        <f>Table2245789101123456789101213141516[[#This Row],[PEMBULATAN]]*O20</f>
        <v>182000</v>
      </c>
    </row>
    <row r="21" spans="1:16" ht="25.5" customHeight="1" x14ac:dyDescent="0.2">
      <c r="A21" s="14"/>
      <c r="B21" s="14"/>
      <c r="C21" s="76" t="s">
        <v>294</v>
      </c>
      <c r="D21" s="81" t="s">
        <v>49</v>
      </c>
      <c r="E21" s="13">
        <v>44434</v>
      </c>
      <c r="F21" s="79" t="s">
        <v>253</v>
      </c>
      <c r="G21" s="13">
        <v>44435</v>
      </c>
      <c r="H21" s="80" t="s">
        <v>322</v>
      </c>
      <c r="I21" s="17">
        <v>60</v>
      </c>
      <c r="J21" s="17">
        <v>60</v>
      </c>
      <c r="K21" s="17">
        <v>64</v>
      </c>
      <c r="L21" s="17">
        <v>35</v>
      </c>
      <c r="M21" s="84">
        <v>57.6</v>
      </c>
      <c r="N21" s="75">
        <v>58</v>
      </c>
      <c r="O21" s="67">
        <v>7000</v>
      </c>
      <c r="P21" s="68">
        <f>Table2245789101123456789101213141516[[#This Row],[PEMBULATAN]]*O21</f>
        <v>406000</v>
      </c>
    </row>
    <row r="22" spans="1:16" ht="25.5" customHeight="1" x14ac:dyDescent="0.2">
      <c r="A22" s="14"/>
      <c r="B22" s="14"/>
      <c r="C22" s="76" t="s">
        <v>295</v>
      </c>
      <c r="D22" s="81" t="s">
        <v>49</v>
      </c>
      <c r="E22" s="13">
        <v>44434</v>
      </c>
      <c r="F22" s="79" t="s">
        <v>253</v>
      </c>
      <c r="G22" s="13">
        <v>44435</v>
      </c>
      <c r="H22" s="80" t="s">
        <v>322</v>
      </c>
      <c r="I22" s="17">
        <v>40</v>
      </c>
      <c r="J22" s="17">
        <v>22</v>
      </c>
      <c r="K22" s="17">
        <v>76</v>
      </c>
      <c r="L22" s="17">
        <v>32</v>
      </c>
      <c r="M22" s="84">
        <v>16.72</v>
      </c>
      <c r="N22" s="75">
        <v>32</v>
      </c>
      <c r="O22" s="67">
        <v>7000</v>
      </c>
      <c r="P22" s="68">
        <f>Table2245789101123456789101213141516[[#This Row],[PEMBULATAN]]*O22</f>
        <v>224000</v>
      </c>
    </row>
    <row r="23" spans="1:16" ht="25.5" customHeight="1" x14ac:dyDescent="0.2">
      <c r="A23" s="14"/>
      <c r="B23" s="14"/>
      <c r="C23" s="76" t="s">
        <v>296</v>
      </c>
      <c r="D23" s="81" t="s">
        <v>49</v>
      </c>
      <c r="E23" s="13">
        <v>44434</v>
      </c>
      <c r="F23" s="79" t="s">
        <v>253</v>
      </c>
      <c r="G23" s="13">
        <v>44435</v>
      </c>
      <c r="H23" s="80" t="s">
        <v>322</v>
      </c>
      <c r="I23" s="17">
        <v>80</v>
      </c>
      <c r="J23" s="17">
        <v>68</v>
      </c>
      <c r="K23" s="17">
        <v>22</v>
      </c>
      <c r="L23" s="17">
        <v>26</v>
      </c>
      <c r="M23" s="84">
        <v>29.92</v>
      </c>
      <c r="N23" s="75">
        <v>30</v>
      </c>
      <c r="O23" s="67">
        <v>7000</v>
      </c>
      <c r="P23" s="68">
        <f>Table2245789101123456789101213141516[[#This Row],[PEMBULATAN]]*O23</f>
        <v>210000</v>
      </c>
    </row>
    <row r="24" spans="1:16" ht="25.5" customHeight="1" x14ac:dyDescent="0.2">
      <c r="A24" s="14"/>
      <c r="B24" s="14"/>
      <c r="C24" s="76" t="s">
        <v>297</v>
      </c>
      <c r="D24" s="81" t="s">
        <v>49</v>
      </c>
      <c r="E24" s="13">
        <v>44434</v>
      </c>
      <c r="F24" s="79" t="s">
        <v>253</v>
      </c>
      <c r="G24" s="13">
        <v>44435</v>
      </c>
      <c r="H24" s="80" t="s">
        <v>322</v>
      </c>
      <c r="I24" s="17">
        <v>22</v>
      </c>
      <c r="J24" s="17">
        <v>130</v>
      </c>
      <c r="K24" s="17">
        <v>55</v>
      </c>
      <c r="L24" s="17">
        <v>18</v>
      </c>
      <c r="M24" s="84">
        <v>39.325000000000003</v>
      </c>
      <c r="N24" s="75">
        <v>39</v>
      </c>
      <c r="O24" s="67">
        <v>7000</v>
      </c>
      <c r="P24" s="68">
        <f>Table2245789101123456789101213141516[[#This Row],[PEMBULATAN]]*O24</f>
        <v>273000</v>
      </c>
    </row>
    <row r="25" spans="1:16" ht="25.5" customHeight="1" x14ac:dyDescent="0.2">
      <c r="A25" s="14"/>
      <c r="B25" s="14"/>
      <c r="C25" s="76" t="s">
        <v>298</v>
      </c>
      <c r="D25" s="81" t="s">
        <v>49</v>
      </c>
      <c r="E25" s="13">
        <v>44434</v>
      </c>
      <c r="F25" s="79" t="s">
        <v>253</v>
      </c>
      <c r="G25" s="13">
        <v>44435</v>
      </c>
      <c r="H25" s="80" t="s">
        <v>322</v>
      </c>
      <c r="I25" s="17">
        <v>40</v>
      </c>
      <c r="J25" s="17">
        <v>53</v>
      </c>
      <c r="K25" s="17">
        <v>40</v>
      </c>
      <c r="L25" s="17">
        <v>7</v>
      </c>
      <c r="M25" s="84">
        <v>21.2</v>
      </c>
      <c r="N25" s="75">
        <v>21</v>
      </c>
      <c r="O25" s="67">
        <v>7000</v>
      </c>
      <c r="P25" s="68">
        <f>Table2245789101123456789101213141516[[#This Row],[PEMBULATAN]]*O25</f>
        <v>147000</v>
      </c>
    </row>
    <row r="26" spans="1:16" ht="25.5" customHeight="1" x14ac:dyDescent="0.2">
      <c r="A26" s="14"/>
      <c r="B26" s="14"/>
      <c r="C26" s="76" t="s">
        <v>299</v>
      </c>
      <c r="D26" s="81" t="s">
        <v>49</v>
      </c>
      <c r="E26" s="13">
        <v>44434</v>
      </c>
      <c r="F26" s="79" t="s">
        <v>253</v>
      </c>
      <c r="G26" s="13">
        <v>44435</v>
      </c>
      <c r="H26" s="80" t="s">
        <v>322</v>
      </c>
      <c r="I26" s="17">
        <v>39</v>
      </c>
      <c r="J26" s="17">
        <v>54</v>
      </c>
      <c r="K26" s="17">
        <v>38</v>
      </c>
      <c r="L26" s="17">
        <v>8</v>
      </c>
      <c r="M26" s="84">
        <v>20.007000000000001</v>
      </c>
      <c r="N26" s="75">
        <v>20</v>
      </c>
      <c r="O26" s="67">
        <v>7000</v>
      </c>
      <c r="P26" s="68">
        <f>Table2245789101123456789101213141516[[#This Row],[PEMBULATAN]]*O26</f>
        <v>140000</v>
      </c>
    </row>
    <row r="27" spans="1:16" ht="25.5" customHeight="1" x14ac:dyDescent="0.2">
      <c r="A27" s="14"/>
      <c r="B27" s="14"/>
      <c r="C27" s="76" t="s">
        <v>300</v>
      </c>
      <c r="D27" s="81" t="s">
        <v>49</v>
      </c>
      <c r="E27" s="13">
        <v>44434</v>
      </c>
      <c r="F27" s="79" t="s">
        <v>253</v>
      </c>
      <c r="G27" s="13">
        <v>44435</v>
      </c>
      <c r="H27" s="80" t="s">
        <v>322</v>
      </c>
      <c r="I27" s="17">
        <v>50</v>
      </c>
      <c r="J27" s="17">
        <v>30</v>
      </c>
      <c r="K27" s="17">
        <v>23</v>
      </c>
      <c r="L27" s="17">
        <v>4</v>
      </c>
      <c r="M27" s="84">
        <v>8.625</v>
      </c>
      <c r="N27" s="75">
        <v>9</v>
      </c>
      <c r="O27" s="67">
        <v>7000</v>
      </c>
      <c r="P27" s="68">
        <f>Table2245789101123456789101213141516[[#This Row],[PEMBULATAN]]*O27</f>
        <v>63000</v>
      </c>
    </row>
    <row r="28" spans="1:16" ht="25.5" customHeight="1" x14ac:dyDescent="0.2">
      <c r="A28" s="14"/>
      <c r="B28" s="14"/>
      <c r="C28" s="76" t="s">
        <v>301</v>
      </c>
      <c r="D28" s="81" t="s">
        <v>49</v>
      </c>
      <c r="E28" s="13">
        <v>44434</v>
      </c>
      <c r="F28" s="79" t="s">
        <v>253</v>
      </c>
      <c r="G28" s="13">
        <v>44435</v>
      </c>
      <c r="H28" s="80" t="s">
        <v>322</v>
      </c>
      <c r="I28" s="17">
        <v>45</v>
      </c>
      <c r="J28" s="17">
        <v>30</v>
      </c>
      <c r="K28" s="17">
        <v>19</v>
      </c>
      <c r="L28" s="17">
        <v>10</v>
      </c>
      <c r="M28" s="84">
        <v>6.4124999999999996</v>
      </c>
      <c r="N28" s="75">
        <v>10</v>
      </c>
      <c r="O28" s="67">
        <v>7000</v>
      </c>
      <c r="P28" s="68">
        <f>Table2245789101123456789101213141516[[#This Row],[PEMBULATAN]]*O28</f>
        <v>70000</v>
      </c>
    </row>
    <row r="29" spans="1:16" ht="25.5" customHeight="1" x14ac:dyDescent="0.2">
      <c r="A29" s="14"/>
      <c r="B29" s="14"/>
      <c r="C29" s="76" t="s">
        <v>302</v>
      </c>
      <c r="D29" s="81" t="s">
        <v>49</v>
      </c>
      <c r="E29" s="13">
        <v>44434</v>
      </c>
      <c r="F29" s="79" t="s">
        <v>253</v>
      </c>
      <c r="G29" s="13">
        <v>44435</v>
      </c>
      <c r="H29" s="80" t="s">
        <v>322</v>
      </c>
      <c r="I29" s="17">
        <v>93</v>
      </c>
      <c r="J29" s="17">
        <v>48</v>
      </c>
      <c r="K29" s="17">
        <v>72</v>
      </c>
      <c r="L29" s="17">
        <v>47</v>
      </c>
      <c r="M29" s="84">
        <v>80.352000000000004</v>
      </c>
      <c r="N29" s="75">
        <v>80</v>
      </c>
      <c r="O29" s="67">
        <v>7000</v>
      </c>
      <c r="P29" s="68">
        <f>Table2245789101123456789101213141516[[#This Row],[PEMBULATAN]]*O29</f>
        <v>560000</v>
      </c>
    </row>
    <row r="30" spans="1:16" ht="25.5" customHeight="1" x14ac:dyDescent="0.2">
      <c r="A30" s="14"/>
      <c r="B30" s="14"/>
      <c r="C30" s="76" t="s">
        <v>303</v>
      </c>
      <c r="D30" s="81" t="s">
        <v>49</v>
      </c>
      <c r="E30" s="13">
        <v>44434</v>
      </c>
      <c r="F30" s="79" t="s">
        <v>253</v>
      </c>
      <c r="G30" s="13">
        <v>44435</v>
      </c>
      <c r="H30" s="80" t="s">
        <v>322</v>
      </c>
      <c r="I30" s="17">
        <v>76</v>
      </c>
      <c r="J30" s="17">
        <v>40</v>
      </c>
      <c r="K30" s="17">
        <v>22</v>
      </c>
      <c r="L30" s="17">
        <v>10</v>
      </c>
      <c r="M30" s="84">
        <v>16.72</v>
      </c>
      <c r="N30" s="75">
        <v>17</v>
      </c>
      <c r="O30" s="67">
        <v>7000</v>
      </c>
      <c r="P30" s="68">
        <f>Table2245789101123456789101213141516[[#This Row],[PEMBULATAN]]*O30</f>
        <v>119000</v>
      </c>
    </row>
    <row r="31" spans="1:16" ht="25.5" customHeight="1" x14ac:dyDescent="0.2">
      <c r="A31" s="14"/>
      <c r="B31" s="14"/>
      <c r="C31" s="76" t="s">
        <v>304</v>
      </c>
      <c r="D31" s="81" t="s">
        <v>49</v>
      </c>
      <c r="E31" s="13">
        <v>44434</v>
      </c>
      <c r="F31" s="79" t="s">
        <v>253</v>
      </c>
      <c r="G31" s="13">
        <v>44435</v>
      </c>
      <c r="H31" s="80" t="s">
        <v>322</v>
      </c>
      <c r="I31" s="17">
        <v>38</v>
      </c>
      <c r="J31" s="17">
        <v>33</v>
      </c>
      <c r="K31" s="17">
        <v>72</v>
      </c>
      <c r="L31" s="17">
        <v>14</v>
      </c>
      <c r="M31" s="84">
        <v>22.571999999999999</v>
      </c>
      <c r="N31" s="75">
        <v>23</v>
      </c>
      <c r="O31" s="67">
        <v>7000</v>
      </c>
      <c r="P31" s="68">
        <f>Table2245789101123456789101213141516[[#This Row],[PEMBULATAN]]*O31</f>
        <v>161000</v>
      </c>
    </row>
    <row r="32" spans="1:16" ht="25.5" customHeight="1" x14ac:dyDescent="0.2">
      <c r="A32" s="14"/>
      <c r="B32" s="14"/>
      <c r="C32" s="76" t="s">
        <v>305</v>
      </c>
      <c r="D32" s="81" t="s">
        <v>49</v>
      </c>
      <c r="E32" s="13">
        <v>44434</v>
      </c>
      <c r="F32" s="79" t="s">
        <v>253</v>
      </c>
      <c r="G32" s="13">
        <v>44435</v>
      </c>
      <c r="H32" s="80" t="s">
        <v>322</v>
      </c>
      <c r="I32" s="17">
        <v>50</v>
      </c>
      <c r="J32" s="17">
        <v>38</v>
      </c>
      <c r="K32" s="17">
        <v>34</v>
      </c>
      <c r="L32" s="17">
        <v>10</v>
      </c>
      <c r="M32" s="84">
        <v>16.149999999999999</v>
      </c>
      <c r="N32" s="75">
        <v>16</v>
      </c>
      <c r="O32" s="67">
        <v>7000</v>
      </c>
      <c r="P32" s="68">
        <f>Table2245789101123456789101213141516[[#This Row],[PEMBULATAN]]*O32</f>
        <v>112000</v>
      </c>
    </row>
    <row r="33" spans="1:16" ht="25.5" customHeight="1" x14ac:dyDescent="0.2">
      <c r="A33" s="14"/>
      <c r="B33" s="14"/>
      <c r="C33" s="76" t="s">
        <v>306</v>
      </c>
      <c r="D33" s="81" t="s">
        <v>49</v>
      </c>
      <c r="E33" s="13">
        <v>44434</v>
      </c>
      <c r="F33" s="79" t="s">
        <v>253</v>
      </c>
      <c r="G33" s="13">
        <v>44435</v>
      </c>
      <c r="H33" s="80" t="s">
        <v>322</v>
      </c>
      <c r="I33" s="17">
        <v>60</v>
      </c>
      <c r="J33" s="17">
        <v>45</v>
      </c>
      <c r="K33" s="17">
        <v>41</v>
      </c>
      <c r="L33" s="17">
        <v>13</v>
      </c>
      <c r="M33" s="84">
        <v>27.675000000000001</v>
      </c>
      <c r="N33" s="75">
        <v>28</v>
      </c>
      <c r="O33" s="67">
        <v>7000</v>
      </c>
      <c r="P33" s="68">
        <f>Table2245789101123456789101213141516[[#This Row],[PEMBULATAN]]*O33</f>
        <v>196000</v>
      </c>
    </row>
    <row r="34" spans="1:16" ht="25.5" customHeight="1" x14ac:dyDescent="0.2">
      <c r="A34" s="14"/>
      <c r="B34" s="14"/>
      <c r="C34" s="76" t="s">
        <v>307</v>
      </c>
      <c r="D34" s="81" t="s">
        <v>49</v>
      </c>
      <c r="E34" s="13">
        <v>44434</v>
      </c>
      <c r="F34" s="79" t="s">
        <v>253</v>
      </c>
      <c r="G34" s="13">
        <v>44435</v>
      </c>
      <c r="H34" s="80" t="s">
        <v>322</v>
      </c>
      <c r="I34" s="17">
        <v>42</v>
      </c>
      <c r="J34" s="17">
        <v>28</v>
      </c>
      <c r="K34" s="17">
        <v>25</v>
      </c>
      <c r="L34" s="17">
        <v>9</v>
      </c>
      <c r="M34" s="84">
        <v>7.35</v>
      </c>
      <c r="N34" s="75">
        <v>9</v>
      </c>
      <c r="O34" s="67">
        <v>7000</v>
      </c>
      <c r="P34" s="68">
        <f>Table2245789101123456789101213141516[[#This Row],[PEMBULATAN]]*O34</f>
        <v>63000</v>
      </c>
    </row>
    <row r="35" spans="1:16" ht="25.5" customHeight="1" x14ac:dyDescent="0.2">
      <c r="A35" s="14"/>
      <c r="B35" s="14"/>
      <c r="C35" s="76" t="s">
        <v>308</v>
      </c>
      <c r="D35" s="81" t="s">
        <v>49</v>
      </c>
      <c r="E35" s="13">
        <v>44434</v>
      </c>
      <c r="F35" s="79" t="s">
        <v>253</v>
      </c>
      <c r="G35" s="13">
        <v>44435</v>
      </c>
      <c r="H35" s="80" t="s">
        <v>322</v>
      </c>
      <c r="I35" s="17">
        <v>32</v>
      </c>
      <c r="J35" s="17">
        <v>32</v>
      </c>
      <c r="K35" s="17">
        <v>31</v>
      </c>
      <c r="L35" s="17">
        <v>5</v>
      </c>
      <c r="M35" s="84">
        <v>7.9359999999999999</v>
      </c>
      <c r="N35" s="75">
        <v>8</v>
      </c>
      <c r="O35" s="67">
        <v>7000</v>
      </c>
      <c r="P35" s="68">
        <f>Table2245789101123456789101213141516[[#This Row],[PEMBULATAN]]*O35</f>
        <v>56000</v>
      </c>
    </row>
    <row r="36" spans="1:16" ht="25.5" customHeight="1" x14ac:dyDescent="0.2">
      <c r="A36" s="14"/>
      <c r="B36" s="14"/>
      <c r="C36" s="76" t="s">
        <v>309</v>
      </c>
      <c r="D36" s="81" t="s">
        <v>49</v>
      </c>
      <c r="E36" s="13">
        <v>44434</v>
      </c>
      <c r="F36" s="79" t="s">
        <v>253</v>
      </c>
      <c r="G36" s="13">
        <v>44435</v>
      </c>
      <c r="H36" s="80" t="s">
        <v>322</v>
      </c>
      <c r="I36" s="17">
        <v>32</v>
      </c>
      <c r="J36" s="17">
        <v>21</v>
      </c>
      <c r="K36" s="17">
        <v>22</v>
      </c>
      <c r="L36" s="17">
        <v>6</v>
      </c>
      <c r="M36" s="84">
        <v>3.6960000000000002</v>
      </c>
      <c r="N36" s="75">
        <v>6</v>
      </c>
      <c r="O36" s="67">
        <v>7000</v>
      </c>
      <c r="P36" s="68">
        <f>Table2245789101123456789101213141516[[#This Row],[PEMBULATAN]]*O36</f>
        <v>42000</v>
      </c>
    </row>
    <row r="37" spans="1:16" ht="25.5" customHeight="1" x14ac:dyDescent="0.2">
      <c r="A37" s="14"/>
      <c r="B37" s="14"/>
      <c r="C37" s="76" t="s">
        <v>310</v>
      </c>
      <c r="D37" s="81" t="s">
        <v>49</v>
      </c>
      <c r="E37" s="13">
        <v>44434</v>
      </c>
      <c r="F37" s="79" t="s">
        <v>253</v>
      </c>
      <c r="G37" s="13">
        <v>44435</v>
      </c>
      <c r="H37" s="80" t="s">
        <v>322</v>
      </c>
      <c r="I37" s="17">
        <v>54</v>
      </c>
      <c r="J37" s="17">
        <v>50</v>
      </c>
      <c r="K37" s="17">
        <v>36</v>
      </c>
      <c r="L37" s="17">
        <v>17</v>
      </c>
      <c r="M37" s="84">
        <v>24.3</v>
      </c>
      <c r="N37" s="75">
        <v>24</v>
      </c>
      <c r="O37" s="67">
        <v>7000</v>
      </c>
      <c r="P37" s="68">
        <f>Table2245789101123456789101213141516[[#This Row],[PEMBULATAN]]*O37</f>
        <v>168000</v>
      </c>
    </row>
    <row r="38" spans="1:16" ht="25.5" customHeight="1" x14ac:dyDescent="0.2">
      <c r="A38" s="14"/>
      <c r="B38" s="15"/>
      <c r="C38" s="76" t="s">
        <v>311</v>
      </c>
      <c r="D38" s="81" t="s">
        <v>49</v>
      </c>
      <c r="E38" s="13">
        <v>44434</v>
      </c>
      <c r="F38" s="79" t="s">
        <v>253</v>
      </c>
      <c r="G38" s="13">
        <v>44435</v>
      </c>
      <c r="H38" s="80" t="s">
        <v>322</v>
      </c>
      <c r="I38" s="17">
        <v>40</v>
      </c>
      <c r="J38" s="17">
        <v>33</v>
      </c>
      <c r="K38" s="17">
        <v>28</v>
      </c>
      <c r="L38" s="17">
        <v>6</v>
      </c>
      <c r="M38" s="84">
        <v>9.24</v>
      </c>
      <c r="N38" s="75">
        <v>9</v>
      </c>
      <c r="O38" s="67">
        <v>7000</v>
      </c>
      <c r="P38" s="68">
        <f>Table2245789101123456789101213141516[[#This Row],[PEMBULATAN]]*O38</f>
        <v>63000</v>
      </c>
    </row>
    <row r="39" spans="1:16" ht="25.5" customHeight="1" x14ac:dyDescent="0.2">
      <c r="A39" s="14"/>
      <c r="B39" s="14" t="s">
        <v>312</v>
      </c>
      <c r="C39" s="76" t="s">
        <v>313</v>
      </c>
      <c r="D39" s="81" t="s">
        <v>49</v>
      </c>
      <c r="E39" s="13">
        <v>44434</v>
      </c>
      <c r="F39" s="79" t="s">
        <v>253</v>
      </c>
      <c r="G39" s="13">
        <v>44435</v>
      </c>
      <c r="H39" s="80" t="s">
        <v>322</v>
      </c>
      <c r="I39" s="17">
        <v>50</v>
      </c>
      <c r="J39" s="17">
        <v>38</v>
      </c>
      <c r="K39" s="17">
        <v>34</v>
      </c>
      <c r="L39" s="17">
        <v>6</v>
      </c>
      <c r="M39" s="84">
        <v>16.149999999999999</v>
      </c>
      <c r="N39" s="75">
        <v>16</v>
      </c>
      <c r="O39" s="67">
        <v>7000</v>
      </c>
      <c r="P39" s="68">
        <f>Table2245789101123456789101213141516[[#This Row],[PEMBULATAN]]*O39</f>
        <v>112000</v>
      </c>
    </row>
    <row r="40" spans="1:16" ht="25.5" customHeight="1" x14ac:dyDescent="0.2">
      <c r="A40" s="14"/>
      <c r="B40" s="14"/>
      <c r="C40" s="76" t="s">
        <v>314</v>
      </c>
      <c r="D40" s="81" t="s">
        <v>49</v>
      </c>
      <c r="E40" s="13">
        <v>44434</v>
      </c>
      <c r="F40" s="79" t="s">
        <v>253</v>
      </c>
      <c r="G40" s="13">
        <v>44435</v>
      </c>
      <c r="H40" s="80" t="s">
        <v>322</v>
      </c>
      <c r="I40" s="17">
        <v>60</v>
      </c>
      <c r="J40" s="17">
        <v>45</v>
      </c>
      <c r="K40" s="17">
        <v>41</v>
      </c>
      <c r="L40" s="17">
        <v>12</v>
      </c>
      <c r="M40" s="84">
        <v>27.675000000000001</v>
      </c>
      <c r="N40" s="75">
        <v>28</v>
      </c>
      <c r="O40" s="67">
        <v>7000</v>
      </c>
      <c r="P40" s="68">
        <f>Table2245789101123456789101213141516[[#This Row],[PEMBULATAN]]*O40</f>
        <v>196000</v>
      </c>
    </row>
    <row r="41" spans="1:16" ht="25.5" customHeight="1" x14ac:dyDescent="0.2">
      <c r="A41" s="14"/>
      <c r="B41" s="14"/>
      <c r="C41" s="76" t="s">
        <v>315</v>
      </c>
      <c r="D41" s="81" t="s">
        <v>49</v>
      </c>
      <c r="E41" s="13">
        <v>44434</v>
      </c>
      <c r="F41" s="79" t="s">
        <v>253</v>
      </c>
      <c r="G41" s="13">
        <v>44435</v>
      </c>
      <c r="H41" s="80" t="s">
        <v>322</v>
      </c>
      <c r="I41" s="17">
        <v>42</v>
      </c>
      <c r="J41" s="17">
        <v>28</v>
      </c>
      <c r="K41" s="17">
        <v>25</v>
      </c>
      <c r="L41" s="17">
        <v>8</v>
      </c>
      <c r="M41" s="84">
        <v>7.35</v>
      </c>
      <c r="N41" s="75">
        <v>8</v>
      </c>
      <c r="O41" s="67">
        <v>7000</v>
      </c>
      <c r="P41" s="68">
        <f>Table2245789101123456789101213141516[[#This Row],[PEMBULATAN]]*O41</f>
        <v>56000</v>
      </c>
    </row>
    <row r="42" spans="1:16" ht="25.5" customHeight="1" x14ac:dyDescent="0.2">
      <c r="A42" s="14"/>
      <c r="B42" s="14"/>
      <c r="C42" s="76" t="s">
        <v>316</v>
      </c>
      <c r="D42" s="81" t="s">
        <v>49</v>
      </c>
      <c r="E42" s="13">
        <v>44434</v>
      </c>
      <c r="F42" s="79" t="s">
        <v>253</v>
      </c>
      <c r="G42" s="13">
        <v>44435</v>
      </c>
      <c r="H42" s="80" t="s">
        <v>322</v>
      </c>
      <c r="I42" s="17">
        <v>32</v>
      </c>
      <c r="J42" s="17">
        <v>32</v>
      </c>
      <c r="K42" s="17">
        <v>31</v>
      </c>
      <c r="L42" s="17">
        <v>9</v>
      </c>
      <c r="M42" s="84">
        <v>7.9359999999999999</v>
      </c>
      <c r="N42" s="75">
        <v>9</v>
      </c>
      <c r="O42" s="67">
        <v>7000</v>
      </c>
      <c r="P42" s="68">
        <f>Table2245789101123456789101213141516[[#This Row],[PEMBULATAN]]*O42</f>
        <v>63000</v>
      </c>
    </row>
    <row r="43" spans="1:16" ht="25.5" customHeight="1" x14ac:dyDescent="0.2">
      <c r="A43" s="14"/>
      <c r="B43" s="14"/>
      <c r="C43" s="76" t="s">
        <v>317</v>
      </c>
      <c r="D43" s="81" t="s">
        <v>49</v>
      </c>
      <c r="E43" s="13">
        <v>44434</v>
      </c>
      <c r="F43" s="79" t="s">
        <v>253</v>
      </c>
      <c r="G43" s="13">
        <v>44435</v>
      </c>
      <c r="H43" s="80" t="s">
        <v>322</v>
      </c>
      <c r="I43" s="17">
        <v>53</v>
      </c>
      <c r="J43" s="17">
        <v>53</v>
      </c>
      <c r="K43" s="17">
        <v>20</v>
      </c>
      <c r="L43" s="17">
        <v>10</v>
      </c>
      <c r="M43" s="84">
        <v>14.045</v>
      </c>
      <c r="N43" s="75">
        <v>14</v>
      </c>
      <c r="O43" s="67">
        <v>7000</v>
      </c>
      <c r="P43" s="68">
        <f>Table2245789101123456789101213141516[[#This Row],[PEMBULATAN]]*O43</f>
        <v>98000</v>
      </c>
    </row>
    <row r="44" spans="1:16" ht="25.5" customHeight="1" x14ac:dyDescent="0.2">
      <c r="A44" s="14"/>
      <c r="B44" s="14"/>
      <c r="C44" s="76" t="s">
        <v>318</v>
      </c>
      <c r="D44" s="81" t="s">
        <v>49</v>
      </c>
      <c r="E44" s="13">
        <v>44434</v>
      </c>
      <c r="F44" s="79" t="s">
        <v>253</v>
      </c>
      <c r="G44" s="13">
        <v>44435</v>
      </c>
      <c r="H44" s="80" t="s">
        <v>322</v>
      </c>
      <c r="I44" s="17">
        <v>53</v>
      </c>
      <c r="J44" s="17">
        <v>53</v>
      </c>
      <c r="K44" s="17">
        <v>20</v>
      </c>
      <c r="L44" s="17">
        <v>10</v>
      </c>
      <c r="M44" s="84">
        <v>14.045</v>
      </c>
      <c r="N44" s="75">
        <v>14</v>
      </c>
      <c r="O44" s="67">
        <v>7000</v>
      </c>
      <c r="P44" s="68">
        <f>Table2245789101123456789101213141516[[#This Row],[PEMBULATAN]]*O44</f>
        <v>98000</v>
      </c>
    </row>
    <row r="45" spans="1:16" ht="25.5" customHeight="1" x14ac:dyDescent="0.2">
      <c r="A45" s="14"/>
      <c r="B45" s="14"/>
      <c r="C45" s="76" t="s">
        <v>319</v>
      </c>
      <c r="D45" s="81" t="s">
        <v>49</v>
      </c>
      <c r="E45" s="13">
        <v>44434</v>
      </c>
      <c r="F45" s="79" t="s">
        <v>253</v>
      </c>
      <c r="G45" s="13">
        <v>44435</v>
      </c>
      <c r="H45" s="80" t="s">
        <v>322</v>
      </c>
      <c r="I45" s="17">
        <v>53</v>
      </c>
      <c r="J45" s="17">
        <v>53</v>
      </c>
      <c r="K45" s="17">
        <v>20</v>
      </c>
      <c r="L45" s="17">
        <v>10</v>
      </c>
      <c r="M45" s="84">
        <v>14.045</v>
      </c>
      <c r="N45" s="75">
        <v>14</v>
      </c>
      <c r="O45" s="67">
        <v>7000</v>
      </c>
      <c r="P45" s="68">
        <f>Table2245789101123456789101213141516[[#This Row],[PEMBULATAN]]*O45</f>
        <v>98000</v>
      </c>
    </row>
    <row r="46" spans="1:16" ht="25.5" customHeight="1" x14ac:dyDescent="0.2">
      <c r="A46" s="14"/>
      <c r="B46" s="14"/>
      <c r="C46" s="76" t="s">
        <v>320</v>
      </c>
      <c r="D46" s="81" t="s">
        <v>49</v>
      </c>
      <c r="E46" s="13">
        <v>44434</v>
      </c>
      <c r="F46" s="79" t="s">
        <v>253</v>
      </c>
      <c r="G46" s="13">
        <v>44435</v>
      </c>
      <c r="H46" s="80" t="s">
        <v>322</v>
      </c>
      <c r="I46" s="17">
        <v>31</v>
      </c>
      <c r="J46" s="17">
        <v>26</v>
      </c>
      <c r="K46" s="17">
        <v>10</v>
      </c>
      <c r="L46" s="17">
        <v>1</v>
      </c>
      <c r="M46" s="84">
        <v>2.0150000000000001</v>
      </c>
      <c r="N46" s="75">
        <v>2</v>
      </c>
      <c r="O46" s="67">
        <v>7000</v>
      </c>
      <c r="P46" s="68">
        <f>Table2245789101123456789101213141516[[#This Row],[PEMBULATAN]]*O46</f>
        <v>14000</v>
      </c>
    </row>
    <row r="47" spans="1:16" ht="25.5" customHeight="1" x14ac:dyDescent="0.2">
      <c r="A47" s="14"/>
      <c r="B47" s="14"/>
      <c r="C47" s="76" t="s">
        <v>321</v>
      </c>
      <c r="D47" s="81" t="s">
        <v>49</v>
      </c>
      <c r="E47" s="13">
        <v>44434</v>
      </c>
      <c r="F47" s="79" t="s">
        <v>253</v>
      </c>
      <c r="G47" s="13">
        <v>44435</v>
      </c>
      <c r="H47" s="80" t="s">
        <v>322</v>
      </c>
      <c r="I47" s="17">
        <v>45</v>
      </c>
      <c r="J47" s="17">
        <v>24</v>
      </c>
      <c r="K47" s="17">
        <v>15</v>
      </c>
      <c r="L47" s="17">
        <v>1</v>
      </c>
      <c r="M47" s="84">
        <v>4.05</v>
      </c>
      <c r="N47" s="75">
        <v>4</v>
      </c>
      <c r="O47" s="67">
        <v>7000</v>
      </c>
      <c r="P47" s="68">
        <f>Table2245789101123456789101213141516[[#This Row],[PEMBULATAN]]*O47</f>
        <v>28000</v>
      </c>
    </row>
    <row r="48" spans="1:16" ht="22.5" customHeight="1" x14ac:dyDescent="0.2">
      <c r="A48" s="122" t="s">
        <v>30</v>
      </c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4"/>
      <c r="M48" s="82">
        <f>SUBTOTAL(109,Table2245789101123456789101213141516[KG VOLUME])</f>
        <v>781.56599999999992</v>
      </c>
      <c r="N48" s="71">
        <f>SUM(N3:N47)</f>
        <v>823</v>
      </c>
      <c r="O48" s="125">
        <f>SUM(P3:P47)</f>
        <v>5761000</v>
      </c>
      <c r="P48" s="126"/>
    </row>
    <row r="49" spans="1:16" ht="18" customHeight="1" x14ac:dyDescent="0.2">
      <c r="A49" s="94"/>
      <c r="B49" s="59" t="s">
        <v>42</v>
      </c>
      <c r="C49" s="58"/>
      <c r="D49" s="60" t="s">
        <v>43</v>
      </c>
      <c r="E49" s="94"/>
      <c r="F49" s="94"/>
      <c r="G49" s="94"/>
      <c r="H49" s="94"/>
      <c r="I49" s="94"/>
      <c r="J49" s="94"/>
      <c r="K49" s="94"/>
      <c r="L49" s="94"/>
      <c r="M49" s="95"/>
      <c r="N49" s="96" t="s">
        <v>649</v>
      </c>
      <c r="O49" s="97"/>
      <c r="P49" s="97">
        <v>0</v>
      </c>
    </row>
    <row r="50" spans="1:16" ht="18" customHeight="1" thickBot="1" x14ac:dyDescent="0.25">
      <c r="A50" s="94"/>
      <c r="B50" s="59"/>
      <c r="C50" s="58"/>
      <c r="D50" s="60"/>
      <c r="E50" s="94"/>
      <c r="F50" s="94"/>
      <c r="G50" s="94"/>
      <c r="H50" s="94"/>
      <c r="I50" s="94"/>
      <c r="J50" s="94"/>
      <c r="K50" s="94"/>
      <c r="L50" s="94"/>
      <c r="M50" s="95"/>
      <c r="N50" s="98" t="s">
        <v>650</v>
      </c>
      <c r="O50" s="99"/>
      <c r="P50" s="99">
        <f>O48-P49</f>
        <v>5761000</v>
      </c>
    </row>
    <row r="51" spans="1:16" ht="18" customHeight="1" x14ac:dyDescent="0.2">
      <c r="A51" s="11"/>
      <c r="H51" s="66"/>
      <c r="N51" s="65" t="s">
        <v>31</v>
      </c>
      <c r="P51" s="72">
        <f>P50*1%</f>
        <v>57610</v>
      </c>
    </row>
    <row r="52" spans="1:16" ht="18" customHeight="1" thickBot="1" x14ac:dyDescent="0.25">
      <c r="A52" s="11"/>
      <c r="H52" s="66"/>
      <c r="N52" s="65" t="s">
        <v>651</v>
      </c>
      <c r="P52" s="74">
        <f>P50*2%</f>
        <v>115220</v>
      </c>
    </row>
    <row r="53" spans="1:16" ht="18" customHeight="1" x14ac:dyDescent="0.2">
      <c r="A53" s="11"/>
      <c r="H53" s="66"/>
      <c r="N53" s="69" t="s">
        <v>32</v>
      </c>
      <c r="O53" s="70"/>
      <c r="P53" s="73">
        <f>P50+P51-P52</f>
        <v>5703390</v>
      </c>
    </row>
    <row r="55" spans="1:16" x14ac:dyDescent="0.2">
      <c r="A55" s="11"/>
      <c r="H55" s="66"/>
      <c r="P55" s="74"/>
    </row>
    <row r="56" spans="1:16" x14ac:dyDescent="0.2">
      <c r="A56" s="11"/>
      <c r="H56" s="66"/>
      <c r="O56" s="61"/>
      <c r="P56" s="74"/>
    </row>
    <row r="57" spans="1:16" s="3" customFormat="1" x14ac:dyDescent="0.25">
      <c r="A57" s="11"/>
      <c r="B57" s="2"/>
      <c r="C57" s="2"/>
      <c r="E57" s="12"/>
      <c r="H57" s="66"/>
      <c r="N57" s="16"/>
      <c r="O57" s="16"/>
      <c r="P57" s="16"/>
    </row>
    <row r="58" spans="1:16" s="3" customFormat="1" x14ac:dyDescent="0.25">
      <c r="A58" s="11"/>
      <c r="B58" s="2"/>
      <c r="C58" s="2"/>
      <c r="E58" s="12"/>
      <c r="H58" s="66"/>
      <c r="N58" s="16"/>
      <c r="O58" s="16"/>
      <c r="P58" s="16"/>
    </row>
    <row r="59" spans="1:16" s="3" customFormat="1" x14ac:dyDescent="0.25">
      <c r="A59" s="11"/>
      <c r="B59" s="2"/>
      <c r="C59" s="2"/>
      <c r="E59" s="12"/>
      <c r="H59" s="66"/>
      <c r="N59" s="16"/>
      <c r="O59" s="16"/>
      <c r="P59" s="16"/>
    </row>
    <row r="60" spans="1:16" s="3" customFormat="1" x14ac:dyDescent="0.25">
      <c r="A60" s="11"/>
      <c r="B60" s="2"/>
      <c r="C60" s="2"/>
      <c r="E60" s="12"/>
      <c r="H60" s="66"/>
      <c r="N60" s="16"/>
      <c r="O60" s="16"/>
      <c r="P60" s="16"/>
    </row>
    <row r="61" spans="1:16" s="3" customFormat="1" x14ac:dyDescent="0.25">
      <c r="A61" s="11"/>
      <c r="B61" s="2"/>
      <c r="C61" s="2"/>
      <c r="E61" s="12"/>
      <c r="H61" s="66"/>
      <c r="N61" s="16"/>
      <c r="O61" s="16"/>
      <c r="P61" s="16"/>
    </row>
    <row r="62" spans="1:16" s="3" customFormat="1" x14ac:dyDescent="0.25">
      <c r="A62" s="11"/>
      <c r="B62" s="2"/>
      <c r="C62" s="2"/>
      <c r="E62" s="12"/>
      <c r="H62" s="66"/>
      <c r="N62" s="16"/>
      <c r="O62" s="16"/>
      <c r="P62" s="16"/>
    </row>
    <row r="63" spans="1:16" s="3" customFormat="1" x14ac:dyDescent="0.25">
      <c r="A63" s="11"/>
      <c r="B63" s="2"/>
      <c r="C63" s="2"/>
      <c r="E63" s="12"/>
      <c r="H63" s="66"/>
      <c r="N63" s="16"/>
      <c r="O63" s="16"/>
      <c r="P63" s="16"/>
    </row>
    <row r="64" spans="1:16" s="3" customFormat="1" x14ac:dyDescent="0.25">
      <c r="A64" s="11"/>
      <c r="B64" s="2"/>
      <c r="C64" s="2"/>
      <c r="E64" s="12"/>
      <c r="H64" s="66"/>
      <c r="N64" s="16"/>
      <c r="O64" s="16"/>
      <c r="P64" s="16"/>
    </row>
    <row r="65" spans="1:16" s="3" customFormat="1" x14ac:dyDescent="0.25">
      <c r="A65" s="11"/>
      <c r="B65" s="2"/>
      <c r="C65" s="2"/>
      <c r="E65" s="12"/>
      <c r="H65" s="66"/>
      <c r="N65" s="16"/>
      <c r="O65" s="16"/>
      <c r="P65" s="16"/>
    </row>
    <row r="66" spans="1:16" s="3" customFormat="1" x14ac:dyDescent="0.25">
      <c r="A66" s="11"/>
      <c r="B66" s="2"/>
      <c r="C66" s="2"/>
      <c r="E66" s="12"/>
      <c r="H66" s="66"/>
      <c r="N66" s="16"/>
      <c r="O66" s="16"/>
      <c r="P66" s="16"/>
    </row>
    <row r="67" spans="1:16" s="3" customFormat="1" x14ac:dyDescent="0.25">
      <c r="A67" s="11"/>
      <c r="B67" s="2"/>
      <c r="C67" s="2"/>
      <c r="E67" s="12"/>
      <c r="H67" s="66"/>
      <c r="N67" s="16"/>
      <c r="O67" s="16"/>
      <c r="P67" s="16"/>
    </row>
    <row r="68" spans="1:16" s="3" customFormat="1" x14ac:dyDescent="0.25">
      <c r="A68" s="11"/>
      <c r="B68" s="2"/>
      <c r="C68" s="2"/>
      <c r="E68" s="12"/>
      <c r="H68" s="66"/>
      <c r="N68" s="16"/>
      <c r="O68" s="16"/>
      <c r="P68" s="16"/>
    </row>
  </sheetData>
  <mergeCells count="3">
    <mergeCell ref="A3:A4"/>
    <mergeCell ref="A48:L48"/>
    <mergeCell ref="O48:P48"/>
  </mergeCells>
  <conditionalFormatting sqref="B3">
    <cfRule type="duplicateValues" dxfId="197" priority="2"/>
  </conditionalFormatting>
  <conditionalFormatting sqref="B4">
    <cfRule type="duplicateValues" dxfId="196" priority="1"/>
  </conditionalFormatting>
  <conditionalFormatting sqref="B5:B47">
    <cfRule type="duplicateValues" dxfId="195" priority="1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7"/>
  <sheetViews>
    <sheetView zoomScale="110" zoomScaleNormal="110" workbookViewId="0">
      <pane xSplit="3" ySplit="2" topLeftCell="D14" activePane="bottomRight" state="frozen"/>
      <selection pane="topRight" activeCell="B1" sqref="B1"/>
      <selection pane="bottomLeft" activeCell="A3" sqref="A3"/>
      <selection pane="bottomRight" activeCell="B3" sqref="A3:XFD1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0.14062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33.75" customHeight="1" x14ac:dyDescent="0.2">
      <c r="A3" s="120" t="s">
        <v>580</v>
      </c>
      <c r="B3" s="77" t="s">
        <v>323</v>
      </c>
      <c r="C3" s="9" t="s">
        <v>324</v>
      </c>
      <c r="D3" s="79" t="s">
        <v>49</v>
      </c>
      <c r="E3" s="13">
        <v>44435</v>
      </c>
      <c r="F3" s="79" t="s">
        <v>253</v>
      </c>
      <c r="G3" s="13">
        <v>44435</v>
      </c>
      <c r="H3" s="10" t="s">
        <v>172</v>
      </c>
      <c r="I3" s="1">
        <v>54</v>
      </c>
      <c r="J3" s="1">
        <v>40</v>
      </c>
      <c r="K3" s="1">
        <v>32</v>
      </c>
      <c r="L3" s="1">
        <v>13</v>
      </c>
      <c r="M3" s="83">
        <v>17.28</v>
      </c>
      <c r="N3" s="8">
        <v>17</v>
      </c>
      <c r="O3" s="67">
        <v>7000</v>
      </c>
      <c r="P3" s="68">
        <f>Table224578910112345678910121314151617[[#This Row],[PEMBULATAN]]*O3</f>
        <v>119000</v>
      </c>
    </row>
    <row r="4" spans="1:16" ht="33.75" customHeight="1" x14ac:dyDescent="0.2">
      <c r="A4" s="121"/>
      <c r="B4" s="85"/>
      <c r="C4" s="9" t="s">
        <v>325</v>
      </c>
      <c r="D4" s="79" t="s">
        <v>49</v>
      </c>
      <c r="E4" s="13">
        <v>44435</v>
      </c>
      <c r="F4" s="79" t="s">
        <v>253</v>
      </c>
      <c r="G4" s="13">
        <v>44435</v>
      </c>
      <c r="H4" s="10" t="s">
        <v>172</v>
      </c>
      <c r="I4" s="1">
        <v>102</v>
      </c>
      <c r="J4" s="1">
        <v>45</v>
      </c>
      <c r="K4" s="1">
        <v>47</v>
      </c>
      <c r="L4" s="1">
        <v>30</v>
      </c>
      <c r="M4" s="83">
        <v>53.932499999999997</v>
      </c>
      <c r="N4" s="8">
        <v>54</v>
      </c>
      <c r="O4" s="67">
        <v>7000</v>
      </c>
      <c r="P4" s="68">
        <f>Table224578910112345678910121314151617[[#This Row],[PEMBULATAN]]*O4</f>
        <v>378000</v>
      </c>
    </row>
    <row r="5" spans="1:16" ht="33.75" customHeight="1" x14ac:dyDescent="0.2">
      <c r="A5" s="14"/>
      <c r="B5" s="14" t="s">
        <v>326</v>
      </c>
      <c r="C5" s="9" t="s">
        <v>327</v>
      </c>
      <c r="D5" s="79" t="s">
        <v>49</v>
      </c>
      <c r="E5" s="13">
        <v>44435</v>
      </c>
      <c r="F5" s="79" t="s">
        <v>253</v>
      </c>
      <c r="G5" s="13">
        <v>44435</v>
      </c>
      <c r="H5" s="10" t="s">
        <v>172</v>
      </c>
      <c r="I5" s="1">
        <v>49</v>
      </c>
      <c r="J5" s="1">
        <v>29</v>
      </c>
      <c r="K5" s="1">
        <v>17</v>
      </c>
      <c r="L5" s="1">
        <v>16</v>
      </c>
      <c r="M5" s="83">
        <v>6.03925</v>
      </c>
      <c r="N5" s="8">
        <v>16</v>
      </c>
      <c r="O5" s="67">
        <v>7000</v>
      </c>
      <c r="P5" s="68">
        <f>Table224578910112345678910121314151617[[#This Row],[PEMBULATAN]]*O5</f>
        <v>112000</v>
      </c>
    </row>
    <row r="6" spans="1:16" ht="33.75" customHeight="1" x14ac:dyDescent="0.2">
      <c r="A6" s="14"/>
      <c r="B6" s="14"/>
      <c r="C6" s="76" t="s">
        <v>328</v>
      </c>
      <c r="D6" s="81" t="s">
        <v>49</v>
      </c>
      <c r="E6" s="13">
        <v>44435</v>
      </c>
      <c r="F6" s="79" t="s">
        <v>253</v>
      </c>
      <c r="G6" s="13">
        <v>44435</v>
      </c>
      <c r="H6" s="80" t="s">
        <v>172</v>
      </c>
      <c r="I6" s="17">
        <v>102</v>
      </c>
      <c r="J6" s="17">
        <v>45</v>
      </c>
      <c r="K6" s="17">
        <v>47</v>
      </c>
      <c r="L6" s="17">
        <v>30</v>
      </c>
      <c r="M6" s="84">
        <v>53.932499999999997</v>
      </c>
      <c r="N6" s="75">
        <v>54</v>
      </c>
      <c r="O6" s="67">
        <v>7000</v>
      </c>
      <c r="P6" s="68">
        <f>Table224578910112345678910121314151617[[#This Row],[PEMBULATAN]]*O6</f>
        <v>378000</v>
      </c>
    </row>
    <row r="7" spans="1:16" ht="33.75" customHeight="1" x14ac:dyDescent="0.2">
      <c r="A7" s="14"/>
      <c r="B7" s="14"/>
      <c r="C7" s="76" t="s">
        <v>329</v>
      </c>
      <c r="D7" s="81" t="s">
        <v>49</v>
      </c>
      <c r="E7" s="13">
        <v>44435</v>
      </c>
      <c r="F7" s="79" t="s">
        <v>253</v>
      </c>
      <c r="G7" s="13">
        <v>44435</v>
      </c>
      <c r="H7" s="80" t="s">
        <v>172</v>
      </c>
      <c r="I7" s="17">
        <v>76</v>
      </c>
      <c r="J7" s="17">
        <v>33</v>
      </c>
      <c r="K7" s="17">
        <v>28</v>
      </c>
      <c r="L7" s="17">
        <v>16</v>
      </c>
      <c r="M7" s="84">
        <v>17.556000000000001</v>
      </c>
      <c r="N7" s="75">
        <v>18</v>
      </c>
      <c r="O7" s="67">
        <v>7000</v>
      </c>
      <c r="P7" s="68">
        <f>Table224578910112345678910121314151617[[#This Row],[PEMBULATAN]]*O7</f>
        <v>126000</v>
      </c>
    </row>
    <row r="8" spans="1:16" ht="33.75" customHeight="1" x14ac:dyDescent="0.2">
      <c r="A8" s="14"/>
      <c r="B8" s="14"/>
      <c r="C8" s="76" t="s">
        <v>330</v>
      </c>
      <c r="D8" s="81" t="s">
        <v>49</v>
      </c>
      <c r="E8" s="13">
        <v>44435</v>
      </c>
      <c r="F8" s="79" t="s">
        <v>253</v>
      </c>
      <c r="G8" s="13">
        <v>44435</v>
      </c>
      <c r="H8" s="80" t="s">
        <v>172</v>
      </c>
      <c r="I8" s="17">
        <v>65</v>
      </c>
      <c r="J8" s="17">
        <v>39</v>
      </c>
      <c r="K8" s="17">
        <v>19</v>
      </c>
      <c r="L8" s="17">
        <v>11</v>
      </c>
      <c r="M8" s="84">
        <v>12.04125</v>
      </c>
      <c r="N8" s="75">
        <v>12</v>
      </c>
      <c r="O8" s="67">
        <v>7000</v>
      </c>
      <c r="P8" s="68">
        <f>Table224578910112345678910121314151617[[#This Row],[PEMBULATAN]]*O8</f>
        <v>84000</v>
      </c>
    </row>
    <row r="9" spans="1:16" ht="33.75" customHeight="1" x14ac:dyDescent="0.2">
      <c r="A9" s="14"/>
      <c r="B9" s="14"/>
      <c r="C9" s="76" t="s">
        <v>331</v>
      </c>
      <c r="D9" s="81" t="s">
        <v>49</v>
      </c>
      <c r="E9" s="13">
        <v>44435</v>
      </c>
      <c r="F9" s="79" t="s">
        <v>253</v>
      </c>
      <c r="G9" s="13">
        <v>44435</v>
      </c>
      <c r="H9" s="80" t="s">
        <v>172</v>
      </c>
      <c r="I9" s="17">
        <v>37</v>
      </c>
      <c r="J9" s="17">
        <v>32</v>
      </c>
      <c r="K9" s="17">
        <v>28</v>
      </c>
      <c r="L9" s="17">
        <v>9</v>
      </c>
      <c r="M9" s="84">
        <v>8.2880000000000003</v>
      </c>
      <c r="N9" s="75">
        <v>9</v>
      </c>
      <c r="O9" s="67">
        <v>7000</v>
      </c>
      <c r="P9" s="68">
        <f>Table224578910112345678910121314151617[[#This Row],[PEMBULATAN]]*O9</f>
        <v>63000</v>
      </c>
    </row>
    <row r="10" spans="1:16" ht="33.75" customHeight="1" x14ac:dyDescent="0.2">
      <c r="A10" s="14"/>
      <c r="B10" s="14"/>
      <c r="C10" s="76" t="s">
        <v>332</v>
      </c>
      <c r="D10" s="81" t="s">
        <v>49</v>
      </c>
      <c r="E10" s="13">
        <v>44435</v>
      </c>
      <c r="F10" s="79" t="s">
        <v>253</v>
      </c>
      <c r="G10" s="13">
        <v>44435</v>
      </c>
      <c r="H10" s="80" t="s">
        <v>172</v>
      </c>
      <c r="I10" s="17">
        <v>53</v>
      </c>
      <c r="J10" s="17">
        <v>26</v>
      </c>
      <c r="K10" s="17">
        <v>22</v>
      </c>
      <c r="L10" s="17">
        <v>15</v>
      </c>
      <c r="M10" s="84">
        <v>7.5789999999999997</v>
      </c>
      <c r="N10" s="75">
        <v>15</v>
      </c>
      <c r="O10" s="67">
        <v>7000</v>
      </c>
      <c r="P10" s="68">
        <f>Table224578910112345678910121314151617[[#This Row],[PEMBULATAN]]*O10</f>
        <v>105000</v>
      </c>
    </row>
    <row r="11" spans="1:16" ht="33.75" customHeight="1" x14ac:dyDescent="0.2">
      <c r="A11" s="14"/>
      <c r="B11" s="14"/>
      <c r="C11" s="76" t="s">
        <v>333</v>
      </c>
      <c r="D11" s="81" t="s">
        <v>49</v>
      </c>
      <c r="E11" s="13">
        <v>44435</v>
      </c>
      <c r="F11" s="79" t="s">
        <v>253</v>
      </c>
      <c r="G11" s="13">
        <v>44435</v>
      </c>
      <c r="H11" s="80" t="s">
        <v>172</v>
      </c>
      <c r="I11" s="17">
        <v>39</v>
      </c>
      <c r="J11" s="17">
        <v>29</v>
      </c>
      <c r="K11" s="17">
        <v>16</v>
      </c>
      <c r="L11" s="17">
        <v>5</v>
      </c>
      <c r="M11" s="84">
        <v>4.524</v>
      </c>
      <c r="N11" s="75">
        <v>5</v>
      </c>
      <c r="O11" s="67">
        <v>7000</v>
      </c>
      <c r="P11" s="68">
        <f>Table224578910112345678910121314151617[[#This Row],[PEMBULATAN]]*O11</f>
        <v>35000</v>
      </c>
    </row>
    <row r="12" spans="1:16" ht="33.75" customHeight="1" x14ac:dyDescent="0.2">
      <c r="A12" s="14"/>
      <c r="B12" s="14"/>
      <c r="C12" s="76" t="s">
        <v>334</v>
      </c>
      <c r="D12" s="81" t="s">
        <v>49</v>
      </c>
      <c r="E12" s="13">
        <v>44435</v>
      </c>
      <c r="F12" s="79" t="s">
        <v>253</v>
      </c>
      <c r="G12" s="13">
        <v>44435</v>
      </c>
      <c r="H12" s="80" t="s">
        <v>172</v>
      </c>
      <c r="I12" s="17">
        <v>38</v>
      </c>
      <c r="J12" s="17">
        <v>27</v>
      </c>
      <c r="K12" s="17">
        <v>32</v>
      </c>
      <c r="L12" s="17">
        <v>6</v>
      </c>
      <c r="M12" s="84">
        <v>8.2080000000000002</v>
      </c>
      <c r="N12" s="75">
        <v>8</v>
      </c>
      <c r="O12" s="67">
        <v>7000</v>
      </c>
      <c r="P12" s="68">
        <f>Table224578910112345678910121314151617[[#This Row],[PEMBULATAN]]*O12</f>
        <v>56000</v>
      </c>
    </row>
    <row r="13" spans="1:16" ht="33.75" customHeight="1" x14ac:dyDescent="0.2">
      <c r="A13" s="14"/>
      <c r="B13" s="14"/>
      <c r="C13" s="76" t="s">
        <v>335</v>
      </c>
      <c r="D13" s="81" t="s">
        <v>49</v>
      </c>
      <c r="E13" s="13">
        <v>44435</v>
      </c>
      <c r="F13" s="79" t="s">
        <v>253</v>
      </c>
      <c r="G13" s="13">
        <v>44435</v>
      </c>
      <c r="H13" s="80" t="s">
        <v>172</v>
      </c>
      <c r="I13" s="17">
        <v>42</v>
      </c>
      <c r="J13" s="17">
        <v>33</v>
      </c>
      <c r="K13" s="17">
        <v>40</v>
      </c>
      <c r="L13" s="17">
        <v>7</v>
      </c>
      <c r="M13" s="84">
        <v>13.86</v>
      </c>
      <c r="N13" s="75">
        <v>14</v>
      </c>
      <c r="O13" s="67">
        <v>7000</v>
      </c>
      <c r="P13" s="68">
        <f>Table224578910112345678910121314151617[[#This Row],[PEMBULATAN]]*O13</f>
        <v>98000</v>
      </c>
    </row>
    <row r="14" spans="1:16" ht="33.75" customHeight="1" x14ac:dyDescent="0.2">
      <c r="A14" s="14"/>
      <c r="B14" s="14"/>
      <c r="C14" s="76" t="s">
        <v>336</v>
      </c>
      <c r="D14" s="81" t="s">
        <v>49</v>
      </c>
      <c r="E14" s="13">
        <v>44435</v>
      </c>
      <c r="F14" s="79" t="s">
        <v>253</v>
      </c>
      <c r="G14" s="13">
        <v>44435</v>
      </c>
      <c r="H14" s="80" t="s">
        <v>172</v>
      </c>
      <c r="I14" s="17">
        <v>48</v>
      </c>
      <c r="J14" s="17">
        <v>36</v>
      </c>
      <c r="K14" s="17">
        <v>44</v>
      </c>
      <c r="L14" s="17">
        <v>11</v>
      </c>
      <c r="M14" s="84">
        <v>19.007999999999999</v>
      </c>
      <c r="N14" s="75">
        <v>19</v>
      </c>
      <c r="O14" s="67">
        <v>7000</v>
      </c>
      <c r="P14" s="68">
        <f>Table224578910112345678910121314151617[[#This Row],[PEMBULATAN]]*O14</f>
        <v>133000</v>
      </c>
    </row>
    <row r="15" spans="1:16" ht="33.75" customHeight="1" x14ac:dyDescent="0.2">
      <c r="A15" s="14"/>
      <c r="B15" s="14"/>
      <c r="C15" s="76" t="s">
        <v>337</v>
      </c>
      <c r="D15" s="81" t="s">
        <v>49</v>
      </c>
      <c r="E15" s="13">
        <v>44435</v>
      </c>
      <c r="F15" s="79" t="s">
        <v>253</v>
      </c>
      <c r="G15" s="13">
        <v>44435</v>
      </c>
      <c r="H15" s="80" t="s">
        <v>172</v>
      </c>
      <c r="I15" s="17">
        <v>58</v>
      </c>
      <c r="J15" s="17">
        <v>32</v>
      </c>
      <c r="K15" s="17">
        <v>55</v>
      </c>
      <c r="L15" s="17">
        <v>6</v>
      </c>
      <c r="M15" s="84">
        <v>25.52</v>
      </c>
      <c r="N15" s="75">
        <v>26</v>
      </c>
      <c r="O15" s="67">
        <v>7000</v>
      </c>
      <c r="P15" s="68">
        <f>Table224578910112345678910121314151617[[#This Row],[PEMBULATAN]]*O15</f>
        <v>182000</v>
      </c>
    </row>
    <row r="16" spans="1:16" ht="33.75" customHeight="1" x14ac:dyDescent="0.2">
      <c r="A16" s="14"/>
      <c r="B16" s="14"/>
      <c r="C16" s="76" t="s">
        <v>338</v>
      </c>
      <c r="D16" s="81" t="s">
        <v>49</v>
      </c>
      <c r="E16" s="13">
        <v>44435</v>
      </c>
      <c r="F16" s="79" t="s">
        <v>253</v>
      </c>
      <c r="G16" s="13">
        <v>44435</v>
      </c>
      <c r="H16" s="80" t="s">
        <v>172</v>
      </c>
      <c r="I16" s="17">
        <v>39</v>
      </c>
      <c r="J16" s="17">
        <v>29</v>
      </c>
      <c r="K16" s="17">
        <v>16</v>
      </c>
      <c r="L16" s="17">
        <v>5</v>
      </c>
      <c r="M16" s="84">
        <v>4.524</v>
      </c>
      <c r="N16" s="75">
        <v>5</v>
      </c>
      <c r="O16" s="67">
        <v>7000</v>
      </c>
      <c r="P16" s="68">
        <f>Table224578910112345678910121314151617[[#This Row],[PEMBULATAN]]*O16</f>
        <v>35000</v>
      </c>
    </row>
    <row r="17" spans="1:16" ht="22.5" customHeight="1" x14ac:dyDescent="0.2">
      <c r="A17" s="122" t="s">
        <v>30</v>
      </c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4"/>
      <c r="M17" s="82">
        <f>SUBTOTAL(109,Table224578910112345678910121314151617[KG VOLUME])</f>
        <v>252.29250000000002</v>
      </c>
      <c r="N17" s="71">
        <f>SUM(N3:N16)</f>
        <v>272</v>
      </c>
      <c r="O17" s="125">
        <f>SUM(P3:P16)</f>
        <v>1904000</v>
      </c>
      <c r="P17" s="126"/>
    </row>
    <row r="18" spans="1:16" ht="18" customHeight="1" x14ac:dyDescent="0.2">
      <c r="A18" s="94"/>
      <c r="B18" s="59" t="s">
        <v>42</v>
      </c>
      <c r="C18" s="58"/>
      <c r="D18" s="60" t="s">
        <v>43</v>
      </c>
      <c r="E18" s="94"/>
      <c r="F18" s="94"/>
      <c r="G18" s="94"/>
      <c r="H18" s="94"/>
      <c r="I18" s="94"/>
      <c r="J18" s="94"/>
      <c r="K18" s="94"/>
      <c r="L18" s="94"/>
      <c r="M18" s="95"/>
      <c r="N18" s="96" t="s">
        <v>649</v>
      </c>
      <c r="O18" s="97"/>
      <c r="P18" s="97">
        <v>0</v>
      </c>
    </row>
    <row r="19" spans="1:16" ht="18" customHeight="1" thickBot="1" x14ac:dyDescent="0.25">
      <c r="A19" s="94"/>
      <c r="B19" s="59"/>
      <c r="C19" s="58"/>
      <c r="D19" s="60"/>
      <c r="E19" s="94"/>
      <c r="F19" s="94"/>
      <c r="G19" s="94"/>
      <c r="H19" s="94"/>
      <c r="I19" s="94"/>
      <c r="J19" s="94"/>
      <c r="K19" s="94"/>
      <c r="L19" s="94"/>
      <c r="M19" s="95"/>
      <c r="N19" s="98" t="s">
        <v>650</v>
      </c>
      <c r="O19" s="99"/>
      <c r="P19" s="99">
        <f>O17-P18</f>
        <v>1904000</v>
      </c>
    </row>
    <row r="20" spans="1:16" ht="18" customHeight="1" x14ac:dyDescent="0.2">
      <c r="A20" s="11"/>
      <c r="H20" s="66"/>
      <c r="N20" s="65" t="s">
        <v>31</v>
      </c>
      <c r="P20" s="72">
        <f>P19*1%</f>
        <v>19040</v>
      </c>
    </row>
    <row r="21" spans="1:16" ht="18" customHeight="1" thickBot="1" x14ac:dyDescent="0.25">
      <c r="A21" s="11"/>
      <c r="H21" s="66"/>
      <c r="N21" s="65" t="s">
        <v>651</v>
      </c>
      <c r="P21" s="74">
        <f>P19*2%</f>
        <v>38080</v>
      </c>
    </row>
    <row r="22" spans="1:16" ht="18" customHeight="1" x14ac:dyDescent="0.2">
      <c r="A22" s="11"/>
      <c r="H22" s="66"/>
      <c r="N22" s="69" t="s">
        <v>32</v>
      </c>
      <c r="O22" s="70"/>
      <c r="P22" s="73">
        <f>P19+P20-P21</f>
        <v>1884960</v>
      </c>
    </row>
    <row r="24" spans="1:16" x14ac:dyDescent="0.2">
      <c r="A24" s="11"/>
      <c r="H24" s="66"/>
      <c r="P24" s="74"/>
    </row>
    <row r="25" spans="1:16" x14ac:dyDescent="0.2">
      <c r="A25" s="11"/>
      <c r="H25" s="66"/>
      <c r="O25" s="61"/>
      <c r="P25" s="74"/>
    </row>
    <row r="26" spans="1:16" s="3" customFormat="1" x14ac:dyDescent="0.25">
      <c r="A26" s="11"/>
      <c r="B26" s="2"/>
      <c r="C26" s="2"/>
      <c r="E26" s="12"/>
      <c r="H26" s="66"/>
      <c r="N26" s="16"/>
      <c r="O26" s="16"/>
      <c r="P26" s="16"/>
    </row>
    <row r="27" spans="1:16" s="3" customFormat="1" x14ac:dyDescent="0.25">
      <c r="A27" s="11"/>
      <c r="B27" s="2"/>
      <c r="C27" s="2"/>
      <c r="E27" s="12"/>
      <c r="H27" s="66"/>
      <c r="N27" s="16"/>
      <c r="O27" s="16"/>
      <c r="P27" s="16"/>
    </row>
    <row r="28" spans="1:16" s="3" customFormat="1" x14ac:dyDescent="0.25">
      <c r="A28" s="11"/>
      <c r="B28" s="2"/>
      <c r="C28" s="2"/>
      <c r="E28" s="12"/>
      <c r="H28" s="66"/>
      <c r="N28" s="16"/>
      <c r="O28" s="16"/>
      <c r="P28" s="16"/>
    </row>
    <row r="29" spans="1:16" s="3" customFormat="1" x14ac:dyDescent="0.25">
      <c r="A29" s="11"/>
      <c r="B29" s="2"/>
      <c r="C29" s="2"/>
      <c r="E29" s="12"/>
      <c r="H29" s="66"/>
      <c r="N29" s="16"/>
      <c r="O29" s="16"/>
      <c r="P29" s="16"/>
    </row>
    <row r="30" spans="1:16" s="3" customFormat="1" x14ac:dyDescent="0.25">
      <c r="A30" s="11"/>
      <c r="B30" s="2"/>
      <c r="C30" s="2"/>
      <c r="E30" s="12"/>
      <c r="H30" s="66"/>
      <c r="N30" s="16"/>
      <c r="O30" s="16"/>
      <c r="P30" s="16"/>
    </row>
    <row r="31" spans="1:16" s="3" customFormat="1" x14ac:dyDescent="0.25">
      <c r="A31" s="11"/>
      <c r="B31" s="2"/>
      <c r="C31" s="2"/>
      <c r="E31" s="12"/>
      <c r="H31" s="66"/>
      <c r="N31" s="16"/>
      <c r="O31" s="16"/>
      <c r="P31" s="16"/>
    </row>
    <row r="32" spans="1:16" s="3" customFormat="1" x14ac:dyDescent="0.25">
      <c r="A32" s="11"/>
      <c r="B32" s="2"/>
      <c r="C32" s="2"/>
      <c r="E32" s="12"/>
      <c r="H32" s="66"/>
      <c r="N32" s="16"/>
      <c r="O32" s="16"/>
      <c r="P32" s="16"/>
    </row>
    <row r="33" spans="1:16" s="3" customFormat="1" x14ac:dyDescent="0.25">
      <c r="A33" s="11"/>
      <c r="B33" s="2"/>
      <c r="C33" s="2"/>
      <c r="E33" s="12"/>
      <c r="H33" s="66"/>
      <c r="N33" s="16"/>
      <c r="O33" s="16"/>
      <c r="P33" s="16"/>
    </row>
    <row r="34" spans="1:16" s="3" customFormat="1" x14ac:dyDescent="0.25">
      <c r="A34" s="11"/>
      <c r="B34" s="2"/>
      <c r="C34" s="2"/>
      <c r="E34" s="12"/>
      <c r="H34" s="66"/>
      <c r="N34" s="16"/>
      <c r="O34" s="16"/>
      <c r="P34" s="16"/>
    </row>
    <row r="35" spans="1:16" s="3" customFormat="1" x14ac:dyDescent="0.25">
      <c r="A35" s="11"/>
      <c r="B35" s="2"/>
      <c r="C35" s="2"/>
      <c r="E35" s="12"/>
      <c r="H35" s="66"/>
      <c r="N35" s="16"/>
      <c r="O35" s="16"/>
      <c r="P35" s="16"/>
    </row>
    <row r="36" spans="1:16" s="3" customFormat="1" x14ac:dyDescent="0.25">
      <c r="A36" s="11"/>
      <c r="B36" s="2"/>
      <c r="C36" s="2"/>
      <c r="E36" s="12"/>
      <c r="H36" s="66"/>
      <c r="N36" s="16"/>
      <c r="O36" s="16"/>
      <c r="P36" s="16"/>
    </row>
    <row r="37" spans="1:16" s="3" customFormat="1" x14ac:dyDescent="0.25">
      <c r="A37" s="11"/>
      <c r="B37" s="2"/>
      <c r="C37" s="2"/>
      <c r="E37" s="12"/>
      <c r="H37" s="66"/>
      <c r="N37" s="16"/>
      <c r="O37" s="16"/>
      <c r="P37" s="16"/>
    </row>
  </sheetData>
  <mergeCells count="3">
    <mergeCell ref="A3:A4"/>
    <mergeCell ref="A17:L17"/>
    <mergeCell ref="O17:P17"/>
  </mergeCells>
  <conditionalFormatting sqref="B3">
    <cfRule type="duplicateValues" dxfId="179" priority="2"/>
  </conditionalFormatting>
  <conditionalFormatting sqref="B4">
    <cfRule type="duplicateValues" dxfId="178" priority="1"/>
  </conditionalFormatting>
  <conditionalFormatting sqref="B5:B16">
    <cfRule type="duplicateValues" dxfId="177" priority="1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0"/>
  <sheetViews>
    <sheetView zoomScale="110" zoomScaleNormal="110" workbookViewId="0">
      <pane xSplit="3" ySplit="2" topLeftCell="D46" activePane="bottomRight" state="frozen"/>
      <selection pane="topRight" activeCell="B1" sqref="B1"/>
      <selection pane="bottomLeft" activeCell="A3" sqref="A3"/>
      <selection pane="bottomRight" activeCell="A50" sqref="A50:L5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0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24" customHeight="1" x14ac:dyDescent="0.2">
      <c r="A3" s="120" t="s">
        <v>581</v>
      </c>
      <c r="B3" s="93" t="s">
        <v>339</v>
      </c>
      <c r="C3" s="9" t="s">
        <v>340</v>
      </c>
      <c r="D3" s="79" t="s">
        <v>49</v>
      </c>
      <c r="E3" s="13">
        <v>44435</v>
      </c>
      <c r="F3" s="79" t="s">
        <v>389</v>
      </c>
      <c r="G3" s="13">
        <v>44440</v>
      </c>
      <c r="H3" s="10" t="s">
        <v>390</v>
      </c>
      <c r="I3" s="1">
        <v>44</v>
      </c>
      <c r="J3" s="1">
        <v>42</v>
      </c>
      <c r="K3" s="1">
        <v>108</v>
      </c>
      <c r="L3" s="1">
        <v>40</v>
      </c>
      <c r="M3" s="83">
        <v>49.896000000000001</v>
      </c>
      <c r="N3" s="8">
        <v>50</v>
      </c>
      <c r="O3" s="67">
        <v>7000</v>
      </c>
      <c r="P3" s="68">
        <f>Table22457891011234567891012131415161718[[#This Row],[PEMBULATAN]]*O3</f>
        <v>350000</v>
      </c>
    </row>
    <row r="4" spans="1:16" ht="24" customHeight="1" x14ac:dyDescent="0.2">
      <c r="A4" s="121"/>
      <c r="B4" s="78" t="s">
        <v>341</v>
      </c>
      <c r="C4" s="9" t="s">
        <v>342</v>
      </c>
      <c r="D4" s="79" t="s">
        <v>49</v>
      </c>
      <c r="E4" s="13">
        <v>44435</v>
      </c>
      <c r="F4" s="79" t="s">
        <v>389</v>
      </c>
      <c r="G4" s="13">
        <v>44440</v>
      </c>
      <c r="H4" s="10" t="s">
        <v>390</v>
      </c>
      <c r="I4" s="1">
        <v>48</v>
      </c>
      <c r="J4" s="1">
        <v>48</v>
      </c>
      <c r="K4" s="1">
        <v>60</v>
      </c>
      <c r="L4" s="1">
        <v>23</v>
      </c>
      <c r="M4" s="83">
        <v>34.56</v>
      </c>
      <c r="N4" s="8">
        <v>35</v>
      </c>
      <c r="O4" s="67">
        <v>7000</v>
      </c>
      <c r="P4" s="68">
        <f>Table22457891011234567891012131415161718[[#This Row],[PEMBULATAN]]*O4</f>
        <v>245000</v>
      </c>
    </row>
    <row r="5" spans="1:16" ht="24" customHeight="1" x14ac:dyDescent="0.2">
      <c r="A5" s="14"/>
      <c r="B5" s="14"/>
      <c r="C5" s="9" t="s">
        <v>343</v>
      </c>
      <c r="D5" s="79" t="s">
        <v>49</v>
      </c>
      <c r="E5" s="13">
        <v>44435</v>
      </c>
      <c r="F5" s="79" t="s">
        <v>389</v>
      </c>
      <c r="G5" s="13">
        <v>44440</v>
      </c>
      <c r="H5" s="10" t="s">
        <v>390</v>
      </c>
      <c r="I5" s="1">
        <v>102</v>
      </c>
      <c r="J5" s="1">
        <v>47</v>
      </c>
      <c r="K5" s="1">
        <v>34</v>
      </c>
      <c r="L5" s="1">
        <v>22</v>
      </c>
      <c r="M5" s="83">
        <v>40.749000000000002</v>
      </c>
      <c r="N5" s="8">
        <v>41</v>
      </c>
      <c r="O5" s="67">
        <v>7000</v>
      </c>
      <c r="P5" s="68">
        <f>Table22457891011234567891012131415161718[[#This Row],[PEMBULATAN]]*O5</f>
        <v>287000</v>
      </c>
    </row>
    <row r="6" spans="1:16" ht="24" customHeight="1" x14ac:dyDescent="0.2">
      <c r="A6" s="14"/>
      <c r="B6" s="14"/>
      <c r="C6" s="76" t="s">
        <v>344</v>
      </c>
      <c r="D6" s="81" t="s">
        <v>49</v>
      </c>
      <c r="E6" s="13">
        <v>44435</v>
      </c>
      <c r="F6" s="79" t="s">
        <v>389</v>
      </c>
      <c r="G6" s="13">
        <v>44440</v>
      </c>
      <c r="H6" s="80" t="s">
        <v>390</v>
      </c>
      <c r="I6" s="17">
        <v>58</v>
      </c>
      <c r="J6" s="17">
        <v>32</v>
      </c>
      <c r="K6" s="17">
        <v>23</v>
      </c>
      <c r="L6" s="17">
        <v>12</v>
      </c>
      <c r="M6" s="84">
        <v>10.672000000000001</v>
      </c>
      <c r="N6" s="75">
        <v>12</v>
      </c>
      <c r="O6" s="67">
        <v>7000</v>
      </c>
      <c r="P6" s="68">
        <f>Table22457891011234567891012131415161718[[#This Row],[PEMBULATAN]]*O6</f>
        <v>84000</v>
      </c>
    </row>
    <row r="7" spans="1:16" ht="24" customHeight="1" x14ac:dyDescent="0.2">
      <c r="A7" s="14"/>
      <c r="B7" s="14"/>
      <c r="C7" s="76" t="s">
        <v>345</v>
      </c>
      <c r="D7" s="81" t="s">
        <v>49</v>
      </c>
      <c r="E7" s="13">
        <v>44435</v>
      </c>
      <c r="F7" s="79" t="s">
        <v>389</v>
      </c>
      <c r="G7" s="13">
        <v>44440</v>
      </c>
      <c r="H7" s="80" t="s">
        <v>390</v>
      </c>
      <c r="I7" s="17">
        <v>58</v>
      </c>
      <c r="J7" s="17">
        <v>43</v>
      </c>
      <c r="K7" s="17">
        <v>40</v>
      </c>
      <c r="L7" s="17">
        <v>10</v>
      </c>
      <c r="M7" s="84">
        <v>24.94</v>
      </c>
      <c r="N7" s="75">
        <v>25</v>
      </c>
      <c r="O7" s="67">
        <v>7000</v>
      </c>
      <c r="P7" s="68">
        <f>Table22457891011234567891012131415161718[[#This Row],[PEMBULATAN]]*O7</f>
        <v>175000</v>
      </c>
    </row>
    <row r="8" spans="1:16" ht="24" customHeight="1" x14ac:dyDescent="0.2">
      <c r="A8" s="14"/>
      <c r="B8" s="14"/>
      <c r="C8" s="76" t="s">
        <v>346</v>
      </c>
      <c r="D8" s="81" t="s">
        <v>49</v>
      </c>
      <c r="E8" s="13">
        <v>44435</v>
      </c>
      <c r="F8" s="79" t="s">
        <v>389</v>
      </c>
      <c r="G8" s="13">
        <v>44440</v>
      </c>
      <c r="H8" s="80" t="s">
        <v>390</v>
      </c>
      <c r="I8" s="17">
        <v>40</v>
      </c>
      <c r="J8" s="17">
        <v>28</v>
      </c>
      <c r="K8" s="17">
        <v>38</v>
      </c>
      <c r="L8" s="17">
        <v>9</v>
      </c>
      <c r="M8" s="84">
        <v>10.64</v>
      </c>
      <c r="N8" s="75">
        <v>11</v>
      </c>
      <c r="O8" s="67">
        <v>7000</v>
      </c>
      <c r="P8" s="68">
        <f>Table22457891011234567891012131415161718[[#This Row],[PEMBULATAN]]*O8</f>
        <v>77000</v>
      </c>
    </row>
    <row r="9" spans="1:16" ht="24" customHeight="1" x14ac:dyDescent="0.2">
      <c r="A9" s="14"/>
      <c r="B9" s="14"/>
      <c r="C9" s="76" t="s">
        <v>347</v>
      </c>
      <c r="D9" s="81" t="s">
        <v>49</v>
      </c>
      <c r="E9" s="13">
        <v>44435</v>
      </c>
      <c r="F9" s="79" t="s">
        <v>389</v>
      </c>
      <c r="G9" s="13">
        <v>44440</v>
      </c>
      <c r="H9" s="80" t="s">
        <v>390</v>
      </c>
      <c r="I9" s="17">
        <v>32</v>
      </c>
      <c r="J9" s="17">
        <v>36</v>
      </c>
      <c r="K9" s="17">
        <v>30</v>
      </c>
      <c r="L9" s="17">
        <v>5</v>
      </c>
      <c r="M9" s="84">
        <v>8.64</v>
      </c>
      <c r="N9" s="75">
        <v>9</v>
      </c>
      <c r="O9" s="67">
        <v>7000</v>
      </c>
      <c r="P9" s="68">
        <f>Table22457891011234567891012131415161718[[#This Row],[PEMBULATAN]]*O9</f>
        <v>63000</v>
      </c>
    </row>
    <row r="10" spans="1:16" ht="24" customHeight="1" x14ac:dyDescent="0.2">
      <c r="A10" s="14"/>
      <c r="B10" s="14"/>
      <c r="C10" s="76" t="s">
        <v>348</v>
      </c>
      <c r="D10" s="81" t="s">
        <v>49</v>
      </c>
      <c r="E10" s="13">
        <v>44435</v>
      </c>
      <c r="F10" s="79" t="s">
        <v>389</v>
      </c>
      <c r="G10" s="13">
        <v>44440</v>
      </c>
      <c r="H10" s="80" t="s">
        <v>390</v>
      </c>
      <c r="I10" s="17">
        <v>63</v>
      </c>
      <c r="J10" s="17">
        <v>35</v>
      </c>
      <c r="K10" s="17">
        <v>62</v>
      </c>
      <c r="L10" s="17">
        <v>20</v>
      </c>
      <c r="M10" s="84">
        <v>34.177500000000002</v>
      </c>
      <c r="N10" s="75">
        <v>34</v>
      </c>
      <c r="O10" s="67">
        <v>7000</v>
      </c>
      <c r="P10" s="68">
        <f>Table22457891011234567891012131415161718[[#This Row],[PEMBULATAN]]*O10</f>
        <v>238000</v>
      </c>
    </row>
    <row r="11" spans="1:16" ht="24" customHeight="1" x14ac:dyDescent="0.2">
      <c r="A11" s="14"/>
      <c r="B11" s="14"/>
      <c r="C11" s="76" t="s">
        <v>349</v>
      </c>
      <c r="D11" s="81" t="s">
        <v>49</v>
      </c>
      <c r="E11" s="13">
        <v>44435</v>
      </c>
      <c r="F11" s="79" t="s">
        <v>389</v>
      </c>
      <c r="G11" s="13">
        <v>44440</v>
      </c>
      <c r="H11" s="80" t="s">
        <v>390</v>
      </c>
      <c r="I11" s="17">
        <v>55</v>
      </c>
      <c r="J11" s="17">
        <v>39</v>
      </c>
      <c r="K11" s="17">
        <v>22</v>
      </c>
      <c r="L11" s="17">
        <v>15</v>
      </c>
      <c r="M11" s="84">
        <v>11.797499999999999</v>
      </c>
      <c r="N11" s="75">
        <v>15</v>
      </c>
      <c r="O11" s="67">
        <v>7000</v>
      </c>
      <c r="P11" s="68">
        <f>Table22457891011234567891012131415161718[[#This Row],[PEMBULATAN]]*O11</f>
        <v>105000</v>
      </c>
    </row>
    <row r="12" spans="1:16" ht="24" customHeight="1" x14ac:dyDescent="0.2">
      <c r="A12" s="14"/>
      <c r="B12" s="14"/>
      <c r="C12" s="76" t="s">
        <v>350</v>
      </c>
      <c r="D12" s="81" t="s">
        <v>49</v>
      </c>
      <c r="E12" s="13">
        <v>44435</v>
      </c>
      <c r="F12" s="79" t="s">
        <v>389</v>
      </c>
      <c r="G12" s="13">
        <v>44440</v>
      </c>
      <c r="H12" s="80" t="s">
        <v>390</v>
      </c>
      <c r="I12" s="17">
        <v>92</v>
      </c>
      <c r="J12" s="17">
        <v>40</v>
      </c>
      <c r="K12" s="17">
        <v>20</v>
      </c>
      <c r="L12" s="17">
        <v>5</v>
      </c>
      <c r="M12" s="84">
        <v>18.399999999999999</v>
      </c>
      <c r="N12" s="75">
        <v>18</v>
      </c>
      <c r="O12" s="67">
        <v>7000</v>
      </c>
      <c r="P12" s="68">
        <f>Table22457891011234567891012131415161718[[#This Row],[PEMBULATAN]]*O12</f>
        <v>126000</v>
      </c>
    </row>
    <row r="13" spans="1:16" ht="24" customHeight="1" x14ac:dyDescent="0.2">
      <c r="A13" s="14"/>
      <c r="B13" s="15"/>
      <c r="C13" s="76" t="s">
        <v>351</v>
      </c>
      <c r="D13" s="81" t="s">
        <v>49</v>
      </c>
      <c r="E13" s="13">
        <v>44435</v>
      </c>
      <c r="F13" s="79" t="s">
        <v>389</v>
      </c>
      <c r="G13" s="13">
        <v>44440</v>
      </c>
      <c r="H13" s="80" t="s">
        <v>390</v>
      </c>
      <c r="I13" s="17">
        <v>33</v>
      </c>
      <c r="J13" s="17">
        <v>30</v>
      </c>
      <c r="K13" s="17">
        <v>35</v>
      </c>
      <c r="L13" s="17">
        <v>7</v>
      </c>
      <c r="M13" s="84">
        <v>8.6624999999999996</v>
      </c>
      <c r="N13" s="75">
        <v>9</v>
      </c>
      <c r="O13" s="67">
        <v>7000</v>
      </c>
      <c r="P13" s="68">
        <f>Table22457891011234567891012131415161718[[#This Row],[PEMBULATAN]]*O13</f>
        <v>63000</v>
      </c>
    </row>
    <row r="14" spans="1:16" ht="24" customHeight="1" x14ac:dyDescent="0.2">
      <c r="A14" s="14"/>
      <c r="B14" s="14" t="s">
        <v>352</v>
      </c>
      <c r="C14" s="76" t="s">
        <v>353</v>
      </c>
      <c r="D14" s="81" t="s">
        <v>49</v>
      </c>
      <c r="E14" s="13">
        <v>44435</v>
      </c>
      <c r="F14" s="79" t="s">
        <v>389</v>
      </c>
      <c r="G14" s="13">
        <v>44440</v>
      </c>
      <c r="H14" s="80" t="s">
        <v>390</v>
      </c>
      <c r="I14" s="17">
        <v>35</v>
      </c>
      <c r="J14" s="17">
        <v>35</v>
      </c>
      <c r="K14" s="17">
        <v>18</v>
      </c>
      <c r="L14" s="17">
        <v>12</v>
      </c>
      <c r="M14" s="84">
        <v>5.5125000000000002</v>
      </c>
      <c r="N14" s="75">
        <v>12</v>
      </c>
      <c r="O14" s="67">
        <v>7000</v>
      </c>
      <c r="P14" s="68">
        <f>Table22457891011234567891012131415161718[[#This Row],[PEMBULATAN]]*O14</f>
        <v>84000</v>
      </c>
    </row>
    <row r="15" spans="1:16" ht="24" customHeight="1" x14ac:dyDescent="0.2">
      <c r="A15" s="14"/>
      <c r="B15" s="14"/>
      <c r="C15" s="76" t="s">
        <v>354</v>
      </c>
      <c r="D15" s="81" t="s">
        <v>49</v>
      </c>
      <c r="E15" s="13">
        <v>44435</v>
      </c>
      <c r="F15" s="79" t="s">
        <v>389</v>
      </c>
      <c r="G15" s="13">
        <v>44440</v>
      </c>
      <c r="H15" s="80" t="s">
        <v>390</v>
      </c>
      <c r="I15" s="17">
        <v>35</v>
      </c>
      <c r="J15" s="17">
        <v>35</v>
      </c>
      <c r="K15" s="17">
        <v>18</v>
      </c>
      <c r="L15" s="17">
        <v>12</v>
      </c>
      <c r="M15" s="84">
        <v>5.5125000000000002</v>
      </c>
      <c r="N15" s="75">
        <v>12</v>
      </c>
      <c r="O15" s="67">
        <v>7000</v>
      </c>
      <c r="P15" s="68">
        <f>Table22457891011234567891012131415161718[[#This Row],[PEMBULATAN]]*O15</f>
        <v>84000</v>
      </c>
    </row>
    <row r="16" spans="1:16" ht="24" customHeight="1" x14ac:dyDescent="0.2">
      <c r="A16" s="14"/>
      <c r="B16" s="14"/>
      <c r="C16" s="76" t="s">
        <v>355</v>
      </c>
      <c r="D16" s="81" t="s">
        <v>49</v>
      </c>
      <c r="E16" s="13">
        <v>44435</v>
      </c>
      <c r="F16" s="79" t="s">
        <v>389</v>
      </c>
      <c r="G16" s="13">
        <v>44440</v>
      </c>
      <c r="H16" s="80" t="s">
        <v>390</v>
      </c>
      <c r="I16" s="17">
        <v>35</v>
      </c>
      <c r="J16" s="17">
        <v>35</v>
      </c>
      <c r="K16" s="17">
        <v>18</v>
      </c>
      <c r="L16" s="17">
        <v>12</v>
      </c>
      <c r="M16" s="84">
        <v>5.5125000000000002</v>
      </c>
      <c r="N16" s="75">
        <v>12</v>
      </c>
      <c r="O16" s="67">
        <v>7000</v>
      </c>
      <c r="P16" s="68">
        <f>Table22457891011234567891012131415161718[[#This Row],[PEMBULATAN]]*O16</f>
        <v>84000</v>
      </c>
    </row>
    <row r="17" spans="1:16" ht="24" customHeight="1" x14ac:dyDescent="0.2">
      <c r="A17" s="14"/>
      <c r="B17" s="14"/>
      <c r="C17" s="76" t="s">
        <v>356</v>
      </c>
      <c r="D17" s="81" t="s">
        <v>49</v>
      </c>
      <c r="E17" s="13">
        <v>44435</v>
      </c>
      <c r="F17" s="79" t="s">
        <v>389</v>
      </c>
      <c r="G17" s="13">
        <v>44440</v>
      </c>
      <c r="H17" s="80" t="s">
        <v>390</v>
      </c>
      <c r="I17" s="17">
        <v>24</v>
      </c>
      <c r="J17" s="17">
        <v>20</v>
      </c>
      <c r="K17" s="17">
        <v>27</v>
      </c>
      <c r="L17" s="17">
        <v>2</v>
      </c>
      <c r="M17" s="84">
        <v>3.24</v>
      </c>
      <c r="N17" s="75">
        <v>3</v>
      </c>
      <c r="O17" s="67">
        <v>7000</v>
      </c>
      <c r="P17" s="68">
        <f>Table22457891011234567891012131415161718[[#This Row],[PEMBULATAN]]*O17</f>
        <v>21000</v>
      </c>
    </row>
    <row r="18" spans="1:16" ht="24" customHeight="1" x14ac:dyDescent="0.2">
      <c r="A18" s="14"/>
      <c r="B18" s="14"/>
      <c r="C18" s="76" t="s">
        <v>357</v>
      </c>
      <c r="D18" s="81" t="s">
        <v>49</v>
      </c>
      <c r="E18" s="13">
        <v>44435</v>
      </c>
      <c r="F18" s="79" t="s">
        <v>389</v>
      </c>
      <c r="G18" s="13">
        <v>44440</v>
      </c>
      <c r="H18" s="80" t="s">
        <v>390</v>
      </c>
      <c r="I18" s="17">
        <v>35</v>
      </c>
      <c r="J18" s="17">
        <v>35</v>
      </c>
      <c r="K18" s="17">
        <v>18</v>
      </c>
      <c r="L18" s="17">
        <v>12</v>
      </c>
      <c r="M18" s="84">
        <v>5.5125000000000002</v>
      </c>
      <c r="N18" s="75">
        <v>12</v>
      </c>
      <c r="O18" s="67">
        <v>7000</v>
      </c>
      <c r="P18" s="68">
        <f>Table22457891011234567891012131415161718[[#This Row],[PEMBULATAN]]*O18</f>
        <v>84000</v>
      </c>
    </row>
    <row r="19" spans="1:16" ht="24" customHeight="1" x14ac:dyDescent="0.2">
      <c r="A19" s="14"/>
      <c r="B19" s="14"/>
      <c r="C19" s="76" t="s">
        <v>358</v>
      </c>
      <c r="D19" s="81" t="s">
        <v>49</v>
      </c>
      <c r="E19" s="13">
        <v>44435</v>
      </c>
      <c r="F19" s="79" t="s">
        <v>389</v>
      </c>
      <c r="G19" s="13">
        <v>44440</v>
      </c>
      <c r="H19" s="80" t="s">
        <v>390</v>
      </c>
      <c r="I19" s="17">
        <v>35</v>
      </c>
      <c r="J19" s="17">
        <v>25</v>
      </c>
      <c r="K19" s="17">
        <v>18</v>
      </c>
      <c r="L19" s="17">
        <v>12</v>
      </c>
      <c r="M19" s="84">
        <v>3.9375</v>
      </c>
      <c r="N19" s="75">
        <v>12</v>
      </c>
      <c r="O19" s="67">
        <v>7000</v>
      </c>
      <c r="P19" s="68">
        <f>Table22457891011234567891012131415161718[[#This Row],[PEMBULATAN]]*O19</f>
        <v>84000</v>
      </c>
    </row>
    <row r="20" spans="1:16" ht="24" customHeight="1" x14ac:dyDescent="0.2">
      <c r="A20" s="14"/>
      <c r="B20" s="14"/>
      <c r="C20" s="76" t="s">
        <v>359</v>
      </c>
      <c r="D20" s="81" t="s">
        <v>49</v>
      </c>
      <c r="E20" s="13">
        <v>44435</v>
      </c>
      <c r="F20" s="79" t="s">
        <v>389</v>
      </c>
      <c r="G20" s="13">
        <v>44440</v>
      </c>
      <c r="H20" s="80" t="s">
        <v>390</v>
      </c>
      <c r="I20" s="17">
        <v>35</v>
      </c>
      <c r="J20" s="17">
        <v>35</v>
      </c>
      <c r="K20" s="17">
        <v>18</v>
      </c>
      <c r="L20" s="17">
        <v>12</v>
      </c>
      <c r="M20" s="84">
        <v>5.5125000000000002</v>
      </c>
      <c r="N20" s="75">
        <v>12</v>
      </c>
      <c r="O20" s="67">
        <v>7000</v>
      </c>
      <c r="P20" s="68">
        <f>Table22457891011234567891012131415161718[[#This Row],[PEMBULATAN]]*O20</f>
        <v>84000</v>
      </c>
    </row>
    <row r="21" spans="1:16" ht="24" customHeight="1" x14ac:dyDescent="0.2">
      <c r="A21" s="14"/>
      <c r="B21" s="14"/>
      <c r="C21" s="76" t="s">
        <v>360</v>
      </c>
      <c r="D21" s="81" t="s">
        <v>49</v>
      </c>
      <c r="E21" s="13">
        <v>44435</v>
      </c>
      <c r="F21" s="79" t="s">
        <v>389</v>
      </c>
      <c r="G21" s="13">
        <v>44440</v>
      </c>
      <c r="H21" s="80" t="s">
        <v>390</v>
      </c>
      <c r="I21" s="17">
        <v>35</v>
      </c>
      <c r="J21" s="17">
        <v>35</v>
      </c>
      <c r="K21" s="17">
        <v>18</v>
      </c>
      <c r="L21" s="17">
        <v>12</v>
      </c>
      <c r="M21" s="84">
        <v>5.5125000000000002</v>
      </c>
      <c r="N21" s="75">
        <v>12</v>
      </c>
      <c r="O21" s="67">
        <v>7000</v>
      </c>
      <c r="P21" s="68">
        <f>Table22457891011234567891012131415161718[[#This Row],[PEMBULATAN]]*O21</f>
        <v>84000</v>
      </c>
    </row>
    <row r="22" spans="1:16" ht="24" customHeight="1" x14ac:dyDescent="0.2">
      <c r="A22" s="14"/>
      <c r="B22" s="14"/>
      <c r="C22" s="76" t="s">
        <v>361</v>
      </c>
      <c r="D22" s="81" t="s">
        <v>49</v>
      </c>
      <c r="E22" s="13">
        <v>44435</v>
      </c>
      <c r="F22" s="79" t="s">
        <v>389</v>
      </c>
      <c r="G22" s="13">
        <v>44440</v>
      </c>
      <c r="H22" s="80" t="s">
        <v>390</v>
      </c>
      <c r="I22" s="17">
        <v>35</v>
      </c>
      <c r="J22" s="17">
        <v>35</v>
      </c>
      <c r="K22" s="17">
        <v>18</v>
      </c>
      <c r="L22" s="17">
        <v>12</v>
      </c>
      <c r="M22" s="84">
        <v>5.5125000000000002</v>
      </c>
      <c r="N22" s="75">
        <v>12</v>
      </c>
      <c r="O22" s="67">
        <v>7000</v>
      </c>
      <c r="P22" s="68">
        <f>Table22457891011234567891012131415161718[[#This Row],[PEMBULATAN]]*O22</f>
        <v>84000</v>
      </c>
    </row>
    <row r="23" spans="1:16" ht="24" customHeight="1" x14ac:dyDescent="0.2">
      <c r="A23" s="14"/>
      <c r="B23" s="14"/>
      <c r="C23" s="76" t="s">
        <v>362</v>
      </c>
      <c r="D23" s="81" t="s">
        <v>49</v>
      </c>
      <c r="E23" s="13">
        <v>44435</v>
      </c>
      <c r="F23" s="79" t="s">
        <v>389</v>
      </c>
      <c r="G23" s="13">
        <v>44440</v>
      </c>
      <c r="H23" s="80" t="s">
        <v>390</v>
      </c>
      <c r="I23" s="17">
        <v>35</v>
      </c>
      <c r="J23" s="17">
        <v>35</v>
      </c>
      <c r="K23" s="17">
        <v>18</v>
      </c>
      <c r="L23" s="17">
        <v>12</v>
      </c>
      <c r="M23" s="84">
        <v>5.5125000000000002</v>
      </c>
      <c r="N23" s="75">
        <v>12</v>
      </c>
      <c r="O23" s="67">
        <v>7000</v>
      </c>
      <c r="P23" s="68">
        <f>Table22457891011234567891012131415161718[[#This Row],[PEMBULATAN]]*O23</f>
        <v>84000</v>
      </c>
    </row>
    <row r="24" spans="1:16" ht="24" customHeight="1" x14ac:dyDescent="0.2">
      <c r="A24" s="14"/>
      <c r="B24" s="14"/>
      <c r="C24" s="76" t="s">
        <v>363</v>
      </c>
      <c r="D24" s="81" t="s">
        <v>49</v>
      </c>
      <c r="E24" s="13">
        <v>44435</v>
      </c>
      <c r="F24" s="79" t="s">
        <v>389</v>
      </c>
      <c r="G24" s="13">
        <v>44440</v>
      </c>
      <c r="H24" s="80" t="s">
        <v>390</v>
      </c>
      <c r="I24" s="17">
        <v>47</v>
      </c>
      <c r="J24" s="17">
        <v>42</v>
      </c>
      <c r="K24" s="17">
        <v>37</v>
      </c>
      <c r="L24" s="17">
        <v>12</v>
      </c>
      <c r="M24" s="84">
        <v>18.259499999999999</v>
      </c>
      <c r="N24" s="75">
        <v>18</v>
      </c>
      <c r="O24" s="67">
        <v>7000</v>
      </c>
      <c r="P24" s="68">
        <f>Table22457891011234567891012131415161718[[#This Row],[PEMBULATAN]]*O24</f>
        <v>126000</v>
      </c>
    </row>
    <row r="25" spans="1:16" ht="24" customHeight="1" x14ac:dyDescent="0.2">
      <c r="A25" s="14"/>
      <c r="B25" s="14"/>
      <c r="C25" s="76" t="s">
        <v>364</v>
      </c>
      <c r="D25" s="81" t="s">
        <v>49</v>
      </c>
      <c r="E25" s="13">
        <v>44435</v>
      </c>
      <c r="F25" s="79" t="s">
        <v>389</v>
      </c>
      <c r="G25" s="13">
        <v>44440</v>
      </c>
      <c r="H25" s="80" t="s">
        <v>390</v>
      </c>
      <c r="I25" s="17">
        <v>42</v>
      </c>
      <c r="J25" s="17">
        <v>42</v>
      </c>
      <c r="K25" s="17">
        <v>52</v>
      </c>
      <c r="L25" s="17">
        <v>12</v>
      </c>
      <c r="M25" s="84">
        <v>22.931999999999999</v>
      </c>
      <c r="N25" s="75">
        <v>23</v>
      </c>
      <c r="O25" s="67">
        <v>7000</v>
      </c>
      <c r="P25" s="68">
        <f>Table22457891011234567891012131415161718[[#This Row],[PEMBULATAN]]*O25</f>
        <v>161000</v>
      </c>
    </row>
    <row r="26" spans="1:16" ht="24" customHeight="1" x14ac:dyDescent="0.2">
      <c r="A26" s="14"/>
      <c r="B26" s="14"/>
      <c r="C26" s="76" t="s">
        <v>365</v>
      </c>
      <c r="D26" s="81" t="s">
        <v>49</v>
      </c>
      <c r="E26" s="13">
        <v>44435</v>
      </c>
      <c r="F26" s="79" t="s">
        <v>389</v>
      </c>
      <c r="G26" s="13">
        <v>44440</v>
      </c>
      <c r="H26" s="80" t="s">
        <v>390</v>
      </c>
      <c r="I26" s="17">
        <v>70</v>
      </c>
      <c r="J26" s="17">
        <v>54</v>
      </c>
      <c r="K26" s="17">
        <v>44</v>
      </c>
      <c r="L26" s="17">
        <v>12</v>
      </c>
      <c r="M26" s="84">
        <v>41.58</v>
      </c>
      <c r="N26" s="75">
        <v>42</v>
      </c>
      <c r="O26" s="67">
        <v>7000</v>
      </c>
      <c r="P26" s="68">
        <f>Table22457891011234567891012131415161718[[#This Row],[PEMBULATAN]]*O26</f>
        <v>294000</v>
      </c>
    </row>
    <row r="27" spans="1:16" ht="24" customHeight="1" x14ac:dyDescent="0.2">
      <c r="A27" s="14"/>
      <c r="B27" s="14"/>
      <c r="C27" s="76" t="s">
        <v>366</v>
      </c>
      <c r="D27" s="81" t="s">
        <v>49</v>
      </c>
      <c r="E27" s="13">
        <v>44435</v>
      </c>
      <c r="F27" s="79" t="s">
        <v>389</v>
      </c>
      <c r="G27" s="13">
        <v>44440</v>
      </c>
      <c r="H27" s="80" t="s">
        <v>390</v>
      </c>
      <c r="I27" s="17">
        <v>95</v>
      </c>
      <c r="J27" s="17">
        <v>76</v>
      </c>
      <c r="K27" s="17">
        <v>100</v>
      </c>
      <c r="L27" s="17">
        <v>12</v>
      </c>
      <c r="M27" s="84">
        <v>180.5</v>
      </c>
      <c r="N27" s="75">
        <v>181</v>
      </c>
      <c r="O27" s="67">
        <v>7000</v>
      </c>
      <c r="P27" s="68">
        <f>Table22457891011234567891012131415161718[[#This Row],[PEMBULATAN]]*O27</f>
        <v>1267000</v>
      </c>
    </row>
    <row r="28" spans="1:16" ht="24" customHeight="1" x14ac:dyDescent="0.2">
      <c r="A28" s="14"/>
      <c r="B28" s="14"/>
      <c r="C28" s="76" t="s">
        <v>367</v>
      </c>
      <c r="D28" s="81" t="s">
        <v>49</v>
      </c>
      <c r="E28" s="13">
        <v>44435</v>
      </c>
      <c r="F28" s="79" t="s">
        <v>389</v>
      </c>
      <c r="G28" s="13">
        <v>44440</v>
      </c>
      <c r="H28" s="80" t="s">
        <v>390</v>
      </c>
      <c r="I28" s="17">
        <v>95</v>
      </c>
      <c r="J28" s="17">
        <v>76</v>
      </c>
      <c r="K28" s="17">
        <v>100</v>
      </c>
      <c r="L28" s="17">
        <v>12</v>
      </c>
      <c r="M28" s="84">
        <v>180.5</v>
      </c>
      <c r="N28" s="75">
        <v>181</v>
      </c>
      <c r="O28" s="67">
        <v>7000</v>
      </c>
      <c r="P28" s="68">
        <f>Table22457891011234567891012131415161718[[#This Row],[PEMBULATAN]]*O28</f>
        <v>1267000</v>
      </c>
    </row>
    <row r="29" spans="1:16" ht="24" customHeight="1" x14ac:dyDescent="0.2">
      <c r="A29" s="14"/>
      <c r="B29" s="14"/>
      <c r="C29" s="76" t="s">
        <v>368</v>
      </c>
      <c r="D29" s="81" t="s">
        <v>49</v>
      </c>
      <c r="E29" s="13">
        <v>44435</v>
      </c>
      <c r="F29" s="79" t="s">
        <v>389</v>
      </c>
      <c r="G29" s="13">
        <v>44440</v>
      </c>
      <c r="H29" s="80" t="s">
        <v>390</v>
      </c>
      <c r="I29" s="17">
        <v>70</v>
      </c>
      <c r="J29" s="17">
        <v>54</v>
      </c>
      <c r="K29" s="17">
        <v>44</v>
      </c>
      <c r="L29" s="17">
        <v>12</v>
      </c>
      <c r="M29" s="84">
        <v>41.58</v>
      </c>
      <c r="N29" s="75">
        <v>42</v>
      </c>
      <c r="O29" s="67">
        <v>7000</v>
      </c>
      <c r="P29" s="68">
        <f>Table22457891011234567891012131415161718[[#This Row],[PEMBULATAN]]*O29</f>
        <v>294000</v>
      </c>
    </row>
    <row r="30" spans="1:16" ht="24" customHeight="1" x14ac:dyDescent="0.2">
      <c r="A30" s="14"/>
      <c r="B30" s="14"/>
      <c r="C30" s="76" t="s">
        <v>369</v>
      </c>
      <c r="D30" s="81" t="s">
        <v>49</v>
      </c>
      <c r="E30" s="13">
        <v>44435</v>
      </c>
      <c r="F30" s="79" t="s">
        <v>389</v>
      </c>
      <c r="G30" s="13">
        <v>44440</v>
      </c>
      <c r="H30" s="80" t="s">
        <v>390</v>
      </c>
      <c r="I30" s="17">
        <v>95</v>
      </c>
      <c r="J30" s="17">
        <v>76</v>
      </c>
      <c r="K30" s="17">
        <v>100</v>
      </c>
      <c r="L30" s="17">
        <v>12</v>
      </c>
      <c r="M30" s="84">
        <v>180.5</v>
      </c>
      <c r="N30" s="75">
        <v>181</v>
      </c>
      <c r="O30" s="67">
        <v>7000</v>
      </c>
      <c r="P30" s="68">
        <f>Table22457891011234567891012131415161718[[#This Row],[PEMBULATAN]]*O30</f>
        <v>1267000</v>
      </c>
    </row>
    <row r="31" spans="1:16" ht="24" customHeight="1" x14ac:dyDescent="0.2">
      <c r="A31" s="14"/>
      <c r="B31" s="14"/>
      <c r="C31" s="76" t="s">
        <v>370</v>
      </c>
      <c r="D31" s="81" t="s">
        <v>49</v>
      </c>
      <c r="E31" s="13">
        <v>44435</v>
      </c>
      <c r="F31" s="79" t="s">
        <v>389</v>
      </c>
      <c r="G31" s="13">
        <v>44440</v>
      </c>
      <c r="H31" s="80" t="s">
        <v>390</v>
      </c>
      <c r="I31" s="17">
        <v>55</v>
      </c>
      <c r="J31" s="17">
        <v>42</v>
      </c>
      <c r="K31" s="17">
        <v>27</v>
      </c>
      <c r="L31" s="17">
        <v>7</v>
      </c>
      <c r="M31" s="84">
        <v>15.592499999999999</v>
      </c>
      <c r="N31" s="75">
        <v>16</v>
      </c>
      <c r="O31" s="67">
        <v>7000</v>
      </c>
      <c r="P31" s="68">
        <f>Table22457891011234567891012131415161718[[#This Row],[PEMBULATAN]]*O31</f>
        <v>112000</v>
      </c>
    </row>
    <row r="32" spans="1:16" ht="24" customHeight="1" x14ac:dyDescent="0.2">
      <c r="A32" s="14"/>
      <c r="B32" s="14"/>
      <c r="C32" s="76" t="s">
        <v>371</v>
      </c>
      <c r="D32" s="81" t="s">
        <v>49</v>
      </c>
      <c r="E32" s="13">
        <v>44435</v>
      </c>
      <c r="F32" s="79" t="s">
        <v>389</v>
      </c>
      <c r="G32" s="13">
        <v>44440</v>
      </c>
      <c r="H32" s="80" t="s">
        <v>390</v>
      </c>
      <c r="I32" s="17">
        <v>44</v>
      </c>
      <c r="J32" s="17">
        <v>33</v>
      </c>
      <c r="K32" s="17">
        <v>30</v>
      </c>
      <c r="L32" s="17">
        <v>9</v>
      </c>
      <c r="M32" s="84">
        <v>10.89</v>
      </c>
      <c r="N32" s="75">
        <v>11</v>
      </c>
      <c r="O32" s="67">
        <v>7000</v>
      </c>
      <c r="P32" s="68">
        <f>Table22457891011234567891012131415161718[[#This Row],[PEMBULATAN]]*O32</f>
        <v>77000</v>
      </c>
    </row>
    <row r="33" spans="1:16" ht="24" customHeight="1" x14ac:dyDescent="0.2">
      <c r="A33" s="14"/>
      <c r="B33" s="14"/>
      <c r="C33" s="76" t="s">
        <v>372</v>
      </c>
      <c r="D33" s="81" t="s">
        <v>49</v>
      </c>
      <c r="E33" s="13">
        <v>44435</v>
      </c>
      <c r="F33" s="79" t="s">
        <v>389</v>
      </c>
      <c r="G33" s="13">
        <v>44440</v>
      </c>
      <c r="H33" s="80" t="s">
        <v>390</v>
      </c>
      <c r="I33" s="17">
        <v>65</v>
      </c>
      <c r="J33" s="17">
        <v>58</v>
      </c>
      <c r="K33" s="17">
        <v>22</v>
      </c>
      <c r="L33" s="17">
        <v>12</v>
      </c>
      <c r="M33" s="84">
        <v>20.734999999999999</v>
      </c>
      <c r="N33" s="75">
        <v>21</v>
      </c>
      <c r="O33" s="67">
        <v>7000</v>
      </c>
      <c r="P33" s="68">
        <f>Table22457891011234567891012131415161718[[#This Row],[PEMBULATAN]]*O33</f>
        <v>147000</v>
      </c>
    </row>
    <row r="34" spans="1:16" ht="24" customHeight="1" x14ac:dyDescent="0.2">
      <c r="A34" s="14"/>
      <c r="B34" s="14"/>
      <c r="C34" s="76" t="s">
        <v>373</v>
      </c>
      <c r="D34" s="81" t="s">
        <v>49</v>
      </c>
      <c r="E34" s="13">
        <v>44435</v>
      </c>
      <c r="F34" s="79" t="s">
        <v>389</v>
      </c>
      <c r="G34" s="13">
        <v>44440</v>
      </c>
      <c r="H34" s="80" t="s">
        <v>390</v>
      </c>
      <c r="I34" s="17">
        <v>65</v>
      </c>
      <c r="J34" s="17">
        <v>58</v>
      </c>
      <c r="K34" s="17">
        <v>22</v>
      </c>
      <c r="L34" s="17">
        <v>12</v>
      </c>
      <c r="M34" s="84">
        <v>20.734999999999999</v>
      </c>
      <c r="N34" s="75">
        <v>21</v>
      </c>
      <c r="O34" s="67">
        <v>7000</v>
      </c>
      <c r="P34" s="68">
        <f>Table22457891011234567891012131415161718[[#This Row],[PEMBULATAN]]*O34</f>
        <v>147000</v>
      </c>
    </row>
    <row r="35" spans="1:16" ht="24" customHeight="1" x14ac:dyDescent="0.2">
      <c r="A35" s="14"/>
      <c r="B35" s="14"/>
      <c r="C35" s="76" t="s">
        <v>374</v>
      </c>
      <c r="D35" s="81" t="s">
        <v>49</v>
      </c>
      <c r="E35" s="13">
        <v>44435</v>
      </c>
      <c r="F35" s="79" t="s">
        <v>389</v>
      </c>
      <c r="G35" s="13">
        <v>44440</v>
      </c>
      <c r="H35" s="80" t="s">
        <v>390</v>
      </c>
      <c r="I35" s="17">
        <v>66</v>
      </c>
      <c r="J35" s="17">
        <v>58</v>
      </c>
      <c r="K35" s="17">
        <v>22</v>
      </c>
      <c r="L35" s="17">
        <v>12</v>
      </c>
      <c r="M35" s="84">
        <v>21.053999999999998</v>
      </c>
      <c r="N35" s="75">
        <v>21</v>
      </c>
      <c r="O35" s="67">
        <v>7000</v>
      </c>
      <c r="P35" s="68">
        <f>Table22457891011234567891012131415161718[[#This Row],[PEMBULATAN]]*O35</f>
        <v>147000</v>
      </c>
    </row>
    <row r="36" spans="1:16" ht="24" customHeight="1" x14ac:dyDescent="0.2">
      <c r="A36" s="14"/>
      <c r="B36" s="14"/>
      <c r="C36" s="76" t="s">
        <v>375</v>
      </c>
      <c r="D36" s="81" t="s">
        <v>49</v>
      </c>
      <c r="E36" s="13">
        <v>44435</v>
      </c>
      <c r="F36" s="79" t="s">
        <v>389</v>
      </c>
      <c r="G36" s="13">
        <v>44440</v>
      </c>
      <c r="H36" s="80" t="s">
        <v>390</v>
      </c>
      <c r="I36" s="17">
        <v>35</v>
      </c>
      <c r="J36" s="17">
        <v>33</v>
      </c>
      <c r="K36" s="17">
        <v>30</v>
      </c>
      <c r="L36" s="17">
        <v>1</v>
      </c>
      <c r="M36" s="84">
        <v>8.6624999999999996</v>
      </c>
      <c r="N36" s="75">
        <v>9</v>
      </c>
      <c r="O36" s="67">
        <v>7000</v>
      </c>
      <c r="P36" s="68">
        <f>Table22457891011234567891012131415161718[[#This Row],[PEMBULATAN]]*O36</f>
        <v>63000</v>
      </c>
    </row>
    <row r="37" spans="1:16" ht="24" customHeight="1" x14ac:dyDescent="0.2">
      <c r="A37" s="14"/>
      <c r="B37" s="14"/>
      <c r="C37" s="76" t="s">
        <v>376</v>
      </c>
      <c r="D37" s="81" t="s">
        <v>49</v>
      </c>
      <c r="E37" s="13">
        <v>44435</v>
      </c>
      <c r="F37" s="79" t="s">
        <v>389</v>
      </c>
      <c r="G37" s="13">
        <v>44440</v>
      </c>
      <c r="H37" s="80" t="s">
        <v>390</v>
      </c>
      <c r="I37" s="17">
        <v>55</v>
      </c>
      <c r="J37" s="17">
        <v>43</v>
      </c>
      <c r="K37" s="17">
        <v>27</v>
      </c>
      <c r="L37" s="17">
        <v>8</v>
      </c>
      <c r="M37" s="84">
        <v>15.963749999999999</v>
      </c>
      <c r="N37" s="75">
        <v>16</v>
      </c>
      <c r="O37" s="67">
        <v>7000</v>
      </c>
      <c r="P37" s="68">
        <f>Table22457891011234567891012131415161718[[#This Row],[PEMBULATAN]]*O37</f>
        <v>112000</v>
      </c>
    </row>
    <row r="38" spans="1:16" ht="24" customHeight="1" x14ac:dyDescent="0.2">
      <c r="A38" s="14"/>
      <c r="B38" s="14"/>
      <c r="C38" s="76" t="s">
        <v>377</v>
      </c>
      <c r="D38" s="81" t="s">
        <v>49</v>
      </c>
      <c r="E38" s="13">
        <v>44435</v>
      </c>
      <c r="F38" s="79" t="s">
        <v>389</v>
      </c>
      <c r="G38" s="13">
        <v>44440</v>
      </c>
      <c r="H38" s="80" t="s">
        <v>390</v>
      </c>
      <c r="I38" s="17">
        <v>47</v>
      </c>
      <c r="J38" s="17">
        <v>42</v>
      </c>
      <c r="K38" s="17">
        <v>40</v>
      </c>
      <c r="L38" s="17">
        <v>6</v>
      </c>
      <c r="M38" s="84">
        <v>19.739999999999998</v>
      </c>
      <c r="N38" s="75">
        <v>20</v>
      </c>
      <c r="O38" s="67">
        <v>7000</v>
      </c>
      <c r="P38" s="68">
        <f>Table22457891011234567891012131415161718[[#This Row],[PEMBULATAN]]*O38</f>
        <v>140000</v>
      </c>
    </row>
    <row r="39" spans="1:16" ht="24" customHeight="1" x14ac:dyDescent="0.2">
      <c r="A39" s="14"/>
      <c r="B39" s="14"/>
      <c r="C39" s="76" t="s">
        <v>378</v>
      </c>
      <c r="D39" s="81" t="s">
        <v>49</v>
      </c>
      <c r="E39" s="13">
        <v>44435</v>
      </c>
      <c r="F39" s="79" t="s">
        <v>389</v>
      </c>
      <c r="G39" s="13">
        <v>44440</v>
      </c>
      <c r="H39" s="80" t="s">
        <v>390</v>
      </c>
      <c r="I39" s="17">
        <v>44</v>
      </c>
      <c r="J39" s="17">
        <v>33</v>
      </c>
      <c r="K39" s="17">
        <v>30</v>
      </c>
      <c r="L39" s="17">
        <v>9</v>
      </c>
      <c r="M39" s="84">
        <v>10.89</v>
      </c>
      <c r="N39" s="75">
        <v>11</v>
      </c>
      <c r="O39" s="67">
        <v>7000</v>
      </c>
      <c r="P39" s="68">
        <f>Table22457891011234567891012131415161718[[#This Row],[PEMBULATAN]]*O39</f>
        <v>77000</v>
      </c>
    </row>
    <row r="40" spans="1:16" ht="24" customHeight="1" x14ac:dyDescent="0.2">
      <c r="A40" s="14"/>
      <c r="B40" s="14"/>
      <c r="C40" s="76" t="s">
        <v>379</v>
      </c>
      <c r="D40" s="81" t="s">
        <v>49</v>
      </c>
      <c r="E40" s="13">
        <v>44435</v>
      </c>
      <c r="F40" s="79" t="s">
        <v>389</v>
      </c>
      <c r="G40" s="13">
        <v>44440</v>
      </c>
      <c r="H40" s="80" t="s">
        <v>390</v>
      </c>
      <c r="I40" s="17">
        <v>148</v>
      </c>
      <c r="J40" s="17">
        <v>64</v>
      </c>
      <c r="K40" s="17">
        <v>10</v>
      </c>
      <c r="L40" s="17">
        <v>12</v>
      </c>
      <c r="M40" s="84">
        <v>23.68</v>
      </c>
      <c r="N40" s="75">
        <v>24</v>
      </c>
      <c r="O40" s="67">
        <v>7000</v>
      </c>
      <c r="P40" s="68">
        <f>Table22457891011234567891012131415161718[[#This Row],[PEMBULATAN]]*O40</f>
        <v>168000</v>
      </c>
    </row>
    <row r="41" spans="1:16" ht="24" customHeight="1" x14ac:dyDescent="0.2">
      <c r="A41" s="14"/>
      <c r="B41" s="14"/>
      <c r="C41" s="76" t="s">
        <v>380</v>
      </c>
      <c r="D41" s="81" t="s">
        <v>49</v>
      </c>
      <c r="E41" s="13">
        <v>44435</v>
      </c>
      <c r="F41" s="79" t="s">
        <v>389</v>
      </c>
      <c r="G41" s="13">
        <v>44440</v>
      </c>
      <c r="H41" s="80" t="s">
        <v>390</v>
      </c>
      <c r="I41" s="17">
        <v>148</v>
      </c>
      <c r="J41" s="17">
        <v>64</v>
      </c>
      <c r="K41" s="17">
        <v>10</v>
      </c>
      <c r="L41" s="17">
        <v>12</v>
      </c>
      <c r="M41" s="84">
        <v>23.68</v>
      </c>
      <c r="N41" s="75">
        <v>24</v>
      </c>
      <c r="O41" s="67">
        <v>7000</v>
      </c>
      <c r="P41" s="68">
        <f>Table22457891011234567891012131415161718[[#This Row],[PEMBULATAN]]*O41</f>
        <v>168000</v>
      </c>
    </row>
    <row r="42" spans="1:16" ht="24" customHeight="1" x14ac:dyDescent="0.2">
      <c r="A42" s="14"/>
      <c r="B42" s="14"/>
      <c r="C42" s="76" t="s">
        <v>381</v>
      </c>
      <c r="D42" s="81" t="s">
        <v>49</v>
      </c>
      <c r="E42" s="13">
        <v>44435</v>
      </c>
      <c r="F42" s="79" t="s">
        <v>389</v>
      </c>
      <c r="G42" s="13">
        <v>44440</v>
      </c>
      <c r="H42" s="80" t="s">
        <v>390</v>
      </c>
      <c r="I42" s="17">
        <v>47</v>
      </c>
      <c r="J42" s="17">
        <v>47</v>
      </c>
      <c r="K42" s="17">
        <v>46</v>
      </c>
      <c r="L42" s="17">
        <v>12</v>
      </c>
      <c r="M42" s="84">
        <v>25.403500000000001</v>
      </c>
      <c r="N42" s="75">
        <v>25</v>
      </c>
      <c r="O42" s="67">
        <v>7000</v>
      </c>
      <c r="P42" s="68">
        <f>Table22457891011234567891012131415161718[[#This Row],[PEMBULATAN]]*O42</f>
        <v>175000</v>
      </c>
    </row>
    <row r="43" spans="1:16" ht="24" customHeight="1" x14ac:dyDescent="0.2">
      <c r="A43" s="14"/>
      <c r="B43" s="14"/>
      <c r="C43" s="76" t="s">
        <v>382</v>
      </c>
      <c r="D43" s="81" t="s">
        <v>49</v>
      </c>
      <c r="E43" s="13">
        <v>44435</v>
      </c>
      <c r="F43" s="79" t="s">
        <v>389</v>
      </c>
      <c r="G43" s="13">
        <v>44440</v>
      </c>
      <c r="H43" s="80" t="s">
        <v>390</v>
      </c>
      <c r="I43" s="17">
        <v>46</v>
      </c>
      <c r="J43" s="17">
        <v>46</v>
      </c>
      <c r="K43" s="17">
        <v>46</v>
      </c>
      <c r="L43" s="17">
        <v>12</v>
      </c>
      <c r="M43" s="84">
        <v>24.334</v>
      </c>
      <c r="N43" s="75">
        <v>24</v>
      </c>
      <c r="O43" s="67">
        <v>7000</v>
      </c>
      <c r="P43" s="68">
        <f>Table22457891011234567891012131415161718[[#This Row],[PEMBULATAN]]*O43</f>
        <v>168000</v>
      </c>
    </row>
    <row r="44" spans="1:16" ht="24" customHeight="1" x14ac:dyDescent="0.2">
      <c r="A44" s="14"/>
      <c r="B44" s="14"/>
      <c r="C44" s="76" t="s">
        <v>383</v>
      </c>
      <c r="D44" s="81" t="s">
        <v>49</v>
      </c>
      <c r="E44" s="13">
        <v>44435</v>
      </c>
      <c r="F44" s="79" t="s">
        <v>389</v>
      </c>
      <c r="G44" s="13">
        <v>44440</v>
      </c>
      <c r="H44" s="80" t="s">
        <v>390</v>
      </c>
      <c r="I44" s="17">
        <v>46</v>
      </c>
      <c r="J44" s="17">
        <v>46</v>
      </c>
      <c r="K44" s="17">
        <v>46</v>
      </c>
      <c r="L44" s="17">
        <v>12</v>
      </c>
      <c r="M44" s="84">
        <v>24.334</v>
      </c>
      <c r="N44" s="75">
        <v>24</v>
      </c>
      <c r="O44" s="67">
        <v>7000</v>
      </c>
      <c r="P44" s="68">
        <f>Table22457891011234567891012131415161718[[#This Row],[PEMBULATAN]]*O44</f>
        <v>168000</v>
      </c>
    </row>
    <row r="45" spans="1:16" ht="24" customHeight="1" x14ac:dyDescent="0.2">
      <c r="A45" s="14"/>
      <c r="B45" s="14"/>
      <c r="C45" s="76" t="s">
        <v>384</v>
      </c>
      <c r="D45" s="81" t="s">
        <v>49</v>
      </c>
      <c r="E45" s="13">
        <v>44435</v>
      </c>
      <c r="F45" s="79" t="s">
        <v>389</v>
      </c>
      <c r="G45" s="13">
        <v>44440</v>
      </c>
      <c r="H45" s="80" t="s">
        <v>390</v>
      </c>
      <c r="I45" s="17">
        <v>46</v>
      </c>
      <c r="J45" s="17">
        <v>46</v>
      </c>
      <c r="K45" s="17">
        <v>46</v>
      </c>
      <c r="L45" s="17">
        <v>12</v>
      </c>
      <c r="M45" s="84">
        <v>24.334</v>
      </c>
      <c r="N45" s="75">
        <v>24</v>
      </c>
      <c r="O45" s="67">
        <v>7000</v>
      </c>
      <c r="P45" s="68">
        <f>Table22457891011234567891012131415161718[[#This Row],[PEMBULATAN]]*O45</f>
        <v>168000</v>
      </c>
    </row>
    <row r="46" spans="1:16" ht="24" customHeight="1" x14ac:dyDescent="0.2">
      <c r="A46" s="14"/>
      <c r="B46" s="14"/>
      <c r="C46" s="76" t="s">
        <v>385</v>
      </c>
      <c r="D46" s="81" t="s">
        <v>49</v>
      </c>
      <c r="E46" s="13">
        <v>44435</v>
      </c>
      <c r="F46" s="79" t="s">
        <v>389</v>
      </c>
      <c r="G46" s="13">
        <v>44440</v>
      </c>
      <c r="H46" s="80" t="s">
        <v>390</v>
      </c>
      <c r="I46" s="17">
        <v>46</v>
      </c>
      <c r="J46" s="17">
        <v>46</v>
      </c>
      <c r="K46" s="17">
        <v>46</v>
      </c>
      <c r="L46" s="17">
        <v>12</v>
      </c>
      <c r="M46" s="84">
        <v>24.334</v>
      </c>
      <c r="N46" s="75">
        <v>24</v>
      </c>
      <c r="O46" s="67">
        <v>7000</v>
      </c>
      <c r="P46" s="68">
        <f>Table22457891011234567891012131415161718[[#This Row],[PEMBULATAN]]*O46</f>
        <v>168000</v>
      </c>
    </row>
    <row r="47" spans="1:16" ht="24" customHeight="1" x14ac:dyDescent="0.2">
      <c r="A47" s="14"/>
      <c r="B47" s="14"/>
      <c r="C47" s="76" t="s">
        <v>386</v>
      </c>
      <c r="D47" s="81" t="s">
        <v>49</v>
      </c>
      <c r="E47" s="13">
        <v>44435</v>
      </c>
      <c r="F47" s="79" t="s">
        <v>389</v>
      </c>
      <c r="G47" s="13">
        <v>44440</v>
      </c>
      <c r="H47" s="80" t="s">
        <v>390</v>
      </c>
      <c r="I47" s="17">
        <v>46</v>
      </c>
      <c r="J47" s="17">
        <v>46</v>
      </c>
      <c r="K47" s="17">
        <v>46</v>
      </c>
      <c r="L47" s="17">
        <v>12</v>
      </c>
      <c r="M47" s="84">
        <v>24.334</v>
      </c>
      <c r="N47" s="75">
        <v>24</v>
      </c>
      <c r="O47" s="67">
        <v>7000</v>
      </c>
      <c r="P47" s="68">
        <f>Table22457891011234567891012131415161718[[#This Row],[PEMBULATAN]]*O47</f>
        <v>168000</v>
      </c>
    </row>
    <row r="48" spans="1:16" ht="24" customHeight="1" x14ac:dyDescent="0.2">
      <c r="A48" s="14"/>
      <c r="B48" s="14"/>
      <c r="C48" s="76" t="s">
        <v>387</v>
      </c>
      <c r="D48" s="81" t="s">
        <v>49</v>
      </c>
      <c r="E48" s="13">
        <v>44435</v>
      </c>
      <c r="F48" s="79" t="s">
        <v>389</v>
      </c>
      <c r="G48" s="13">
        <v>44440</v>
      </c>
      <c r="H48" s="80" t="s">
        <v>390</v>
      </c>
      <c r="I48" s="17">
        <v>47</v>
      </c>
      <c r="J48" s="17">
        <v>47</v>
      </c>
      <c r="K48" s="17">
        <v>46</v>
      </c>
      <c r="L48" s="17">
        <v>12</v>
      </c>
      <c r="M48" s="84">
        <v>25.403500000000001</v>
      </c>
      <c r="N48" s="75">
        <v>25</v>
      </c>
      <c r="O48" s="67">
        <v>7000</v>
      </c>
      <c r="P48" s="68">
        <f>Table22457891011234567891012131415161718[[#This Row],[PEMBULATAN]]*O48</f>
        <v>175000</v>
      </c>
    </row>
    <row r="49" spans="1:16" ht="24" customHeight="1" x14ac:dyDescent="0.2">
      <c r="A49" s="14"/>
      <c r="B49" s="14"/>
      <c r="C49" s="76" t="s">
        <v>388</v>
      </c>
      <c r="D49" s="81" t="s">
        <v>49</v>
      </c>
      <c r="E49" s="13">
        <v>44435</v>
      </c>
      <c r="F49" s="79" t="s">
        <v>389</v>
      </c>
      <c r="G49" s="13">
        <v>44440</v>
      </c>
      <c r="H49" s="80" t="s">
        <v>390</v>
      </c>
      <c r="I49" s="17">
        <v>44</v>
      </c>
      <c r="J49" s="17">
        <v>33</v>
      </c>
      <c r="K49" s="17">
        <v>30</v>
      </c>
      <c r="L49" s="17">
        <v>9</v>
      </c>
      <c r="M49" s="84">
        <v>10.89</v>
      </c>
      <c r="N49" s="75">
        <v>11</v>
      </c>
      <c r="O49" s="67">
        <v>7000</v>
      </c>
      <c r="P49" s="68">
        <f>Table22457891011234567891012131415161718[[#This Row],[PEMBULATAN]]*O49</f>
        <v>77000</v>
      </c>
    </row>
    <row r="50" spans="1:16" ht="22.5" customHeight="1" x14ac:dyDescent="0.2">
      <c r="A50" s="122" t="s">
        <v>30</v>
      </c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4"/>
      <c r="M50" s="82">
        <f>SUBTOTAL(109,Table22457891011234567891012131415161718[KG VOLUME])</f>
        <v>1345.2532500000002</v>
      </c>
      <c r="N50" s="71">
        <f>SUM(N3:N49)</f>
        <v>1413</v>
      </c>
      <c r="O50" s="125">
        <f>SUM(P3:P49)</f>
        <v>9891000</v>
      </c>
      <c r="P50" s="126"/>
    </row>
    <row r="51" spans="1:16" ht="18" customHeight="1" x14ac:dyDescent="0.2">
      <c r="A51" s="94"/>
      <c r="B51" s="59" t="s">
        <v>42</v>
      </c>
      <c r="C51" s="58"/>
      <c r="D51" s="60" t="s">
        <v>43</v>
      </c>
      <c r="E51" s="94"/>
      <c r="F51" s="94"/>
      <c r="G51" s="94"/>
      <c r="H51" s="94"/>
      <c r="I51" s="94"/>
      <c r="J51" s="94"/>
      <c r="K51" s="94"/>
      <c r="L51" s="94"/>
      <c r="M51" s="95"/>
      <c r="N51" s="96" t="s">
        <v>649</v>
      </c>
      <c r="O51" s="97"/>
      <c r="P51" s="97">
        <v>0</v>
      </c>
    </row>
    <row r="52" spans="1:16" ht="18" customHeight="1" thickBot="1" x14ac:dyDescent="0.25">
      <c r="A52" s="94"/>
      <c r="B52" s="59"/>
      <c r="C52" s="58"/>
      <c r="D52" s="60"/>
      <c r="E52" s="94"/>
      <c r="F52" s="94"/>
      <c r="G52" s="94"/>
      <c r="H52" s="94"/>
      <c r="I52" s="94"/>
      <c r="J52" s="94"/>
      <c r="K52" s="94"/>
      <c r="L52" s="94"/>
      <c r="M52" s="95"/>
      <c r="N52" s="98" t="s">
        <v>650</v>
      </c>
      <c r="O52" s="99"/>
      <c r="P52" s="99">
        <f>O50-P51</f>
        <v>9891000</v>
      </c>
    </row>
    <row r="53" spans="1:16" ht="18" customHeight="1" x14ac:dyDescent="0.2">
      <c r="A53" s="11"/>
      <c r="H53" s="66"/>
      <c r="N53" s="65" t="s">
        <v>31</v>
      </c>
      <c r="P53" s="72">
        <f>P52*1%</f>
        <v>98910</v>
      </c>
    </row>
    <row r="54" spans="1:16" ht="18" customHeight="1" thickBot="1" x14ac:dyDescent="0.25">
      <c r="A54" s="11"/>
      <c r="H54" s="66"/>
      <c r="N54" s="65" t="s">
        <v>651</v>
      </c>
      <c r="P54" s="74">
        <f>P52*2%</f>
        <v>197820</v>
      </c>
    </row>
    <row r="55" spans="1:16" ht="18" customHeight="1" x14ac:dyDescent="0.2">
      <c r="A55" s="11"/>
      <c r="H55" s="66"/>
      <c r="N55" s="69" t="s">
        <v>32</v>
      </c>
      <c r="O55" s="70"/>
      <c r="P55" s="73">
        <f>P52+P53-P54</f>
        <v>9792090</v>
      </c>
    </row>
    <row r="57" spans="1:16" x14ac:dyDescent="0.2">
      <c r="A57" s="11"/>
      <c r="H57" s="66"/>
      <c r="P57" s="74"/>
    </row>
    <row r="58" spans="1:16" x14ac:dyDescent="0.2">
      <c r="A58" s="11"/>
      <c r="H58" s="66"/>
      <c r="O58" s="61"/>
      <c r="P58" s="74"/>
    </row>
    <row r="59" spans="1:16" s="3" customFormat="1" x14ac:dyDescent="0.25">
      <c r="A59" s="11"/>
      <c r="B59" s="2"/>
      <c r="C59" s="2"/>
      <c r="E59" s="12"/>
      <c r="H59" s="66"/>
      <c r="N59" s="16"/>
      <c r="O59" s="16"/>
      <c r="P59" s="16"/>
    </row>
    <row r="60" spans="1:16" s="3" customFormat="1" x14ac:dyDescent="0.25">
      <c r="A60" s="11"/>
      <c r="B60" s="2"/>
      <c r="C60" s="2"/>
      <c r="E60" s="12"/>
      <c r="H60" s="66"/>
      <c r="N60" s="16"/>
      <c r="O60" s="16"/>
      <c r="P60" s="16"/>
    </row>
    <row r="61" spans="1:16" s="3" customFormat="1" x14ac:dyDescent="0.25">
      <c r="A61" s="11"/>
      <c r="B61" s="2"/>
      <c r="C61" s="2"/>
      <c r="E61" s="12"/>
      <c r="H61" s="66"/>
      <c r="N61" s="16"/>
      <c r="O61" s="16"/>
      <c r="P61" s="16"/>
    </row>
    <row r="62" spans="1:16" s="3" customFormat="1" x14ac:dyDescent="0.25">
      <c r="A62" s="11"/>
      <c r="B62" s="2"/>
      <c r="C62" s="2"/>
      <c r="E62" s="12"/>
      <c r="H62" s="66"/>
      <c r="N62" s="16"/>
      <c r="O62" s="16"/>
      <c r="P62" s="16"/>
    </row>
    <row r="63" spans="1:16" s="3" customFormat="1" x14ac:dyDescent="0.25">
      <c r="A63" s="11"/>
      <c r="B63" s="2"/>
      <c r="C63" s="2"/>
      <c r="E63" s="12"/>
      <c r="H63" s="66"/>
      <c r="N63" s="16"/>
      <c r="O63" s="16"/>
      <c r="P63" s="16"/>
    </row>
    <row r="64" spans="1:16" s="3" customFormat="1" x14ac:dyDescent="0.25">
      <c r="A64" s="11"/>
      <c r="B64" s="2"/>
      <c r="C64" s="2"/>
      <c r="E64" s="12"/>
      <c r="H64" s="66"/>
      <c r="N64" s="16"/>
      <c r="O64" s="16"/>
      <c r="P64" s="16"/>
    </row>
    <row r="65" spans="1:16" s="3" customFormat="1" x14ac:dyDescent="0.25">
      <c r="A65" s="11"/>
      <c r="B65" s="2"/>
      <c r="C65" s="2"/>
      <c r="E65" s="12"/>
      <c r="H65" s="66"/>
      <c r="N65" s="16"/>
      <c r="O65" s="16"/>
      <c r="P65" s="16"/>
    </row>
    <row r="66" spans="1:16" s="3" customFormat="1" x14ac:dyDescent="0.25">
      <c r="A66" s="11"/>
      <c r="B66" s="2"/>
      <c r="C66" s="2"/>
      <c r="E66" s="12"/>
      <c r="H66" s="66"/>
      <c r="N66" s="16"/>
      <c r="O66" s="16"/>
      <c r="P66" s="16"/>
    </row>
    <row r="67" spans="1:16" s="3" customFormat="1" x14ac:dyDescent="0.25">
      <c r="A67" s="11"/>
      <c r="B67" s="2"/>
      <c r="C67" s="2"/>
      <c r="E67" s="12"/>
      <c r="H67" s="66"/>
      <c r="N67" s="16"/>
      <c r="O67" s="16"/>
      <c r="P67" s="16"/>
    </row>
    <row r="68" spans="1:16" s="3" customFormat="1" x14ac:dyDescent="0.25">
      <c r="A68" s="11"/>
      <c r="B68" s="2"/>
      <c r="C68" s="2"/>
      <c r="E68" s="12"/>
      <c r="H68" s="66"/>
      <c r="N68" s="16"/>
      <c r="O68" s="16"/>
      <c r="P68" s="16"/>
    </row>
    <row r="69" spans="1:16" s="3" customFormat="1" x14ac:dyDescent="0.25">
      <c r="A69" s="11"/>
      <c r="B69" s="2"/>
      <c r="C69" s="2"/>
      <c r="E69" s="12"/>
      <c r="H69" s="66"/>
      <c r="N69" s="16"/>
      <c r="O69" s="16"/>
      <c r="P69" s="16"/>
    </row>
    <row r="70" spans="1:16" s="3" customFormat="1" x14ac:dyDescent="0.25">
      <c r="A70" s="11"/>
      <c r="B70" s="2"/>
      <c r="C70" s="2"/>
      <c r="E70" s="12"/>
      <c r="H70" s="66"/>
      <c r="N70" s="16"/>
      <c r="O70" s="16"/>
      <c r="P70" s="16"/>
    </row>
  </sheetData>
  <mergeCells count="3">
    <mergeCell ref="A3:A4"/>
    <mergeCell ref="A50:L50"/>
    <mergeCell ref="O50:P50"/>
  </mergeCells>
  <conditionalFormatting sqref="B3">
    <cfRule type="duplicateValues" dxfId="161" priority="2"/>
  </conditionalFormatting>
  <conditionalFormatting sqref="B4">
    <cfRule type="duplicateValues" dxfId="160" priority="1"/>
  </conditionalFormatting>
  <conditionalFormatting sqref="B5:B49">
    <cfRule type="duplicateValues" dxfId="159" priority="1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zoomScale="110" zoomScaleNormal="110" workbookViewId="0">
      <pane xSplit="3" ySplit="2" topLeftCell="D8" activePane="bottomRight" state="frozen"/>
      <selection pane="topRight" activeCell="B1" sqref="B1"/>
      <selection pane="bottomLeft" activeCell="A3" sqref="A3"/>
      <selection pane="bottomRight" activeCell="B3" sqref="A3:XFD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9.4257812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36.75" customHeight="1" x14ac:dyDescent="0.2">
      <c r="A3" s="120" t="s">
        <v>582</v>
      </c>
      <c r="B3" s="77" t="s">
        <v>391</v>
      </c>
      <c r="C3" s="9" t="s">
        <v>392</v>
      </c>
      <c r="D3" s="79" t="s">
        <v>49</v>
      </c>
      <c r="E3" s="13">
        <v>44435</v>
      </c>
      <c r="F3" s="79" t="s">
        <v>253</v>
      </c>
      <c r="G3" s="13">
        <v>44435</v>
      </c>
      <c r="H3" s="10" t="s">
        <v>172</v>
      </c>
      <c r="I3" s="1">
        <v>152</v>
      </c>
      <c r="J3" s="1">
        <v>64</v>
      </c>
      <c r="K3" s="1">
        <v>9</v>
      </c>
      <c r="L3" s="1">
        <v>12</v>
      </c>
      <c r="M3" s="83">
        <v>21.888000000000002</v>
      </c>
      <c r="N3" s="8">
        <v>22</v>
      </c>
      <c r="O3" s="67">
        <v>7000</v>
      </c>
      <c r="P3" s="68">
        <f>Table2245789101123456789101213141516171819[[#This Row],[PEMBULATAN]]*O3</f>
        <v>154000</v>
      </c>
    </row>
    <row r="4" spans="1:16" ht="36.75" customHeight="1" x14ac:dyDescent="0.2">
      <c r="A4" s="121"/>
      <c r="B4" s="78"/>
      <c r="C4" s="9" t="s">
        <v>393</v>
      </c>
      <c r="D4" s="79" t="s">
        <v>49</v>
      </c>
      <c r="E4" s="13">
        <v>44435</v>
      </c>
      <c r="F4" s="79" t="s">
        <v>253</v>
      </c>
      <c r="G4" s="13">
        <v>44435</v>
      </c>
      <c r="H4" s="10" t="s">
        <v>172</v>
      </c>
      <c r="I4" s="1">
        <v>152</v>
      </c>
      <c r="J4" s="1">
        <v>64</v>
      </c>
      <c r="K4" s="1">
        <v>9</v>
      </c>
      <c r="L4" s="1">
        <v>12</v>
      </c>
      <c r="M4" s="83">
        <v>21.888000000000002</v>
      </c>
      <c r="N4" s="8">
        <v>22</v>
      </c>
      <c r="O4" s="67">
        <v>7000</v>
      </c>
      <c r="P4" s="68">
        <f>Table2245789101123456789101213141516171819[[#This Row],[PEMBULATAN]]*O4</f>
        <v>154000</v>
      </c>
    </row>
    <row r="5" spans="1:16" ht="36.75" customHeight="1" x14ac:dyDescent="0.2">
      <c r="A5" s="14"/>
      <c r="B5" s="14"/>
      <c r="C5" s="9" t="s">
        <v>394</v>
      </c>
      <c r="D5" s="79" t="s">
        <v>49</v>
      </c>
      <c r="E5" s="13">
        <v>44435</v>
      </c>
      <c r="F5" s="79" t="s">
        <v>253</v>
      </c>
      <c r="G5" s="13">
        <v>44435</v>
      </c>
      <c r="H5" s="10" t="s">
        <v>172</v>
      </c>
      <c r="I5" s="1">
        <v>152</v>
      </c>
      <c r="J5" s="1">
        <v>64</v>
      </c>
      <c r="K5" s="1">
        <v>9</v>
      </c>
      <c r="L5" s="1">
        <v>12</v>
      </c>
      <c r="M5" s="83">
        <v>21.888000000000002</v>
      </c>
      <c r="N5" s="8">
        <v>22</v>
      </c>
      <c r="O5" s="67">
        <v>7000</v>
      </c>
      <c r="P5" s="68">
        <f>Table2245789101123456789101213141516171819[[#This Row],[PEMBULATAN]]*O5</f>
        <v>154000</v>
      </c>
    </row>
    <row r="6" spans="1:16" ht="36.75" customHeight="1" x14ac:dyDescent="0.2">
      <c r="A6" s="14"/>
      <c r="B6" s="14"/>
      <c r="C6" s="76" t="s">
        <v>395</v>
      </c>
      <c r="D6" s="81" t="s">
        <v>49</v>
      </c>
      <c r="E6" s="13">
        <v>44435</v>
      </c>
      <c r="F6" s="79" t="s">
        <v>253</v>
      </c>
      <c r="G6" s="13">
        <v>44435</v>
      </c>
      <c r="H6" s="80" t="s">
        <v>172</v>
      </c>
      <c r="I6" s="17">
        <v>152</v>
      </c>
      <c r="J6" s="17">
        <v>64</v>
      </c>
      <c r="K6" s="17">
        <v>9</v>
      </c>
      <c r="L6" s="17">
        <v>12</v>
      </c>
      <c r="M6" s="84">
        <v>21.888000000000002</v>
      </c>
      <c r="N6" s="75">
        <v>22</v>
      </c>
      <c r="O6" s="67">
        <v>7000</v>
      </c>
      <c r="P6" s="68">
        <f>Table2245789101123456789101213141516171819[[#This Row],[PEMBULATAN]]*O6</f>
        <v>154000</v>
      </c>
    </row>
    <row r="7" spans="1:16" ht="36.75" customHeight="1" x14ac:dyDescent="0.2">
      <c r="A7" s="14"/>
      <c r="B7" s="14"/>
      <c r="C7" s="76" t="s">
        <v>396</v>
      </c>
      <c r="D7" s="81" t="s">
        <v>49</v>
      </c>
      <c r="E7" s="13">
        <v>44435</v>
      </c>
      <c r="F7" s="79" t="s">
        <v>253</v>
      </c>
      <c r="G7" s="13">
        <v>44435</v>
      </c>
      <c r="H7" s="80" t="s">
        <v>172</v>
      </c>
      <c r="I7" s="17">
        <v>152</v>
      </c>
      <c r="J7" s="17">
        <v>64</v>
      </c>
      <c r="K7" s="17">
        <v>9</v>
      </c>
      <c r="L7" s="17">
        <v>12</v>
      </c>
      <c r="M7" s="84">
        <v>21.888000000000002</v>
      </c>
      <c r="N7" s="75">
        <v>22</v>
      </c>
      <c r="O7" s="67">
        <v>7000</v>
      </c>
      <c r="P7" s="68">
        <f>Table2245789101123456789101213141516171819[[#This Row],[PEMBULATAN]]*O7</f>
        <v>154000</v>
      </c>
    </row>
    <row r="8" spans="1:16" ht="36.75" customHeight="1" x14ac:dyDescent="0.2">
      <c r="A8" s="14"/>
      <c r="B8" s="14"/>
      <c r="C8" s="76" t="s">
        <v>397</v>
      </c>
      <c r="D8" s="81" t="s">
        <v>49</v>
      </c>
      <c r="E8" s="13">
        <v>44435</v>
      </c>
      <c r="F8" s="79" t="s">
        <v>253</v>
      </c>
      <c r="G8" s="13">
        <v>44435</v>
      </c>
      <c r="H8" s="80" t="s">
        <v>172</v>
      </c>
      <c r="I8" s="17">
        <v>58</v>
      </c>
      <c r="J8" s="17">
        <v>43</v>
      </c>
      <c r="K8" s="17">
        <v>8</v>
      </c>
      <c r="L8" s="17">
        <v>10</v>
      </c>
      <c r="M8" s="84">
        <v>4.9880000000000004</v>
      </c>
      <c r="N8" s="75">
        <v>10</v>
      </c>
      <c r="O8" s="67">
        <v>7000</v>
      </c>
      <c r="P8" s="68">
        <f>Table2245789101123456789101213141516171819[[#This Row],[PEMBULATAN]]*O8</f>
        <v>70000</v>
      </c>
    </row>
    <row r="9" spans="1:16" ht="36.75" customHeight="1" x14ac:dyDescent="0.2">
      <c r="A9" s="14"/>
      <c r="B9" s="14"/>
      <c r="C9" s="76" t="s">
        <v>398</v>
      </c>
      <c r="D9" s="81" t="s">
        <v>49</v>
      </c>
      <c r="E9" s="13">
        <v>44435</v>
      </c>
      <c r="F9" s="79" t="s">
        <v>253</v>
      </c>
      <c r="G9" s="13">
        <v>44435</v>
      </c>
      <c r="H9" s="80" t="s">
        <v>172</v>
      </c>
      <c r="I9" s="17">
        <v>36</v>
      </c>
      <c r="J9" s="17">
        <v>53</v>
      </c>
      <c r="K9" s="17">
        <v>40</v>
      </c>
      <c r="L9" s="17">
        <v>12</v>
      </c>
      <c r="M9" s="84">
        <v>19.079999999999998</v>
      </c>
      <c r="N9" s="75">
        <v>19</v>
      </c>
      <c r="O9" s="67">
        <v>7000</v>
      </c>
      <c r="P9" s="68">
        <f>Table2245789101123456789101213141516171819[[#This Row],[PEMBULATAN]]*O9</f>
        <v>133000</v>
      </c>
    </row>
    <row r="10" spans="1:16" ht="36.75" customHeight="1" x14ac:dyDescent="0.2">
      <c r="A10" s="14"/>
      <c r="B10" s="14"/>
      <c r="C10" s="76" t="s">
        <v>399</v>
      </c>
      <c r="D10" s="81" t="s">
        <v>49</v>
      </c>
      <c r="E10" s="13">
        <v>44435</v>
      </c>
      <c r="F10" s="79" t="s">
        <v>253</v>
      </c>
      <c r="G10" s="13">
        <v>44435</v>
      </c>
      <c r="H10" s="80" t="s">
        <v>172</v>
      </c>
      <c r="I10" s="17">
        <v>36</v>
      </c>
      <c r="J10" s="17">
        <v>37</v>
      </c>
      <c r="K10" s="17">
        <v>14</v>
      </c>
      <c r="L10" s="17">
        <v>10</v>
      </c>
      <c r="M10" s="84">
        <v>4.6619999999999999</v>
      </c>
      <c r="N10" s="75">
        <v>10</v>
      </c>
      <c r="O10" s="67">
        <v>7000</v>
      </c>
      <c r="P10" s="68">
        <f>Table2245789101123456789101213141516171819[[#This Row],[PEMBULATAN]]*O10</f>
        <v>70000</v>
      </c>
    </row>
    <row r="11" spans="1:16" ht="36.75" customHeight="1" x14ac:dyDescent="0.2">
      <c r="A11" s="14"/>
      <c r="B11" s="14"/>
      <c r="C11" s="76" t="s">
        <v>400</v>
      </c>
      <c r="D11" s="81" t="s">
        <v>49</v>
      </c>
      <c r="E11" s="13">
        <v>44435</v>
      </c>
      <c r="F11" s="79" t="s">
        <v>253</v>
      </c>
      <c r="G11" s="13">
        <v>44435</v>
      </c>
      <c r="H11" s="80" t="s">
        <v>172</v>
      </c>
      <c r="I11" s="17">
        <v>39</v>
      </c>
      <c r="J11" s="17">
        <v>42</v>
      </c>
      <c r="K11" s="17">
        <v>13</v>
      </c>
      <c r="L11" s="17">
        <v>10</v>
      </c>
      <c r="M11" s="84">
        <v>5.3235000000000001</v>
      </c>
      <c r="N11" s="75">
        <v>10</v>
      </c>
      <c r="O11" s="67">
        <v>7000</v>
      </c>
      <c r="P11" s="68">
        <f>Table2245789101123456789101213141516171819[[#This Row],[PEMBULATAN]]*O11</f>
        <v>70000</v>
      </c>
    </row>
    <row r="12" spans="1:16" ht="36.75" customHeight="1" x14ac:dyDescent="0.2">
      <c r="A12" s="14"/>
      <c r="B12" s="14"/>
      <c r="C12" s="76" t="s">
        <v>401</v>
      </c>
      <c r="D12" s="81" t="s">
        <v>49</v>
      </c>
      <c r="E12" s="13">
        <v>44435</v>
      </c>
      <c r="F12" s="79" t="s">
        <v>253</v>
      </c>
      <c r="G12" s="13">
        <v>44435</v>
      </c>
      <c r="H12" s="80" t="s">
        <v>172</v>
      </c>
      <c r="I12" s="17">
        <v>39</v>
      </c>
      <c r="J12" s="17">
        <v>42</v>
      </c>
      <c r="K12" s="17">
        <v>13</v>
      </c>
      <c r="L12" s="17">
        <v>10</v>
      </c>
      <c r="M12" s="84">
        <v>5.3235000000000001</v>
      </c>
      <c r="N12" s="75">
        <v>10</v>
      </c>
      <c r="O12" s="67">
        <v>7000</v>
      </c>
      <c r="P12" s="68">
        <f>Table2245789101123456789101213141516171819[[#This Row],[PEMBULATAN]]*O12</f>
        <v>70000</v>
      </c>
    </row>
    <row r="13" spans="1:16" ht="36.75" customHeight="1" x14ac:dyDescent="0.2">
      <c r="A13" s="14"/>
      <c r="B13" s="14"/>
      <c r="C13" s="76" t="s">
        <v>402</v>
      </c>
      <c r="D13" s="81" t="s">
        <v>49</v>
      </c>
      <c r="E13" s="13">
        <v>44435</v>
      </c>
      <c r="F13" s="79" t="s">
        <v>253</v>
      </c>
      <c r="G13" s="13">
        <v>44435</v>
      </c>
      <c r="H13" s="80" t="s">
        <v>172</v>
      </c>
      <c r="I13" s="17">
        <v>53</v>
      </c>
      <c r="J13" s="17">
        <v>42</v>
      </c>
      <c r="K13" s="17">
        <v>20</v>
      </c>
      <c r="L13" s="17">
        <v>12</v>
      </c>
      <c r="M13" s="84">
        <v>11.13</v>
      </c>
      <c r="N13" s="75">
        <v>12</v>
      </c>
      <c r="O13" s="67">
        <v>7000</v>
      </c>
      <c r="P13" s="68">
        <f>Table2245789101123456789101213141516171819[[#This Row],[PEMBULATAN]]*O13</f>
        <v>84000</v>
      </c>
    </row>
    <row r="14" spans="1:16" ht="22.5" customHeight="1" x14ac:dyDescent="0.2">
      <c r="A14" s="122" t="s">
        <v>30</v>
      </c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4"/>
      <c r="M14" s="82">
        <f>SUBTOTAL(109,Table2245789101123456789101213141516171819[KG VOLUME])</f>
        <v>159.947</v>
      </c>
      <c r="N14" s="71">
        <f>SUM(N3:N13)</f>
        <v>181</v>
      </c>
      <c r="O14" s="125">
        <f>SUM(P3:P13)</f>
        <v>1267000</v>
      </c>
      <c r="P14" s="126"/>
    </row>
    <row r="15" spans="1:16" ht="18" customHeight="1" x14ac:dyDescent="0.2">
      <c r="A15" s="94"/>
      <c r="B15" s="59" t="s">
        <v>42</v>
      </c>
      <c r="C15" s="58"/>
      <c r="D15" s="60" t="s">
        <v>43</v>
      </c>
      <c r="E15" s="94"/>
      <c r="F15" s="94"/>
      <c r="G15" s="94"/>
      <c r="H15" s="94"/>
      <c r="I15" s="94"/>
      <c r="J15" s="94"/>
      <c r="K15" s="94"/>
      <c r="L15" s="94"/>
      <c r="M15" s="95"/>
      <c r="N15" s="96" t="s">
        <v>649</v>
      </c>
      <c r="O15" s="97"/>
      <c r="P15" s="97">
        <v>0</v>
      </c>
    </row>
    <row r="16" spans="1:16" ht="18" customHeight="1" thickBot="1" x14ac:dyDescent="0.25">
      <c r="A16" s="94"/>
      <c r="B16" s="59"/>
      <c r="C16" s="58"/>
      <c r="D16" s="60"/>
      <c r="E16" s="94"/>
      <c r="F16" s="94"/>
      <c r="G16" s="94"/>
      <c r="H16" s="94"/>
      <c r="I16" s="94"/>
      <c r="J16" s="94"/>
      <c r="K16" s="94"/>
      <c r="L16" s="94"/>
      <c r="M16" s="95"/>
      <c r="N16" s="98" t="s">
        <v>650</v>
      </c>
      <c r="O16" s="99"/>
      <c r="P16" s="99">
        <f>O14-P15</f>
        <v>1267000</v>
      </c>
    </row>
    <row r="17" spans="1:16" ht="18" customHeight="1" x14ac:dyDescent="0.2">
      <c r="A17" s="11"/>
      <c r="H17" s="66"/>
      <c r="N17" s="65" t="s">
        <v>31</v>
      </c>
      <c r="P17" s="72">
        <f>P16*1%</f>
        <v>12670</v>
      </c>
    </row>
    <row r="18" spans="1:16" ht="18" customHeight="1" thickBot="1" x14ac:dyDescent="0.25">
      <c r="A18" s="11"/>
      <c r="H18" s="66"/>
      <c r="N18" s="65" t="s">
        <v>651</v>
      </c>
      <c r="P18" s="74">
        <f>P16*2%</f>
        <v>25340</v>
      </c>
    </row>
    <row r="19" spans="1:16" ht="18" customHeight="1" x14ac:dyDescent="0.2">
      <c r="A19" s="11"/>
      <c r="H19" s="66"/>
      <c r="N19" s="69" t="s">
        <v>32</v>
      </c>
      <c r="O19" s="70"/>
      <c r="P19" s="73">
        <f>P16+P17-P18</f>
        <v>1254330</v>
      </c>
    </row>
    <row r="21" spans="1:16" x14ac:dyDescent="0.2">
      <c r="A21" s="11"/>
      <c r="H21" s="66"/>
      <c r="P21" s="74"/>
    </row>
    <row r="22" spans="1:16" x14ac:dyDescent="0.2">
      <c r="A22" s="11"/>
      <c r="H22" s="66"/>
      <c r="O22" s="61"/>
      <c r="P22" s="74"/>
    </row>
    <row r="23" spans="1:16" s="3" customFormat="1" x14ac:dyDescent="0.25">
      <c r="A23" s="11"/>
      <c r="B23" s="2"/>
      <c r="C23" s="2"/>
      <c r="E23" s="12"/>
      <c r="H23" s="66"/>
      <c r="N23" s="16"/>
      <c r="O23" s="16"/>
      <c r="P23" s="16"/>
    </row>
    <row r="24" spans="1:16" s="3" customFormat="1" x14ac:dyDescent="0.25">
      <c r="A24" s="11"/>
      <c r="B24" s="2"/>
      <c r="C24" s="2"/>
      <c r="E24" s="12"/>
      <c r="H24" s="66"/>
      <c r="N24" s="16"/>
      <c r="O24" s="16"/>
      <c r="P24" s="16"/>
    </row>
    <row r="25" spans="1:16" s="3" customFormat="1" x14ac:dyDescent="0.25">
      <c r="A25" s="11"/>
      <c r="B25" s="2"/>
      <c r="C25" s="2"/>
      <c r="E25" s="12"/>
      <c r="H25" s="66"/>
      <c r="N25" s="16"/>
      <c r="O25" s="16"/>
      <c r="P25" s="16"/>
    </row>
    <row r="26" spans="1:16" s="3" customFormat="1" x14ac:dyDescent="0.25">
      <c r="A26" s="11"/>
      <c r="B26" s="2"/>
      <c r="C26" s="2"/>
      <c r="E26" s="12"/>
      <c r="H26" s="66"/>
      <c r="N26" s="16"/>
      <c r="O26" s="16"/>
      <c r="P26" s="16"/>
    </row>
    <row r="27" spans="1:16" s="3" customFormat="1" x14ac:dyDescent="0.25">
      <c r="A27" s="11"/>
      <c r="B27" s="2"/>
      <c r="C27" s="2"/>
      <c r="E27" s="12"/>
      <c r="H27" s="66"/>
      <c r="N27" s="16"/>
      <c r="O27" s="16"/>
      <c r="P27" s="16"/>
    </row>
    <row r="28" spans="1:16" s="3" customFormat="1" x14ac:dyDescent="0.25">
      <c r="A28" s="11"/>
      <c r="B28" s="2"/>
      <c r="C28" s="2"/>
      <c r="E28" s="12"/>
      <c r="H28" s="66"/>
      <c r="N28" s="16"/>
      <c r="O28" s="16"/>
      <c r="P28" s="16"/>
    </row>
    <row r="29" spans="1:16" s="3" customFormat="1" x14ac:dyDescent="0.25">
      <c r="A29" s="11"/>
      <c r="B29" s="2"/>
      <c r="C29" s="2"/>
      <c r="E29" s="12"/>
      <c r="H29" s="66"/>
      <c r="N29" s="16"/>
      <c r="O29" s="16"/>
      <c r="P29" s="16"/>
    </row>
    <row r="30" spans="1:16" s="3" customFormat="1" x14ac:dyDescent="0.25">
      <c r="A30" s="11"/>
      <c r="B30" s="2"/>
      <c r="C30" s="2"/>
      <c r="E30" s="12"/>
      <c r="H30" s="66"/>
      <c r="N30" s="16"/>
      <c r="O30" s="16"/>
      <c r="P30" s="16"/>
    </row>
    <row r="31" spans="1:16" s="3" customFormat="1" x14ac:dyDescent="0.25">
      <c r="A31" s="11"/>
      <c r="B31" s="2"/>
      <c r="C31" s="2"/>
      <c r="E31" s="12"/>
      <c r="H31" s="66"/>
      <c r="N31" s="16"/>
      <c r="O31" s="16"/>
      <c r="P31" s="16"/>
    </row>
    <row r="32" spans="1:16" s="3" customFormat="1" x14ac:dyDescent="0.25">
      <c r="A32" s="11"/>
      <c r="B32" s="2"/>
      <c r="C32" s="2"/>
      <c r="E32" s="12"/>
      <c r="H32" s="66"/>
      <c r="N32" s="16"/>
      <c r="O32" s="16"/>
      <c r="P32" s="16"/>
    </row>
    <row r="33" spans="1:16" s="3" customFormat="1" x14ac:dyDescent="0.25">
      <c r="A33" s="11"/>
      <c r="B33" s="2"/>
      <c r="C33" s="2"/>
      <c r="E33" s="12"/>
      <c r="H33" s="66"/>
      <c r="N33" s="16"/>
      <c r="O33" s="16"/>
      <c r="P33" s="16"/>
    </row>
    <row r="34" spans="1:16" s="3" customFormat="1" x14ac:dyDescent="0.25">
      <c r="A34" s="11"/>
      <c r="B34" s="2"/>
      <c r="C34" s="2"/>
      <c r="E34" s="12"/>
      <c r="H34" s="66"/>
      <c r="N34" s="16"/>
      <c r="O34" s="16"/>
      <c r="P34" s="16"/>
    </row>
  </sheetData>
  <mergeCells count="3">
    <mergeCell ref="A3:A4"/>
    <mergeCell ref="A14:L14"/>
    <mergeCell ref="O14:P14"/>
  </mergeCells>
  <conditionalFormatting sqref="B3">
    <cfRule type="duplicateValues" dxfId="143" priority="2"/>
  </conditionalFormatting>
  <conditionalFormatting sqref="B4">
    <cfRule type="duplicateValues" dxfId="142" priority="1"/>
  </conditionalFormatting>
  <conditionalFormatting sqref="B5:B13">
    <cfRule type="duplicateValues" dxfId="141" priority="1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0"/>
  <sheetViews>
    <sheetView zoomScale="110" zoomScaleNormal="110" workbookViewId="0">
      <pane xSplit="3" ySplit="2" topLeftCell="D18" activePane="bottomRight" state="frozen"/>
      <selection pane="topRight" activeCell="B1" sqref="B1"/>
      <selection pane="bottomLeft" activeCell="A3" sqref="A3"/>
      <selection pane="bottomRight" activeCell="G24" sqref="G2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0.2851562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30" customHeight="1" x14ac:dyDescent="0.2">
      <c r="A3" s="120" t="s">
        <v>583</v>
      </c>
      <c r="B3" s="93" t="s">
        <v>403</v>
      </c>
      <c r="C3" s="9" t="s">
        <v>404</v>
      </c>
      <c r="D3" s="79" t="s">
        <v>49</v>
      </c>
      <c r="E3" s="13">
        <v>44436</v>
      </c>
      <c r="F3" s="79" t="s">
        <v>253</v>
      </c>
      <c r="G3" s="13">
        <v>44440</v>
      </c>
      <c r="H3" s="10" t="s">
        <v>423</v>
      </c>
      <c r="I3" s="1">
        <v>100</v>
      </c>
      <c r="J3" s="1">
        <v>24</v>
      </c>
      <c r="K3" s="1">
        <v>18</v>
      </c>
      <c r="L3" s="1">
        <v>13</v>
      </c>
      <c r="M3" s="83">
        <v>10.8</v>
      </c>
      <c r="N3" s="8">
        <v>13</v>
      </c>
      <c r="O3" s="67">
        <v>7000</v>
      </c>
      <c r="P3" s="68">
        <f>Table224578910112345678910121314151617181920[[#This Row],[PEMBULATAN]]*O3</f>
        <v>91000</v>
      </c>
    </row>
    <row r="4" spans="1:16" ht="30" customHeight="1" x14ac:dyDescent="0.2">
      <c r="A4" s="121"/>
      <c r="B4" s="78" t="s">
        <v>405</v>
      </c>
      <c r="C4" s="9" t="s">
        <v>406</v>
      </c>
      <c r="D4" s="79" t="s">
        <v>49</v>
      </c>
      <c r="E4" s="13">
        <v>44436</v>
      </c>
      <c r="F4" s="79" t="s">
        <v>253</v>
      </c>
      <c r="G4" s="13">
        <v>44440</v>
      </c>
      <c r="H4" s="10" t="s">
        <v>423</v>
      </c>
      <c r="I4" s="1">
        <v>63</v>
      </c>
      <c r="J4" s="1">
        <v>19</v>
      </c>
      <c r="K4" s="1">
        <v>20</v>
      </c>
      <c r="L4" s="1">
        <v>9</v>
      </c>
      <c r="M4" s="83">
        <v>5.9850000000000003</v>
      </c>
      <c r="N4" s="8">
        <v>9</v>
      </c>
      <c r="O4" s="67">
        <v>7000</v>
      </c>
      <c r="P4" s="68">
        <f>Table224578910112345678910121314151617181920[[#This Row],[PEMBULATAN]]*O4</f>
        <v>63000</v>
      </c>
    </row>
    <row r="5" spans="1:16" ht="30" customHeight="1" x14ac:dyDescent="0.2">
      <c r="A5" s="14"/>
      <c r="B5" s="14"/>
      <c r="C5" s="9" t="s">
        <v>407</v>
      </c>
      <c r="D5" s="79" t="s">
        <v>49</v>
      </c>
      <c r="E5" s="13">
        <v>44436</v>
      </c>
      <c r="F5" s="79" t="s">
        <v>253</v>
      </c>
      <c r="G5" s="13">
        <v>44440</v>
      </c>
      <c r="H5" s="10" t="s">
        <v>423</v>
      </c>
      <c r="I5" s="1">
        <v>85</v>
      </c>
      <c r="J5" s="1">
        <v>31</v>
      </c>
      <c r="K5" s="1">
        <v>22</v>
      </c>
      <c r="L5" s="1">
        <v>13</v>
      </c>
      <c r="M5" s="83">
        <v>14.4925</v>
      </c>
      <c r="N5" s="8">
        <v>14</v>
      </c>
      <c r="O5" s="67">
        <v>7000</v>
      </c>
      <c r="P5" s="68">
        <f>Table224578910112345678910121314151617181920[[#This Row],[PEMBULATAN]]*O5</f>
        <v>98000</v>
      </c>
    </row>
    <row r="6" spans="1:16" ht="30" customHeight="1" x14ac:dyDescent="0.2">
      <c r="A6" s="14"/>
      <c r="B6" s="14"/>
      <c r="C6" s="76" t="s">
        <v>408</v>
      </c>
      <c r="D6" s="81" t="s">
        <v>49</v>
      </c>
      <c r="E6" s="13">
        <v>44436</v>
      </c>
      <c r="F6" s="79" t="s">
        <v>253</v>
      </c>
      <c r="G6" s="13">
        <v>44440</v>
      </c>
      <c r="H6" s="80" t="s">
        <v>423</v>
      </c>
      <c r="I6" s="17">
        <v>53</v>
      </c>
      <c r="J6" s="17">
        <v>44</v>
      </c>
      <c r="K6" s="17">
        <v>25</v>
      </c>
      <c r="L6" s="17">
        <v>14</v>
      </c>
      <c r="M6" s="84">
        <v>14.574999999999999</v>
      </c>
      <c r="N6" s="75">
        <v>15</v>
      </c>
      <c r="O6" s="67">
        <v>7000</v>
      </c>
      <c r="P6" s="68">
        <f>Table224578910112345678910121314151617181920[[#This Row],[PEMBULATAN]]*O6</f>
        <v>105000</v>
      </c>
    </row>
    <row r="7" spans="1:16" ht="30" customHeight="1" x14ac:dyDescent="0.2">
      <c r="A7" s="14"/>
      <c r="B7" s="14"/>
      <c r="C7" s="76" t="s">
        <v>409</v>
      </c>
      <c r="D7" s="81" t="s">
        <v>49</v>
      </c>
      <c r="E7" s="13">
        <v>44436</v>
      </c>
      <c r="F7" s="79" t="s">
        <v>253</v>
      </c>
      <c r="G7" s="13">
        <v>44440</v>
      </c>
      <c r="H7" s="80" t="s">
        <v>423</v>
      </c>
      <c r="I7" s="17">
        <v>75</v>
      </c>
      <c r="J7" s="17">
        <v>45</v>
      </c>
      <c r="K7" s="17">
        <v>30</v>
      </c>
      <c r="L7" s="17">
        <v>18</v>
      </c>
      <c r="M7" s="84">
        <v>25.3125</v>
      </c>
      <c r="N7" s="75">
        <v>25</v>
      </c>
      <c r="O7" s="67">
        <v>7000</v>
      </c>
      <c r="P7" s="68">
        <f>Table224578910112345678910121314151617181920[[#This Row],[PEMBULATAN]]*O7</f>
        <v>175000</v>
      </c>
    </row>
    <row r="8" spans="1:16" ht="30" customHeight="1" x14ac:dyDescent="0.2">
      <c r="A8" s="14"/>
      <c r="B8" s="14"/>
      <c r="C8" s="76" t="s">
        <v>410</v>
      </c>
      <c r="D8" s="81" t="s">
        <v>49</v>
      </c>
      <c r="E8" s="13">
        <v>44436</v>
      </c>
      <c r="F8" s="79" t="s">
        <v>253</v>
      </c>
      <c r="G8" s="13">
        <v>44440</v>
      </c>
      <c r="H8" s="80" t="s">
        <v>423</v>
      </c>
      <c r="I8" s="17">
        <v>35</v>
      </c>
      <c r="J8" s="17">
        <v>29</v>
      </c>
      <c r="K8" s="17">
        <v>18</v>
      </c>
      <c r="L8" s="17">
        <v>3</v>
      </c>
      <c r="M8" s="84">
        <v>4.5674999999999999</v>
      </c>
      <c r="N8" s="75">
        <v>5</v>
      </c>
      <c r="O8" s="67">
        <v>7000</v>
      </c>
      <c r="P8" s="68">
        <f>Table224578910112345678910121314151617181920[[#This Row],[PEMBULATAN]]*O8</f>
        <v>35000</v>
      </c>
    </row>
    <row r="9" spans="1:16" ht="30" customHeight="1" x14ac:dyDescent="0.2">
      <c r="A9" s="14"/>
      <c r="B9" s="14"/>
      <c r="C9" s="76" t="s">
        <v>411</v>
      </c>
      <c r="D9" s="81" t="s">
        <v>49</v>
      </c>
      <c r="E9" s="13">
        <v>44436</v>
      </c>
      <c r="F9" s="79" t="s">
        <v>253</v>
      </c>
      <c r="G9" s="13">
        <v>44440</v>
      </c>
      <c r="H9" s="80" t="s">
        <v>423</v>
      </c>
      <c r="I9" s="17">
        <v>60</v>
      </c>
      <c r="J9" s="17">
        <v>41</v>
      </c>
      <c r="K9" s="17">
        <v>23</v>
      </c>
      <c r="L9" s="17">
        <v>6</v>
      </c>
      <c r="M9" s="84">
        <v>14.145</v>
      </c>
      <c r="N9" s="75">
        <v>14</v>
      </c>
      <c r="O9" s="67">
        <v>7000</v>
      </c>
      <c r="P9" s="68">
        <f>Table224578910112345678910121314151617181920[[#This Row],[PEMBULATAN]]*O9</f>
        <v>98000</v>
      </c>
    </row>
    <row r="10" spans="1:16" ht="30" customHeight="1" x14ac:dyDescent="0.2">
      <c r="A10" s="14"/>
      <c r="B10" s="15"/>
      <c r="C10" s="76" t="s">
        <v>412</v>
      </c>
      <c r="D10" s="81" t="s">
        <v>49</v>
      </c>
      <c r="E10" s="13">
        <v>44436</v>
      </c>
      <c r="F10" s="79" t="s">
        <v>253</v>
      </c>
      <c r="G10" s="13">
        <v>44440</v>
      </c>
      <c r="H10" s="80" t="s">
        <v>423</v>
      </c>
      <c r="I10" s="17">
        <v>34</v>
      </c>
      <c r="J10" s="17">
        <v>34</v>
      </c>
      <c r="K10" s="17">
        <v>40</v>
      </c>
      <c r="L10" s="17">
        <v>6</v>
      </c>
      <c r="M10" s="84">
        <v>11.56</v>
      </c>
      <c r="N10" s="75">
        <v>12</v>
      </c>
      <c r="O10" s="67">
        <v>7000</v>
      </c>
      <c r="P10" s="68">
        <f>Table224578910112345678910121314151617181920[[#This Row],[PEMBULATAN]]*O10</f>
        <v>84000</v>
      </c>
    </row>
    <row r="11" spans="1:16" ht="30" customHeight="1" x14ac:dyDescent="0.2">
      <c r="A11" s="14"/>
      <c r="B11" s="14" t="s">
        <v>413</v>
      </c>
      <c r="C11" s="76" t="s">
        <v>414</v>
      </c>
      <c r="D11" s="81" t="s">
        <v>49</v>
      </c>
      <c r="E11" s="13">
        <v>44436</v>
      </c>
      <c r="F11" s="79" t="s">
        <v>253</v>
      </c>
      <c r="G11" s="13">
        <v>44440</v>
      </c>
      <c r="H11" s="80" t="s">
        <v>423</v>
      </c>
      <c r="I11" s="17">
        <v>60</v>
      </c>
      <c r="J11" s="17">
        <v>46</v>
      </c>
      <c r="K11" s="17">
        <v>48</v>
      </c>
      <c r="L11" s="17">
        <v>14</v>
      </c>
      <c r="M11" s="84">
        <v>33.119999999999997</v>
      </c>
      <c r="N11" s="75">
        <v>33</v>
      </c>
      <c r="O11" s="67">
        <v>7000</v>
      </c>
      <c r="P11" s="68">
        <f>Table224578910112345678910121314151617181920[[#This Row],[PEMBULATAN]]*O11</f>
        <v>231000</v>
      </c>
    </row>
    <row r="12" spans="1:16" ht="30" customHeight="1" x14ac:dyDescent="0.2">
      <c r="A12" s="14"/>
      <c r="B12" s="14"/>
      <c r="C12" s="76" t="s">
        <v>415</v>
      </c>
      <c r="D12" s="81" t="s">
        <v>49</v>
      </c>
      <c r="E12" s="13">
        <v>44436</v>
      </c>
      <c r="F12" s="79" t="s">
        <v>253</v>
      </c>
      <c r="G12" s="13">
        <v>44440</v>
      </c>
      <c r="H12" s="80" t="s">
        <v>423</v>
      </c>
      <c r="I12" s="17">
        <v>58</v>
      </c>
      <c r="J12" s="17">
        <v>46</v>
      </c>
      <c r="K12" s="17">
        <v>46</v>
      </c>
      <c r="L12" s="17">
        <v>14</v>
      </c>
      <c r="M12" s="84">
        <v>30.681999999999999</v>
      </c>
      <c r="N12" s="75">
        <v>31</v>
      </c>
      <c r="O12" s="67">
        <v>7000</v>
      </c>
      <c r="P12" s="68">
        <f>Table224578910112345678910121314151617181920[[#This Row],[PEMBULATAN]]*O12</f>
        <v>217000</v>
      </c>
    </row>
    <row r="13" spans="1:16" ht="30" customHeight="1" x14ac:dyDescent="0.2">
      <c r="A13" s="14"/>
      <c r="B13" s="14"/>
      <c r="C13" s="76" t="s">
        <v>416</v>
      </c>
      <c r="D13" s="81" t="s">
        <v>49</v>
      </c>
      <c r="E13" s="13">
        <v>44436</v>
      </c>
      <c r="F13" s="79" t="s">
        <v>253</v>
      </c>
      <c r="G13" s="13">
        <v>44440</v>
      </c>
      <c r="H13" s="80" t="s">
        <v>423</v>
      </c>
      <c r="I13" s="17">
        <v>51</v>
      </c>
      <c r="J13" s="17">
        <v>60</v>
      </c>
      <c r="K13" s="17">
        <v>77</v>
      </c>
      <c r="L13" s="17">
        <v>20</v>
      </c>
      <c r="M13" s="84">
        <v>58.905000000000001</v>
      </c>
      <c r="N13" s="75">
        <v>59</v>
      </c>
      <c r="O13" s="67">
        <v>7000</v>
      </c>
      <c r="P13" s="68">
        <f>Table224578910112345678910121314151617181920[[#This Row],[PEMBULATAN]]*O13</f>
        <v>413000</v>
      </c>
    </row>
    <row r="14" spans="1:16" ht="30" customHeight="1" x14ac:dyDescent="0.2">
      <c r="A14" s="14"/>
      <c r="B14" s="14"/>
      <c r="C14" s="76" t="s">
        <v>417</v>
      </c>
      <c r="D14" s="81" t="s">
        <v>49</v>
      </c>
      <c r="E14" s="13">
        <v>44436</v>
      </c>
      <c r="F14" s="79" t="s">
        <v>253</v>
      </c>
      <c r="G14" s="13">
        <v>44440</v>
      </c>
      <c r="H14" s="80" t="s">
        <v>423</v>
      </c>
      <c r="I14" s="17">
        <v>61</v>
      </c>
      <c r="J14" s="17">
        <v>52</v>
      </c>
      <c r="K14" s="17">
        <v>76</v>
      </c>
      <c r="L14" s="17">
        <v>20</v>
      </c>
      <c r="M14" s="84">
        <v>60.268000000000001</v>
      </c>
      <c r="N14" s="75">
        <v>60</v>
      </c>
      <c r="O14" s="67">
        <v>7000</v>
      </c>
      <c r="P14" s="68">
        <f>Table224578910112345678910121314151617181920[[#This Row],[PEMBULATAN]]*O14</f>
        <v>420000</v>
      </c>
    </row>
    <row r="15" spans="1:16" ht="30" customHeight="1" x14ac:dyDescent="0.2">
      <c r="A15" s="14"/>
      <c r="B15" s="14"/>
      <c r="C15" s="76" t="s">
        <v>418</v>
      </c>
      <c r="D15" s="81" t="s">
        <v>49</v>
      </c>
      <c r="E15" s="13">
        <v>44436</v>
      </c>
      <c r="F15" s="79" t="s">
        <v>253</v>
      </c>
      <c r="G15" s="13">
        <v>44440</v>
      </c>
      <c r="H15" s="80" t="s">
        <v>423</v>
      </c>
      <c r="I15" s="17">
        <v>100</v>
      </c>
      <c r="J15" s="17">
        <v>51</v>
      </c>
      <c r="K15" s="17">
        <v>40</v>
      </c>
      <c r="L15" s="17">
        <v>22</v>
      </c>
      <c r="M15" s="84">
        <v>51</v>
      </c>
      <c r="N15" s="75">
        <v>51</v>
      </c>
      <c r="O15" s="67">
        <v>7000</v>
      </c>
      <c r="P15" s="68">
        <f>Table224578910112345678910121314151617181920[[#This Row],[PEMBULATAN]]*O15</f>
        <v>357000</v>
      </c>
    </row>
    <row r="16" spans="1:16" ht="30" customHeight="1" x14ac:dyDescent="0.2">
      <c r="A16" s="14"/>
      <c r="B16" s="14"/>
      <c r="C16" s="76" t="s">
        <v>419</v>
      </c>
      <c r="D16" s="81" t="s">
        <v>49</v>
      </c>
      <c r="E16" s="13">
        <v>44436</v>
      </c>
      <c r="F16" s="79" t="s">
        <v>253</v>
      </c>
      <c r="G16" s="13">
        <v>44440</v>
      </c>
      <c r="H16" s="80" t="s">
        <v>423</v>
      </c>
      <c r="I16" s="17">
        <v>40</v>
      </c>
      <c r="J16" s="17">
        <v>20</v>
      </c>
      <c r="K16" s="17">
        <v>20</v>
      </c>
      <c r="L16" s="17">
        <v>7</v>
      </c>
      <c r="M16" s="84">
        <v>4</v>
      </c>
      <c r="N16" s="75">
        <v>7</v>
      </c>
      <c r="O16" s="67">
        <v>7000</v>
      </c>
      <c r="P16" s="68">
        <f>Table224578910112345678910121314151617181920[[#This Row],[PEMBULATAN]]*O16</f>
        <v>49000</v>
      </c>
    </row>
    <row r="17" spans="1:16" ht="30" customHeight="1" x14ac:dyDescent="0.2">
      <c r="A17" s="14"/>
      <c r="B17" s="14"/>
      <c r="C17" s="76" t="s">
        <v>420</v>
      </c>
      <c r="D17" s="81" t="s">
        <v>49</v>
      </c>
      <c r="E17" s="13">
        <v>44436</v>
      </c>
      <c r="F17" s="79" t="s">
        <v>253</v>
      </c>
      <c r="G17" s="13">
        <v>44440</v>
      </c>
      <c r="H17" s="80" t="s">
        <v>423</v>
      </c>
      <c r="I17" s="17">
        <v>77</v>
      </c>
      <c r="J17" s="17">
        <v>50</v>
      </c>
      <c r="K17" s="17">
        <v>63</v>
      </c>
      <c r="L17" s="17">
        <v>20</v>
      </c>
      <c r="M17" s="84">
        <v>60.637500000000003</v>
      </c>
      <c r="N17" s="75">
        <v>61</v>
      </c>
      <c r="O17" s="67">
        <v>7000</v>
      </c>
      <c r="P17" s="68">
        <f>Table224578910112345678910121314151617181920[[#This Row],[PEMBULATAN]]*O17</f>
        <v>427000</v>
      </c>
    </row>
    <row r="18" spans="1:16" ht="30" customHeight="1" x14ac:dyDescent="0.2">
      <c r="A18" s="14"/>
      <c r="B18" s="14"/>
      <c r="C18" s="76" t="s">
        <v>421</v>
      </c>
      <c r="D18" s="81" t="s">
        <v>49</v>
      </c>
      <c r="E18" s="13">
        <v>44436</v>
      </c>
      <c r="F18" s="79" t="s">
        <v>253</v>
      </c>
      <c r="G18" s="13">
        <v>44440</v>
      </c>
      <c r="H18" s="80" t="s">
        <v>423</v>
      </c>
      <c r="I18" s="17">
        <v>60</v>
      </c>
      <c r="J18" s="17">
        <v>48</v>
      </c>
      <c r="K18" s="17">
        <v>75</v>
      </c>
      <c r="L18" s="17">
        <v>20</v>
      </c>
      <c r="M18" s="84">
        <v>54</v>
      </c>
      <c r="N18" s="75">
        <v>54</v>
      </c>
      <c r="O18" s="67">
        <v>7000</v>
      </c>
      <c r="P18" s="68">
        <f>Table224578910112345678910121314151617181920[[#This Row],[PEMBULATAN]]*O18</f>
        <v>378000</v>
      </c>
    </row>
    <row r="19" spans="1:16" ht="30" customHeight="1" x14ac:dyDescent="0.2">
      <c r="A19" s="14"/>
      <c r="B19" s="14"/>
      <c r="C19" s="76" t="s">
        <v>422</v>
      </c>
      <c r="D19" s="81" t="s">
        <v>49</v>
      </c>
      <c r="E19" s="13">
        <v>44436</v>
      </c>
      <c r="F19" s="79" t="s">
        <v>253</v>
      </c>
      <c r="G19" s="13">
        <v>44440</v>
      </c>
      <c r="H19" s="80" t="s">
        <v>423</v>
      </c>
      <c r="I19" s="17">
        <v>76</v>
      </c>
      <c r="J19" s="17">
        <v>46</v>
      </c>
      <c r="K19" s="17">
        <v>60</v>
      </c>
      <c r="L19" s="17">
        <v>20</v>
      </c>
      <c r="M19" s="84">
        <v>52.44</v>
      </c>
      <c r="N19" s="75">
        <v>52</v>
      </c>
      <c r="O19" s="67">
        <v>7000</v>
      </c>
      <c r="P19" s="68">
        <f>Table224578910112345678910121314151617181920[[#This Row],[PEMBULATAN]]*O19</f>
        <v>364000</v>
      </c>
    </row>
    <row r="20" spans="1:16" ht="22.5" customHeight="1" x14ac:dyDescent="0.2">
      <c r="A20" s="122" t="s">
        <v>30</v>
      </c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4"/>
      <c r="M20" s="82">
        <f>SUBTOTAL(109,Table224578910112345678910121314151617181920[KG VOLUME])</f>
        <v>506.48999999999995</v>
      </c>
      <c r="N20" s="71">
        <f>SUM(N3:N19)</f>
        <v>515</v>
      </c>
      <c r="O20" s="125">
        <f>SUM(P3:P19)</f>
        <v>3605000</v>
      </c>
      <c r="P20" s="126"/>
    </row>
    <row r="21" spans="1:16" ht="18" customHeight="1" x14ac:dyDescent="0.2">
      <c r="A21" s="94"/>
      <c r="B21" s="59" t="s">
        <v>42</v>
      </c>
      <c r="C21" s="58"/>
      <c r="D21" s="60" t="s">
        <v>43</v>
      </c>
      <c r="E21" s="94"/>
      <c r="F21" s="94"/>
      <c r="G21" s="94"/>
      <c r="H21" s="94"/>
      <c r="I21" s="94"/>
      <c r="J21" s="94"/>
      <c r="K21" s="94"/>
      <c r="L21" s="94"/>
      <c r="M21" s="95"/>
      <c r="N21" s="96" t="s">
        <v>649</v>
      </c>
      <c r="O21" s="97"/>
      <c r="P21" s="97">
        <v>0</v>
      </c>
    </row>
    <row r="22" spans="1:16" ht="18" customHeight="1" thickBot="1" x14ac:dyDescent="0.25">
      <c r="A22" s="94"/>
      <c r="B22" s="59"/>
      <c r="C22" s="58"/>
      <c r="D22" s="60"/>
      <c r="E22" s="94"/>
      <c r="F22" s="94"/>
      <c r="G22" s="94"/>
      <c r="H22" s="94"/>
      <c r="I22" s="94"/>
      <c r="J22" s="94"/>
      <c r="K22" s="94"/>
      <c r="L22" s="94"/>
      <c r="M22" s="95"/>
      <c r="N22" s="98" t="s">
        <v>650</v>
      </c>
      <c r="O22" s="99"/>
      <c r="P22" s="99">
        <f>O20-P21</f>
        <v>3605000</v>
      </c>
    </row>
    <row r="23" spans="1:16" ht="18" customHeight="1" x14ac:dyDescent="0.2">
      <c r="A23" s="11"/>
      <c r="H23" s="66"/>
      <c r="N23" s="65" t="s">
        <v>31</v>
      </c>
      <c r="P23" s="72">
        <f>P22*1%</f>
        <v>36050</v>
      </c>
    </row>
    <row r="24" spans="1:16" ht="18" customHeight="1" thickBot="1" x14ac:dyDescent="0.25">
      <c r="A24" s="11"/>
      <c r="H24" s="66"/>
      <c r="N24" s="65" t="s">
        <v>651</v>
      </c>
      <c r="P24" s="74">
        <f>P22*2%</f>
        <v>72100</v>
      </c>
    </row>
    <row r="25" spans="1:16" ht="18" customHeight="1" x14ac:dyDescent="0.2">
      <c r="A25" s="11"/>
      <c r="H25" s="66"/>
      <c r="N25" s="69" t="s">
        <v>32</v>
      </c>
      <c r="O25" s="70"/>
      <c r="P25" s="73">
        <f>P22+P23-P24</f>
        <v>3568950</v>
      </c>
    </row>
    <row r="27" spans="1:16" x14ac:dyDescent="0.2">
      <c r="A27" s="11"/>
      <c r="H27" s="66"/>
      <c r="P27" s="74"/>
    </row>
    <row r="28" spans="1:16" x14ac:dyDescent="0.2">
      <c r="A28" s="11"/>
      <c r="H28" s="66"/>
      <c r="O28" s="61"/>
      <c r="P28" s="74"/>
    </row>
    <row r="29" spans="1:16" s="3" customFormat="1" x14ac:dyDescent="0.25">
      <c r="A29" s="11"/>
      <c r="B29" s="2"/>
      <c r="C29" s="2"/>
      <c r="E29" s="12"/>
      <c r="H29" s="66"/>
      <c r="N29" s="16"/>
      <c r="O29" s="16"/>
      <c r="P29" s="16"/>
    </row>
    <row r="30" spans="1:16" s="3" customFormat="1" x14ac:dyDescent="0.25">
      <c r="A30" s="11"/>
      <c r="B30" s="2"/>
      <c r="C30" s="2"/>
      <c r="E30" s="12"/>
      <c r="H30" s="66"/>
      <c r="N30" s="16"/>
      <c r="O30" s="16"/>
      <c r="P30" s="16"/>
    </row>
    <row r="31" spans="1:16" s="3" customFormat="1" x14ac:dyDescent="0.25">
      <c r="A31" s="11"/>
      <c r="B31" s="2"/>
      <c r="C31" s="2"/>
      <c r="E31" s="12"/>
      <c r="H31" s="66"/>
      <c r="N31" s="16"/>
      <c r="O31" s="16"/>
      <c r="P31" s="16"/>
    </row>
    <row r="32" spans="1:16" s="3" customFormat="1" x14ac:dyDescent="0.25">
      <c r="A32" s="11"/>
      <c r="B32" s="2"/>
      <c r="C32" s="2"/>
      <c r="E32" s="12"/>
      <c r="H32" s="66"/>
      <c r="N32" s="16"/>
      <c r="O32" s="16"/>
      <c r="P32" s="16"/>
    </row>
    <row r="33" spans="1:16" s="3" customFormat="1" x14ac:dyDescent="0.25">
      <c r="A33" s="11"/>
      <c r="B33" s="2"/>
      <c r="C33" s="2"/>
      <c r="E33" s="12"/>
      <c r="H33" s="66"/>
      <c r="N33" s="16"/>
      <c r="O33" s="16"/>
      <c r="P33" s="16"/>
    </row>
    <row r="34" spans="1:16" s="3" customFormat="1" x14ac:dyDescent="0.25">
      <c r="A34" s="11"/>
      <c r="B34" s="2"/>
      <c r="C34" s="2"/>
      <c r="E34" s="12"/>
      <c r="H34" s="66"/>
      <c r="N34" s="16"/>
      <c r="O34" s="16"/>
      <c r="P34" s="16"/>
    </row>
    <row r="35" spans="1:16" s="3" customFormat="1" x14ac:dyDescent="0.25">
      <c r="A35" s="11"/>
      <c r="B35" s="2"/>
      <c r="C35" s="2"/>
      <c r="E35" s="12"/>
      <c r="H35" s="66"/>
      <c r="N35" s="16"/>
      <c r="O35" s="16"/>
      <c r="P35" s="16"/>
    </row>
    <row r="36" spans="1:16" s="3" customFormat="1" x14ac:dyDescent="0.25">
      <c r="A36" s="11"/>
      <c r="B36" s="2"/>
      <c r="C36" s="2"/>
      <c r="E36" s="12"/>
      <c r="H36" s="66"/>
      <c r="N36" s="16"/>
      <c r="O36" s="16"/>
      <c r="P36" s="16"/>
    </row>
    <row r="37" spans="1:16" s="3" customFormat="1" x14ac:dyDescent="0.25">
      <c r="A37" s="11"/>
      <c r="B37" s="2"/>
      <c r="C37" s="2"/>
      <c r="E37" s="12"/>
      <c r="H37" s="66"/>
      <c r="N37" s="16"/>
      <c r="O37" s="16"/>
      <c r="P37" s="16"/>
    </row>
    <row r="38" spans="1:16" s="3" customFormat="1" x14ac:dyDescent="0.25">
      <c r="A38" s="11"/>
      <c r="B38" s="2"/>
      <c r="C38" s="2"/>
      <c r="E38" s="12"/>
      <c r="H38" s="66"/>
      <c r="N38" s="16"/>
      <c r="O38" s="16"/>
      <c r="P38" s="16"/>
    </row>
    <row r="39" spans="1:16" s="3" customFormat="1" x14ac:dyDescent="0.25">
      <c r="A39" s="11"/>
      <c r="B39" s="2"/>
      <c r="C39" s="2"/>
      <c r="E39" s="12"/>
      <c r="H39" s="66"/>
      <c r="N39" s="16"/>
      <c r="O39" s="16"/>
      <c r="P39" s="16"/>
    </row>
    <row r="40" spans="1:16" s="3" customFormat="1" x14ac:dyDescent="0.25">
      <c r="A40" s="11"/>
      <c r="B40" s="2"/>
      <c r="C40" s="2"/>
      <c r="E40" s="12"/>
      <c r="H40" s="66"/>
      <c r="N40" s="16"/>
      <c r="O40" s="16"/>
      <c r="P40" s="16"/>
    </row>
  </sheetData>
  <mergeCells count="3">
    <mergeCell ref="A3:A4"/>
    <mergeCell ref="A20:L20"/>
    <mergeCell ref="O20:P20"/>
  </mergeCells>
  <conditionalFormatting sqref="B3">
    <cfRule type="duplicateValues" dxfId="125" priority="2"/>
  </conditionalFormatting>
  <conditionalFormatting sqref="B4">
    <cfRule type="duplicateValues" dxfId="124" priority="1"/>
  </conditionalFormatting>
  <conditionalFormatting sqref="B5:B19">
    <cfRule type="duplicateValues" dxfId="123" priority="1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1"/>
  <sheetViews>
    <sheetView zoomScale="110" zoomScaleNormal="110" workbookViewId="0">
      <pane xSplit="3" ySplit="2" topLeftCell="D27" activePane="bottomRight" state="frozen"/>
      <selection pane="topRight" activeCell="B1" sqref="B1"/>
      <selection pane="bottomLeft" activeCell="A3" sqref="A3"/>
      <selection pane="bottomRight" activeCell="N39" sqref="N3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0.4257812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30" customHeight="1" x14ac:dyDescent="0.2">
      <c r="A3" s="120" t="s">
        <v>584</v>
      </c>
      <c r="B3" s="93" t="s">
        <v>424</v>
      </c>
      <c r="C3" s="9" t="s">
        <v>425</v>
      </c>
      <c r="D3" s="79" t="s">
        <v>49</v>
      </c>
      <c r="E3" s="13">
        <v>44436</v>
      </c>
      <c r="F3" s="79" t="s">
        <v>253</v>
      </c>
      <c r="G3" s="13">
        <v>44440</v>
      </c>
      <c r="H3" s="10" t="s">
        <v>423</v>
      </c>
      <c r="I3" s="1">
        <v>69</v>
      </c>
      <c r="J3" s="1">
        <v>46</v>
      </c>
      <c r="K3" s="1">
        <v>34</v>
      </c>
      <c r="L3" s="1">
        <v>13</v>
      </c>
      <c r="M3" s="83">
        <v>26.978999999999999</v>
      </c>
      <c r="N3" s="8">
        <v>27</v>
      </c>
      <c r="O3" s="67">
        <v>7000</v>
      </c>
      <c r="P3" s="68">
        <f>Table22457891011234567891012131415161718192021[[#This Row],[PEMBULATAN]]*O3</f>
        <v>189000</v>
      </c>
    </row>
    <row r="4" spans="1:16" ht="30" customHeight="1" x14ac:dyDescent="0.2">
      <c r="A4" s="121"/>
      <c r="B4" s="78" t="s">
        <v>426</v>
      </c>
      <c r="C4" s="9" t="s">
        <v>427</v>
      </c>
      <c r="D4" s="79" t="s">
        <v>49</v>
      </c>
      <c r="E4" s="13">
        <v>44436</v>
      </c>
      <c r="F4" s="79" t="s">
        <v>253</v>
      </c>
      <c r="G4" s="13">
        <v>44440</v>
      </c>
      <c r="H4" s="10" t="s">
        <v>423</v>
      </c>
      <c r="I4" s="1">
        <v>65</v>
      </c>
      <c r="J4" s="1">
        <v>57</v>
      </c>
      <c r="K4" s="1">
        <v>21</v>
      </c>
      <c r="L4" s="1">
        <v>15</v>
      </c>
      <c r="M4" s="83">
        <v>19.451250000000002</v>
      </c>
      <c r="N4" s="8">
        <v>19</v>
      </c>
      <c r="O4" s="67">
        <v>7000</v>
      </c>
      <c r="P4" s="68">
        <f>Table22457891011234567891012131415161718192021[[#This Row],[PEMBULATAN]]*O4</f>
        <v>133000</v>
      </c>
    </row>
    <row r="5" spans="1:16" ht="30" customHeight="1" x14ac:dyDescent="0.2">
      <c r="A5" s="14"/>
      <c r="B5" s="14"/>
      <c r="C5" s="9" t="s">
        <v>428</v>
      </c>
      <c r="D5" s="79" t="s">
        <v>49</v>
      </c>
      <c r="E5" s="13">
        <v>44436</v>
      </c>
      <c r="F5" s="79" t="s">
        <v>253</v>
      </c>
      <c r="G5" s="13">
        <v>44440</v>
      </c>
      <c r="H5" s="10" t="s">
        <v>423</v>
      </c>
      <c r="I5" s="1">
        <v>65</v>
      </c>
      <c r="J5" s="1">
        <v>57</v>
      </c>
      <c r="K5" s="1">
        <v>21</v>
      </c>
      <c r="L5" s="1">
        <v>15</v>
      </c>
      <c r="M5" s="83">
        <v>19.451250000000002</v>
      </c>
      <c r="N5" s="8">
        <v>19</v>
      </c>
      <c r="O5" s="67">
        <v>7000</v>
      </c>
      <c r="P5" s="68">
        <f>Table22457891011234567891012131415161718192021[[#This Row],[PEMBULATAN]]*O5</f>
        <v>133000</v>
      </c>
    </row>
    <row r="6" spans="1:16" ht="30" customHeight="1" x14ac:dyDescent="0.2">
      <c r="A6" s="14"/>
      <c r="B6" s="14"/>
      <c r="C6" s="76" t="s">
        <v>429</v>
      </c>
      <c r="D6" s="81" t="s">
        <v>49</v>
      </c>
      <c r="E6" s="13">
        <v>44436</v>
      </c>
      <c r="F6" s="79" t="s">
        <v>253</v>
      </c>
      <c r="G6" s="13">
        <v>44440</v>
      </c>
      <c r="H6" s="80" t="s">
        <v>423</v>
      </c>
      <c r="I6" s="17">
        <v>65</v>
      </c>
      <c r="J6" s="17">
        <v>57</v>
      </c>
      <c r="K6" s="17">
        <v>21</v>
      </c>
      <c r="L6" s="17">
        <v>15</v>
      </c>
      <c r="M6" s="84">
        <v>19.451250000000002</v>
      </c>
      <c r="N6" s="75">
        <v>19</v>
      </c>
      <c r="O6" s="67">
        <v>7000</v>
      </c>
      <c r="P6" s="68">
        <f>Table22457891011234567891012131415161718192021[[#This Row],[PEMBULATAN]]*O6</f>
        <v>133000</v>
      </c>
    </row>
    <row r="7" spans="1:16" ht="30" customHeight="1" x14ac:dyDescent="0.2">
      <c r="A7" s="14"/>
      <c r="B7" s="14"/>
      <c r="C7" s="76" t="s">
        <v>430</v>
      </c>
      <c r="D7" s="81" t="s">
        <v>49</v>
      </c>
      <c r="E7" s="13">
        <v>44436</v>
      </c>
      <c r="F7" s="79" t="s">
        <v>253</v>
      </c>
      <c r="G7" s="13">
        <v>44440</v>
      </c>
      <c r="H7" s="80" t="s">
        <v>423</v>
      </c>
      <c r="I7" s="17">
        <v>36</v>
      </c>
      <c r="J7" s="17">
        <v>36</v>
      </c>
      <c r="K7" s="17">
        <v>18</v>
      </c>
      <c r="L7" s="17">
        <v>12</v>
      </c>
      <c r="M7" s="84">
        <v>5.8319999999999999</v>
      </c>
      <c r="N7" s="75">
        <v>12</v>
      </c>
      <c r="O7" s="67">
        <v>7000</v>
      </c>
      <c r="P7" s="68">
        <f>Table22457891011234567891012131415161718192021[[#This Row],[PEMBULATAN]]*O7</f>
        <v>84000</v>
      </c>
    </row>
    <row r="8" spans="1:16" ht="30" customHeight="1" x14ac:dyDescent="0.2">
      <c r="A8" s="14"/>
      <c r="B8" s="14"/>
      <c r="C8" s="76" t="s">
        <v>431</v>
      </c>
      <c r="D8" s="81" t="s">
        <v>49</v>
      </c>
      <c r="E8" s="13">
        <v>44436</v>
      </c>
      <c r="F8" s="79" t="s">
        <v>253</v>
      </c>
      <c r="G8" s="13">
        <v>44440</v>
      </c>
      <c r="H8" s="80" t="s">
        <v>423</v>
      </c>
      <c r="I8" s="17">
        <v>35</v>
      </c>
      <c r="J8" s="17">
        <v>35</v>
      </c>
      <c r="K8" s="17">
        <v>22</v>
      </c>
      <c r="L8" s="17">
        <v>12</v>
      </c>
      <c r="M8" s="84">
        <v>6.7374999999999998</v>
      </c>
      <c r="N8" s="75">
        <v>12</v>
      </c>
      <c r="O8" s="67">
        <v>7000</v>
      </c>
      <c r="P8" s="68">
        <f>Table22457891011234567891012131415161718192021[[#This Row],[PEMBULATAN]]*O8</f>
        <v>84000</v>
      </c>
    </row>
    <row r="9" spans="1:16" ht="30" customHeight="1" x14ac:dyDescent="0.2">
      <c r="A9" s="14"/>
      <c r="B9" s="14"/>
      <c r="C9" s="76" t="s">
        <v>432</v>
      </c>
      <c r="D9" s="81" t="s">
        <v>49</v>
      </c>
      <c r="E9" s="13">
        <v>44436</v>
      </c>
      <c r="F9" s="79" t="s">
        <v>253</v>
      </c>
      <c r="G9" s="13">
        <v>44440</v>
      </c>
      <c r="H9" s="80" t="s">
        <v>423</v>
      </c>
      <c r="I9" s="17">
        <v>34</v>
      </c>
      <c r="J9" s="17">
        <v>23</v>
      </c>
      <c r="K9" s="17">
        <v>18</v>
      </c>
      <c r="L9" s="17">
        <v>8</v>
      </c>
      <c r="M9" s="84">
        <v>3.5190000000000001</v>
      </c>
      <c r="N9" s="75">
        <v>8</v>
      </c>
      <c r="O9" s="67">
        <v>7000</v>
      </c>
      <c r="P9" s="68">
        <f>Table22457891011234567891012131415161718192021[[#This Row],[PEMBULATAN]]*O9</f>
        <v>56000</v>
      </c>
    </row>
    <row r="10" spans="1:16" ht="30" customHeight="1" x14ac:dyDescent="0.2">
      <c r="A10" s="14"/>
      <c r="B10" s="14"/>
      <c r="C10" s="76" t="s">
        <v>433</v>
      </c>
      <c r="D10" s="81" t="s">
        <v>49</v>
      </c>
      <c r="E10" s="13">
        <v>44436</v>
      </c>
      <c r="F10" s="79" t="s">
        <v>253</v>
      </c>
      <c r="G10" s="13">
        <v>44440</v>
      </c>
      <c r="H10" s="80" t="s">
        <v>423</v>
      </c>
      <c r="I10" s="17">
        <v>30</v>
      </c>
      <c r="J10" s="17">
        <v>24</v>
      </c>
      <c r="K10" s="17">
        <v>21</v>
      </c>
      <c r="L10" s="17">
        <v>4</v>
      </c>
      <c r="M10" s="84">
        <v>3.78</v>
      </c>
      <c r="N10" s="75">
        <v>4</v>
      </c>
      <c r="O10" s="67">
        <v>7000</v>
      </c>
      <c r="P10" s="68">
        <f>Table22457891011234567891012131415161718192021[[#This Row],[PEMBULATAN]]*O10</f>
        <v>28000</v>
      </c>
    </row>
    <row r="11" spans="1:16" ht="30" customHeight="1" x14ac:dyDescent="0.2">
      <c r="A11" s="14"/>
      <c r="B11" s="14"/>
      <c r="C11" s="76" t="s">
        <v>434</v>
      </c>
      <c r="D11" s="81" t="s">
        <v>49</v>
      </c>
      <c r="E11" s="13">
        <v>44436</v>
      </c>
      <c r="F11" s="79" t="s">
        <v>253</v>
      </c>
      <c r="G11" s="13">
        <v>44440</v>
      </c>
      <c r="H11" s="80" t="s">
        <v>423</v>
      </c>
      <c r="I11" s="17">
        <v>34</v>
      </c>
      <c r="J11" s="17">
        <v>23</v>
      </c>
      <c r="K11" s="17">
        <v>18</v>
      </c>
      <c r="L11" s="17">
        <v>8</v>
      </c>
      <c r="M11" s="84">
        <v>3.5190000000000001</v>
      </c>
      <c r="N11" s="75">
        <v>8</v>
      </c>
      <c r="O11" s="67">
        <v>7000</v>
      </c>
      <c r="P11" s="68">
        <f>Table22457891011234567891012131415161718192021[[#This Row],[PEMBULATAN]]*O11</f>
        <v>56000</v>
      </c>
    </row>
    <row r="12" spans="1:16" ht="30" customHeight="1" x14ac:dyDescent="0.2">
      <c r="A12" s="14"/>
      <c r="B12" s="14"/>
      <c r="C12" s="76" t="s">
        <v>435</v>
      </c>
      <c r="D12" s="81" t="s">
        <v>49</v>
      </c>
      <c r="E12" s="13">
        <v>44436</v>
      </c>
      <c r="F12" s="79" t="s">
        <v>253</v>
      </c>
      <c r="G12" s="13">
        <v>44440</v>
      </c>
      <c r="H12" s="80" t="s">
        <v>423</v>
      </c>
      <c r="I12" s="17">
        <v>22</v>
      </c>
      <c r="J12" s="17">
        <v>20</v>
      </c>
      <c r="K12" s="17">
        <v>12</v>
      </c>
      <c r="L12" s="17">
        <v>1</v>
      </c>
      <c r="M12" s="84">
        <v>1.32</v>
      </c>
      <c r="N12" s="75">
        <v>1</v>
      </c>
      <c r="O12" s="67">
        <v>7000</v>
      </c>
      <c r="P12" s="68">
        <f>Table22457891011234567891012131415161718192021[[#This Row],[PEMBULATAN]]*O12</f>
        <v>7000</v>
      </c>
    </row>
    <row r="13" spans="1:16" ht="30" customHeight="1" x14ac:dyDescent="0.2">
      <c r="A13" s="14"/>
      <c r="B13" s="14"/>
      <c r="C13" s="76" t="s">
        <v>436</v>
      </c>
      <c r="D13" s="81" t="s">
        <v>49</v>
      </c>
      <c r="E13" s="13">
        <v>44436</v>
      </c>
      <c r="F13" s="79" t="s">
        <v>253</v>
      </c>
      <c r="G13" s="13">
        <v>44440</v>
      </c>
      <c r="H13" s="80" t="s">
        <v>423</v>
      </c>
      <c r="I13" s="17">
        <v>37</v>
      </c>
      <c r="J13" s="17">
        <v>25</v>
      </c>
      <c r="K13" s="17">
        <v>12</v>
      </c>
      <c r="L13" s="17">
        <v>1</v>
      </c>
      <c r="M13" s="84">
        <v>2.7749999999999999</v>
      </c>
      <c r="N13" s="75">
        <v>3</v>
      </c>
      <c r="O13" s="67">
        <v>7000</v>
      </c>
      <c r="P13" s="68">
        <f>Table22457891011234567891012131415161718192021[[#This Row],[PEMBULATAN]]*O13</f>
        <v>21000</v>
      </c>
    </row>
    <row r="14" spans="1:16" ht="30" customHeight="1" x14ac:dyDescent="0.2">
      <c r="A14" s="14"/>
      <c r="B14" s="14"/>
      <c r="C14" s="76" t="s">
        <v>437</v>
      </c>
      <c r="D14" s="81" t="s">
        <v>49</v>
      </c>
      <c r="E14" s="13">
        <v>44436</v>
      </c>
      <c r="F14" s="79" t="s">
        <v>253</v>
      </c>
      <c r="G14" s="13">
        <v>44440</v>
      </c>
      <c r="H14" s="80" t="s">
        <v>423</v>
      </c>
      <c r="I14" s="17">
        <v>45</v>
      </c>
      <c r="J14" s="17">
        <v>34</v>
      </c>
      <c r="K14" s="17">
        <v>30</v>
      </c>
      <c r="L14" s="17">
        <v>9</v>
      </c>
      <c r="M14" s="84">
        <v>11.475</v>
      </c>
      <c r="N14" s="75">
        <v>11</v>
      </c>
      <c r="O14" s="67">
        <v>7000</v>
      </c>
      <c r="P14" s="68">
        <f>Table22457891011234567891012131415161718192021[[#This Row],[PEMBULATAN]]*O14</f>
        <v>77000</v>
      </c>
    </row>
    <row r="15" spans="1:16" ht="30" customHeight="1" x14ac:dyDescent="0.2">
      <c r="A15" s="14"/>
      <c r="B15" s="14"/>
      <c r="C15" s="76" t="s">
        <v>438</v>
      </c>
      <c r="D15" s="81" t="s">
        <v>49</v>
      </c>
      <c r="E15" s="13">
        <v>44436</v>
      </c>
      <c r="F15" s="79" t="s">
        <v>253</v>
      </c>
      <c r="G15" s="13">
        <v>44440</v>
      </c>
      <c r="H15" s="80" t="s">
        <v>423</v>
      </c>
      <c r="I15" s="17">
        <v>34</v>
      </c>
      <c r="J15" s="17">
        <v>23</v>
      </c>
      <c r="K15" s="17">
        <v>18</v>
      </c>
      <c r="L15" s="17">
        <v>8</v>
      </c>
      <c r="M15" s="84">
        <v>3.5190000000000001</v>
      </c>
      <c r="N15" s="75">
        <v>8</v>
      </c>
      <c r="O15" s="67">
        <v>7000</v>
      </c>
      <c r="P15" s="68">
        <f>Table22457891011234567891012131415161718192021[[#This Row],[PEMBULATAN]]*O15</f>
        <v>56000</v>
      </c>
    </row>
    <row r="16" spans="1:16" ht="30" customHeight="1" x14ac:dyDescent="0.2">
      <c r="A16" s="14"/>
      <c r="B16" s="14"/>
      <c r="C16" s="76" t="s">
        <v>439</v>
      </c>
      <c r="D16" s="81" t="s">
        <v>49</v>
      </c>
      <c r="E16" s="13">
        <v>44436</v>
      </c>
      <c r="F16" s="79" t="s">
        <v>253</v>
      </c>
      <c r="G16" s="13">
        <v>44440</v>
      </c>
      <c r="H16" s="80" t="s">
        <v>423</v>
      </c>
      <c r="I16" s="17">
        <v>35</v>
      </c>
      <c r="J16" s="17">
        <v>35</v>
      </c>
      <c r="K16" s="17">
        <v>18</v>
      </c>
      <c r="L16" s="17">
        <v>12</v>
      </c>
      <c r="M16" s="84">
        <v>5.5125000000000002</v>
      </c>
      <c r="N16" s="75">
        <v>12</v>
      </c>
      <c r="O16" s="67">
        <v>7000</v>
      </c>
      <c r="P16" s="68">
        <f>Table22457891011234567891012131415161718192021[[#This Row],[PEMBULATAN]]*O16</f>
        <v>84000</v>
      </c>
    </row>
    <row r="17" spans="1:16" ht="30" customHeight="1" x14ac:dyDescent="0.2">
      <c r="A17" s="14"/>
      <c r="B17" s="14"/>
      <c r="C17" s="76" t="s">
        <v>440</v>
      </c>
      <c r="D17" s="81" t="s">
        <v>49</v>
      </c>
      <c r="E17" s="13">
        <v>44436</v>
      </c>
      <c r="F17" s="79" t="s">
        <v>253</v>
      </c>
      <c r="G17" s="13">
        <v>44440</v>
      </c>
      <c r="H17" s="80" t="s">
        <v>423</v>
      </c>
      <c r="I17" s="17">
        <v>37</v>
      </c>
      <c r="J17" s="17">
        <v>25</v>
      </c>
      <c r="K17" s="17">
        <v>12</v>
      </c>
      <c r="L17" s="17">
        <v>1</v>
      </c>
      <c r="M17" s="84">
        <v>2.7749999999999999</v>
      </c>
      <c r="N17" s="75">
        <v>3</v>
      </c>
      <c r="O17" s="67">
        <v>7000</v>
      </c>
      <c r="P17" s="68">
        <f>Table22457891011234567891012131415161718192021[[#This Row],[PEMBULATAN]]*O17</f>
        <v>21000</v>
      </c>
    </row>
    <row r="18" spans="1:16" ht="30" customHeight="1" x14ac:dyDescent="0.2">
      <c r="A18" s="14"/>
      <c r="B18" s="14"/>
      <c r="C18" s="76" t="s">
        <v>441</v>
      </c>
      <c r="D18" s="81" t="s">
        <v>49</v>
      </c>
      <c r="E18" s="13">
        <v>44436</v>
      </c>
      <c r="F18" s="79" t="s">
        <v>253</v>
      </c>
      <c r="G18" s="13">
        <v>44440</v>
      </c>
      <c r="H18" s="80" t="s">
        <v>423</v>
      </c>
      <c r="I18" s="17">
        <v>34</v>
      </c>
      <c r="J18" s="17">
        <v>23</v>
      </c>
      <c r="K18" s="17">
        <v>18</v>
      </c>
      <c r="L18" s="17">
        <v>8</v>
      </c>
      <c r="M18" s="84">
        <v>3.5190000000000001</v>
      </c>
      <c r="N18" s="75">
        <v>8</v>
      </c>
      <c r="O18" s="67">
        <v>7000</v>
      </c>
      <c r="P18" s="68">
        <f>Table22457891011234567891012131415161718192021[[#This Row],[PEMBULATAN]]*O18</f>
        <v>56000</v>
      </c>
    </row>
    <row r="19" spans="1:16" ht="30" customHeight="1" x14ac:dyDescent="0.2">
      <c r="A19" s="14"/>
      <c r="B19" s="14"/>
      <c r="C19" s="76" t="s">
        <v>442</v>
      </c>
      <c r="D19" s="81" t="s">
        <v>49</v>
      </c>
      <c r="E19" s="13">
        <v>44436</v>
      </c>
      <c r="F19" s="79" t="s">
        <v>253</v>
      </c>
      <c r="G19" s="13">
        <v>44440</v>
      </c>
      <c r="H19" s="80" t="s">
        <v>423</v>
      </c>
      <c r="I19" s="17">
        <v>43</v>
      </c>
      <c r="J19" s="17">
        <v>34</v>
      </c>
      <c r="K19" s="17">
        <v>29</v>
      </c>
      <c r="L19" s="17">
        <v>9</v>
      </c>
      <c r="M19" s="84">
        <v>10.599500000000001</v>
      </c>
      <c r="N19" s="75">
        <v>11</v>
      </c>
      <c r="O19" s="67">
        <v>7000</v>
      </c>
      <c r="P19" s="68">
        <f>Table22457891011234567891012131415161718192021[[#This Row],[PEMBULATAN]]*O19</f>
        <v>77000</v>
      </c>
    </row>
    <row r="20" spans="1:16" ht="30" customHeight="1" x14ac:dyDescent="0.2">
      <c r="A20" s="14"/>
      <c r="B20" s="14"/>
      <c r="C20" s="76" t="s">
        <v>443</v>
      </c>
      <c r="D20" s="81" t="s">
        <v>49</v>
      </c>
      <c r="E20" s="13">
        <v>44436</v>
      </c>
      <c r="F20" s="79" t="s">
        <v>253</v>
      </c>
      <c r="G20" s="13">
        <v>44440</v>
      </c>
      <c r="H20" s="80" t="s">
        <v>423</v>
      </c>
      <c r="I20" s="17">
        <v>31</v>
      </c>
      <c r="J20" s="17">
        <v>6</v>
      </c>
      <c r="K20" s="17">
        <v>6</v>
      </c>
      <c r="L20" s="17">
        <v>1</v>
      </c>
      <c r="M20" s="84">
        <v>0.27900000000000003</v>
      </c>
      <c r="N20" s="75">
        <v>1</v>
      </c>
      <c r="O20" s="67">
        <v>7000</v>
      </c>
      <c r="P20" s="68">
        <f>Table22457891011234567891012131415161718192021[[#This Row],[PEMBULATAN]]*O20</f>
        <v>7000</v>
      </c>
    </row>
    <row r="21" spans="1:16" ht="30" customHeight="1" x14ac:dyDescent="0.2">
      <c r="A21" s="14"/>
      <c r="B21" s="14"/>
      <c r="C21" s="76" t="s">
        <v>444</v>
      </c>
      <c r="D21" s="81" t="s">
        <v>49</v>
      </c>
      <c r="E21" s="13">
        <v>44436</v>
      </c>
      <c r="F21" s="79" t="s">
        <v>253</v>
      </c>
      <c r="G21" s="13">
        <v>44440</v>
      </c>
      <c r="H21" s="80" t="s">
        <v>423</v>
      </c>
      <c r="I21" s="17">
        <v>45</v>
      </c>
      <c r="J21" s="17">
        <v>34</v>
      </c>
      <c r="K21" s="17">
        <v>30</v>
      </c>
      <c r="L21" s="17">
        <v>9</v>
      </c>
      <c r="M21" s="84">
        <v>11.475</v>
      </c>
      <c r="N21" s="75">
        <v>11</v>
      </c>
      <c r="O21" s="67">
        <v>7000</v>
      </c>
      <c r="P21" s="68">
        <f>Table22457891011234567891012131415161718192021[[#This Row],[PEMBULATAN]]*O21</f>
        <v>77000</v>
      </c>
    </row>
    <row r="22" spans="1:16" ht="30" customHeight="1" x14ac:dyDescent="0.2">
      <c r="A22" s="14"/>
      <c r="B22" s="14"/>
      <c r="C22" s="76" t="s">
        <v>445</v>
      </c>
      <c r="D22" s="81" t="s">
        <v>49</v>
      </c>
      <c r="E22" s="13">
        <v>44436</v>
      </c>
      <c r="F22" s="79" t="s">
        <v>253</v>
      </c>
      <c r="G22" s="13">
        <v>44440</v>
      </c>
      <c r="H22" s="80" t="s">
        <v>423</v>
      </c>
      <c r="I22" s="17">
        <v>43</v>
      </c>
      <c r="J22" s="17">
        <v>34</v>
      </c>
      <c r="K22" s="17">
        <v>29</v>
      </c>
      <c r="L22" s="17">
        <v>9</v>
      </c>
      <c r="M22" s="84">
        <v>10.599500000000001</v>
      </c>
      <c r="N22" s="75">
        <v>11</v>
      </c>
      <c r="O22" s="67">
        <v>7000</v>
      </c>
      <c r="P22" s="68">
        <f>Table22457891011234567891012131415161718192021[[#This Row],[PEMBULATAN]]*O22</f>
        <v>77000</v>
      </c>
    </row>
    <row r="23" spans="1:16" ht="30" customHeight="1" x14ac:dyDescent="0.2">
      <c r="A23" s="14"/>
      <c r="B23" s="14"/>
      <c r="C23" s="76" t="s">
        <v>446</v>
      </c>
      <c r="D23" s="81" t="s">
        <v>49</v>
      </c>
      <c r="E23" s="13">
        <v>44436</v>
      </c>
      <c r="F23" s="79" t="s">
        <v>253</v>
      </c>
      <c r="G23" s="13">
        <v>44440</v>
      </c>
      <c r="H23" s="80" t="s">
        <v>423</v>
      </c>
      <c r="I23" s="17">
        <v>47</v>
      </c>
      <c r="J23" s="17">
        <v>36</v>
      </c>
      <c r="K23" s="17">
        <v>20</v>
      </c>
      <c r="L23" s="17">
        <v>6</v>
      </c>
      <c r="M23" s="84">
        <v>8.4600000000000009</v>
      </c>
      <c r="N23" s="75">
        <v>8</v>
      </c>
      <c r="O23" s="67">
        <v>7000</v>
      </c>
      <c r="P23" s="68">
        <f>Table22457891011234567891012131415161718192021[[#This Row],[PEMBULATAN]]*O23</f>
        <v>56000</v>
      </c>
    </row>
    <row r="24" spans="1:16" ht="30" customHeight="1" x14ac:dyDescent="0.2">
      <c r="A24" s="14"/>
      <c r="B24" s="14"/>
      <c r="C24" s="76" t="s">
        <v>447</v>
      </c>
      <c r="D24" s="81" t="s">
        <v>49</v>
      </c>
      <c r="E24" s="13">
        <v>44436</v>
      </c>
      <c r="F24" s="79" t="s">
        <v>253</v>
      </c>
      <c r="G24" s="13">
        <v>44440</v>
      </c>
      <c r="H24" s="80" t="s">
        <v>423</v>
      </c>
      <c r="I24" s="17">
        <v>34</v>
      </c>
      <c r="J24" s="17">
        <v>23</v>
      </c>
      <c r="K24" s="17">
        <v>18</v>
      </c>
      <c r="L24" s="17">
        <v>8</v>
      </c>
      <c r="M24" s="84">
        <v>3.5190000000000001</v>
      </c>
      <c r="N24" s="75">
        <v>8</v>
      </c>
      <c r="O24" s="67">
        <v>7000</v>
      </c>
      <c r="P24" s="68">
        <f>Table22457891011234567891012131415161718192021[[#This Row],[PEMBULATAN]]*O24</f>
        <v>56000</v>
      </c>
    </row>
    <row r="25" spans="1:16" ht="30" customHeight="1" x14ac:dyDescent="0.2">
      <c r="A25" s="14"/>
      <c r="B25" s="14"/>
      <c r="C25" s="76" t="s">
        <v>448</v>
      </c>
      <c r="D25" s="81" t="s">
        <v>49</v>
      </c>
      <c r="E25" s="13">
        <v>44436</v>
      </c>
      <c r="F25" s="79" t="s">
        <v>253</v>
      </c>
      <c r="G25" s="13">
        <v>44440</v>
      </c>
      <c r="H25" s="80" t="s">
        <v>423</v>
      </c>
      <c r="I25" s="17">
        <v>34</v>
      </c>
      <c r="J25" s="17">
        <v>23</v>
      </c>
      <c r="K25" s="17">
        <v>18</v>
      </c>
      <c r="L25" s="17">
        <v>8</v>
      </c>
      <c r="M25" s="84">
        <v>3.5190000000000001</v>
      </c>
      <c r="N25" s="75">
        <v>8</v>
      </c>
      <c r="O25" s="67">
        <v>7000</v>
      </c>
      <c r="P25" s="68">
        <f>Table22457891011234567891012131415161718192021[[#This Row],[PEMBULATAN]]*O25</f>
        <v>56000</v>
      </c>
    </row>
    <row r="26" spans="1:16" ht="30" customHeight="1" x14ac:dyDescent="0.2">
      <c r="A26" s="14"/>
      <c r="B26" s="14"/>
      <c r="C26" s="76" t="s">
        <v>449</v>
      </c>
      <c r="D26" s="81" t="s">
        <v>49</v>
      </c>
      <c r="E26" s="13">
        <v>44436</v>
      </c>
      <c r="F26" s="79" t="s">
        <v>253</v>
      </c>
      <c r="G26" s="13">
        <v>44440</v>
      </c>
      <c r="H26" s="80" t="s">
        <v>423</v>
      </c>
      <c r="I26" s="17">
        <v>36</v>
      </c>
      <c r="J26" s="17">
        <v>36</v>
      </c>
      <c r="K26" s="17">
        <v>18</v>
      </c>
      <c r="L26" s="17">
        <v>12</v>
      </c>
      <c r="M26" s="84">
        <v>5.8319999999999999</v>
      </c>
      <c r="N26" s="75">
        <v>12</v>
      </c>
      <c r="O26" s="67">
        <v>7000</v>
      </c>
      <c r="P26" s="68">
        <f>Table22457891011234567891012131415161718192021[[#This Row],[PEMBULATAN]]*O26</f>
        <v>84000</v>
      </c>
    </row>
    <row r="27" spans="1:16" ht="30" customHeight="1" x14ac:dyDescent="0.2">
      <c r="A27" s="14"/>
      <c r="B27" s="14"/>
      <c r="C27" s="76" t="s">
        <v>450</v>
      </c>
      <c r="D27" s="81" t="s">
        <v>49</v>
      </c>
      <c r="E27" s="13">
        <v>44436</v>
      </c>
      <c r="F27" s="79" t="s">
        <v>253</v>
      </c>
      <c r="G27" s="13">
        <v>44440</v>
      </c>
      <c r="H27" s="80" t="s">
        <v>423</v>
      </c>
      <c r="I27" s="17">
        <v>34</v>
      </c>
      <c r="J27" s="17">
        <v>23</v>
      </c>
      <c r="K27" s="17">
        <v>18</v>
      </c>
      <c r="L27" s="17">
        <v>8</v>
      </c>
      <c r="M27" s="84">
        <v>3.5190000000000001</v>
      </c>
      <c r="N27" s="75">
        <v>8</v>
      </c>
      <c r="O27" s="67">
        <v>7000</v>
      </c>
      <c r="P27" s="68">
        <f>Table22457891011234567891012131415161718192021[[#This Row],[PEMBULATAN]]*O27</f>
        <v>56000</v>
      </c>
    </row>
    <row r="28" spans="1:16" ht="30" customHeight="1" x14ac:dyDescent="0.2">
      <c r="A28" s="14"/>
      <c r="B28" s="14"/>
      <c r="C28" s="76" t="s">
        <v>451</v>
      </c>
      <c r="D28" s="81" t="s">
        <v>49</v>
      </c>
      <c r="E28" s="13">
        <v>44436</v>
      </c>
      <c r="F28" s="79" t="s">
        <v>253</v>
      </c>
      <c r="G28" s="13">
        <v>44440</v>
      </c>
      <c r="H28" s="80" t="s">
        <v>423</v>
      </c>
      <c r="I28" s="17">
        <v>34</v>
      </c>
      <c r="J28" s="17">
        <v>23</v>
      </c>
      <c r="K28" s="17">
        <v>18</v>
      </c>
      <c r="L28" s="17">
        <v>8</v>
      </c>
      <c r="M28" s="84">
        <v>3.5190000000000001</v>
      </c>
      <c r="N28" s="75">
        <v>8</v>
      </c>
      <c r="O28" s="67">
        <v>7000</v>
      </c>
      <c r="P28" s="68">
        <f>Table22457891011234567891012131415161718192021[[#This Row],[PEMBULATAN]]*O28</f>
        <v>56000</v>
      </c>
    </row>
    <row r="29" spans="1:16" ht="30" customHeight="1" x14ac:dyDescent="0.2">
      <c r="A29" s="14"/>
      <c r="B29" s="14"/>
      <c r="C29" s="76" t="s">
        <v>452</v>
      </c>
      <c r="D29" s="81" t="s">
        <v>49</v>
      </c>
      <c r="E29" s="13">
        <v>44436</v>
      </c>
      <c r="F29" s="79" t="s">
        <v>253</v>
      </c>
      <c r="G29" s="13">
        <v>44440</v>
      </c>
      <c r="H29" s="80" t="s">
        <v>423</v>
      </c>
      <c r="I29" s="17">
        <v>36</v>
      </c>
      <c r="J29" s="17">
        <v>36</v>
      </c>
      <c r="K29" s="17">
        <v>18</v>
      </c>
      <c r="L29" s="17">
        <v>12</v>
      </c>
      <c r="M29" s="84">
        <v>5.8319999999999999</v>
      </c>
      <c r="N29" s="75">
        <v>12</v>
      </c>
      <c r="O29" s="67">
        <v>7000</v>
      </c>
      <c r="P29" s="68">
        <f>Table22457891011234567891012131415161718192021[[#This Row],[PEMBULATAN]]*O29</f>
        <v>84000</v>
      </c>
    </row>
    <row r="30" spans="1:16" ht="30" customHeight="1" x14ac:dyDescent="0.2">
      <c r="A30" s="14"/>
      <c r="B30" s="14"/>
      <c r="C30" s="76" t="s">
        <v>453</v>
      </c>
      <c r="D30" s="81" t="s">
        <v>49</v>
      </c>
      <c r="E30" s="13">
        <v>44436</v>
      </c>
      <c r="F30" s="79" t="s">
        <v>253</v>
      </c>
      <c r="G30" s="13">
        <v>44440</v>
      </c>
      <c r="H30" s="80" t="s">
        <v>423</v>
      </c>
      <c r="I30" s="17">
        <v>43</v>
      </c>
      <c r="J30" s="17">
        <v>34</v>
      </c>
      <c r="K30" s="17">
        <v>29</v>
      </c>
      <c r="L30" s="17">
        <v>9</v>
      </c>
      <c r="M30" s="84">
        <v>10.599500000000001</v>
      </c>
      <c r="N30" s="75">
        <v>11</v>
      </c>
      <c r="O30" s="67">
        <v>7000</v>
      </c>
      <c r="P30" s="68">
        <f>Table22457891011234567891012131415161718192021[[#This Row],[PEMBULATAN]]*O30</f>
        <v>77000</v>
      </c>
    </row>
    <row r="31" spans="1:16" ht="22.5" customHeight="1" x14ac:dyDescent="0.2">
      <c r="A31" s="122" t="s">
        <v>30</v>
      </c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4"/>
      <c r="M31" s="82">
        <f>SUBTOTAL(109,Table22457891011234567891012131415161718192021[KG VOLUME])</f>
        <v>217.36825000000005</v>
      </c>
      <c r="N31" s="71">
        <f>SUM(N3:N30)</f>
        <v>283</v>
      </c>
      <c r="O31" s="125">
        <f>SUM(P3:P30)</f>
        <v>1981000</v>
      </c>
      <c r="P31" s="126"/>
    </row>
    <row r="32" spans="1:16" ht="18" customHeight="1" x14ac:dyDescent="0.2">
      <c r="A32" s="94"/>
      <c r="B32" s="59" t="s">
        <v>42</v>
      </c>
      <c r="C32" s="58"/>
      <c r="D32" s="60" t="s">
        <v>43</v>
      </c>
      <c r="E32" s="94"/>
      <c r="F32" s="94"/>
      <c r="G32" s="94"/>
      <c r="H32" s="94"/>
      <c r="I32" s="94"/>
      <c r="J32" s="94"/>
      <c r="K32" s="94"/>
      <c r="L32" s="94"/>
      <c r="M32" s="95"/>
      <c r="N32" s="96" t="s">
        <v>649</v>
      </c>
      <c r="O32" s="97"/>
      <c r="P32" s="97">
        <v>0</v>
      </c>
    </row>
    <row r="33" spans="1:16" ht="18" customHeight="1" thickBot="1" x14ac:dyDescent="0.25">
      <c r="A33" s="94"/>
      <c r="B33" s="59"/>
      <c r="C33" s="58"/>
      <c r="D33" s="60"/>
      <c r="E33" s="94"/>
      <c r="F33" s="94"/>
      <c r="G33" s="94"/>
      <c r="H33" s="94"/>
      <c r="I33" s="94"/>
      <c r="J33" s="94"/>
      <c r="K33" s="94"/>
      <c r="L33" s="94"/>
      <c r="M33" s="95"/>
      <c r="N33" s="98" t="s">
        <v>650</v>
      </c>
      <c r="O33" s="99"/>
      <c r="P33" s="99">
        <f>O31-P32</f>
        <v>1981000</v>
      </c>
    </row>
    <row r="34" spans="1:16" ht="18" customHeight="1" x14ac:dyDescent="0.2">
      <c r="A34" s="11"/>
      <c r="H34" s="66"/>
      <c r="N34" s="65" t="s">
        <v>31</v>
      </c>
      <c r="P34" s="72">
        <f>P33*1%</f>
        <v>19810</v>
      </c>
    </row>
    <row r="35" spans="1:16" ht="18" customHeight="1" thickBot="1" x14ac:dyDescent="0.25">
      <c r="A35" s="11"/>
      <c r="H35" s="66"/>
      <c r="N35" s="65" t="s">
        <v>651</v>
      </c>
      <c r="P35" s="74">
        <f>P33*2%</f>
        <v>39620</v>
      </c>
    </row>
    <row r="36" spans="1:16" ht="18" customHeight="1" x14ac:dyDescent="0.2">
      <c r="A36" s="11"/>
      <c r="H36" s="66"/>
      <c r="N36" s="69" t="s">
        <v>32</v>
      </c>
      <c r="O36" s="70"/>
      <c r="P36" s="73">
        <f>P33+P34-P35</f>
        <v>1961190</v>
      </c>
    </row>
    <row r="38" spans="1:16" x14ac:dyDescent="0.2">
      <c r="A38" s="11"/>
      <c r="H38" s="66"/>
      <c r="P38" s="74"/>
    </row>
    <row r="39" spans="1:16" x14ac:dyDescent="0.2">
      <c r="A39" s="11"/>
      <c r="H39" s="66"/>
      <c r="O39" s="61"/>
      <c r="P39" s="74"/>
    </row>
    <row r="40" spans="1:16" s="3" customFormat="1" x14ac:dyDescent="0.25">
      <c r="A40" s="11"/>
      <c r="B40" s="2"/>
      <c r="C40" s="2"/>
      <c r="E40" s="12"/>
      <c r="H40" s="66"/>
      <c r="N40" s="16"/>
      <c r="O40" s="16"/>
      <c r="P40" s="16"/>
    </row>
    <row r="41" spans="1:16" s="3" customFormat="1" x14ac:dyDescent="0.25">
      <c r="A41" s="11"/>
      <c r="B41" s="2"/>
      <c r="C41" s="2"/>
      <c r="E41" s="12"/>
      <c r="H41" s="66"/>
      <c r="N41" s="16"/>
      <c r="O41" s="16"/>
      <c r="P41" s="16"/>
    </row>
    <row r="42" spans="1:16" s="3" customFormat="1" x14ac:dyDescent="0.25">
      <c r="A42" s="11"/>
      <c r="B42" s="2"/>
      <c r="C42" s="2"/>
      <c r="E42" s="12"/>
      <c r="H42" s="66"/>
      <c r="N42" s="16"/>
      <c r="O42" s="16"/>
      <c r="P42" s="16"/>
    </row>
    <row r="43" spans="1:16" s="3" customFormat="1" x14ac:dyDescent="0.25">
      <c r="A43" s="11"/>
      <c r="B43" s="2"/>
      <c r="C43" s="2"/>
      <c r="E43" s="12"/>
      <c r="H43" s="66"/>
      <c r="N43" s="16"/>
      <c r="O43" s="16"/>
      <c r="P43" s="16"/>
    </row>
    <row r="44" spans="1:16" s="3" customFormat="1" x14ac:dyDescent="0.25">
      <c r="A44" s="11"/>
      <c r="B44" s="2"/>
      <c r="C44" s="2"/>
      <c r="E44" s="12"/>
      <c r="H44" s="66"/>
      <c r="N44" s="16"/>
      <c r="O44" s="16"/>
      <c r="P44" s="16"/>
    </row>
    <row r="45" spans="1:16" s="3" customFormat="1" x14ac:dyDescent="0.25">
      <c r="A45" s="11"/>
      <c r="B45" s="2"/>
      <c r="C45" s="2"/>
      <c r="E45" s="12"/>
      <c r="H45" s="66"/>
      <c r="N45" s="16"/>
      <c r="O45" s="16"/>
      <c r="P45" s="16"/>
    </row>
    <row r="46" spans="1:16" s="3" customFormat="1" x14ac:dyDescent="0.25">
      <c r="A46" s="11"/>
      <c r="B46" s="2"/>
      <c r="C46" s="2"/>
      <c r="E46" s="12"/>
      <c r="H46" s="66"/>
      <c r="N46" s="16"/>
      <c r="O46" s="16"/>
      <c r="P46" s="16"/>
    </row>
    <row r="47" spans="1:16" s="3" customFormat="1" x14ac:dyDescent="0.25">
      <c r="A47" s="11"/>
      <c r="B47" s="2"/>
      <c r="C47" s="2"/>
      <c r="E47" s="12"/>
      <c r="H47" s="66"/>
      <c r="N47" s="16"/>
      <c r="O47" s="16"/>
      <c r="P47" s="16"/>
    </row>
    <row r="48" spans="1:16" s="3" customFormat="1" x14ac:dyDescent="0.25">
      <c r="A48" s="11"/>
      <c r="B48" s="2"/>
      <c r="C48" s="2"/>
      <c r="E48" s="12"/>
      <c r="H48" s="66"/>
      <c r="N48" s="16"/>
      <c r="O48" s="16"/>
      <c r="P48" s="16"/>
    </row>
    <row r="49" spans="1:16" s="3" customFormat="1" x14ac:dyDescent="0.25">
      <c r="A49" s="11"/>
      <c r="B49" s="2"/>
      <c r="C49" s="2"/>
      <c r="E49" s="12"/>
      <c r="H49" s="66"/>
      <c r="N49" s="16"/>
      <c r="O49" s="16"/>
      <c r="P49" s="16"/>
    </row>
    <row r="50" spans="1:16" s="3" customFormat="1" x14ac:dyDescent="0.25">
      <c r="A50" s="11"/>
      <c r="B50" s="2"/>
      <c r="C50" s="2"/>
      <c r="E50" s="12"/>
      <c r="H50" s="66"/>
      <c r="N50" s="16"/>
      <c r="O50" s="16"/>
      <c r="P50" s="16"/>
    </row>
    <row r="51" spans="1:16" s="3" customFormat="1" x14ac:dyDescent="0.25">
      <c r="A51" s="11"/>
      <c r="B51" s="2"/>
      <c r="C51" s="2"/>
      <c r="E51" s="12"/>
      <c r="H51" s="66"/>
      <c r="N51" s="16"/>
      <c r="O51" s="16"/>
      <c r="P51" s="16"/>
    </row>
  </sheetData>
  <mergeCells count="3">
    <mergeCell ref="A3:A4"/>
    <mergeCell ref="A31:L31"/>
    <mergeCell ref="O31:P31"/>
  </mergeCells>
  <conditionalFormatting sqref="B3">
    <cfRule type="duplicateValues" dxfId="107" priority="2"/>
  </conditionalFormatting>
  <conditionalFormatting sqref="B4">
    <cfRule type="duplicateValues" dxfId="106" priority="1"/>
  </conditionalFormatting>
  <conditionalFormatting sqref="B5:B30">
    <cfRule type="duplicateValues" dxfId="105" priority="1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9"/>
  <sheetViews>
    <sheetView zoomScale="110" zoomScaleNormal="110" workbookViewId="0">
      <pane xSplit="3" ySplit="2" topLeftCell="D17" activePane="bottomRight" state="frozen"/>
      <selection pane="topRight" activeCell="B1" sqref="B1"/>
      <selection pane="bottomLeft" activeCell="A3" sqref="A3"/>
      <selection pane="bottomRight" activeCell="B3" sqref="A3:XFD1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30" customHeight="1" x14ac:dyDescent="0.2">
      <c r="A3" s="120" t="s">
        <v>585</v>
      </c>
      <c r="B3" s="93" t="s">
        <v>454</v>
      </c>
      <c r="C3" s="9" t="s">
        <v>455</v>
      </c>
      <c r="D3" s="79" t="s">
        <v>49</v>
      </c>
      <c r="E3" s="13">
        <v>44437</v>
      </c>
      <c r="F3" s="79" t="s">
        <v>253</v>
      </c>
      <c r="G3" s="13">
        <v>44440</v>
      </c>
      <c r="H3" s="10" t="s">
        <v>423</v>
      </c>
      <c r="I3" s="1">
        <v>75</v>
      </c>
      <c r="J3" s="1">
        <v>15</v>
      </c>
      <c r="K3" s="1">
        <v>17</v>
      </c>
      <c r="L3" s="1">
        <v>8</v>
      </c>
      <c r="M3" s="83">
        <v>4.78125</v>
      </c>
      <c r="N3" s="8">
        <v>8</v>
      </c>
      <c r="O3" s="67">
        <v>7000</v>
      </c>
      <c r="P3" s="68">
        <f>Table2245789101123456789101213141516171819202122[[#This Row],[PEMBULATAN]]*O3</f>
        <v>56000</v>
      </c>
    </row>
    <row r="4" spans="1:16" ht="30" customHeight="1" x14ac:dyDescent="0.2">
      <c r="A4" s="121"/>
      <c r="B4" s="78" t="s">
        <v>456</v>
      </c>
      <c r="C4" s="9" t="s">
        <v>457</v>
      </c>
      <c r="D4" s="79" t="s">
        <v>49</v>
      </c>
      <c r="E4" s="13">
        <v>44437</v>
      </c>
      <c r="F4" s="79" t="s">
        <v>253</v>
      </c>
      <c r="G4" s="13">
        <v>44440</v>
      </c>
      <c r="H4" s="10" t="s">
        <v>423</v>
      </c>
      <c r="I4" s="1">
        <v>85</v>
      </c>
      <c r="J4" s="1">
        <v>62</v>
      </c>
      <c r="K4" s="1">
        <v>4</v>
      </c>
      <c r="L4" s="1">
        <v>14</v>
      </c>
      <c r="M4" s="83">
        <v>5.27</v>
      </c>
      <c r="N4" s="8">
        <v>14</v>
      </c>
      <c r="O4" s="67">
        <v>7000</v>
      </c>
      <c r="P4" s="68">
        <f>Table2245789101123456789101213141516171819202122[[#This Row],[PEMBULATAN]]*O4</f>
        <v>98000</v>
      </c>
    </row>
    <row r="5" spans="1:16" ht="30" customHeight="1" x14ac:dyDescent="0.2">
      <c r="A5" s="14"/>
      <c r="B5" s="14"/>
      <c r="C5" s="9" t="s">
        <v>458</v>
      </c>
      <c r="D5" s="79" t="s">
        <v>49</v>
      </c>
      <c r="E5" s="13">
        <v>44437</v>
      </c>
      <c r="F5" s="79" t="s">
        <v>253</v>
      </c>
      <c r="G5" s="13">
        <v>44440</v>
      </c>
      <c r="H5" s="10" t="s">
        <v>423</v>
      </c>
      <c r="I5" s="1">
        <v>65</v>
      </c>
      <c r="J5" s="1">
        <v>61</v>
      </c>
      <c r="K5" s="1">
        <v>25</v>
      </c>
      <c r="L5" s="1">
        <v>16</v>
      </c>
      <c r="M5" s="83">
        <v>24.78125</v>
      </c>
      <c r="N5" s="8">
        <v>25</v>
      </c>
      <c r="O5" s="67">
        <v>7000</v>
      </c>
      <c r="P5" s="68">
        <f>Table2245789101123456789101213141516171819202122[[#This Row],[PEMBULATAN]]*O5</f>
        <v>175000</v>
      </c>
    </row>
    <row r="6" spans="1:16" ht="30" customHeight="1" x14ac:dyDescent="0.2">
      <c r="A6" s="14"/>
      <c r="B6" s="14"/>
      <c r="C6" s="76" t="s">
        <v>459</v>
      </c>
      <c r="D6" s="81" t="s">
        <v>49</v>
      </c>
      <c r="E6" s="13">
        <v>44437</v>
      </c>
      <c r="F6" s="79" t="s">
        <v>253</v>
      </c>
      <c r="G6" s="13">
        <v>44440</v>
      </c>
      <c r="H6" s="80" t="s">
        <v>423</v>
      </c>
      <c r="I6" s="17">
        <v>68</v>
      </c>
      <c r="J6" s="17">
        <v>78</v>
      </c>
      <c r="K6" s="17">
        <v>28</v>
      </c>
      <c r="L6" s="17">
        <v>45</v>
      </c>
      <c r="M6" s="84">
        <v>37.128</v>
      </c>
      <c r="N6" s="75">
        <v>45</v>
      </c>
      <c r="O6" s="67">
        <v>7000</v>
      </c>
      <c r="P6" s="68">
        <f>Table2245789101123456789101213141516171819202122[[#This Row],[PEMBULATAN]]*O6</f>
        <v>315000</v>
      </c>
    </row>
    <row r="7" spans="1:16" ht="30" customHeight="1" x14ac:dyDescent="0.2">
      <c r="A7" s="14"/>
      <c r="B7" s="14"/>
      <c r="C7" s="76" t="s">
        <v>460</v>
      </c>
      <c r="D7" s="81" t="s">
        <v>49</v>
      </c>
      <c r="E7" s="13">
        <v>44437</v>
      </c>
      <c r="F7" s="79" t="s">
        <v>253</v>
      </c>
      <c r="G7" s="13">
        <v>44440</v>
      </c>
      <c r="H7" s="80" t="s">
        <v>423</v>
      </c>
      <c r="I7" s="17">
        <v>38</v>
      </c>
      <c r="J7" s="17">
        <v>30</v>
      </c>
      <c r="K7" s="17">
        <v>27</v>
      </c>
      <c r="L7" s="17">
        <v>10</v>
      </c>
      <c r="M7" s="84">
        <v>7.6950000000000003</v>
      </c>
      <c r="N7" s="75">
        <v>10</v>
      </c>
      <c r="O7" s="67">
        <v>7000</v>
      </c>
      <c r="P7" s="68">
        <f>Table2245789101123456789101213141516171819202122[[#This Row],[PEMBULATAN]]*O7</f>
        <v>70000</v>
      </c>
    </row>
    <row r="8" spans="1:16" ht="30" customHeight="1" x14ac:dyDescent="0.2">
      <c r="A8" s="14"/>
      <c r="B8" s="14"/>
      <c r="C8" s="76" t="s">
        <v>461</v>
      </c>
      <c r="D8" s="81" t="s">
        <v>49</v>
      </c>
      <c r="E8" s="13">
        <v>44437</v>
      </c>
      <c r="F8" s="79" t="s">
        <v>253</v>
      </c>
      <c r="G8" s="13">
        <v>44440</v>
      </c>
      <c r="H8" s="80" t="s">
        <v>423</v>
      </c>
      <c r="I8" s="17">
        <v>65</v>
      </c>
      <c r="J8" s="17">
        <v>50</v>
      </c>
      <c r="K8" s="17">
        <v>24</v>
      </c>
      <c r="L8" s="17">
        <v>12</v>
      </c>
      <c r="M8" s="84">
        <v>19.5</v>
      </c>
      <c r="N8" s="75">
        <v>20</v>
      </c>
      <c r="O8" s="67">
        <v>7000</v>
      </c>
      <c r="P8" s="68">
        <f>Table2245789101123456789101213141516171819202122[[#This Row],[PEMBULATAN]]*O8</f>
        <v>140000</v>
      </c>
    </row>
    <row r="9" spans="1:16" ht="30" customHeight="1" x14ac:dyDescent="0.2">
      <c r="A9" s="14"/>
      <c r="B9" s="14"/>
      <c r="C9" s="76" t="s">
        <v>462</v>
      </c>
      <c r="D9" s="81" t="s">
        <v>49</v>
      </c>
      <c r="E9" s="13">
        <v>44437</v>
      </c>
      <c r="F9" s="79" t="s">
        <v>253</v>
      </c>
      <c r="G9" s="13">
        <v>44440</v>
      </c>
      <c r="H9" s="80" t="s">
        <v>423</v>
      </c>
      <c r="I9" s="17">
        <v>42</v>
      </c>
      <c r="J9" s="17">
        <v>43</v>
      </c>
      <c r="K9" s="17">
        <v>22</v>
      </c>
      <c r="L9" s="17">
        <v>7</v>
      </c>
      <c r="M9" s="84">
        <v>9.9329999999999998</v>
      </c>
      <c r="N9" s="75">
        <v>10</v>
      </c>
      <c r="O9" s="67">
        <v>7000</v>
      </c>
      <c r="P9" s="68">
        <f>Table2245789101123456789101213141516171819202122[[#This Row],[PEMBULATAN]]*O9</f>
        <v>70000</v>
      </c>
    </row>
    <row r="10" spans="1:16" ht="30" customHeight="1" x14ac:dyDescent="0.2">
      <c r="A10" s="14"/>
      <c r="B10" s="14"/>
      <c r="C10" s="76" t="s">
        <v>463</v>
      </c>
      <c r="D10" s="81" t="s">
        <v>49</v>
      </c>
      <c r="E10" s="13">
        <v>44437</v>
      </c>
      <c r="F10" s="79" t="s">
        <v>253</v>
      </c>
      <c r="G10" s="13">
        <v>44440</v>
      </c>
      <c r="H10" s="80" t="s">
        <v>423</v>
      </c>
      <c r="I10" s="17">
        <v>51</v>
      </c>
      <c r="J10" s="17">
        <v>63</v>
      </c>
      <c r="K10" s="17">
        <v>11</v>
      </c>
      <c r="L10" s="17">
        <v>21</v>
      </c>
      <c r="M10" s="84">
        <v>8.8357500000000009</v>
      </c>
      <c r="N10" s="75">
        <v>21</v>
      </c>
      <c r="O10" s="67">
        <v>7000</v>
      </c>
      <c r="P10" s="68">
        <f>Table2245789101123456789101213141516171819202122[[#This Row],[PEMBULATAN]]*O10</f>
        <v>147000</v>
      </c>
    </row>
    <row r="11" spans="1:16" ht="30" customHeight="1" x14ac:dyDescent="0.2">
      <c r="A11" s="14"/>
      <c r="B11" s="14"/>
      <c r="C11" s="76" t="s">
        <v>464</v>
      </c>
      <c r="D11" s="81" t="s">
        <v>49</v>
      </c>
      <c r="E11" s="13">
        <v>44437</v>
      </c>
      <c r="F11" s="79" t="s">
        <v>253</v>
      </c>
      <c r="G11" s="13">
        <v>44440</v>
      </c>
      <c r="H11" s="80" t="s">
        <v>423</v>
      </c>
      <c r="I11" s="17">
        <v>42</v>
      </c>
      <c r="J11" s="17">
        <v>43</v>
      </c>
      <c r="K11" s="17">
        <v>22</v>
      </c>
      <c r="L11" s="17">
        <v>7</v>
      </c>
      <c r="M11" s="84">
        <v>9.9329999999999998</v>
      </c>
      <c r="N11" s="75">
        <v>10</v>
      </c>
      <c r="O11" s="67">
        <v>7000</v>
      </c>
      <c r="P11" s="68">
        <f>Table2245789101123456789101213141516171819202122[[#This Row],[PEMBULATAN]]*O11</f>
        <v>70000</v>
      </c>
    </row>
    <row r="12" spans="1:16" ht="30" customHeight="1" x14ac:dyDescent="0.2">
      <c r="A12" s="14"/>
      <c r="B12" s="14"/>
      <c r="C12" s="76" t="s">
        <v>465</v>
      </c>
      <c r="D12" s="81" t="s">
        <v>49</v>
      </c>
      <c r="E12" s="13">
        <v>44437</v>
      </c>
      <c r="F12" s="79" t="s">
        <v>253</v>
      </c>
      <c r="G12" s="13">
        <v>44440</v>
      </c>
      <c r="H12" s="80" t="s">
        <v>423</v>
      </c>
      <c r="I12" s="17">
        <v>42</v>
      </c>
      <c r="J12" s="17">
        <v>43</v>
      </c>
      <c r="K12" s="17">
        <v>22</v>
      </c>
      <c r="L12" s="17">
        <v>5</v>
      </c>
      <c r="M12" s="84">
        <v>9.9329999999999998</v>
      </c>
      <c r="N12" s="75">
        <v>10</v>
      </c>
      <c r="O12" s="67">
        <v>7000</v>
      </c>
      <c r="P12" s="68">
        <f>Table2245789101123456789101213141516171819202122[[#This Row],[PEMBULATAN]]*O12</f>
        <v>70000</v>
      </c>
    </row>
    <row r="13" spans="1:16" ht="30" customHeight="1" x14ac:dyDescent="0.2">
      <c r="A13" s="14"/>
      <c r="B13" s="14"/>
      <c r="C13" s="76" t="s">
        <v>466</v>
      </c>
      <c r="D13" s="81" t="s">
        <v>49</v>
      </c>
      <c r="E13" s="13">
        <v>44437</v>
      </c>
      <c r="F13" s="79" t="s">
        <v>253</v>
      </c>
      <c r="G13" s="13">
        <v>44440</v>
      </c>
      <c r="H13" s="80" t="s">
        <v>423</v>
      </c>
      <c r="I13" s="17">
        <v>128</v>
      </c>
      <c r="J13" s="17">
        <v>28</v>
      </c>
      <c r="K13" s="17">
        <v>28</v>
      </c>
      <c r="L13" s="17">
        <v>10</v>
      </c>
      <c r="M13" s="84">
        <v>25.088000000000001</v>
      </c>
      <c r="N13" s="75">
        <v>25</v>
      </c>
      <c r="O13" s="67">
        <v>7000</v>
      </c>
      <c r="P13" s="68">
        <f>Table2245789101123456789101213141516171819202122[[#This Row],[PEMBULATAN]]*O13</f>
        <v>175000</v>
      </c>
    </row>
    <row r="14" spans="1:16" ht="30" customHeight="1" x14ac:dyDescent="0.2">
      <c r="A14" s="14"/>
      <c r="B14" s="14"/>
      <c r="C14" s="76" t="s">
        <v>467</v>
      </c>
      <c r="D14" s="81" t="s">
        <v>49</v>
      </c>
      <c r="E14" s="13">
        <v>44437</v>
      </c>
      <c r="F14" s="79" t="s">
        <v>253</v>
      </c>
      <c r="G14" s="13">
        <v>44440</v>
      </c>
      <c r="H14" s="80" t="s">
        <v>423</v>
      </c>
      <c r="I14" s="17">
        <v>63</v>
      </c>
      <c r="J14" s="17">
        <v>37</v>
      </c>
      <c r="K14" s="17">
        <v>12</v>
      </c>
      <c r="L14" s="17">
        <v>21</v>
      </c>
      <c r="M14" s="84">
        <v>6.9930000000000003</v>
      </c>
      <c r="N14" s="75">
        <v>21</v>
      </c>
      <c r="O14" s="67">
        <v>7000</v>
      </c>
      <c r="P14" s="68">
        <f>Table2245789101123456789101213141516171819202122[[#This Row],[PEMBULATAN]]*O14</f>
        <v>147000</v>
      </c>
    </row>
    <row r="15" spans="1:16" ht="30" customHeight="1" x14ac:dyDescent="0.2">
      <c r="A15" s="14"/>
      <c r="B15" s="14"/>
      <c r="C15" s="76" t="s">
        <v>468</v>
      </c>
      <c r="D15" s="81" t="s">
        <v>49</v>
      </c>
      <c r="E15" s="13">
        <v>44437</v>
      </c>
      <c r="F15" s="79" t="s">
        <v>253</v>
      </c>
      <c r="G15" s="13">
        <v>44440</v>
      </c>
      <c r="H15" s="80" t="s">
        <v>423</v>
      </c>
      <c r="I15" s="17">
        <v>48</v>
      </c>
      <c r="J15" s="17">
        <v>34</v>
      </c>
      <c r="K15" s="17">
        <v>27</v>
      </c>
      <c r="L15" s="17">
        <v>7</v>
      </c>
      <c r="M15" s="84">
        <v>11.016</v>
      </c>
      <c r="N15" s="75">
        <v>11</v>
      </c>
      <c r="O15" s="67">
        <v>7000</v>
      </c>
      <c r="P15" s="68">
        <f>Table2245789101123456789101213141516171819202122[[#This Row],[PEMBULATAN]]*O15</f>
        <v>77000</v>
      </c>
    </row>
    <row r="16" spans="1:16" ht="30" customHeight="1" x14ac:dyDescent="0.2">
      <c r="A16" s="14"/>
      <c r="B16" s="14"/>
      <c r="C16" s="76" t="s">
        <v>469</v>
      </c>
      <c r="D16" s="81" t="s">
        <v>49</v>
      </c>
      <c r="E16" s="13">
        <v>44437</v>
      </c>
      <c r="F16" s="79" t="s">
        <v>253</v>
      </c>
      <c r="G16" s="13">
        <v>44440</v>
      </c>
      <c r="H16" s="80" t="s">
        <v>423</v>
      </c>
      <c r="I16" s="17">
        <v>35</v>
      </c>
      <c r="J16" s="17">
        <v>30</v>
      </c>
      <c r="K16" s="17">
        <v>30</v>
      </c>
      <c r="L16" s="17">
        <v>7</v>
      </c>
      <c r="M16" s="84">
        <v>7.875</v>
      </c>
      <c r="N16" s="75">
        <v>8</v>
      </c>
      <c r="O16" s="67">
        <v>7000</v>
      </c>
      <c r="P16" s="68">
        <f>Table2245789101123456789101213141516171819202122[[#This Row],[PEMBULATAN]]*O16</f>
        <v>56000</v>
      </c>
    </row>
    <row r="17" spans="1:16" ht="30" customHeight="1" x14ac:dyDescent="0.2">
      <c r="A17" s="14"/>
      <c r="B17" s="14"/>
      <c r="C17" s="76" t="s">
        <v>470</v>
      </c>
      <c r="D17" s="81" t="s">
        <v>49</v>
      </c>
      <c r="E17" s="13">
        <v>44437</v>
      </c>
      <c r="F17" s="79" t="s">
        <v>253</v>
      </c>
      <c r="G17" s="13">
        <v>44440</v>
      </c>
      <c r="H17" s="80" t="s">
        <v>423</v>
      </c>
      <c r="I17" s="17">
        <v>74</v>
      </c>
      <c r="J17" s="17">
        <v>45</v>
      </c>
      <c r="K17" s="17">
        <v>45</v>
      </c>
      <c r="L17" s="17">
        <v>20</v>
      </c>
      <c r="M17" s="84">
        <v>37.462499999999999</v>
      </c>
      <c r="N17" s="75">
        <v>37</v>
      </c>
      <c r="O17" s="67">
        <v>7000</v>
      </c>
      <c r="P17" s="68">
        <f>Table2245789101123456789101213141516171819202122[[#This Row],[PEMBULATAN]]*O17</f>
        <v>259000</v>
      </c>
    </row>
    <row r="18" spans="1:16" ht="30" customHeight="1" x14ac:dyDescent="0.2">
      <c r="A18" s="14"/>
      <c r="B18" s="14"/>
      <c r="C18" s="76" t="s">
        <v>471</v>
      </c>
      <c r="D18" s="81" t="s">
        <v>49</v>
      </c>
      <c r="E18" s="13">
        <v>44437</v>
      </c>
      <c r="F18" s="79" t="s">
        <v>253</v>
      </c>
      <c r="G18" s="13">
        <v>44440</v>
      </c>
      <c r="H18" s="80" t="s">
        <v>423</v>
      </c>
      <c r="I18" s="17">
        <v>116</v>
      </c>
      <c r="J18" s="17">
        <v>47</v>
      </c>
      <c r="K18" s="17">
        <v>40</v>
      </c>
      <c r="L18" s="17">
        <v>30</v>
      </c>
      <c r="M18" s="84">
        <v>54.52</v>
      </c>
      <c r="N18" s="75">
        <v>55</v>
      </c>
      <c r="O18" s="67">
        <v>7000</v>
      </c>
      <c r="P18" s="68">
        <f>Table2245789101123456789101213141516171819202122[[#This Row],[PEMBULATAN]]*O18</f>
        <v>385000</v>
      </c>
    </row>
    <row r="19" spans="1:16" ht="22.5" customHeight="1" x14ac:dyDescent="0.2">
      <c r="A19" s="122" t="s">
        <v>30</v>
      </c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4"/>
      <c r="M19" s="82">
        <f>SUBTOTAL(109,Table2245789101123456789101213141516171819202122[KG VOLUME])</f>
        <v>280.74474999999995</v>
      </c>
      <c r="N19" s="71">
        <f>SUM(N3:N18)</f>
        <v>330</v>
      </c>
      <c r="O19" s="125">
        <f>SUM(P3:P18)</f>
        <v>2310000</v>
      </c>
      <c r="P19" s="126"/>
    </row>
    <row r="20" spans="1:16" ht="18" customHeight="1" x14ac:dyDescent="0.2">
      <c r="A20" s="94"/>
      <c r="B20" s="59" t="s">
        <v>42</v>
      </c>
      <c r="C20" s="58"/>
      <c r="D20" s="60" t="s">
        <v>43</v>
      </c>
      <c r="E20" s="94"/>
      <c r="F20" s="94"/>
      <c r="G20" s="94"/>
      <c r="H20" s="94"/>
      <c r="I20" s="94"/>
      <c r="J20" s="94"/>
      <c r="K20" s="94"/>
      <c r="L20" s="94"/>
      <c r="M20" s="95"/>
      <c r="N20" s="96" t="s">
        <v>649</v>
      </c>
      <c r="O20" s="97"/>
      <c r="P20" s="97">
        <v>0</v>
      </c>
    </row>
    <row r="21" spans="1:16" ht="18" customHeight="1" thickBot="1" x14ac:dyDescent="0.25">
      <c r="A21" s="94"/>
      <c r="B21" s="59"/>
      <c r="C21" s="58"/>
      <c r="D21" s="60"/>
      <c r="E21" s="94"/>
      <c r="F21" s="94"/>
      <c r="G21" s="94"/>
      <c r="H21" s="94"/>
      <c r="I21" s="94"/>
      <c r="J21" s="94"/>
      <c r="K21" s="94"/>
      <c r="L21" s="94"/>
      <c r="M21" s="95"/>
      <c r="N21" s="98" t="s">
        <v>650</v>
      </c>
      <c r="O21" s="99"/>
      <c r="P21" s="99">
        <f>O19-P20</f>
        <v>2310000</v>
      </c>
    </row>
    <row r="22" spans="1:16" ht="18" customHeight="1" x14ac:dyDescent="0.2">
      <c r="A22" s="11"/>
      <c r="H22" s="66"/>
      <c r="N22" s="65" t="s">
        <v>31</v>
      </c>
      <c r="P22" s="72">
        <f>P21*1%</f>
        <v>23100</v>
      </c>
    </row>
    <row r="23" spans="1:16" ht="18" customHeight="1" thickBot="1" x14ac:dyDescent="0.25">
      <c r="A23" s="11"/>
      <c r="H23" s="66"/>
      <c r="N23" s="65" t="s">
        <v>651</v>
      </c>
      <c r="P23" s="74">
        <f>P21*2%</f>
        <v>46200</v>
      </c>
    </row>
    <row r="24" spans="1:16" ht="18" customHeight="1" x14ac:dyDescent="0.2">
      <c r="A24" s="11"/>
      <c r="H24" s="66"/>
      <c r="N24" s="69" t="s">
        <v>32</v>
      </c>
      <c r="O24" s="70"/>
      <c r="P24" s="73">
        <f>P21+P22-P23</f>
        <v>2286900</v>
      </c>
    </row>
    <row r="26" spans="1:16" x14ac:dyDescent="0.2">
      <c r="A26" s="11"/>
      <c r="H26" s="66"/>
      <c r="P26" s="74"/>
    </row>
    <row r="27" spans="1:16" x14ac:dyDescent="0.2">
      <c r="A27" s="11"/>
      <c r="H27" s="66"/>
      <c r="O27" s="61"/>
      <c r="P27" s="74"/>
    </row>
    <row r="28" spans="1:16" s="3" customFormat="1" x14ac:dyDescent="0.25">
      <c r="A28" s="11"/>
      <c r="B28" s="2"/>
      <c r="C28" s="2"/>
      <c r="E28" s="12"/>
      <c r="H28" s="66"/>
      <c r="N28" s="16"/>
      <c r="O28" s="16"/>
      <c r="P28" s="16"/>
    </row>
    <row r="29" spans="1:16" s="3" customFormat="1" x14ac:dyDescent="0.25">
      <c r="A29" s="11"/>
      <c r="B29" s="2"/>
      <c r="C29" s="2"/>
      <c r="E29" s="12"/>
      <c r="H29" s="66"/>
      <c r="N29" s="16"/>
      <c r="O29" s="16"/>
      <c r="P29" s="16"/>
    </row>
    <row r="30" spans="1:16" s="3" customFormat="1" x14ac:dyDescent="0.25">
      <c r="A30" s="11"/>
      <c r="B30" s="2"/>
      <c r="C30" s="2"/>
      <c r="E30" s="12"/>
      <c r="H30" s="66"/>
      <c r="N30" s="16"/>
      <c r="O30" s="16"/>
      <c r="P30" s="16"/>
    </row>
    <row r="31" spans="1:16" s="3" customFormat="1" x14ac:dyDescent="0.25">
      <c r="A31" s="11"/>
      <c r="B31" s="2"/>
      <c r="C31" s="2"/>
      <c r="E31" s="12"/>
      <c r="H31" s="66"/>
      <c r="N31" s="16"/>
      <c r="O31" s="16"/>
      <c r="P31" s="16"/>
    </row>
    <row r="32" spans="1:16" s="3" customFormat="1" x14ac:dyDescent="0.25">
      <c r="A32" s="11"/>
      <c r="B32" s="2"/>
      <c r="C32" s="2"/>
      <c r="E32" s="12"/>
      <c r="H32" s="66"/>
      <c r="N32" s="16"/>
      <c r="O32" s="16"/>
      <c r="P32" s="16"/>
    </row>
    <row r="33" spans="1:16" s="3" customFormat="1" x14ac:dyDescent="0.25">
      <c r="A33" s="11"/>
      <c r="B33" s="2"/>
      <c r="C33" s="2"/>
      <c r="E33" s="12"/>
      <c r="H33" s="66"/>
      <c r="N33" s="16"/>
      <c r="O33" s="16"/>
      <c r="P33" s="16"/>
    </row>
    <row r="34" spans="1:16" s="3" customFormat="1" x14ac:dyDescent="0.25">
      <c r="A34" s="11"/>
      <c r="B34" s="2"/>
      <c r="C34" s="2"/>
      <c r="E34" s="12"/>
      <c r="H34" s="66"/>
      <c r="N34" s="16"/>
      <c r="O34" s="16"/>
      <c r="P34" s="16"/>
    </row>
    <row r="35" spans="1:16" s="3" customFormat="1" x14ac:dyDescent="0.25">
      <c r="A35" s="11"/>
      <c r="B35" s="2"/>
      <c r="C35" s="2"/>
      <c r="E35" s="12"/>
      <c r="H35" s="66"/>
      <c r="N35" s="16"/>
      <c r="O35" s="16"/>
      <c r="P35" s="16"/>
    </row>
    <row r="36" spans="1:16" s="3" customFormat="1" x14ac:dyDescent="0.25">
      <c r="A36" s="11"/>
      <c r="B36" s="2"/>
      <c r="C36" s="2"/>
      <c r="E36" s="12"/>
      <c r="H36" s="66"/>
      <c r="N36" s="16"/>
      <c r="O36" s="16"/>
      <c r="P36" s="16"/>
    </row>
    <row r="37" spans="1:16" s="3" customFormat="1" x14ac:dyDescent="0.25">
      <c r="A37" s="11"/>
      <c r="B37" s="2"/>
      <c r="C37" s="2"/>
      <c r="E37" s="12"/>
      <c r="H37" s="66"/>
      <c r="N37" s="16"/>
      <c r="O37" s="16"/>
      <c r="P37" s="16"/>
    </row>
    <row r="38" spans="1:16" s="3" customFormat="1" x14ac:dyDescent="0.25">
      <c r="A38" s="11"/>
      <c r="B38" s="2"/>
      <c r="C38" s="2"/>
      <c r="E38" s="12"/>
      <c r="H38" s="66"/>
      <c r="N38" s="16"/>
      <c r="O38" s="16"/>
      <c r="P38" s="16"/>
    </row>
    <row r="39" spans="1:16" s="3" customFormat="1" x14ac:dyDescent="0.25">
      <c r="A39" s="11"/>
      <c r="B39" s="2"/>
      <c r="C39" s="2"/>
      <c r="E39" s="12"/>
      <c r="H39" s="66"/>
      <c r="N39" s="16"/>
      <c r="O39" s="16"/>
      <c r="P39" s="16"/>
    </row>
  </sheetData>
  <mergeCells count="3">
    <mergeCell ref="A3:A4"/>
    <mergeCell ref="A19:L19"/>
    <mergeCell ref="O19:P19"/>
  </mergeCells>
  <conditionalFormatting sqref="B3">
    <cfRule type="duplicateValues" dxfId="89" priority="2"/>
  </conditionalFormatting>
  <conditionalFormatting sqref="B4">
    <cfRule type="duplicateValues" dxfId="88" priority="1"/>
  </conditionalFormatting>
  <conditionalFormatting sqref="B5:B18">
    <cfRule type="duplicateValues" dxfId="87" priority="2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7"/>
  <sheetViews>
    <sheetView zoomScale="110" zoomScaleNormal="110" workbookViewId="0">
      <pane xSplit="3" ySplit="2" topLeftCell="D13" activePane="bottomRight" state="frozen"/>
      <selection pane="topRight" activeCell="B1" sqref="B1"/>
      <selection pane="bottomLeft" activeCell="A3" sqref="A3"/>
      <selection pane="bottomRight" activeCell="B3" sqref="A3:XFD1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0.2851562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30" customHeight="1" x14ac:dyDescent="0.2">
      <c r="A3" s="120" t="s">
        <v>586</v>
      </c>
      <c r="B3" s="77" t="s">
        <v>472</v>
      </c>
      <c r="C3" s="9" t="s">
        <v>473</v>
      </c>
      <c r="D3" s="79" t="s">
        <v>49</v>
      </c>
      <c r="E3" s="13">
        <v>44437</v>
      </c>
      <c r="F3" s="79" t="s">
        <v>253</v>
      </c>
      <c r="G3" s="13">
        <v>44440</v>
      </c>
      <c r="H3" s="10" t="s">
        <v>423</v>
      </c>
      <c r="I3" s="1">
        <v>33</v>
      </c>
      <c r="J3" s="1">
        <v>23</v>
      </c>
      <c r="K3" s="1">
        <v>18</v>
      </c>
      <c r="L3" s="1">
        <v>7</v>
      </c>
      <c r="M3" s="83">
        <v>3.4155000000000002</v>
      </c>
      <c r="N3" s="8">
        <v>7</v>
      </c>
      <c r="O3" s="67">
        <v>7000</v>
      </c>
      <c r="P3" s="68">
        <f>Table224578910112345678910121314151617181920212223[[#This Row],[PEMBULATAN]]*O3</f>
        <v>49000</v>
      </c>
    </row>
    <row r="4" spans="1:16" ht="30" customHeight="1" x14ac:dyDescent="0.2">
      <c r="A4" s="121"/>
      <c r="B4" s="78"/>
      <c r="C4" s="9" t="s">
        <v>474</v>
      </c>
      <c r="D4" s="79" t="s">
        <v>49</v>
      </c>
      <c r="E4" s="13">
        <v>44437</v>
      </c>
      <c r="F4" s="79" t="s">
        <v>253</v>
      </c>
      <c r="G4" s="13">
        <v>44440</v>
      </c>
      <c r="H4" s="10" t="s">
        <v>423</v>
      </c>
      <c r="I4" s="1">
        <v>33</v>
      </c>
      <c r="J4" s="1">
        <v>23</v>
      </c>
      <c r="K4" s="1">
        <v>18</v>
      </c>
      <c r="L4" s="1">
        <v>7</v>
      </c>
      <c r="M4" s="83">
        <v>3.4155000000000002</v>
      </c>
      <c r="N4" s="8">
        <v>7</v>
      </c>
      <c r="O4" s="67">
        <v>7000</v>
      </c>
      <c r="P4" s="68">
        <f>Table224578910112345678910121314151617181920212223[[#This Row],[PEMBULATAN]]*O4</f>
        <v>49000</v>
      </c>
    </row>
    <row r="5" spans="1:16" ht="30" customHeight="1" x14ac:dyDescent="0.2">
      <c r="A5" s="14"/>
      <c r="B5" s="14"/>
      <c r="C5" s="9" t="s">
        <v>475</v>
      </c>
      <c r="D5" s="79" t="s">
        <v>49</v>
      </c>
      <c r="E5" s="13">
        <v>44437</v>
      </c>
      <c r="F5" s="79" t="s">
        <v>253</v>
      </c>
      <c r="G5" s="13">
        <v>44440</v>
      </c>
      <c r="H5" s="10" t="s">
        <v>423</v>
      </c>
      <c r="I5" s="1">
        <v>42</v>
      </c>
      <c r="J5" s="1">
        <v>19</v>
      </c>
      <c r="K5" s="1">
        <v>14</v>
      </c>
      <c r="L5" s="1">
        <v>3</v>
      </c>
      <c r="M5" s="83">
        <v>2.7930000000000001</v>
      </c>
      <c r="N5" s="8">
        <v>3</v>
      </c>
      <c r="O5" s="67">
        <v>7000</v>
      </c>
      <c r="P5" s="68">
        <f>Table224578910112345678910121314151617181920212223[[#This Row],[PEMBULATAN]]*O5</f>
        <v>21000</v>
      </c>
    </row>
    <row r="6" spans="1:16" ht="30" customHeight="1" x14ac:dyDescent="0.2">
      <c r="A6" s="14"/>
      <c r="B6" s="14"/>
      <c r="C6" s="76" t="s">
        <v>476</v>
      </c>
      <c r="D6" s="81" t="s">
        <v>49</v>
      </c>
      <c r="E6" s="13">
        <v>44437</v>
      </c>
      <c r="F6" s="79" t="s">
        <v>253</v>
      </c>
      <c r="G6" s="13">
        <v>44440</v>
      </c>
      <c r="H6" s="80" t="s">
        <v>423</v>
      </c>
      <c r="I6" s="17">
        <v>43</v>
      </c>
      <c r="J6" s="17">
        <v>27</v>
      </c>
      <c r="K6" s="17">
        <v>18</v>
      </c>
      <c r="L6" s="17">
        <v>6</v>
      </c>
      <c r="M6" s="84">
        <v>5.2244999999999999</v>
      </c>
      <c r="N6" s="75">
        <v>6</v>
      </c>
      <c r="O6" s="67">
        <v>7000</v>
      </c>
      <c r="P6" s="68">
        <f>Table224578910112345678910121314151617181920212223[[#This Row],[PEMBULATAN]]*O6</f>
        <v>42000</v>
      </c>
    </row>
    <row r="7" spans="1:16" ht="30" customHeight="1" x14ac:dyDescent="0.2">
      <c r="A7" s="14"/>
      <c r="B7" s="14"/>
      <c r="C7" s="76" t="s">
        <v>477</v>
      </c>
      <c r="D7" s="81" t="s">
        <v>49</v>
      </c>
      <c r="E7" s="13">
        <v>44437</v>
      </c>
      <c r="F7" s="79" t="s">
        <v>253</v>
      </c>
      <c r="G7" s="13">
        <v>44440</v>
      </c>
      <c r="H7" s="80" t="s">
        <v>423</v>
      </c>
      <c r="I7" s="17">
        <v>38</v>
      </c>
      <c r="J7" s="17">
        <v>37</v>
      </c>
      <c r="K7" s="17">
        <v>27</v>
      </c>
      <c r="L7" s="17">
        <v>4</v>
      </c>
      <c r="M7" s="84">
        <v>9.4905000000000008</v>
      </c>
      <c r="N7" s="75">
        <v>9</v>
      </c>
      <c r="O7" s="67">
        <v>7000</v>
      </c>
      <c r="P7" s="68">
        <f>Table224578910112345678910121314151617181920212223[[#This Row],[PEMBULATAN]]*O7</f>
        <v>63000</v>
      </c>
    </row>
    <row r="8" spans="1:16" ht="30" customHeight="1" x14ac:dyDescent="0.2">
      <c r="A8" s="14"/>
      <c r="B8" s="14"/>
      <c r="C8" s="76" t="s">
        <v>478</v>
      </c>
      <c r="D8" s="81" t="s">
        <v>49</v>
      </c>
      <c r="E8" s="13">
        <v>44437</v>
      </c>
      <c r="F8" s="79" t="s">
        <v>253</v>
      </c>
      <c r="G8" s="13">
        <v>44440</v>
      </c>
      <c r="H8" s="80" t="s">
        <v>423</v>
      </c>
      <c r="I8" s="17">
        <v>33</v>
      </c>
      <c r="J8" s="17">
        <v>23</v>
      </c>
      <c r="K8" s="17">
        <v>18</v>
      </c>
      <c r="L8" s="17">
        <v>7</v>
      </c>
      <c r="M8" s="84">
        <v>3.4155000000000002</v>
      </c>
      <c r="N8" s="75">
        <v>7</v>
      </c>
      <c r="O8" s="67">
        <v>7000</v>
      </c>
      <c r="P8" s="68">
        <f>Table224578910112345678910121314151617181920212223[[#This Row],[PEMBULATAN]]*O8</f>
        <v>49000</v>
      </c>
    </row>
    <row r="9" spans="1:16" ht="30" customHeight="1" x14ac:dyDescent="0.2">
      <c r="A9" s="14"/>
      <c r="B9" s="14"/>
      <c r="C9" s="76" t="s">
        <v>479</v>
      </c>
      <c r="D9" s="81" t="s">
        <v>49</v>
      </c>
      <c r="E9" s="13">
        <v>44437</v>
      </c>
      <c r="F9" s="79" t="s">
        <v>253</v>
      </c>
      <c r="G9" s="13">
        <v>44440</v>
      </c>
      <c r="H9" s="80" t="s">
        <v>423</v>
      </c>
      <c r="I9" s="17">
        <v>33</v>
      </c>
      <c r="J9" s="17">
        <v>23</v>
      </c>
      <c r="K9" s="17">
        <v>18</v>
      </c>
      <c r="L9" s="17">
        <v>7</v>
      </c>
      <c r="M9" s="84">
        <v>3.4155000000000002</v>
      </c>
      <c r="N9" s="75">
        <v>7</v>
      </c>
      <c r="O9" s="67">
        <v>7000</v>
      </c>
      <c r="P9" s="68">
        <f>Table224578910112345678910121314151617181920212223[[#This Row],[PEMBULATAN]]*O9</f>
        <v>49000</v>
      </c>
    </row>
    <row r="10" spans="1:16" ht="30" customHeight="1" x14ac:dyDescent="0.2">
      <c r="A10" s="14"/>
      <c r="B10" s="14"/>
      <c r="C10" s="76" t="s">
        <v>480</v>
      </c>
      <c r="D10" s="81" t="s">
        <v>49</v>
      </c>
      <c r="E10" s="13">
        <v>44437</v>
      </c>
      <c r="F10" s="79" t="s">
        <v>253</v>
      </c>
      <c r="G10" s="13">
        <v>44440</v>
      </c>
      <c r="H10" s="80" t="s">
        <v>423</v>
      </c>
      <c r="I10" s="17">
        <v>33</v>
      </c>
      <c r="J10" s="17">
        <v>23</v>
      </c>
      <c r="K10" s="17">
        <v>18</v>
      </c>
      <c r="L10" s="17">
        <v>7</v>
      </c>
      <c r="M10" s="84">
        <v>3.4155000000000002</v>
      </c>
      <c r="N10" s="75">
        <v>7</v>
      </c>
      <c r="O10" s="67">
        <v>7000</v>
      </c>
      <c r="P10" s="68">
        <f>Table224578910112345678910121314151617181920212223[[#This Row],[PEMBULATAN]]*O10</f>
        <v>49000</v>
      </c>
    </row>
    <row r="11" spans="1:16" ht="30" customHeight="1" x14ac:dyDescent="0.2">
      <c r="A11" s="14"/>
      <c r="B11" s="14"/>
      <c r="C11" s="76" t="s">
        <v>481</v>
      </c>
      <c r="D11" s="81" t="s">
        <v>49</v>
      </c>
      <c r="E11" s="13">
        <v>44437</v>
      </c>
      <c r="F11" s="79" t="s">
        <v>253</v>
      </c>
      <c r="G11" s="13">
        <v>44440</v>
      </c>
      <c r="H11" s="80" t="s">
        <v>423</v>
      </c>
      <c r="I11" s="17">
        <v>35</v>
      </c>
      <c r="J11" s="17">
        <v>35</v>
      </c>
      <c r="K11" s="17">
        <v>17</v>
      </c>
      <c r="L11" s="17">
        <v>12</v>
      </c>
      <c r="M11" s="84">
        <v>5.2062499999999998</v>
      </c>
      <c r="N11" s="75">
        <v>12</v>
      </c>
      <c r="O11" s="67">
        <v>7000</v>
      </c>
      <c r="P11" s="68">
        <f>Table224578910112345678910121314151617181920212223[[#This Row],[PEMBULATAN]]*O11</f>
        <v>84000</v>
      </c>
    </row>
    <row r="12" spans="1:16" ht="30" customHeight="1" x14ac:dyDescent="0.2">
      <c r="A12" s="14"/>
      <c r="B12" s="14"/>
      <c r="C12" s="76" t="s">
        <v>482</v>
      </c>
      <c r="D12" s="81" t="s">
        <v>49</v>
      </c>
      <c r="E12" s="13">
        <v>44437</v>
      </c>
      <c r="F12" s="79" t="s">
        <v>253</v>
      </c>
      <c r="G12" s="13">
        <v>44440</v>
      </c>
      <c r="H12" s="80" t="s">
        <v>423</v>
      </c>
      <c r="I12" s="17">
        <v>35</v>
      </c>
      <c r="J12" s="17">
        <v>35</v>
      </c>
      <c r="K12" s="17">
        <v>17</v>
      </c>
      <c r="L12" s="17">
        <v>12</v>
      </c>
      <c r="M12" s="84">
        <v>5.2062499999999998</v>
      </c>
      <c r="N12" s="75">
        <v>12</v>
      </c>
      <c r="O12" s="67">
        <v>7000</v>
      </c>
      <c r="P12" s="68">
        <f>Table224578910112345678910121314151617181920212223[[#This Row],[PEMBULATAN]]*O12</f>
        <v>84000</v>
      </c>
    </row>
    <row r="13" spans="1:16" ht="30" customHeight="1" x14ac:dyDescent="0.2">
      <c r="A13" s="14"/>
      <c r="B13" s="14"/>
      <c r="C13" s="76" t="s">
        <v>483</v>
      </c>
      <c r="D13" s="81" t="s">
        <v>49</v>
      </c>
      <c r="E13" s="13">
        <v>44437</v>
      </c>
      <c r="F13" s="79" t="s">
        <v>253</v>
      </c>
      <c r="G13" s="13">
        <v>44440</v>
      </c>
      <c r="H13" s="80" t="s">
        <v>423</v>
      </c>
      <c r="I13" s="17">
        <v>35</v>
      </c>
      <c r="J13" s="17">
        <v>35</v>
      </c>
      <c r="K13" s="17">
        <v>17</v>
      </c>
      <c r="L13" s="17">
        <v>12</v>
      </c>
      <c r="M13" s="84">
        <v>5.2062499999999998</v>
      </c>
      <c r="N13" s="75">
        <v>12</v>
      </c>
      <c r="O13" s="67">
        <v>7000</v>
      </c>
      <c r="P13" s="68">
        <f>Table224578910112345678910121314151617181920212223[[#This Row],[PEMBULATAN]]*O13</f>
        <v>84000</v>
      </c>
    </row>
    <row r="14" spans="1:16" ht="30" customHeight="1" x14ac:dyDescent="0.2">
      <c r="A14" s="14"/>
      <c r="B14" s="14"/>
      <c r="C14" s="76" t="s">
        <v>484</v>
      </c>
      <c r="D14" s="81" t="s">
        <v>49</v>
      </c>
      <c r="E14" s="13">
        <v>44437</v>
      </c>
      <c r="F14" s="79" t="s">
        <v>253</v>
      </c>
      <c r="G14" s="13">
        <v>44440</v>
      </c>
      <c r="H14" s="80" t="s">
        <v>423</v>
      </c>
      <c r="I14" s="17">
        <v>35</v>
      </c>
      <c r="J14" s="17">
        <v>35</v>
      </c>
      <c r="K14" s="17">
        <v>17</v>
      </c>
      <c r="L14" s="17">
        <v>12</v>
      </c>
      <c r="M14" s="84">
        <v>5.2062499999999998</v>
      </c>
      <c r="N14" s="75">
        <v>12</v>
      </c>
      <c r="O14" s="67">
        <v>7000</v>
      </c>
      <c r="P14" s="68">
        <f>Table224578910112345678910121314151617181920212223[[#This Row],[PEMBULATAN]]*O14</f>
        <v>84000</v>
      </c>
    </row>
    <row r="15" spans="1:16" ht="30" customHeight="1" x14ac:dyDescent="0.2">
      <c r="A15" s="14"/>
      <c r="B15" s="14"/>
      <c r="C15" s="76" t="s">
        <v>485</v>
      </c>
      <c r="D15" s="81" t="s">
        <v>49</v>
      </c>
      <c r="E15" s="13">
        <v>44437</v>
      </c>
      <c r="F15" s="79" t="s">
        <v>253</v>
      </c>
      <c r="G15" s="13">
        <v>44440</v>
      </c>
      <c r="H15" s="80" t="s">
        <v>423</v>
      </c>
      <c r="I15" s="17">
        <v>42</v>
      </c>
      <c r="J15" s="17">
        <v>33</v>
      </c>
      <c r="K15" s="17">
        <v>30</v>
      </c>
      <c r="L15" s="17">
        <v>9</v>
      </c>
      <c r="M15" s="84">
        <v>10.395</v>
      </c>
      <c r="N15" s="75">
        <v>10</v>
      </c>
      <c r="O15" s="67">
        <v>7000</v>
      </c>
      <c r="P15" s="68">
        <f>Table224578910112345678910121314151617181920212223[[#This Row],[PEMBULATAN]]*O15</f>
        <v>70000</v>
      </c>
    </row>
    <row r="16" spans="1:16" ht="30" customHeight="1" x14ac:dyDescent="0.2">
      <c r="A16" s="14"/>
      <c r="B16" s="14"/>
      <c r="C16" s="76" t="s">
        <v>486</v>
      </c>
      <c r="D16" s="81" t="s">
        <v>49</v>
      </c>
      <c r="E16" s="13">
        <v>44437</v>
      </c>
      <c r="F16" s="79" t="s">
        <v>253</v>
      </c>
      <c r="G16" s="13">
        <v>44440</v>
      </c>
      <c r="H16" s="80" t="s">
        <v>423</v>
      </c>
      <c r="I16" s="17">
        <v>30</v>
      </c>
      <c r="J16" s="17">
        <v>14</v>
      </c>
      <c r="K16" s="17">
        <v>14</v>
      </c>
      <c r="L16" s="17">
        <v>3</v>
      </c>
      <c r="M16" s="84">
        <v>1.47</v>
      </c>
      <c r="N16" s="75">
        <v>3</v>
      </c>
      <c r="O16" s="67">
        <v>7000</v>
      </c>
      <c r="P16" s="68">
        <f>Table224578910112345678910121314151617181920212223[[#This Row],[PEMBULATAN]]*O16</f>
        <v>21000</v>
      </c>
    </row>
    <row r="17" spans="1:16" ht="22.5" customHeight="1" x14ac:dyDescent="0.2">
      <c r="A17" s="122" t="s">
        <v>30</v>
      </c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4"/>
      <c r="M17" s="82">
        <f>SUBTOTAL(109,Table224578910112345678910121314151617181920212223[KG VOLUME])</f>
        <v>67.275499999999994</v>
      </c>
      <c r="N17" s="71">
        <f>SUM(N3:N16)</f>
        <v>114</v>
      </c>
      <c r="O17" s="125">
        <f>SUM(P3:P16)</f>
        <v>798000</v>
      </c>
      <c r="P17" s="126"/>
    </row>
    <row r="18" spans="1:16" ht="18" customHeight="1" x14ac:dyDescent="0.2">
      <c r="A18" s="94"/>
      <c r="B18" s="59" t="s">
        <v>42</v>
      </c>
      <c r="C18" s="58"/>
      <c r="D18" s="60" t="s">
        <v>43</v>
      </c>
      <c r="E18" s="94"/>
      <c r="F18" s="94"/>
      <c r="G18" s="94"/>
      <c r="H18" s="94"/>
      <c r="I18" s="94"/>
      <c r="J18" s="94"/>
      <c r="K18" s="94"/>
      <c r="L18" s="94"/>
      <c r="M18" s="95"/>
      <c r="N18" s="96" t="s">
        <v>649</v>
      </c>
      <c r="O18" s="97"/>
      <c r="P18" s="97">
        <v>0</v>
      </c>
    </row>
    <row r="19" spans="1:16" ht="18" customHeight="1" thickBot="1" x14ac:dyDescent="0.25">
      <c r="A19" s="94"/>
      <c r="B19" s="59"/>
      <c r="C19" s="58"/>
      <c r="D19" s="60"/>
      <c r="E19" s="94"/>
      <c r="F19" s="94"/>
      <c r="G19" s="94"/>
      <c r="H19" s="94"/>
      <c r="I19" s="94"/>
      <c r="J19" s="94"/>
      <c r="K19" s="94"/>
      <c r="L19" s="94"/>
      <c r="M19" s="95"/>
      <c r="N19" s="98" t="s">
        <v>650</v>
      </c>
      <c r="O19" s="99"/>
      <c r="P19" s="99">
        <f>O17-P18</f>
        <v>798000</v>
      </c>
    </row>
    <row r="20" spans="1:16" ht="18" customHeight="1" x14ac:dyDescent="0.2">
      <c r="A20" s="11"/>
      <c r="H20" s="66"/>
      <c r="N20" s="65" t="s">
        <v>31</v>
      </c>
      <c r="P20" s="72">
        <f>P19*1%</f>
        <v>7980</v>
      </c>
    </row>
    <row r="21" spans="1:16" ht="18" customHeight="1" thickBot="1" x14ac:dyDescent="0.25">
      <c r="A21" s="11"/>
      <c r="H21" s="66"/>
      <c r="N21" s="65" t="s">
        <v>651</v>
      </c>
      <c r="P21" s="74">
        <f>P19*2%</f>
        <v>15960</v>
      </c>
    </row>
    <row r="22" spans="1:16" ht="18" customHeight="1" x14ac:dyDescent="0.2">
      <c r="A22" s="11"/>
      <c r="H22" s="66"/>
      <c r="N22" s="69" t="s">
        <v>32</v>
      </c>
      <c r="O22" s="70"/>
      <c r="P22" s="73">
        <f>P19+P20-P21</f>
        <v>790020</v>
      </c>
    </row>
    <row r="24" spans="1:16" x14ac:dyDescent="0.2">
      <c r="A24" s="11"/>
      <c r="H24" s="66"/>
      <c r="P24" s="74"/>
    </row>
    <row r="25" spans="1:16" x14ac:dyDescent="0.2">
      <c r="A25" s="11"/>
      <c r="H25" s="66"/>
      <c r="O25" s="61"/>
      <c r="P25" s="74"/>
    </row>
    <row r="26" spans="1:16" s="3" customFormat="1" x14ac:dyDescent="0.25">
      <c r="A26" s="11"/>
      <c r="B26" s="2"/>
      <c r="C26" s="2"/>
      <c r="E26" s="12"/>
      <c r="H26" s="66"/>
      <c r="N26" s="16"/>
      <c r="O26" s="16"/>
      <c r="P26" s="16"/>
    </row>
    <row r="27" spans="1:16" s="3" customFormat="1" x14ac:dyDescent="0.25">
      <c r="A27" s="11"/>
      <c r="B27" s="2"/>
      <c r="C27" s="2"/>
      <c r="E27" s="12"/>
      <c r="H27" s="66"/>
      <c r="N27" s="16"/>
      <c r="O27" s="16"/>
      <c r="P27" s="16"/>
    </row>
    <row r="28" spans="1:16" s="3" customFormat="1" x14ac:dyDescent="0.25">
      <c r="A28" s="11"/>
      <c r="B28" s="2"/>
      <c r="C28" s="2"/>
      <c r="E28" s="12"/>
      <c r="H28" s="66"/>
      <c r="N28" s="16"/>
      <c r="O28" s="16"/>
      <c r="P28" s="16"/>
    </row>
    <row r="29" spans="1:16" s="3" customFormat="1" x14ac:dyDescent="0.25">
      <c r="A29" s="11"/>
      <c r="B29" s="2"/>
      <c r="C29" s="2"/>
      <c r="E29" s="12"/>
      <c r="H29" s="66"/>
      <c r="N29" s="16"/>
      <c r="O29" s="16"/>
      <c r="P29" s="16"/>
    </row>
    <row r="30" spans="1:16" s="3" customFormat="1" x14ac:dyDescent="0.25">
      <c r="A30" s="11"/>
      <c r="B30" s="2"/>
      <c r="C30" s="2"/>
      <c r="E30" s="12"/>
      <c r="H30" s="66"/>
      <c r="N30" s="16"/>
      <c r="O30" s="16"/>
      <c r="P30" s="16"/>
    </row>
    <row r="31" spans="1:16" s="3" customFormat="1" x14ac:dyDescent="0.25">
      <c r="A31" s="11"/>
      <c r="B31" s="2"/>
      <c r="C31" s="2"/>
      <c r="E31" s="12"/>
      <c r="H31" s="66"/>
      <c r="N31" s="16"/>
      <c r="O31" s="16"/>
      <c r="P31" s="16"/>
    </row>
    <row r="32" spans="1:16" s="3" customFormat="1" x14ac:dyDescent="0.25">
      <c r="A32" s="11"/>
      <c r="B32" s="2"/>
      <c r="C32" s="2"/>
      <c r="E32" s="12"/>
      <c r="H32" s="66"/>
      <c r="N32" s="16"/>
      <c r="O32" s="16"/>
      <c r="P32" s="16"/>
    </row>
    <row r="33" spans="1:16" s="3" customFormat="1" x14ac:dyDescent="0.25">
      <c r="A33" s="11"/>
      <c r="B33" s="2"/>
      <c r="C33" s="2"/>
      <c r="E33" s="12"/>
      <c r="H33" s="66"/>
      <c r="N33" s="16"/>
      <c r="O33" s="16"/>
      <c r="P33" s="16"/>
    </row>
    <row r="34" spans="1:16" s="3" customFormat="1" x14ac:dyDescent="0.25">
      <c r="A34" s="11"/>
      <c r="B34" s="2"/>
      <c r="C34" s="2"/>
      <c r="E34" s="12"/>
      <c r="H34" s="66"/>
      <c r="N34" s="16"/>
      <c r="O34" s="16"/>
      <c r="P34" s="16"/>
    </row>
    <row r="35" spans="1:16" s="3" customFormat="1" x14ac:dyDescent="0.25">
      <c r="A35" s="11"/>
      <c r="B35" s="2"/>
      <c r="C35" s="2"/>
      <c r="E35" s="12"/>
      <c r="H35" s="66"/>
      <c r="N35" s="16"/>
      <c r="O35" s="16"/>
      <c r="P35" s="16"/>
    </row>
    <row r="36" spans="1:16" s="3" customFormat="1" x14ac:dyDescent="0.25">
      <c r="A36" s="11"/>
      <c r="B36" s="2"/>
      <c r="C36" s="2"/>
      <c r="E36" s="12"/>
      <c r="H36" s="66"/>
      <c r="N36" s="16"/>
      <c r="O36" s="16"/>
      <c r="P36" s="16"/>
    </row>
    <row r="37" spans="1:16" s="3" customFormat="1" x14ac:dyDescent="0.25">
      <c r="A37" s="11"/>
      <c r="B37" s="2"/>
      <c r="C37" s="2"/>
      <c r="E37" s="12"/>
      <c r="H37" s="66"/>
      <c r="N37" s="16"/>
      <c r="O37" s="16"/>
      <c r="P37" s="16"/>
    </row>
  </sheetData>
  <mergeCells count="3">
    <mergeCell ref="A3:A4"/>
    <mergeCell ref="A17:L17"/>
    <mergeCell ref="O17:P17"/>
  </mergeCells>
  <conditionalFormatting sqref="B3">
    <cfRule type="duplicateValues" dxfId="71" priority="2"/>
  </conditionalFormatting>
  <conditionalFormatting sqref="B4">
    <cfRule type="duplicateValues" dxfId="70" priority="1"/>
  </conditionalFormatting>
  <conditionalFormatting sqref="B5:B16">
    <cfRule type="duplicateValues" dxfId="69" priority="2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6" sqref="F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9.4257812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36" customHeight="1" x14ac:dyDescent="0.2">
      <c r="A3" s="120" t="s">
        <v>587</v>
      </c>
      <c r="B3" s="93" t="s">
        <v>487</v>
      </c>
      <c r="C3" s="9" t="s">
        <v>488</v>
      </c>
      <c r="D3" s="79" t="s">
        <v>49</v>
      </c>
      <c r="E3" s="13">
        <v>44437</v>
      </c>
      <c r="F3" s="79" t="s">
        <v>253</v>
      </c>
      <c r="G3" s="13">
        <v>44440</v>
      </c>
      <c r="H3" s="10" t="s">
        <v>423</v>
      </c>
      <c r="I3" s="1">
        <v>116</v>
      </c>
      <c r="J3" s="1">
        <v>62</v>
      </c>
      <c r="K3" s="1">
        <v>30</v>
      </c>
      <c r="L3" s="1">
        <v>16</v>
      </c>
      <c r="M3" s="83">
        <v>53.94</v>
      </c>
      <c r="N3" s="8">
        <v>54</v>
      </c>
      <c r="O3" s="67">
        <v>7000</v>
      </c>
      <c r="P3" s="68">
        <f>Table22457891011234567891012131415161718192021222324[[#This Row],[PEMBULATAN]]*O3</f>
        <v>378000</v>
      </c>
    </row>
    <row r="4" spans="1:16" ht="36" customHeight="1" x14ac:dyDescent="0.2">
      <c r="A4" s="121"/>
      <c r="B4" s="78" t="s">
        <v>489</v>
      </c>
      <c r="C4" s="9" t="s">
        <v>490</v>
      </c>
      <c r="D4" s="79" t="s">
        <v>49</v>
      </c>
      <c r="E4" s="13">
        <v>44437</v>
      </c>
      <c r="F4" s="79" t="s">
        <v>253</v>
      </c>
      <c r="G4" s="13">
        <v>44440</v>
      </c>
      <c r="H4" s="10" t="s">
        <v>423</v>
      </c>
      <c r="I4" s="1">
        <v>57</v>
      </c>
      <c r="J4" s="1">
        <v>55</v>
      </c>
      <c r="K4" s="1">
        <v>12</v>
      </c>
      <c r="L4" s="1">
        <v>8</v>
      </c>
      <c r="M4" s="83">
        <v>9.4049999999999994</v>
      </c>
      <c r="N4" s="8">
        <v>9</v>
      </c>
      <c r="O4" s="67">
        <v>7000</v>
      </c>
      <c r="P4" s="68">
        <f>Table22457891011234567891012131415161718192021222324[[#This Row],[PEMBULATAN]]*O4</f>
        <v>63000</v>
      </c>
    </row>
    <row r="5" spans="1:16" ht="36" customHeight="1" x14ac:dyDescent="0.2">
      <c r="A5" s="14"/>
      <c r="B5" s="14"/>
      <c r="C5" s="9" t="s">
        <v>491</v>
      </c>
      <c r="D5" s="79" t="s">
        <v>49</v>
      </c>
      <c r="E5" s="13">
        <v>44437</v>
      </c>
      <c r="F5" s="79" t="s">
        <v>253</v>
      </c>
      <c r="G5" s="13">
        <v>44440</v>
      </c>
      <c r="H5" s="10" t="s">
        <v>423</v>
      </c>
      <c r="I5" s="1">
        <v>46</v>
      </c>
      <c r="J5" s="1">
        <v>45</v>
      </c>
      <c r="K5" s="1">
        <v>17</v>
      </c>
      <c r="L5" s="1">
        <v>11</v>
      </c>
      <c r="M5" s="83">
        <v>8.7974999999999994</v>
      </c>
      <c r="N5" s="8">
        <v>11</v>
      </c>
      <c r="O5" s="67">
        <v>7000</v>
      </c>
      <c r="P5" s="68">
        <f>Table22457891011234567891012131415161718192021222324[[#This Row],[PEMBULATAN]]*O5</f>
        <v>77000</v>
      </c>
    </row>
    <row r="6" spans="1:16" ht="36" customHeight="1" x14ac:dyDescent="0.2">
      <c r="A6" s="14"/>
      <c r="B6" s="14"/>
      <c r="C6" s="76" t="s">
        <v>492</v>
      </c>
      <c r="D6" s="81" t="s">
        <v>49</v>
      </c>
      <c r="E6" s="13">
        <v>44437</v>
      </c>
      <c r="F6" s="79" t="s">
        <v>253</v>
      </c>
      <c r="G6" s="13">
        <v>44440</v>
      </c>
      <c r="H6" s="80" t="s">
        <v>423</v>
      </c>
      <c r="I6" s="17">
        <v>35</v>
      </c>
      <c r="J6" s="17">
        <v>35</v>
      </c>
      <c r="K6" s="17">
        <v>50</v>
      </c>
      <c r="L6" s="17">
        <v>10</v>
      </c>
      <c r="M6" s="84">
        <v>15.3125</v>
      </c>
      <c r="N6" s="75">
        <v>15</v>
      </c>
      <c r="O6" s="67">
        <v>7000</v>
      </c>
      <c r="P6" s="68">
        <f>Table22457891011234567891012131415161718192021222324[[#This Row],[PEMBULATAN]]*O6</f>
        <v>105000</v>
      </c>
    </row>
    <row r="7" spans="1:16" ht="36" customHeight="1" x14ac:dyDescent="0.2">
      <c r="A7" s="14"/>
      <c r="B7" s="14"/>
      <c r="C7" s="76" t="s">
        <v>493</v>
      </c>
      <c r="D7" s="81" t="s">
        <v>49</v>
      </c>
      <c r="E7" s="13">
        <v>44437</v>
      </c>
      <c r="F7" s="79" t="s">
        <v>253</v>
      </c>
      <c r="G7" s="13">
        <v>44440</v>
      </c>
      <c r="H7" s="80" t="s">
        <v>423</v>
      </c>
      <c r="I7" s="17">
        <v>40</v>
      </c>
      <c r="J7" s="17">
        <v>16</v>
      </c>
      <c r="K7" s="17">
        <v>19</v>
      </c>
      <c r="L7" s="17">
        <v>1</v>
      </c>
      <c r="M7" s="84">
        <v>3.04</v>
      </c>
      <c r="N7" s="75">
        <v>3</v>
      </c>
      <c r="O7" s="67">
        <v>7000</v>
      </c>
      <c r="P7" s="68">
        <f>Table22457891011234567891012131415161718192021222324[[#This Row],[PEMBULATAN]]*O7</f>
        <v>21000</v>
      </c>
    </row>
    <row r="8" spans="1:16" ht="36" customHeight="1" x14ac:dyDescent="0.2">
      <c r="A8" s="14"/>
      <c r="B8" s="14"/>
      <c r="C8" s="76" t="s">
        <v>494</v>
      </c>
      <c r="D8" s="81" t="s">
        <v>49</v>
      </c>
      <c r="E8" s="13">
        <v>44437</v>
      </c>
      <c r="F8" s="79" t="s">
        <v>253</v>
      </c>
      <c r="G8" s="13">
        <v>44440</v>
      </c>
      <c r="H8" s="80" t="s">
        <v>423</v>
      </c>
      <c r="I8" s="17">
        <v>91</v>
      </c>
      <c r="J8" s="17">
        <v>68</v>
      </c>
      <c r="K8" s="17">
        <v>42</v>
      </c>
      <c r="L8" s="17">
        <v>20</v>
      </c>
      <c r="M8" s="84">
        <v>64.974000000000004</v>
      </c>
      <c r="N8" s="75">
        <v>65</v>
      </c>
      <c r="O8" s="67">
        <v>7000</v>
      </c>
      <c r="P8" s="68">
        <f>Table22457891011234567891012131415161718192021222324[[#This Row],[PEMBULATAN]]*O8</f>
        <v>455000</v>
      </c>
    </row>
    <row r="9" spans="1:16" ht="22.5" customHeight="1" x14ac:dyDescent="0.2">
      <c r="A9" s="122" t="s">
        <v>30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4"/>
      <c r="M9" s="82">
        <f>SUBTOTAL(109,Table22457891011234567891012131415161718192021222324[KG VOLUME])</f>
        <v>155.46899999999999</v>
      </c>
      <c r="N9" s="71">
        <f>SUM(N3:N8)</f>
        <v>157</v>
      </c>
      <c r="O9" s="125">
        <f>SUM(P3:P8)</f>
        <v>1099000</v>
      </c>
      <c r="P9" s="126"/>
    </row>
    <row r="10" spans="1:16" ht="18" customHeight="1" x14ac:dyDescent="0.2">
      <c r="A10" s="94"/>
      <c r="B10" s="59" t="s">
        <v>42</v>
      </c>
      <c r="C10" s="58"/>
      <c r="D10" s="60" t="s">
        <v>43</v>
      </c>
      <c r="E10" s="94"/>
      <c r="F10" s="94"/>
      <c r="G10" s="94"/>
      <c r="H10" s="94"/>
      <c r="I10" s="94"/>
      <c r="J10" s="94"/>
      <c r="K10" s="94"/>
      <c r="L10" s="94"/>
      <c r="M10" s="95"/>
      <c r="N10" s="96" t="s">
        <v>649</v>
      </c>
      <c r="O10" s="97"/>
      <c r="P10" s="97">
        <v>0</v>
      </c>
    </row>
    <row r="11" spans="1:16" ht="18" customHeight="1" thickBot="1" x14ac:dyDescent="0.25">
      <c r="A11" s="94"/>
      <c r="B11" s="59"/>
      <c r="C11" s="58"/>
      <c r="D11" s="60"/>
      <c r="E11" s="94"/>
      <c r="F11" s="94"/>
      <c r="G11" s="94"/>
      <c r="H11" s="94"/>
      <c r="I11" s="94"/>
      <c r="J11" s="94"/>
      <c r="K11" s="94"/>
      <c r="L11" s="94"/>
      <c r="M11" s="95"/>
      <c r="N11" s="98" t="s">
        <v>650</v>
      </c>
      <c r="O11" s="99"/>
      <c r="P11" s="99">
        <f>O9-P10</f>
        <v>1099000</v>
      </c>
    </row>
    <row r="12" spans="1:16" ht="18" customHeight="1" x14ac:dyDescent="0.2">
      <c r="A12" s="11"/>
      <c r="H12" s="66"/>
      <c r="N12" s="65" t="s">
        <v>31</v>
      </c>
      <c r="P12" s="72">
        <f>P11*1%</f>
        <v>10990</v>
      </c>
    </row>
    <row r="13" spans="1:16" ht="18" customHeight="1" thickBot="1" x14ac:dyDescent="0.25">
      <c r="A13" s="11"/>
      <c r="H13" s="66"/>
      <c r="N13" s="65" t="s">
        <v>651</v>
      </c>
      <c r="P13" s="74">
        <f>P11*2%</f>
        <v>21980</v>
      </c>
    </row>
    <row r="14" spans="1:16" ht="18" customHeight="1" x14ac:dyDescent="0.2">
      <c r="A14" s="11"/>
      <c r="H14" s="66"/>
      <c r="N14" s="69" t="s">
        <v>32</v>
      </c>
      <c r="O14" s="70"/>
      <c r="P14" s="73">
        <f>P11+P12-P13</f>
        <v>1088010</v>
      </c>
    </row>
    <row r="16" spans="1:16" x14ac:dyDescent="0.2">
      <c r="A16" s="11"/>
      <c r="H16" s="66"/>
      <c r="P16" s="74"/>
    </row>
    <row r="17" spans="1:16" x14ac:dyDescent="0.2">
      <c r="A17" s="11"/>
      <c r="H17" s="66"/>
      <c r="O17" s="61"/>
      <c r="P17" s="74"/>
    </row>
    <row r="18" spans="1:16" s="3" customFormat="1" x14ac:dyDescent="0.25">
      <c r="A18" s="11"/>
      <c r="B18" s="2"/>
      <c r="C18" s="2"/>
      <c r="E18" s="12"/>
      <c r="H18" s="66"/>
      <c r="N18" s="16"/>
      <c r="O18" s="16"/>
      <c r="P18" s="16"/>
    </row>
    <row r="19" spans="1:16" s="3" customFormat="1" x14ac:dyDescent="0.25">
      <c r="A19" s="11"/>
      <c r="B19" s="2"/>
      <c r="C19" s="2"/>
      <c r="E19" s="12"/>
      <c r="H19" s="66"/>
      <c r="N19" s="16"/>
      <c r="O19" s="16"/>
      <c r="P19" s="16"/>
    </row>
    <row r="20" spans="1:16" s="3" customFormat="1" x14ac:dyDescent="0.25">
      <c r="A20" s="11"/>
      <c r="B20" s="2"/>
      <c r="C20" s="2"/>
      <c r="E20" s="12"/>
      <c r="H20" s="66"/>
      <c r="N20" s="16"/>
      <c r="O20" s="16"/>
      <c r="P20" s="16"/>
    </row>
    <row r="21" spans="1:16" s="3" customFormat="1" x14ac:dyDescent="0.25">
      <c r="A21" s="11"/>
      <c r="B21" s="2"/>
      <c r="C21" s="2"/>
      <c r="E21" s="12"/>
      <c r="H21" s="66"/>
      <c r="N21" s="16"/>
      <c r="O21" s="16"/>
      <c r="P21" s="16"/>
    </row>
    <row r="22" spans="1:16" s="3" customFormat="1" x14ac:dyDescent="0.25">
      <c r="A22" s="11"/>
      <c r="B22" s="2"/>
      <c r="C22" s="2"/>
      <c r="E22" s="12"/>
      <c r="H22" s="66"/>
      <c r="N22" s="16"/>
      <c r="O22" s="16"/>
      <c r="P22" s="16"/>
    </row>
    <row r="23" spans="1:16" s="3" customFormat="1" x14ac:dyDescent="0.25">
      <c r="A23" s="11"/>
      <c r="B23" s="2"/>
      <c r="C23" s="2"/>
      <c r="E23" s="12"/>
      <c r="H23" s="66"/>
      <c r="N23" s="16"/>
      <c r="O23" s="16"/>
      <c r="P23" s="16"/>
    </row>
    <row r="24" spans="1:16" s="3" customFormat="1" x14ac:dyDescent="0.25">
      <c r="A24" s="11"/>
      <c r="B24" s="2"/>
      <c r="C24" s="2"/>
      <c r="E24" s="12"/>
      <c r="H24" s="66"/>
      <c r="N24" s="16"/>
      <c r="O24" s="16"/>
      <c r="P24" s="16"/>
    </row>
    <row r="25" spans="1:16" s="3" customFormat="1" x14ac:dyDescent="0.25">
      <c r="A25" s="11"/>
      <c r="B25" s="2"/>
      <c r="C25" s="2"/>
      <c r="E25" s="12"/>
      <c r="H25" s="66"/>
      <c r="N25" s="16"/>
      <c r="O25" s="16"/>
      <c r="P25" s="16"/>
    </row>
    <row r="26" spans="1:16" s="3" customFormat="1" x14ac:dyDescent="0.25">
      <c r="A26" s="11"/>
      <c r="B26" s="2"/>
      <c r="C26" s="2"/>
      <c r="E26" s="12"/>
      <c r="H26" s="66"/>
      <c r="N26" s="16"/>
      <c r="O26" s="16"/>
      <c r="P26" s="16"/>
    </row>
    <row r="27" spans="1:16" s="3" customFormat="1" x14ac:dyDescent="0.25">
      <c r="A27" s="11"/>
      <c r="B27" s="2"/>
      <c r="C27" s="2"/>
      <c r="E27" s="12"/>
      <c r="H27" s="66"/>
      <c r="N27" s="16"/>
      <c r="O27" s="16"/>
      <c r="P27" s="16"/>
    </row>
    <row r="28" spans="1:16" s="3" customFormat="1" x14ac:dyDescent="0.25">
      <c r="A28" s="11"/>
      <c r="B28" s="2"/>
      <c r="C28" s="2"/>
      <c r="E28" s="12"/>
      <c r="H28" s="66"/>
      <c r="N28" s="16"/>
      <c r="O28" s="16"/>
      <c r="P28" s="16"/>
    </row>
    <row r="29" spans="1:16" s="3" customFormat="1" x14ac:dyDescent="0.25">
      <c r="A29" s="11"/>
      <c r="B29" s="2"/>
      <c r="C29" s="2"/>
      <c r="E29" s="12"/>
      <c r="H29" s="66"/>
      <c r="N29" s="16"/>
      <c r="O29" s="16"/>
      <c r="P29" s="16"/>
    </row>
  </sheetData>
  <mergeCells count="3">
    <mergeCell ref="A3:A4"/>
    <mergeCell ref="A9:L9"/>
    <mergeCell ref="O9:P9"/>
  </mergeCells>
  <conditionalFormatting sqref="B3">
    <cfRule type="duplicateValues" dxfId="53" priority="2"/>
  </conditionalFormatting>
  <conditionalFormatting sqref="B4">
    <cfRule type="duplicateValues" dxfId="52" priority="1"/>
  </conditionalFormatting>
  <conditionalFormatting sqref="B5:B8">
    <cfRule type="duplicateValues" dxfId="51" priority="2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9"/>
  <sheetViews>
    <sheetView zoomScale="110" zoomScaleNormal="110" workbookViewId="0">
      <pane xSplit="3" ySplit="2" topLeftCell="D18" activePane="bottomRight" state="frozen"/>
      <selection pane="topRight" activeCell="B1" sqref="B1"/>
      <selection pane="bottomLeft" activeCell="A3" sqref="A3"/>
      <selection pane="bottomRight" activeCell="N33" sqref="N3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0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32.25" customHeight="1" x14ac:dyDescent="0.2">
      <c r="A3" s="120" t="s">
        <v>588</v>
      </c>
      <c r="B3" s="104" t="s">
        <v>495</v>
      </c>
      <c r="C3" s="9" t="s">
        <v>496</v>
      </c>
      <c r="D3" s="79" t="s">
        <v>49</v>
      </c>
      <c r="E3" s="13">
        <v>44439</v>
      </c>
      <c r="F3" s="79" t="s">
        <v>253</v>
      </c>
      <c r="G3" s="13">
        <v>44440</v>
      </c>
      <c r="H3" s="10" t="s">
        <v>423</v>
      </c>
      <c r="I3" s="1">
        <v>37</v>
      </c>
      <c r="J3" s="1">
        <v>37</v>
      </c>
      <c r="K3" s="1">
        <v>22</v>
      </c>
      <c r="L3" s="1">
        <v>5</v>
      </c>
      <c r="M3" s="83">
        <v>7.5294999999999996</v>
      </c>
      <c r="N3" s="8">
        <v>8</v>
      </c>
      <c r="O3" s="67">
        <v>7000</v>
      </c>
      <c r="P3" s="68">
        <f>Table2245789101123456789101213141516171819202122232425[[#This Row],[PEMBULATAN]]*O3</f>
        <v>56000</v>
      </c>
    </row>
    <row r="4" spans="1:16" ht="32.25" customHeight="1" x14ac:dyDescent="0.2">
      <c r="A4" s="121"/>
      <c r="B4" s="78" t="s">
        <v>497</v>
      </c>
      <c r="C4" s="9" t="s">
        <v>498</v>
      </c>
      <c r="D4" s="79" t="s">
        <v>49</v>
      </c>
      <c r="E4" s="13">
        <v>44439</v>
      </c>
      <c r="F4" s="79" t="s">
        <v>253</v>
      </c>
      <c r="G4" s="13">
        <v>44440</v>
      </c>
      <c r="H4" s="10" t="s">
        <v>423</v>
      </c>
      <c r="I4" s="1">
        <v>70</v>
      </c>
      <c r="J4" s="1">
        <v>44</v>
      </c>
      <c r="K4" s="1">
        <v>53</v>
      </c>
      <c r="L4" s="1">
        <v>21</v>
      </c>
      <c r="M4" s="83">
        <v>40.81</v>
      </c>
      <c r="N4" s="8">
        <v>41</v>
      </c>
      <c r="O4" s="67">
        <v>7000</v>
      </c>
      <c r="P4" s="68">
        <f>Table2245789101123456789101213141516171819202122232425[[#This Row],[PEMBULATAN]]*O4</f>
        <v>287000</v>
      </c>
    </row>
    <row r="5" spans="1:16" ht="32.25" customHeight="1" x14ac:dyDescent="0.2">
      <c r="A5" s="14"/>
      <c r="B5" s="14"/>
      <c r="C5" s="9" t="s">
        <v>499</v>
      </c>
      <c r="D5" s="79" t="s">
        <v>49</v>
      </c>
      <c r="E5" s="13">
        <v>44439</v>
      </c>
      <c r="F5" s="79" t="s">
        <v>253</v>
      </c>
      <c r="G5" s="13">
        <v>44440</v>
      </c>
      <c r="H5" s="10" t="s">
        <v>423</v>
      </c>
      <c r="I5" s="1">
        <v>53</v>
      </c>
      <c r="J5" s="1">
        <v>44</v>
      </c>
      <c r="K5" s="1">
        <v>36</v>
      </c>
      <c r="L5" s="1">
        <v>6</v>
      </c>
      <c r="M5" s="83">
        <v>20.988</v>
      </c>
      <c r="N5" s="8">
        <v>21</v>
      </c>
      <c r="O5" s="67">
        <v>7000</v>
      </c>
      <c r="P5" s="68">
        <f>Table2245789101123456789101213141516171819202122232425[[#This Row],[PEMBULATAN]]*O5</f>
        <v>147000</v>
      </c>
    </row>
    <row r="6" spans="1:16" ht="32.25" customHeight="1" x14ac:dyDescent="0.2">
      <c r="A6" s="14"/>
      <c r="B6" s="14"/>
      <c r="C6" s="76" t="s">
        <v>500</v>
      </c>
      <c r="D6" s="81" t="s">
        <v>49</v>
      </c>
      <c r="E6" s="13">
        <v>44439</v>
      </c>
      <c r="F6" s="79" t="s">
        <v>253</v>
      </c>
      <c r="G6" s="13">
        <v>44440</v>
      </c>
      <c r="H6" s="80" t="s">
        <v>423</v>
      </c>
      <c r="I6" s="17">
        <v>96</v>
      </c>
      <c r="J6" s="17">
        <v>47</v>
      </c>
      <c r="K6" s="17">
        <v>40</v>
      </c>
      <c r="L6" s="17">
        <v>30</v>
      </c>
      <c r="M6" s="84">
        <v>45.12</v>
      </c>
      <c r="N6" s="75">
        <v>45</v>
      </c>
      <c r="O6" s="67">
        <v>7000</v>
      </c>
      <c r="P6" s="68">
        <f>Table2245789101123456789101213141516171819202122232425[[#This Row],[PEMBULATAN]]*O6</f>
        <v>315000</v>
      </c>
    </row>
    <row r="7" spans="1:16" ht="32.25" customHeight="1" x14ac:dyDescent="0.2">
      <c r="A7" s="14"/>
      <c r="B7" s="14"/>
      <c r="C7" s="76" t="s">
        <v>501</v>
      </c>
      <c r="D7" s="81" t="s">
        <v>49</v>
      </c>
      <c r="E7" s="13">
        <v>44439</v>
      </c>
      <c r="F7" s="79" t="s">
        <v>253</v>
      </c>
      <c r="G7" s="13">
        <v>44440</v>
      </c>
      <c r="H7" s="80" t="s">
        <v>423</v>
      </c>
      <c r="I7" s="17">
        <v>105</v>
      </c>
      <c r="J7" s="17">
        <v>47</v>
      </c>
      <c r="K7" s="17">
        <v>43</v>
      </c>
      <c r="L7" s="17">
        <v>35</v>
      </c>
      <c r="M7" s="84">
        <v>53.051250000000003</v>
      </c>
      <c r="N7" s="75">
        <v>53</v>
      </c>
      <c r="O7" s="67">
        <v>7000</v>
      </c>
      <c r="P7" s="68">
        <f>Table2245789101123456789101213141516171819202122232425[[#This Row],[PEMBULATAN]]*O7</f>
        <v>371000</v>
      </c>
    </row>
    <row r="8" spans="1:16" ht="32.25" customHeight="1" x14ac:dyDescent="0.2">
      <c r="A8" s="14"/>
      <c r="B8" s="14"/>
      <c r="C8" s="76" t="s">
        <v>502</v>
      </c>
      <c r="D8" s="81" t="s">
        <v>49</v>
      </c>
      <c r="E8" s="13">
        <v>44439</v>
      </c>
      <c r="F8" s="79" t="s">
        <v>253</v>
      </c>
      <c r="G8" s="13">
        <v>44440</v>
      </c>
      <c r="H8" s="80" t="s">
        <v>423</v>
      </c>
      <c r="I8" s="17">
        <v>45</v>
      </c>
      <c r="J8" s="17">
        <v>37</v>
      </c>
      <c r="K8" s="17">
        <v>30</v>
      </c>
      <c r="L8" s="17">
        <v>10</v>
      </c>
      <c r="M8" s="84">
        <v>12.487500000000001</v>
      </c>
      <c r="N8" s="75">
        <v>12</v>
      </c>
      <c r="O8" s="67">
        <v>7000</v>
      </c>
      <c r="P8" s="68">
        <f>Table2245789101123456789101213141516171819202122232425[[#This Row],[PEMBULATAN]]*O8</f>
        <v>84000</v>
      </c>
    </row>
    <row r="9" spans="1:16" ht="32.25" customHeight="1" x14ac:dyDescent="0.2">
      <c r="A9" s="14"/>
      <c r="B9" s="14"/>
      <c r="C9" s="76" t="s">
        <v>503</v>
      </c>
      <c r="D9" s="81" t="s">
        <v>49</v>
      </c>
      <c r="E9" s="13">
        <v>44439</v>
      </c>
      <c r="F9" s="79" t="s">
        <v>253</v>
      </c>
      <c r="G9" s="13">
        <v>44440</v>
      </c>
      <c r="H9" s="80" t="s">
        <v>423</v>
      </c>
      <c r="I9" s="17">
        <v>62</v>
      </c>
      <c r="J9" s="17">
        <v>30</v>
      </c>
      <c r="K9" s="17">
        <v>19</v>
      </c>
      <c r="L9" s="17">
        <v>4</v>
      </c>
      <c r="M9" s="84">
        <v>8.8350000000000009</v>
      </c>
      <c r="N9" s="75">
        <v>9</v>
      </c>
      <c r="O9" s="67">
        <v>7000</v>
      </c>
      <c r="P9" s="68">
        <f>Table2245789101123456789101213141516171819202122232425[[#This Row],[PEMBULATAN]]*O9</f>
        <v>63000</v>
      </c>
    </row>
    <row r="10" spans="1:16" ht="32.25" customHeight="1" x14ac:dyDescent="0.2">
      <c r="A10" s="14"/>
      <c r="B10" s="14"/>
      <c r="C10" s="76" t="s">
        <v>504</v>
      </c>
      <c r="D10" s="81" t="s">
        <v>49</v>
      </c>
      <c r="E10" s="13">
        <v>44439</v>
      </c>
      <c r="F10" s="79" t="s">
        <v>253</v>
      </c>
      <c r="G10" s="13">
        <v>44440</v>
      </c>
      <c r="H10" s="80" t="s">
        <v>423</v>
      </c>
      <c r="I10" s="17">
        <v>43</v>
      </c>
      <c r="J10" s="17">
        <v>43</v>
      </c>
      <c r="K10" s="17">
        <v>26</v>
      </c>
      <c r="L10" s="17">
        <v>11</v>
      </c>
      <c r="M10" s="84">
        <v>12.0185</v>
      </c>
      <c r="N10" s="75">
        <v>12</v>
      </c>
      <c r="O10" s="67">
        <v>7000</v>
      </c>
      <c r="P10" s="68">
        <f>Table2245789101123456789101213141516171819202122232425[[#This Row],[PEMBULATAN]]*O10</f>
        <v>84000</v>
      </c>
    </row>
    <row r="11" spans="1:16" ht="32.25" customHeight="1" x14ac:dyDescent="0.2">
      <c r="A11" s="14"/>
      <c r="B11" s="14"/>
      <c r="C11" s="76" t="s">
        <v>505</v>
      </c>
      <c r="D11" s="81" t="s">
        <v>49</v>
      </c>
      <c r="E11" s="13">
        <v>44439</v>
      </c>
      <c r="F11" s="79" t="s">
        <v>253</v>
      </c>
      <c r="G11" s="13">
        <v>44440</v>
      </c>
      <c r="H11" s="80" t="s">
        <v>423</v>
      </c>
      <c r="I11" s="17">
        <v>49</v>
      </c>
      <c r="J11" s="17">
        <v>32</v>
      </c>
      <c r="K11" s="17">
        <v>15</v>
      </c>
      <c r="L11" s="17">
        <v>5</v>
      </c>
      <c r="M11" s="84">
        <v>5.88</v>
      </c>
      <c r="N11" s="75">
        <v>6</v>
      </c>
      <c r="O11" s="67">
        <v>7000</v>
      </c>
      <c r="P11" s="68">
        <f>Table2245789101123456789101213141516171819202122232425[[#This Row],[PEMBULATAN]]*O11</f>
        <v>42000</v>
      </c>
    </row>
    <row r="12" spans="1:16" ht="32.25" customHeight="1" x14ac:dyDescent="0.2">
      <c r="A12" s="14"/>
      <c r="B12" s="14"/>
      <c r="C12" s="76" t="s">
        <v>506</v>
      </c>
      <c r="D12" s="81" t="s">
        <v>49</v>
      </c>
      <c r="E12" s="13">
        <v>44439</v>
      </c>
      <c r="F12" s="79" t="s">
        <v>253</v>
      </c>
      <c r="G12" s="13">
        <v>44440</v>
      </c>
      <c r="H12" s="80" t="s">
        <v>423</v>
      </c>
      <c r="I12" s="17">
        <v>45</v>
      </c>
      <c r="J12" s="17">
        <v>36</v>
      </c>
      <c r="K12" s="17">
        <v>24</v>
      </c>
      <c r="L12" s="17">
        <v>18</v>
      </c>
      <c r="M12" s="84">
        <v>9.7200000000000006</v>
      </c>
      <c r="N12" s="75">
        <v>18</v>
      </c>
      <c r="O12" s="67">
        <v>7000</v>
      </c>
      <c r="P12" s="68">
        <f>Table2245789101123456789101213141516171819202122232425[[#This Row],[PEMBULATAN]]*O12</f>
        <v>126000</v>
      </c>
    </row>
    <row r="13" spans="1:16" ht="32.25" customHeight="1" x14ac:dyDescent="0.2">
      <c r="A13" s="14"/>
      <c r="B13" s="14"/>
      <c r="C13" s="76" t="s">
        <v>507</v>
      </c>
      <c r="D13" s="81" t="s">
        <v>49</v>
      </c>
      <c r="E13" s="13">
        <v>44439</v>
      </c>
      <c r="F13" s="79" t="s">
        <v>253</v>
      </c>
      <c r="G13" s="13">
        <v>44440</v>
      </c>
      <c r="H13" s="80" t="s">
        <v>423</v>
      </c>
      <c r="I13" s="17">
        <v>65</v>
      </c>
      <c r="J13" s="17">
        <v>52</v>
      </c>
      <c r="K13" s="17">
        <v>33</v>
      </c>
      <c r="L13" s="17">
        <v>18</v>
      </c>
      <c r="M13" s="84">
        <v>27.885000000000002</v>
      </c>
      <c r="N13" s="75">
        <v>28</v>
      </c>
      <c r="O13" s="67">
        <v>7000</v>
      </c>
      <c r="P13" s="68">
        <f>Table2245789101123456789101213141516171819202122232425[[#This Row],[PEMBULATAN]]*O13</f>
        <v>196000</v>
      </c>
    </row>
    <row r="14" spans="1:16" ht="32.25" customHeight="1" x14ac:dyDescent="0.2">
      <c r="A14" s="14"/>
      <c r="B14" s="14"/>
      <c r="C14" s="76" t="s">
        <v>508</v>
      </c>
      <c r="D14" s="81" t="s">
        <v>49</v>
      </c>
      <c r="E14" s="13">
        <v>44439</v>
      </c>
      <c r="F14" s="79" t="s">
        <v>253</v>
      </c>
      <c r="G14" s="13">
        <v>44440</v>
      </c>
      <c r="H14" s="80" t="s">
        <v>423</v>
      </c>
      <c r="I14" s="17">
        <v>63</v>
      </c>
      <c r="J14" s="17">
        <v>47</v>
      </c>
      <c r="K14" s="17">
        <v>35</v>
      </c>
      <c r="L14" s="17">
        <v>15</v>
      </c>
      <c r="M14" s="84">
        <v>25.908750000000001</v>
      </c>
      <c r="N14" s="75">
        <v>26</v>
      </c>
      <c r="O14" s="67">
        <v>7000</v>
      </c>
      <c r="P14" s="68">
        <f>Table2245789101123456789101213141516171819202122232425[[#This Row],[PEMBULATAN]]*O14</f>
        <v>182000</v>
      </c>
    </row>
    <row r="15" spans="1:16" ht="32.25" customHeight="1" x14ac:dyDescent="0.2">
      <c r="A15" s="14"/>
      <c r="B15" s="14"/>
      <c r="C15" s="76" t="s">
        <v>509</v>
      </c>
      <c r="D15" s="81" t="s">
        <v>49</v>
      </c>
      <c r="E15" s="13">
        <v>44439</v>
      </c>
      <c r="F15" s="79" t="s">
        <v>253</v>
      </c>
      <c r="G15" s="13">
        <v>44440</v>
      </c>
      <c r="H15" s="80" t="s">
        <v>423</v>
      </c>
      <c r="I15" s="17">
        <v>42</v>
      </c>
      <c r="J15" s="17">
        <v>33</v>
      </c>
      <c r="K15" s="17">
        <v>30</v>
      </c>
      <c r="L15" s="17">
        <v>2</v>
      </c>
      <c r="M15" s="84">
        <v>10.395</v>
      </c>
      <c r="N15" s="75">
        <v>10</v>
      </c>
      <c r="O15" s="67">
        <v>7000</v>
      </c>
      <c r="P15" s="68">
        <f>Table2245789101123456789101213141516171819202122232425[[#This Row],[PEMBULATAN]]*O15</f>
        <v>70000</v>
      </c>
    </row>
    <row r="16" spans="1:16" ht="32.25" customHeight="1" x14ac:dyDescent="0.2">
      <c r="A16" s="14"/>
      <c r="B16" s="14"/>
      <c r="C16" s="76" t="s">
        <v>510</v>
      </c>
      <c r="D16" s="81" t="s">
        <v>49</v>
      </c>
      <c r="E16" s="13">
        <v>44439</v>
      </c>
      <c r="F16" s="79" t="s">
        <v>253</v>
      </c>
      <c r="G16" s="13">
        <v>44440</v>
      </c>
      <c r="H16" s="80" t="s">
        <v>423</v>
      </c>
      <c r="I16" s="17">
        <v>40</v>
      </c>
      <c r="J16" s="17">
        <v>30</v>
      </c>
      <c r="K16" s="17">
        <v>30</v>
      </c>
      <c r="L16" s="17">
        <v>10</v>
      </c>
      <c r="M16" s="84">
        <v>9</v>
      </c>
      <c r="N16" s="75">
        <v>10</v>
      </c>
      <c r="O16" s="67">
        <v>7000</v>
      </c>
      <c r="P16" s="68">
        <f>Table2245789101123456789101213141516171819202122232425[[#This Row],[PEMBULATAN]]*O16</f>
        <v>70000</v>
      </c>
    </row>
    <row r="17" spans="1:16" ht="32.25" customHeight="1" x14ac:dyDescent="0.2">
      <c r="A17" s="14"/>
      <c r="B17" s="14"/>
      <c r="C17" s="76" t="s">
        <v>511</v>
      </c>
      <c r="D17" s="81" t="s">
        <v>49</v>
      </c>
      <c r="E17" s="13">
        <v>44439</v>
      </c>
      <c r="F17" s="79" t="s">
        <v>253</v>
      </c>
      <c r="G17" s="13">
        <v>44440</v>
      </c>
      <c r="H17" s="80" t="s">
        <v>423</v>
      </c>
      <c r="I17" s="17">
        <v>62</v>
      </c>
      <c r="J17" s="17">
        <v>40</v>
      </c>
      <c r="K17" s="17">
        <v>17</v>
      </c>
      <c r="L17" s="17">
        <v>5</v>
      </c>
      <c r="M17" s="84">
        <v>10.54</v>
      </c>
      <c r="N17" s="75">
        <v>11</v>
      </c>
      <c r="O17" s="67">
        <v>7000</v>
      </c>
      <c r="P17" s="68">
        <f>Table2245789101123456789101213141516171819202122232425[[#This Row],[PEMBULATAN]]*O17</f>
        <v>77000</v>
      </c>
    </row>
    <row r="18" spans="1:16" ht="32.25" customHeight="1" x14ac:dyDescent="0.2">
      <c r="A18" s="14"/>
      <c r="B18" s="14"/>
      <c r="C18" s="76" t="s">
        <v>512</v>
      </c>
      <c r="D18" s="81" t="s">
        <v>49</v>
      </c>
      <c r="E18" s="13">
        <v>44439</v>
      </c>
      <c r="F18" s="79" t="s">
        <v>253</v>
      </c>
      <c r="G18" s="13">
        <v>44440</v>
      </c>
      <c r="H18" s="80" t="s">
        <v>423</v>
      </c>
      <c r="I18" s="17">
        <v>55</v>
      </c>
      <c r="J18" s="17">
        <v>33</v>
      </c>
      <c r="K18" s="17">
        <v>36</v>
      </c>
      <c r="L18" s="17">
        <v>13</v>
      </c>
      <c r="M18" s="84">
        <v>16.335000000000001</v>
      </c>
      <c r="N18" s="75">
        <v>16</v>
      </c>
      <c r="O18" s="67">
        <v>7000</v>
      </c>
      <c r="P18" s="68">
        <f>Table2245789101123456789101213141516171819202122232425[[#This Row],[PEMBULATAN]]*O18</f>
        <v>112000</v>
      </c>
    </row>
    <row r="19" spans="1:16" ht="22.5" customHeight="1" x14ac:dyDescent="0.2">
      <c r="A19" s="122" t="s">
        <v>30</v>
      </c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4"/>
      <c r="M19" s="82">
        <f>SUBTOTAL(109,Table2245789101123456789101213141516171819202122232425[KG VOLUME])</f>
        <v>316.50349999999997</v>
      </c>
      <c r="N19" s="71">
        <f>SUM(N3:N18)</f>
        <v>326</v>
      </c>
      <c r="O19" s="125">
        <f>SUM(P3:P18)</f>
        <v>2282000</v>
      </c>
      <c r="P19" s="126"/>
    </row>
    <row r="20" spans="1:16" ht="18" customHeight="1" x14ac:dyDescent="0.2">
      <c r="A20" s="94"/>
      <c r="B20" s="59" t="s">
        <v>42</v>
      </c>
      <c r="C20" s="58"/>
      <c r="D20" s="60" t="s">
        <v>43</v>
      </c>
      <c r="E20" s="94"/>
      <c r="F20" s="94"/>
      <c r="G20" s="94"/>
      <c r="H20" s="94"/>
      <c r="I20" s="94"/>
      <c r="J20" s="94"/>
      <c r="K20" s="94"/>
      <c r="L20" s="94"/>
      <c r="M20" s="95"/>
      <c r="N20" s="96" t="s">
        <v>649</v>
      </c>
      <c r="O20" s="97"/>
      <c r="P20" s="97">
        <v>0</v>
      </c>
    </row>
    <row r="21" spans="1:16" ht="18" customHeight="1" thickBot="1" x14ac:dyDescent="0.25">
      <c r="A21" s="94"/>
      <c r="B21" s="59"/>
      <c r="C21" s="58"/>
      <c r="D21" s="60"/>
      <c r="E21" s="94"/>
      <c r="F21" s="94"/>
      <c r="G21" s="94"/>
      <c r="H21" s="94"/>
      <c r="I21" s="94"/>
      <c r="J21" s="94"/>
      <c r="K21" s="94"/>
      <c r="L21" s="94"/>
      <c r="M21" s="95"/>
      <c r="N21" s="98" t="s">
        <v>650</v>
      </c>
      <c r="O21" s="99"/>
      <c r="P21" s="99">
        <f>O19-P20</f>
        <v>2282000</v>
      </c>
    </row>
    <row r="22" spans="1:16" ht="18" customHeight="1" x14ac:dyDescent="0.2">
      <c r="A22" s="11"/>
      <c r="H22" s="66"/>
      <c r="N22" s="65" t="s">
        <v>31</v>
      </c>
      <c r="P22" s="72">
        <f>P21*1%</f>
        <v>22820</v>
      </c>
    </row>
    <row r="23" spans="1:16" ht="18" customHeight="1" thickBot="1" x14ac:dyDescent="0.25">
      <c r="A23" s="11"/>
      <c r="H23" s="66"/>
      <c r="N23" s="65" t="s">
        <v>651</v>
      </c>
      <c r="P23" s="74">
        <f>P21*2%</f>
        <v>45640</v>
      </c>
    </row>
    <row r="24" spans="1:16" ht="18" customHeight="1" x14ac:dyDescent="0.2">
      <c r="A24" s="11"/>
      <c r="H24" s="66"/>
      <c r="N24" s="69" t="s">
        <v>32</v>
      </c>
      <c r="O24" s="70"/>
      <c r="P24" s="73">
        <f>P21+P22-P23</f>
        <v>2259180</v>
      </c>
    </row>
    <row r="26" spans="1:16" x14ac:dyDescent="0.2">
      <c r="A26" s="11"/>
      <c r="H26" s="66"/>
      <c r="P26" s="74"/>
    </row>
    <row r="27" spans="1:16" x14ac:dyDescent="0.2">
      <c r="A27" s="11"/>
      <c r="H27" s="66"/>
      <c r="O27" s="61"/>
      <c r="P27" s="74"/>
    </row>
    <row r="28" spans="1:16" s="3" customFormat="1" x14ac:dyDescent="0.25">
      <c r="A28" s="11"/>
      <c r="B28" s="2"/>
      <c r="C28" s="2"/>
      <c r="E28" s="12"/>
      <c r="H28" s="66"/>
      <c r="N28" s="16"/>
      <c r="O28" s="16"/>
      <c r="P28" s="16"/>
    </row>
    <row r="29" spans="1:16" s="3" customFormat="1" x14ac:dyDescent="0.25">
      <c r="A29" s="11"/>
      <c r="B29" s="2"/>
      <c r="C29" s="2"/>
      <c r="E29" s="12"/>
      <c r="H29" s="66"/>
      <c r="N29" s="16"/>
      <c r="O29" s="16"/>
      <c r="P29" s="16"/>
    </row>
    <row r="30" spans="1:16" s="3" customFormat="1" x14ac:dyDescent="0.25">
      <c r="A30" s="11"/>
      <c r="B30" s="2"/>
      <c r="C30" s="2"/>
      <c r="E30" s="12"/>
      <c r="H30" s="66"/>
      <c r="N30" s="16"/>
      <c r="O30" s="16"/>
      <c r="P30" s="16"/>
    </row>
    <row r="31" spans="1:16" s="3" customFormat="1" x14ac:dyDescent="0.25">
      <c r="A31" s="11"/>
      <c r="B31" s="2"/>
      <c r="C31" s="2"/>
      <c r="E31" s="12"/>
      <c r="H31" s="66"/>
      <c r="N31" s="16"/>
      <c r="O31" s="16"/>
      <c r="P31" s="16"/>
    </row>
    <row r="32" spans="1:16" s="3" customFormat="1" x14ac:dyDescent="0.25">
      <c r="A32" s="11"/>
      <c r="B32" s="2"/>
      <c r="C32" s="2"/>
      <c r="E32" s="12"/>
      <c r="H32" s="66"/>
      <c r="N32" s="16"/>
      <c r="O32" s="16"/>
      <c r="P32" s="16"/>
    </row>
    <row r="33" spans="1:16" s="3" customFormat="1" x14ac:dyDescent="0.25">
      <c r="A33" s="11"/>
      <c r="B33" s="2"/>
      <c r="C33" s="2"/>
      <c r="E33" s="12"/>
      <c r="H33" s="66"/>
      <c r="N33" s="16"/>
      <c r="O33" s="16"/>
      <c r="P33" s="16"/>
    </row>
    <row r="34" spans="1:16" s="3" customFormat="1" x14ac:dyDescent="0.25">
      <c r="A34" s="11"/>
      <c r="B34" s="2"/>
      <c r="C34" s="2"/>
      <c r="E34" s="12"/>
      <c r="H34" s="66"/>
      <c r="N34" s="16"/>
      <c r="O34" s="16"/>
      <c r="P34" s="16"/>
    </row>
    <row r="35" spans="1:16" s="3" customFormat="1" x14ac:dyDescent="0.25">
      <c r="A35" s="11"/>
      <c r="B35" s="2"/>
      <c r="C35" s="2"/>
      <c r="E35" s="12"/>
      <c r="H35" s="66"/>
      <c r="N35" s="16"/>
      <c r="O35" s="16"/>
      <c r="P35" s="16"/>
    </row>
    <row r="36" spans="1:16" s="3" customFormat="1" x14ac:dyDescent="0.25">
      <c r="A36" s="11"/>
      <c r="B36" s="2"/>
      <c r="C36" s="2"/>
      <c r="E36" s="12"/>
      <c r="H36" s="66"/>
      <c r="N36" s="16"/>
      <c r="O36" s="16"/>
      <c r="P36" s="16"/>
    </row>
    <row r="37" spans="1:16" s="3" customFormat="1" x14ac:dyDescent="0.25">
      <c r="A37" s="11"/>
      <c r="B37" s="2"/>
      <c r="C37" s="2"/>
      <c r="E37" s="12"/>
      <c r="H37" s="66"/>
      <c r="N37" s="16"/>
      <c r="O37" s="16"/>
      <c r="P37" s="16"/>
    </row>
    <row r="38" spans="1:16" s="3" customFormat="1" x14ac:dyDescent="0.25">
      <c r="A38" s="11"/>
      <c r="B38" s="2"/>
      <c r="C38" s="2"/>
      <c r="E38" s="12"/>
      <c r="H38" s="66"/>
      <c r="N38" s="16"/>
      <c r="O38" s="16"/>
      <c r="P38" s="16"/>
    </row>
    <row r="39" spans="1:16" s="3" customFormat="1" x14ac:dyDescent="0.25">
      <c r="A39" s="11"/>
      <c r="B39" s="2"/>
      <c r="C39" s="2"/>
      <c r="E39" s="12"/>
      <c r="H39" s="66"/>
      <c r="N39" s="16"/>
      <c r="O39" s="16"/>
      <c r="P39" s="16"/>
    </row>
  </sheetData>
  <mergeCells count="3">
    <mergeCell ref="A3:A4"/>
    <mergeCell ref="A19:L19"/>
    <mergeCell ref="O19:P19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:B18">
    <cfRule type="duplicateValues" dxfId="33" priority="2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26.25" customHeight="1" x14ac:dyDescent="0.2">
      <c r="A3" s="120" t="s">
        <v>79</v>
      </c>
      <c r="B3" s="77" t="s">
        <v>75</v>
      </c>
      <c r="C3" s="9" t="s">
        <v>76</v>
      </c>
      <c r="D3" s="79" t="s">
        <v>49</v>
      </c>
      <c r="E3" s="13">
        <v>44426</v>
      </c>
      <c r="F3" s="79" t="s">
        <v>72</v>
      </c>
      <c r="G3" s="13">
        <v>44429</v>
      </c>
      <c r="H3" s="10" t="s">
        <v>78</v>
      </c>
      <c r="I3" s="1">
        <v>54</v>
      </c>
      <c r="J3" s="1">
        <v>38</v>
      </c>
      <c r="K3" s="1">
        <v>27</v>
      </c>
      <c r="L3" s="1">
        <v>9</v>
      </c>
      <c r="M3" s="83">
        <v>13.851000000000001</v>
      </c>
      <c r="N3" s="8">
        <v>14</v>
      </c>
      <c r="O3" s="67">
        <v>7000</v>
      </c>
      <c r="P3" s="68">
        <f>Table22457891011[[#This Row],[PEMBULATAN]]*O3</f>
        <v>98000</v>
      </c>
    </row>
    <row r="4" spans="1:16" ht="26.25" customHeight="1" x14ac:dyDescent="0.2">
      <c r="A4" s="121"/>
      <c r="B4" s="78"/>
      <c r="C4" s="9" t="s">
        <v>77</v>
      </c>
      <c r="D4" s="79" t="s">
        <v>49</v>
      </c>
      <c r="E4" s="13">
        <v>44426</v>
      </c>
      <c r="F4" s="79" t="s">
        <v>72</v>
      </c>
      <c r="G4" s="13">
        <v>44429</v>
      </c>
      <c r="H4" s="10" t="s">
        <v>78</v>
      </c>
      <c r="I4" s="1">
        <v>30</v>
      </c>
      <c r="J4" s="1">
        <v>20</v>
      </c>
      <c r="K4" s="1">
        <v>18</v>
      </c>
      <c r="L4" s="1">
        <v>5</v>
      </c>
      <c r="M4" s="83">
        <v>2.7</v>
      </c>
      <c r="N4" s="8">
        <v>5</v>
      </c>
      <c r="O4" s="67">
        <v>7000</v>
      </c>
      <c r="P4" s="68">
        <f>Table22457891011[[#This Row],[PEMBULATAN]]*O4</f>
        <v>35000</v>
      </c>
    </row>
    <row r="5" spans="1:16" ht="22.5" customHeight="1" x14ac:dyDescent="0.2">
      <c r="A5" s="122" t="s">
        <v>30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4"/>
      <c r="M5" s="82">
        <f>SUBTOTAL(109,Table22457891011[KG VOLUME])</f>
        <v>16.551000000000002</v>
      </c>
      <c r="N5" s="71">
        <f>SUM(N3:N4)</f>
        <v>19</v>
      </c>
      <c r="O5" s="125">
        <f>SUM(P3:P4)</f>
        <v>133000</v>
      </c>
      <c r="P5" s="126"/>
    </row>
    <row r="6" spans="1:16" ht="18" customHeight="1" x14ac:dyDescent="0.2">
      <c r="A6" s="94"/>
      <c r="B6" s="59" t="s">
        <v>42</v>
      </c>
      <c r="C6" s="58"/>
      <c r="D6" s="60" t="s">
        <v>43</v>
      </c>
      <c r="E6" s="94"/>
      <c r="F6" s="94"/>
      <c r="G6" s="94"/>
      <c r="H6" s="94"/>
      <c r="I6" s="94"/>
      <c r="J6" s="94"/>
      <c r="K6" s="94"/>
      <c r="L6" s="94"/>
      <c r="M6" s="95"/>
      <c r="N6" s="96" t="s">
        <v>649</v>
      </c>
      <c r="O6" s="97"/>
      <c r="P6" s="97">
        <v>0</v>
      </c>
    </row>
    <row r="7" spans="1:16" ht="18" customHeight="1" thickBot="1" x14ac:dyDescent="0.25">
      <c r="A7" s="94"/>
      <c r="B7" s="59"/>
      <c r="C7" s="58"/>
      <c r="D7" s="60"/>
      <c r="E7" s="94"/>
      <c r="F7" s="94"/>
      <c r="G7" s="94"/>
      <c r="H7" s="94"/>
      <c r="I7" s="94"/>
      <c r="J7" s="94"/>
      <c r="K7" s="94"/>
      <c r="L7" s="94"/>
      <c r="M7" s="95"/>
      <c r="N7" s="98" t="s">
        <v>650</v>
      </c>
      <c r="O7" s="99"/>
      <c r="P7" s="99">
        <f>O5-P6</f>
        <v>133000</v>
      </c>
    </row>
    <row r="8" spans="1:16" ht="18" customHeight="1" x14ac:dyDescent="0.2">
      <c r="A8" s="11"/>
      <c r="H8" s="66"/>
      <c r="N8" s="65" t="s">
        <v>31</v>
      </c>
      <c r="P8" s="72">
        <f>P7*1%</f>
        <v>1330</v>
      </c>
    </row>
    <row r="9" spans="1:16" ht="18" customHeight="1" thickBot="1" x14ac:dyDescent="0.25">
      <c r="A9" s="11"/>
      <c r="H9" s="66"/>
      <c r="N9" s="65" t="s">
        <v>651</v>
      </c>
      <c r="P9" s="74">
        <f>P7*2%</f>
        <v>2660</v>
      </c>
    </row>
    <row r="10" spans="1:16" ht="18" customHeight="1" x14ac:dyDescent="0.2">
      <c r="A10" s="11"/>
      <c r="H10" s="66"/>
      <c r="N10" s="69" t="s">
        <v>32</v>
      </c>
      <c r="O10" s="70"/>
      <c r="P10" s="73">
        <f>P7+P8-P9</f>
        <v>131670</v>
      </c>
    </row>
    <row r="12" spans="1:16" x14ac:dyDescent="0.2">
      <c r="A12" s="11"/>
      <c r="H12" s="66"/>
      <c r="P12" s="74"/>
    </row>
    <row r="13" spans="1:16" x14ac:dyDescent="0.2">
      <c r="A13" s="11"/>
      <c r="H13" s="66"/>
      <c r="O13" s="61"/>
      <c r="P13" s="74"/>
    </row>
    <row r="14" spans="1:16" s="3" customFormat="1" x14ac:dyDescent="0.25">
      <c r="A14" s="11"/>
      <c r="B14" s="2"/>
      <c r="C14" s="2"/>
      <c r="E14" s="12"/>
      <c r="H14" s="66"/>
      <c r="N14" s="16"/>
      <c r="O14" s="16"/>
      <c r="P14" s="16"/>
    </row>
    <row r="15" spans="1:16" s="3" customFormat="1" x14ac:dyDescent="0.25">
      <c r="A15" s="11"/>
      <c r="B15" s="2"/>
      <c r="C15" s="2"/>
      <c r="E15" s="12"/>
      <c r="H15" s="66"/>
      <c r="N15" s="16"/>
      <c r="O15" s="16"/>
      <c r="P15" s="16"/>
    </row>
    <row r="16" spans="1:16" s="3" customFormat="1" x14ac:dyDescent="0.25">
      <c r="A16" s="11"/>
      <c r="B16" s="2"/>
      <c r="C16" s="2"/>
      <c r="E16" s="12"/>
      <c r="H16" s="66"/>
      <c r="N16" s="16"/>
      <c r="O16" s="16"/>
      <c r="P16" s="16"/>
    </row>
    <row r="17" spans="1:16" s="3" customFormat="1" x14ac:dyDescent="0.25">
      <c r="A17" s="11"/>
      <c r="B17" s="2"/>
      <c r="C17" s="2"/>
      <c r="E17" s="12"/>
      <c r="H17" s="66"/>
      <c r="N17" s="16"/>
      <c r="O17" s="16"/>
      <c r="P17" s="16"/>
    </row>
    <row r="18" spans="1:16" s="3" customFormat="1" x14ac:dyDescent="0.25">
      <c r="A18" s="11"/>
      <c r="B18" s="2"/>
      <c r="C18" s="2"/>
      <c r="E18" s="12"/>
      <c r="H18" s="66"/>
      <c r="N18" s="16"/>
      <c r="O18" s="16"/>
      <c r="P18" s="16"/>
    </row>
    <row r="19" spans="1:16" s="3" customFormat="1" x14ac:dyDescent="0.25">
      <c r="A19" s="11"/>
      <c r="B19" s="2"/>
      <c r="C19" s="2"/>
      <c r="E19" s="12"/>
      <c r="H19" s="66"/>
      <c r="N19" s="16"/>
      <c r="O19" s="16"/>
      <c r="P19" s="16"/>
    </row>
    <row r="20" spans="1:16" s="3" customFormat="1" x14ac:dyDescent="0.25">
      <c r="A20" s="11"/>
      <c r="B20" s="2"/>
      <c r="C20" s="2"/>
      <c r="E20" s="12"/>
      <c r="H20" s="66"/>
      <c r="N20" s="16"/>
      <c r="O20" s="16"/>
      <c r="P20" s="16"/>
    </row>
    <row r="21" spans="1:16" s="3" customFormat="1" x14ac:dyDescent="0.25">
      <c r="A21" s="11"/>
      <c r="B21" s="2"/>
      <c r="C21" s="2"/>
      <c r="E21" s="12"/>
      <c r="H21" s="66"/>
      <c r="N21" s="16"/>
      <c r="O21" s="16"/>
      <c r="P21" s="16"/>
    </row>
    <row r="22" spans="1:16" s="3" customFormat="1" x14ac:dyDescent="0.25">
      <c r="A22" s="11"/>
      <c r="B22" s="2"/>
      <c r="C22" s="2"/>
      <c r="E22" s="12"/>
      <c r="H22" s="66"/>
      <c r="N22" s="16"/>
      <c r="O22" s="16"/>
      <c r="P22" s="16"/>
    </row>
    <row r="23" spans="1:16" s="3" customFormat="1" x14ac:dyDescent="0.25">
      <c r="A23" s="11"/>
      <c r="B23" s="2"/>
      <c r="C23" s="2"/>
      <c r="E23" s="12"/>
      <c r="H23" s="66"/>
      <c r="N23" s="16"/>
      <c r="O23" s="16"/>
      <c r="P23" s="16"/>
    </row>
    <row r="24" spans="1:16" s="3" customFormat="1" x14ac:dyDescent="0.25">
      <c r="A24" s="11"/>
      <c r="B24" s="2"/>
      <c r="C24" s="2"/>
      <c r="E24" s="12"/>
      <c r="H24" s="66"/>
      <c r="N24" s="16"/>
      <c r="O24" s="16"/>
      <c r="P24" s="16"/>
    </row>
    <row r="25" spans="1:16" s="3" customFormat="1" x14ac:dyDescent="0.25">
      <c r="A25" s="11"/>
      <c r="B25" s="2"/>
      <c r="C25" s="2"/>
      <c r="E25" s="12"/>
      <c r="H25" s="66"/>
      <c r="N25" s="16"/>
      <c r="O25" s="16"/>
      <c r="P25" s="16"/>
    </row>
  </sheetData>
  <mergeCells count="3">
    <mergeCell ref="A3:A4"/>
    <mergeCell ref="A5:L5"/>
    <mergeCell ref="O5:P5"/>
  </mergeCells>
  <conditionalFormatting sqref="B3">
    <cfRule type="duplicateValues" dxfId="491" priority="2"/>
  </conditionalFormatting>
  <conditionalFormatting sqref="B4">
    <cfRule type="duplicateValues" dxfId="490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26.25" customHeight="1" x14ac:dyDescent="0.2">
      <c r="A3" s="120" t="s">
        <v>645</v>
      </c>
      <c r="B3" s="77" t="s">
        <v>513</v>
      </c>
      <c r="C3" s="9" t="s">
        <v>514</v>
      </c>
      <c r="D3" s="79" t="s">
        <v>49</v>
      </c>
      <c r="E3" s="13">
        <v>44439</v>
      </c>
      <c r="F3" s="79" t="s">
        <v>389</v>
      </c>
      <c r="G3" s="13">
        <v>44445</v>
      </c>
      <c r="H3" s="10" t="s">
        <v>546</v>
      </c>
      <c r="I3" s="1">
        <v>132</v>
      </c>
      <c r="J3" s="1">
        <v>18</v>
      </c>
      <c r="K3" s="1">
        <v>18</v>
      </c>
      <c r="L3" s="1">
        <v>12</v>
      </c>
      <c r="M3" s="83">
        <v>10.692</v>
      </c>
      <c r="N3" s="8">
        <v>12</v>
      </c>
      <c r="O3" s="67">
        <v>7000</v>
      </c>
      <c r="P3" s="68">
        <f>Table224578910112345678910121314151617181920212223242526[[#This Row],[PEMBULATAN]]*O3</f>
        <v>84000</v>
      </c>
    </row>
    <row r="4" spans="1:16" ht="26.25" customHeight="1" x14ac:dyDescent="0.2">
      <c r="A4" s="121"/>
      <c r="B4" s="78"/>
      <c r="C4" s="9" t="s">
        <v>515</v>
      </c>
      <c r="D4" s="79" t="s">
        <v>49</v>
      </c>
      <c r="E4" s="13">
        <v>44439</v>
      </c>
      <c r="F4" s="79" t="s">
        <v>389</v>
      </c>
      <c r="G4" s="13">
        <v>44445</v>
      </c>
      <c r="H4" s="10" t="s">
        <v>546</v>
      </c>
      <c r="I4" s="1">
        <v>79</v>
      </c>
      <c r="J4" s="1">
        <v>22</v>
      </c>
      <c r="K4" s="1">
        <v>18</v>
      </c>
      <c r="L4" s="1">
        <v>5</v>
      </c>
      <c r="M4" s="83">
        <v>7.8209999999999997</v>
      </c>
      <c r="N4" s="8">
        <v>8</v>
      </c>
      <c r="O4" s="67">
        <v>7000</v>
      </c>
      <c r="P4" s="68">
        <f>Table224578910112345678910121314151617181920212223242526[[#This Row],[PEMBULATAN]]*O4</f>
        <v>56000</v>
      </c>
    </row>
    <row r="5" spans="1:16" ht="26.25" customHeight="1" x14ac:dyDescent="0.2">
      <c r="A5" s="14"/>
      <c r="B5" s="15"/>
      <c r="C5" s="9" t="s">
        <v>516</v>
      </c>
      <c r="D5" s="79" t="s">
        <v>49</v>
      </c>
      <c r="E5" s="13">
        <v>44439</v>
      </c>
      <c r="F5" s="79" t="s">
        <v>389</v>
      </c>
      <c r="G5" s="13">
        <v>44445</v>
      </c>
      <c r="H5" s="10" t="s">
        <v>546</v>
      </c>
      <c r="I5" s="1">
        <v>29</v>
      </c>
      <c r="J5" s="1">
        <v>26</v>
      </c>
      <c r="K5" s="1">
        <v>18</v>
      </c>
      <c r="L5" s="1">
        <v>8</v>
      </c>
      <c r="M5" s="83">
        <v>3.3929999999999998</v>
      </c>
      <c r="N5" s="8">
        <v>8</v>
      </c>
      <c r="O5" s="67">
        <v>7000</v>
      </c>
      <c r="P5" s="68">
        <f>Table224578910112345678910121314151617181920212223242526[[#This Row],[PEMBULATAN]]*O5</f>
        <v>56000</v>
      </c>
    </row>
    <row r="6" spans="1:16" ht="26.25" customHeight="1" x14ac:dyDescent="0.2">
      <c r="A6" s="14"/>
      <c r="B6" s="14" t="s">
        <v>517</v>
      </c>
      <c r="C6" s="76" t="s">
        <v>518</v>
      </c>
      <c r="D6" s="81" t="s">
        <v>49</v>
      </c>
      <c r="E6" s="13">
        <v>44439</v>
      </c>
      <c r="F6" s="79" t="s">
        <v>389</v>
      </c>
      <c r="G6" s="13">
        <v>44445</v>
      </c>
      <c r="H6" s="80" t="s">
        <v>546</v>
      </c>
      <c r="I6" s="17">
        <v>67</v>
      </c>
      <c r="J6" s="17">
        <v>65</v>
      </c>
      <c r="K6" s="17">
        <v>36</v>
      </c>
      <c r="L6" s="17">
        <v>15</v>
      </c>
      <c r="M6" s="84">
        <v>39.195</v>
      </c>
      <c r="N6" s="75">
        <v>39</v>
      </c>
      <c r="O6" s="67">
        <v>7000</v>
      </c>
      <c r="P6" s="68">
        <f>Table224578910112345678910121314151617181920212223242526[[#This Row],[PEMBULATAN]]*O6</f>
        <v>273000</v>
      </c>
    </row>
    <row r="7" spans="1:16" ht="26.25" customHeight="1" x14ac:dyDescent="0.2">
      <c r="A7" s="14"/>
      <c r="B7" s="14"/>
      <c r="C7" s="76" t="s">
        <v>519</v>
      </c>
      <c r="D7" s="81" t="s">
        <v>49</v>
      </c>
      <c r="E7" s="13">
        <v>44439</v>
      </c>
      <c r="F7" s="79" t="s">
        <v>389</v>
      </c>
      <c r="G7" s="13">
        <v>44445</v>
      </c>
      <c r="H7" s="80" t="s">
        <v>546</v>
      </c>
      <c r="I7" s="17">
        <v>32</v>
      </c>
      <c r="J7" s="17">
        <v>22</v>
      </c>
      <c r="K7" s="17">
        <v>17</v>
      </c>
      <c r="L7" s="17">
        <v>7</v>
      </c>
      <c r="M7" s="84">
        <v>2.992</v>
      </c>
      <c r="N7" s="75">
        <v>7</v>
      </c>
      <c r="O7" s="67">
        <v>7000</v>
      </c>
      <c r="P7" s="68">
        <f>Table224578910112345678910121314151617181920212223242526[[#This Row],[PEMBULATAN]]*O7</f>
        <v>49000</v>
      </c>
    </row>
    <row r="8" spans="1:16" ht="26.25" customHeight="1" x14ac:dyDescent="0.2">
      <c r="A8" s="14"/>
      <c r="B8" s="14"/>
      <c r="C8" s="76" t="s">
        <v>520</v>
      </c>
      <c r="D8" s="81" t="s">
        <v>49</v>
      </c>
      <c r="E8" s="13">
        <v>44439</v>
      </c>
      <c r="F8" s="79" t="s">
        <v>389</v>
      </c>
      <c r="G8" s="13">
        <v>44445</v>
      </c>
      <c r="H8" s="80" t="s">
        <v>546</v>
      </c>
      <c r="I8" s="17">
        <v>43</v>
      </c>
      <c r="J8" s="17">
        <v>34</v>
      </c>
      <c r="K8" s="17">
        <v>29</v>
      </c>
      <c r="L8" s="17">
        <v>9</v>
      </c>
      <c r="M8" s="84">
        <v>10.599500000000001</v>
      </c>
      <c r="N8" s="75">
        <v>11</v>
      </c>
      <c r="O8" s="67">
        <v>7000</v>
      </c>
      <c r="P8" s="68">
        <f>Table224578910112345678910121314151617181920212223242526[[#This Row],[PEMBULATAN]]*O8</f>
        <v>77000</v>
      </c>
    </row>
    <row r="9" spans="1:16" ht="26.25" customHeight="1" x14ac:dyDescent="0.2">
      <c r="A9" s="14"/>
      <c r="B9" s="14"/>
      <c r="C9" s="76" t="s">
        <v>521</v>
      </c>
      <c r="D9" s="81" t="s">
        <v>49</v>
      </c>
      <c r="E9" s="13">
        <v>44439</v>
      </c>
      <c r="F9" s="79" t="s">
        <v>389</v>
      </c>
      <c r="G9" s="13">
        <v>44445</v>
      </c>
      <c r="H9" s="80" t="s">
        <v>546</v>
      </c>
      <c r="I9" s="17">
        <v>35</v>
      </c>
      <c r="J9" s="17">
        <v>35</v>
      </c>
      <c r="K9" s="17">
        <v>18</v>
      </c>
      <c r="L9" s="17">
        <v>12</v>
      </c>
      <c r="M9" s="84">
        <v>5.5125000000000002</v>
      </c>
      <c r="N9" s="75">
        <v>12</v>
      </c>
      <c r="O9" s="67">
        <v>7000</v>
      </c>
      <c r="P9" s="68">
        <f>Table224578910112345678910121314151617181920212223242526[[#This Row],[PEMBULATAN]]*O9</f>
        <v>84000</v>
      </c>
    </row>
    <row r="10" spans="1:16" ht="26.25" customHeight="1" x14ac:dyDescent="0.2">
      <c r="A10" s="14"/>
      <c r="B10" s="14"/>
      <c r="C10" s="76" t="s">
        <v>522</v>
      </c>
      <c r="D10" s="81" t="s">
        <v>49</v>
      </c>
      <c r="E10" s="13">
        <v>44439</v>
      </c>
      <c r="F10" s="79" t="s">
        <v>389</v>
      </c>
      <c r="G10" s="13">
        <v>44445</v>
      </c>
      <c r="H10" s="80" t="s">
        <v>546</v>
      </c>
      <c r="I10" s="17">
        <v>35</v>
      </c>
      <c r="J10" s="17">
        <v>35</v>
      </c>
      <c r="K10" s="17">
        <v>18</v>
      </c>
      <c r="L10" s="17">
        <v>12</v>
      </c>
      <c r="M10" s="84">
        <v>5.5125000000000002</v>
      </c>
      <c r="N10" s="75">
        <v>12</v>
      </c>
      <c r="O10" s="67">
        <v>7000</v>
      </c>
      <c r="P10" s="68">
        <f>Table224578910112345678910121314151617181920212223242526[[#This Row],[PEMBULATAN]]*O10</f>
        <v>84000</v>
      </c>
    </row>
    <row r="11" spans="1:16" ht="26.25" customHeight="1" x14ac:dyDescent="0.2">
      <c r="A11" s="14"/>
      <c r="B11" s="14"/>
      <c r="C11" s="76" t="s">
        <v>523</v>
      </c>
      <c r="D11" s="81" t="s">
        <v>49</v>
      </c>
      <c r="E11" s="13">
        <v>44439</v>
      </c>
      <c r="F11" s="79" t="s">
        <v>389</v>
      </c>
      <c r="G11" s="13">
        <v>44445</v>
      </c>
      <c r="H11" s="80" t="s">
        <v>546</v>
      </c>
      <c r="I11" s="17">
        <v>35</v>
      </c>
      <c r="J11" s="17">
        <v>35</v>
      </c>
      <c r="K11" s="17">
        <v>18</v>
      </c>
      <c r="L11" s="17">
        <v>12</v>
      </c>
      <c r="M11" s="84">
        <v>5.5125000000000002</v>
      </c>
      <c r="N11" s="75">
        <v>12</v>
      </c>
      <c r="O11" s="67">
        <v>7000</v>
      </c>
      <c r="P11" s="68">
        <f>Table224578910112345678910121314151617181920212223242526[[#This Row],[PEMBULATAN]]*O11</f>
        <v>84000</v>
      </c>
    </row>
    <row r="12" spans="1:16" ht="26.25" customHeight="1" x14ac:dyDescent="0.2">
      <c r="A12" s="14"/>
      <c r="B12" s="14"/>
      <c r="C12" s="76" t="s">
        <v>524</v>
      </c>
      <c r="D12" s="81" t="s">
        <v>49</v>
      </c>
      <c r="E12" s="13">
        <v>44439</v>
      </c>
      <c r="F12" s="79" t="s">
        <v>389</v>
      </c>
      <c r="G12" s="13">
        <v>44445</v>
      </c>
      <c r="H12" s="80" t="s">
        <v>546</v>
      </c>
      <c r="I12" s="17">
        <v>38</v>
      </c>
      <c r="J12" s="17">
        <v>26</v>
      </c>
      <c r="K12" s="17">
        <v>20</v>
      </c>
      <c r="L12" s="17">
        <v>5</v>
      </c>
      <c r="M12" s="84">
        <v>4.9400000000000004</v>
      </c>
      <c r="N12" s="75">
        <v>5</v>
      </c>
      <c r="O12" s="67">
        <v>7000</v>
      </c>
      <c r="P12" s="68">
        <f>Table224578910112345678910121314151617181920212223242526[[#This Row],[PEMBULATAN]]*O12</f>
        <v>35000</v>
      </c>
    </row>
    <row r="13" spans="1:16" ht="26.25" customHeight="1" x14ac:dyDescent="0.2">
      <c r="A13" s="14"/>
      <c r="B13" s="14"/>
      <c r="C13" s="76" t="s">
        <v>525</v>
      </c>
      <c r="D13" s="81" t="s">
        <v>49</v>
      </c>
      <c r="E13" s="13">
        <v>44439</v>
      </c>
      <c r="F13" s="79" t="s">
        <v>389</v>
      </c>
      <c r="G13" s="13">
        <v>44445</v>
      </c>
      <c r="H13" s="80" t="s">
        <v>546</v>
      </c>
      <c r="I13" s="17">
        <v>37</v>
      </c>
      <c r="J13" s="17">
        <v>30</v>
      </c>
      <c r="K13" s="17">
        <v>16</v>
      </c>
      <c r="L13" s="17">
        <v>10</v>
      </c>
      <c r="M13" s="84">
        <v>4.4400000000000004</v>
      </c>
      <c r="N13" s="75">
        <v>10</v>
      </c>
      <c r="O13" s="67">
        <v>7000</v>
      </c>
      <c r="P13" s="68">
        <f>Table224578910112345678910121314151617181920212223242526[[#This Row],[PEMBULATAN]]*O13</f>
        <v>70000</v>
      </c>
    </row>
    <row r="14" spans="1:16" ht="26.25" customHeight="1" x14ac:dyDescent="0.2">
      <c r="A14" s="14"/>
      <c r="B14" s="14"/>
      <c r="C14" s="76" t="s">
        <v>526</v>
      </c>
      <c r="D14" s="81" t="s">
        <v>49</v>
      </c>
      <c r="E14" s="13">
        <v>44439</v>
      </c>
      <c r="F14" s="79" t="s">
        <v>389</v>
      </c>
      <c r="G14" s="13">
        <v>44445</v>
      </c>
      <c r="H14" s="80" t="s">
        <v>546</v>
      </c>
      <c r="I14" s="17">
        <v>37</v>
      </c>
      <c r="J14" s="17">
        <v>28</v>
      </c>
      <c r="K14" s="17">
        <v>16</v>
      </c>
      <c r="L14" s="17">
        <v>10</v>
      </c>
      <c r="M14" s="84">
        <v>4.1440000000000001</v>
      </c>
      <c r="N14" s="75">
        <v>10</v>
      </c>
      <c r="O14" s="67">
        <v>7000</v>
      </c>
      <c r="P14" s="68">
        <f>Table224578910112345678910121314151617181920212223242526[[#This Row],[PEMBULATAN]]*O14</f>
        <v>70000</v>
      </c>
    </row>
    <row r="15" spans="1:16" ht="26.25" customHeight="1" x14ac:dyDescent="0.2">
      <c r="A15" s="14"/>
      <c r="B15" s="14"/>
      <c r="C15" s="76" t="s">
        <v>527</v>
      </c>
      <c r="D15" s="81" t="s">
        <v>49</v>
      </c>
      <c r="E15" s="13">
        <v>44439</v>
      </c>
      <c r="F15" s="79" t="s">
        <v>389</v>
      </c>
      <c r="G15" s="13">
        <v>44445</v>
      </c>
      <c r="H15" s="80" t="s">
        <v>546</v>
      </c>
      <c r="I15" s="17">
        <v>32</v>
      </c>
      <c r="J15" s="17">
        <v>22</v>
      </c>
      <c r="K15" s="17">
        <v>17</v>
      </c>
      <c r="L15" s="17">
        <v>8</v>
      </c>
      <c r="M15" s="84">
        <v>2.992</v>
      </c>
      <c r="N15" s="75">
        <v>8</v>
      </c>
      <c r="O15" s="67">
        <v>7000</v>
      </c>
      <c r="P15" s="68">
        <f>Table224578910112345678910121314151617181920212223242526[[#This Row],[PEMBULATAN]]*O15</f>
        <v>56000</v>
      </c>
    </row>
    <row r="16" spans="1:16" ht="26.25" customHeight="1" x14ac:dyDescent="0.2">
      <c r="A16" s="14"/>
      <c r="B16" s="14"/>
      <c r="C16" s="76" t="s">
        <v>528</v>
      </c>
      <c r="D16" s="81" t="s">
        <v>49</v>
      </c>
      <c r="E16" s="13">
        <v>44439</v>
      </c>
      <c r="F16" s="79" t="s">
        <v>389</v>
      </c>
      <c r="G16" s="13">
        <v>44445</v>
      </c>
      <c r="H16" s="80" t="s">
        <v>546</v>
      </c>
      <c r="I16" s="17">
        <v>36</v>
      </c>
      <c r="J16" s="17">
        <v>30</v>
      </c>
      <c r="K16" s="17">
        <v>12</v>
      </c>
      <c r="L16" s="17">
        <v>10</v>
      </c>
      <c r="M16" s="84">
        <v>3.24</v>
      </c>
      <c r="N16" s="75">
        <v>10</v>
      </c>
      <c r="O16" s="67">
        <v>7000</v>
      </c>
      <c r="P16" s="68">
        <f>Table224578910112345678910121314151617181920212223242526[[#This Row],[PEMBULATAN]]*O16</f>
        <v>70000</v>
      </c>
    </row>
    <row r="17" spans="1:16" ht="26.25" customHeight="1" x14ac:dyDescent="0.2">
      <c r="A17" s="14"/>
      <c r="B17" s="14"/>
      <c r="C17" s="76" t="s">
        <v>529</v>
      </c>
      <c r="D17" s="81" t="s">
        <v>49</v>
      </c>
      <c r="E17" s="13">
        <v>44439</v>
      </c>
      <c r="F17" s="79" t="s">
        <v>389</v>
      </c>
      <c r="G17" s="13">
        <v>44445</v>
      </c>
      <c r="H17" s="80" t="s">
        <v>546</v>
      </c>
      <c r="I17" s="17">
        <v>43</v>
      </c>
      <c r="J17" s="17">
        <v>34</v>
      </c>
      <c r="K17" s="17">
        <v>29</v>
      </c>
      <c r="L17" s="17">
        <v>9</v>
      </c>
      <c r="M17" s="84">
        <v>10.599500000000001</v>
      </c>
      <c r="N17" s="75">
        <v>11</v>
      </c>
      <c r="O17" s="67">
        <v>7000</v>
      </c>
      <c r="P17" s="68">
        <f>Table224578910112345678910121314151617181920212223242526[[#This Row],[PEMBULATAN]]*O17</f>
        <v>77000</v>
      </c>
    </row>
    <row r="18" spans="1:16" ht="26.25" customHeight="1" x14ac:dyDescent="0.2">
      <c r="A18" s="14"/>
      <c r="B18" s="14"/>
      <c r="C18" s="76" t="s">
        <v>530</v>
      </c>
      <c r="D18" s="81" t="s">
        <v>49</v>
      </c>
      <c r="E18" s="13">
        <v>44439</v>
      </c>
      <c r="F18" s="79" t="s">
        <v>389</v>
      </c>
      <c r="G18" s="13">
        <v>44445</v>
      </c>
      <c r="H18" s="80" t="s">
        <v>546</v>
      </c>
      <c r="I18" s="17">
        <v>37</v>
      </c>
      <c r="J18" s="17">
        <v>30</v>
      </c>
      <c r="K18" s="17">
        <v>16</v>
      </c>
      <c r="L18" s="17">
        <v>10</v>
      </c>
      <c r="M18" s="84">
        <v>4.4400000000000004</v>
      </c>
      <c r="N18" s="75">
        <v>10</v>
      </c>
      <c r="O18" s="67">
        <v>7000</v>
      </c>
      <c r="P18" s="68">
        <f>Table224578910112345678910121314151617181920212223242526[[#This Row],[PEMBULATAN]]*O18</f>
        <v>70000</v>
      </c>
    </row>
    <row r="19" spans="1:16" ht="26.25" customHeight="1" x14ac:dyDescent="0.2">
      <c r="A19" s="14"/>
      <c r="B19" s="14"/>
      <c r="C19" s="76" t="s">
        <v>531</v>
      </c>
      <c r="D19" s="81" t="s">
        <v>49</v>
      </c>
      <c r="E19" s="13">
        <v>44439</v>
      </c>
      <c r="F19" s="79" t="s">
        <v>389</v>
      </c>
      <c r="G19" s="13">
        <v>44445</v>
      </c>
      <c r="H19" s="80" t="s">
        <v>546</v>
      </c>
      <c r="I19" s="17">
        <v>43</v>
      </c>
      <c r="J19" s="17">
        <v>34</v>
      </c>
      <c r="K19" s="17">
        <v>29</v>
      </c>
      <c r="L19" s="17">
        <v>9</v>
      </c>
      <c r="M19" s="84">
        <v>10.599500000000001</v>
      </c>
      <c r="N19" s="75">
        <v>11</v>
      </c>
      <c r="O19" s="67">
        <v>7000</v>
      </c>
      <c r="P19" s="68">
        <f>Table224578910112345678910121314151617181920212223242526[[#This Row],[PEMBULATAN]]*O19</f>
        <v>77000</v>
      </c>
    </row>
    <row r="20" spans="1:16" ht="26.25" customHeight="1" x14ac:dyDescent="0.2">
      <c r="A20" s="14"/>
      <c r="B20" s="14"/>
      <c r="C20" s="76" t="s">
        <v>532</v>
      </c>
      <c r="D20" s="81" t="s">
        <v>49</v>
      </c>
      <c r="E20" s="13">
        <v>44439</v>
      </c>
      <c r="F20" s="79" t="s">
        <v>389</v>
      </c>
      <c r="G20" s="13">
        <v>44445</v>
      </c>
      <c r="H20" s="80" t="s">
        <v>546</v>
      </c>
      <c r="I20" s="17">
        <v>43</v>
      </c>
      <c r="J20" s="17">
        <v>34</v>
      </c>
      <c r="K20" s="17">
        <v>29</v>
      </c>
      <c r="L20" s="17">
        <v>9</v>
      </c>
      <c r="M20" s="84">
        <v>10.599500000000001</v>
      </c>
      <c r="N20" s="75">
        <v>11</v>
      </c>
      <c r="O20" s="67">
        <v>7000</v>
      </c>
      <c r="P20" s="68">
        <f>Table224578910112345678910121314151617181920212223242526[[#This Row],[PEMBULATAN]]*O20</f>
        <v>77000</v>
      </c>
    </row>
    <row r="21" spans="1:16" ht="26.25" customHeight="1" x14ac:dyDescent="0.2">
      <c r="A21" s="14"/>
      <c r="B21" s="14"/>
      <c r="C21" s="76" t="s">
        <v>533</v>
      </c>
      <c r="D21" s="81" t="s">
        <v>49</v>
      </c>
      <c r="E21" s="13">
        <v>44439</v>
      </c>
      <c r="F21" s="79" t="s">
        <v>389</v>
      </c>
      <c r="G21" s="13">
        <v>44445</v>
      </c>
      <c r="H21" s="80" t="s">
        <v>546</v>
      </c>
      <c r="I21" s="17">
        <v>43</v>
      </c>
      <c r="J21" s="17">
        <v>34</v>
      </c>
      <c r="K21" s="17">
        <v>29</v>
      </c>
      <c r="L21" s="17">
        <v>10</v>
      </c>
      <c r="M21" s="84">
        <v>10.599500000000001</v>
      </c>
      <c r="N21" s="75">
        <v>11</v>
      </c>
      <c r="O21" s="67">
        <v>7000</v>
      </c>
      <c r="P21" s="68">
        <f>Table224578910112345678910121314151617181920212223242526[[#This Row],[PEMBULATAN]]*O21</f>
        <v>77000</v>
      </c>
    </row>
    <row r="22" spans="1:16" ht="26.25" customHeight="1" x14ac:dyDescent="0.2">
      <c r="A22" s="14"/>
      <c r="B22" s="14"/>
      <c r="C22" s="76" t="s">
        <v>534</v>
      </c>
      <c r="D22" s="81" t="s">
        <v>49</v>
      </c>
      <c r="E22" s="13">
        <v>44439</v>
      </c>
      <c r="F22" s="79" t="s">
        <v>389</v>
      </c>
      <c r="G22" s="13">
        <v>44445</v>
      </c>
      <c r="H22" s="80" t="s">
        <v>546</v>
      </c>
      <c r="I22" s="17">
        <v>43</v>
      </c>
      <c r="J22" s="17">
        <v>34</v>
      </c>
      <c r="K22" s="17">
        <v>29</v>
      </c>
      <c r="L22" s="17">
        <v>9</v>
      </c>
      <c r="M22" s="84">
        <v>10.599500000000001</v>
      </c>
      <c r="N22" s="75">
        <v>11</v>
      </c>
      <c r="O22" s="67">
        <v>7000</v>
      </c>
      <c r="P22" s="68">
        <f>Table224578910112345678910121314151617181920212223242526[[#This Row],[PEMBULATAN]]*O22</f>
        <v>77000</v>
      </c>
    </row>
    <row r="23" spans="1:16" ht="26.25" customHeight="1" x14ac:dyDescent="0.2">
      <c r="A23" s="14"/>
      <c r="B23" s="14"/>
      <c r="C23" s="76" t="s">
        <v>535</v>
      </c>
      <c r="D23" s="81" t="s">
        <v>49</v>
      </c>
      <c r="E23" s="13">
        <v>44439</v>
      </c>
      <c r="F23" s="79" t="s">
        <v>389</v>
      </c>
      <c r="G23" s="13">
        <v>44445</v>
      </c>
      <c r="H23" s="80" t="s">
        <v>546</v>
      </c>
      <c r="I23" s="17">
        <v>35</v>
      </c>
      <c r="J23" s="17">
        <v>35</v>
      </c>
      <c r="K23" s="17">
        <v>18</v>
      </c>
      <c r="L23" s="17">
        <v>12</v>
      </c>
      <c r="M23" s="84">
        <v>5.5125000000000002</v>
      </c>
      <c r="N23" s="75">
        <v>12</v>
      </c>
      <c r="O23" s="67">
        <v>7000</v>
      </c>
      <c r="P23" s="68">
        <f>Table224578910112345678910121314151617181920212223242526[[#This Row],[PEMBULATAN]]*O23</f>
        <v>84000</v>
      </c>
    </row>
    <row r="24" spans="1:16" ht="26.25" customHeight="1" x14ac:dyDescent="0.2">
      <c r="A24" s="14"/>
      <c r="B24" s="14"/>
      <c r="C24" s="76" t="s">
        <v>536</v>
      </c>
      <c r="D24" s="81" t="s">
        <v>49</v>
      </c>
      <c r="E24" s="13">
        <v>44439</v>
      </c>
      <c r="F24" s="79" t="s">
        <v>389</v>
      </c>
      <c r="G24" s="13">
        <v>44445</v>
      </c>
      <c r="H24" s="80" t="s">
        <v>546</v>
      </c>
      <c r="I24" s="17">
        <v>38</v>
      </c>
      <c r="J24" s="17">
        <v>34</v>
      </c>
      <c r="K24" s="17">
        <v>18</v>
      </c>
      <c r="L24" s="17">
        <v>12</v>
      </c>
      <c r="M24" s="84">
        <v>5.8140000000000001</v>
      </c>
      <c r="N24" s="75">
        <v>12</v>
      </c>
      <c r="O24" s="67">
        <v>7000</v>
      </c>
      <c r="P24" s="68">
        <f>Table224578910112345678910121314151617181920212223242526[[#This Row],[PEMBULATAN]]*O24</f>
        <v>84000</v>
      </c>
    </row>
    <row r="25" spans="1:16" ht="26.25" customHeight="1" x14ac:dyDescent="0.2">
      <c r="A25" s="14"/>
      <c r="B25" s="14"/>
      <c r="C25" s="76" t="s">
        <v>537</v>
      </c>
      <c r="D25" s="81" t="s">
        <v>49</v>
      </c>
      <c r="E25" s="13">
        <v>44439</v>
      </c>
      <c r="F25" s="79" t="s">
        <v>389</v>
      </c>
      <c r="G25" s="13">
        <v>44445</v>
      </c>
      <c r="H25" s="80" t="s">
        <v>546</v>
      </c>
      <c r="I25" s="17">
        <v>37</v>
      </c>
      <c r="J25" s="17">
        <v>30</v>
      </c>
      <c r="K25" s="17">
        <v>16</v>
      </c>
      <c r="L25" s="17">
        <v>10</v>
      </c>
      <c r="M25" s="84">
        <v>4.4400000000000004</v>
      </c>
      <c r="N25" s="75">
        <v>10</v>
      </c>
      <c r="O25" s="67">
        <v>7000</v>
      </c>
      <c r="P25" s="68">
        <f>Table224578910112345678910121314151617181920212223242526[[#This Row],[PEMBULATAN]]*O25</f>
        <v>70000</v>
      </c>
    </row>
    <row r="26" spans="1:16" ht="26.25" customHeight="1" x14ac:dyDescent="0.2">
      <c r="A26" s="14"/>
      <c r="B26" s="14"/>
      <c r="C26" s="76" t="s">
        <v>538</v>
      </c>
      <c r="D26" s="81" t="s">
        <v>49</v>
      </c>
      <c r="E26" s="13">
        <v>44439</v>
      </c>
      <c r="F26" s="79" t="s">
        <v>389</v>
      </c>
      <c r="G26" s="13">
        <v>44445</v>
      </c>
      <c r="H26" s="80" t="s">
        <v>546</v>
      </c>
      <c r="I26" s="17">
        <v>37</v>
      </c>
      <c r="J26" s="17">
        <v>30</v>
      </c>
      <c r="K26" s="17">
        <v>16</v>
      </c>
      <c r="L26" s="17">
        <v>10</v>
      </c>
      <c r="M26" s="84">
        <v>4.4400000000000004</v>
      </c>
      <c r="N26" s="75">
        <v>10</v>
      </c>
      <c r="O26" s="67">
        <v>7000</v>
      </c>
      <c r="P26" s="68">
        <f>Table224578910112345678910121314151617181920212223242526[[#This Row],[PEMBULATAN]]*O26</f>
        <v>70000</v>
      </c>
    </row>
    <row r="27" spans="1:16" ht="26.25" customHeight="1" x14ac:dyDescent="0.2">
      <c r="A27" s="14"/>
      <c r="B27" s="14"/>
      <c r="C27" s="76" t="s">
        <v>539</v>
      </c>
      <c r="D27" s="81" t="s">
        <v>49</v>
      </c>
      <c r="E27" s="13">
        <v>44439</v>
      </c>
      <c r="F27" s="79" t="s">
        <v>389</v>
      </c>
      <c r="G27" s="13">
        <v>44445</v>
      </c>
      <c r="H27" s="80" t="s">
        <v>546</v>
      </c>
      <c r="I27" s="17">
        <v>33</v>
      </c>
      <c r="J27" s="17">
        <v>30</v>
      </c>
      <c r="K27" s="17">
        <v>20</v>
      </c>
      <c r="L27" s="17">
        <v>10</v>
      </c>
      <c r="M27" s="84">
        <v>4.95</v>
      </c>
      <c r="N27" s="75">
        <v>10</v>
      </c>
      <c r="O27" s="67">
        <v>7000</v>
      </c>
      <c r="P27" s="68">
        <f>Table224578910112345678910121314151617181920212223242526[[#This Row],[PEMBULATAN]]*O27</f>
        <v>70000</v>
      </c>
    </row>
    <row r="28" spans="1:16" ht="26.25" customHeight="1" x14ac:dyDescent="0.2">
      <c r="A28" s="14"/>
      <c r="B28" s="14"/>
      <c r="C28" s="76" t="s">
        <v>540</v>
      </c>
      <c r="D28" s="81" t="s">
        <v>49</v>
      </c>
      <c r="E28" s="13">
        <v>44439</v>
      </c>
      <c r="F28" s="79" t="s">
        <v>389</v>
      </c>
      <c r="G28" s="13">
        <v>44445</v>
      </c>
      <c r="H28" s="80" t="s">
        <v>546</v>
      </c>
      <c r="I28" s="17">
        <v>37</v>
      </c>
      <c r="J28" s="17">
        <v>30</v>
      </c>
      <c r="K28" s="17">
        <v>16</v>
      </c>
      <c r="L28" s="17">
        <v>10</v>
      </c>
      <c r="M28" s="84">
        <v>4.4400000000000004</v>
      </c>
      <c r="N28" s="75">
        <v>10</v>
      </c>
      <c r="O28" s="67">
        <v>7000</v>
      </c>
      <c r="P28" s="68">
        <f>Table224578910112345678910121314151617181920212223242526[[#This Row],[PEMBULATAN]]*O28</f>
        <v>70000</v>
      </c>
    </row>
    <row r="29" spans="1:16" ht="26.25" customHeight="1" x14ac:dyDescent="0.2">
      <c r="A29" s="14"/>
      <c r="B29" s="14"/>
      <c r="C29" s="76" t="s">
        <v>541</v>
      </c>
      <c r="D29" s="81" t="s">
        <v>49</v>
      </c>
      <c r="E29" s="13">
        <v>44439</v>
      </c>
      <c r="F29" s="79" t="s">
        <v>389</v>
      </c>
      <c r="G29" s="13">
        <v>44445</v>
      </c>
      <c r="H29" s="80" t="s">
        <v>546</v>
      </c>
      <c r="I29" s="17">
        <v>32</v>
      </c>
      <c r="J29" s="17">
        <v>22</v>
      </c>
      <c r="K29" s="17">
        <v>17</v>
      </c>
      <c r="L29" s="17">
        <v>8</v>
      </c>
      <c r="M29" s="84">
        <v>2.992</v>
      </c>
      <c r="N29" s="75">
        <v>8</v>
      </c>
      <c r="O29" s="67">
        <v>7000</v>
      </c>
      <c r="P29" s="68">
        <f>Table224578910112345678910121314151617181920212223242526[[#This Row],[PEMBULATAN]]*O29</f>
        <v>56000</v>
      </c>
    </row>
    <row r="30" spans="1:16" ht="26.25" customHeight="1" x14ac:dyDescent="0.2">
      <c r="A30" s="14"/>
      <c r="B30" s="14"/>
      <c r="C30" s="76" t="s">
        <v>542</v>
      </c>
      <c r="D30" s="81" t="s">
        <v>49</v>
      </c>
      <c r="E30" s="13">
        <v>44439</v>
      </c>
      <c r="F30" s="79" t="s">
        <v>389</v>
      </c>
      <c r="G30" s="13">
        <v>44445</v>
      </c>
      <c r="H30" s="80" t="s">
        <v>546</v>
      </c>
      <c r="I30" s="17">
        <v>32</v>
      </c>
      <c r="J30" s="17">
        <v>22</v>
      </c>
      <c r="K30" s="17">
        <v>17</v>
      </c>
      <c r="L30" s="17">
        <v>8</v>
      </c>
      <c r="M30" s="84">
        <v>2.992</v>
      </c>
      <c r="N30" s="75">
        <v>8</v>
      </c>
      <c r="O30" s="67">
        <v>7000</v>
      </c>
      <c r="P30" s="68">
        <f>Table224578910112345678910121314151617181920212223242526[[#This Row],[PEMBULATAN]]*O30</f>
        <v>56000</v>
      </c>
    </row>
    <row r="31" spans="1:16" ht="26.25" customHeight="1" x14ac:dyDescent="0.2">
      <c r="A31" s="14"/>
      <c r="B31" s="14"/>
      <c r="C31" s="76" t="s">
        <v>543</v>
      </c>
      <c r="D31" s="81" t="s">
        <v>49</v>
      </c>
      <c r="E31" s="13">
        <v>44439</v>
      </c>
      <c r="F31" s="79" t="s">
        <v>389</v>
      </c>
      <c r="G31" s="13">
        <v>44445</v>
      </c>
      <c r="H31" s="80" t="s">
        <v>546</v>
      </c>
      <c r="I31" s="17">
        <v>32</v>
      </c>
      <c r="J31" s="17">
        <v>22</v>
      </c>
      <c r="K31" s="17">
        <v>17</v>
      </c>
      <c r="L31" s="17">
        <v>8</v>
      </c>
      <c r="M31" s="84">
        <v>2.992</v>
      </c>
      <c r="N31" s="75">
        <v>8</v>
      </c>
      <c r="O31" s="67">
        <v>7000</v>
      </c>
      <c r="P31" s="68">
        <f>Table224578910112345678910121314151617181920212223242526[[#This Row],[PEMBULATAN]]*O31</f>
        <v>56000</v>
      </c>
    </row>
    <row r="32" spans="1:16" ht="26.25" customHeight="1" x14ac:dyDescent="0.2">
      <c r="A32" s="14"/>
      <c r="B32" s="14"/>
      <c r="C32" s="76" t="s">
        <v>544</v>
      </c>
      <c r="D32" s="81" t="s">
        <v>49</v>
      </c>
      <c r="E32" s="13">
        <v>44439</v>
      </c>
      <c r="F32" s="79" t="s">
        <v>389</v>
      </c>
      <c r="G32" s="13">
        <v>44445</v>
      </c>
      <c r="H32" s="80" t="s">
        <v>546</v>
      </c>
      <c r="I32" s="17">
        <v>46</v>
      </c>
      <c r="J32" s="17">
        <v>23</v>
      </c>
      <c r="K32" s="17">
        <v>23</v>
      </c>
      <c r="L32" s="17">
        <v>11</v>
      </c>
      <c r="M32" s="84">
        <v>6.0834999999999999</v>
      </c>
      <c r="N32" s="75">
        <v>11</v>
      </c>
      <c r="O32" s="67">
        <v>7000</v>
      </c>
      <c r="P32" s="68">
        <f>Table224578910112345678910121314151617181920212223242526[[#This Row],[PEMBULATAN]]*O32</f>
        <v>77000</v>
      </c>
    </row>
    <row r="33" spans="1:16" ht="26.25" customHeight="1" x14ac:dyDescent="0.2">
      <c r="A33" s="14"/>
      <c r="B33" s="14"/>
      <c r="C33" s="76" t="s">
        <v>545</v>
      </c>
      <c r="D33" s="81" t="s">
        <v>49</v>
      </c>
      <c r="E33" s="13">
        <v>44439</v>
      </c>
      <c r="F33" s="79" t="s">
        <v>389</v>
      </c>
      <c r="G33" s="13">
        <v>44445</v>
      </c>
      <c r="H33" s="80" t="s">
        <v>546</v>
      </c>
      <c r="I33" s="17">
        <v>33</v>
      </c>
      <c r="J33" s="17">
        <v>30</v>
      </c>
      <c r="K33" s="17">
        <v>20</v>
      </c>
      <c r="L33" s="17">
        <v>10</v>
      </c>
      <c r="M33" s="84">
        <v>4.95</v>
      </c>
      <c r="N33" s="75">
        <v>10</v>
      </c>
      <c r="O33" s="67">
        <v>7000</v>
      </c>
      <c r="P33" s="68">
        <f>Table224578910112345678910121314151617181920212223242526[[#This Row],[PEMBULATAN]]*O33</f>
        <v>70000</v>
      </c>
    </row>
    <row r="34" spans="1:16" ht="22.5" customHeight="1" x14ac:dyDescent="0.2">
      <c r="A34" s="122" t="s">
        <v>30</v>
      </c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4"/>
      <c r="M34" s="82">
        <f>SUBTOTAL(109,Table224578910112345678910121314151617181920212223242526[KG VOLUME])</f>
        <v>218.02949999999996</v>
      </c>
      <c r="N34" s="71">
        <f>SUM(N3:N33)</f>
        <v>338</v>
      </c>
      <c r="O34" s="125">
        <f>SUM(P3:P33)</f>
        <v>2366000</v>
      </c>
      <c r="P34" s="126"/>
    </row>
    <row r="35" spans="1:16" ht="18" customHeight="1" x14ac:dyDescent="0.2">
      <c r="A35" s="94"/>
      <c r="B35" s="59" t="s">
        <v>42</v>
      </c>
      <c r="C35" s="58"/>
      <c r="D35" s="60" t="s">
        <v>43</v>
      </c>
      <c r="E35" s="94"/>
      <c r="F35" s="94"/>
      <c r="G35" s="94"/>
      <c r="H35" s="94"/>
      <c r="I35" s="94"/>
      <c r="J35" s="94"/>
      <c r="K35" s="94"/>
      <c r="L35" s="94"/>
      <c r="M35" s="95"/>
      <c r="N35" s="96" t="s">
        <v>649</v>
      </c>
      <c r="O35" s="97"/>
      <c r="P35" s="97">
        <v>0</v>
      </c>
    </row>
    <row r="36" spans="1:16" ht="18" customHeight="1" thickBot="1" x14ac:dyDescent="0.25">
      <c r="A36" s="94"/>
      <c r="B36" s="59"/>
      <c r="C36" s="58"/>
      <c r="D36" s="60"/>
      <c r="E36" s="94"/>
      <c r="F36" s="94"/>
      <c r="G36" s="94"/>
      <c r="H36" s="94"/>
      <c r="I36" s="94"/>
      <c r="J36" s="94"/>
      <c r="K36" s="94"/>
      <c r="L36" s="94"/>
      <c r="M36" s="95"/>
      <c r="N36" s="98" t="s">
        <v>650</v>
      </c>
      <c r="O36" s="99"/>
      <c r="P36" s="99">
        <f>O34-P35</f>
        <v>2366000</v>
      </c>
    </row>
    <row r="37" spans="1:16" ht="18" customHeight="1" x14ac:dyDescent="0.2">
      <c r="A37" s="11"/>
      <c r="H37" s="66"/>
      <c r="N37" s="65" t="s">
        <v>31</v>
      </c>
      <c r="P37" s="72">
        <f>P36*1%</f>
        <v>23660</v>
      </c>
    </row>
    <row r="38" spans="1:16" ht="18" customHeight="1" thickBot="1" x14ac:dyDescent="0.25">
      <c r="A38" s="11"/>
      <c r="H38" s="66"/>
      <c r="N38" s="65" t="s">
        <v>651</v>
      </c>
      <c r="P38" s="74">
        <f>P36*2%</f>
        <v>47320</v>
      </c>
    </row>
    <row r="39" spans="1:16" ht="18" customHeight="1" x14ac:dyDescent="0.2">
      <c r="A39" s="11"/>
      <c r="H39" s="66"/>
      <c r="N39" s="69" t="s">
        <v>32</v>
      </c>
      <c r="O39" s="70"/>
      <c r="P39" s="73">
        <f>P36+P37-P38</f>
        <v>2342340</v>
      </c>
    </row>
    <row r="41" spans="1:16" x14ac:dyDescent="0.2">
      <c r="A41" s="11"/>
      <c r="H41" s="66"/>
      <c r="P41" s="74"/>
    </row>
    <row r="42" spans="1:16" x14ac:dyDescent="0.2">
      <c r="A42" s="11"/>
      <c r="H42" s="66"/>
      <c r="O42" s="61"/>
      <c r="P42" s="74"/>
    </row>
    <row r="43" spans="1:16" s="3" customFormat="1" x14ac:dyDescent="0.25">
      <c r="A43" s="11"/>
      <c r="B43" s="2"/>
      <c r="C43" s="2"/>
      <c r="E43" s="12"/>
      <c r="H43" s="66"/>
      <c r="N43" s="16"/>
      <c r="O43" s="16"/>
      <c r="P43" s="16"/>
    </row>
    <row r="44" spans="1:16" s="3" customFormat="1" x14ac:dyDescent="0.25">
      <c r="A44" s="11"/>
      <c r="B44" s="2"/>
      <c r="C44" s="2"/>
      <c r="E44" s="12"/>
      <c r="H44" s="66"/>
      <c r="N44" s="16"/>
      <c r="O44" s="16"/>
      <c r="P44" s="16"/>
    </row>
    <row r="45" spans="1:16" s="3" customFormat="1" x14ac:dyDescent="0.25">
      <c r="A45" s="11"/>
      <c r="B45" s="2"/>
      <c r="C45" s="2"/>
      <c r="E45" s="12"/>
      <c r="H45" s="66"/>
      <c r="N45" s="16"/>
      <c r="O45" s="16"/>
      <c r="P45" s="16"/>
    </row>
    <row r="46" spans="1:16" s="3" customFormat="1" x14ac:dyDescent="0.25">
      <c r="A46" s="11"/>
      <c r="B46" s="2"/>
      <c r="C46" s="2"/>
      <c r="E46" s="12"/>
      <c r="H46" s="66"/>
      <c r="N46" s="16"/>
      <c r="O46" s="16"/>
      <c r="P46" s="16"/>
    </row>
    <row r="47" spans="1:16" s="3" customFormat="1" x14ac:dyDescent="0.25">
      <c r="A47" s="11"/>
      <c r="B47" s="2"/>
      <c r="C47" s="2"/>
      <c r="E47" s="12"/>
      <c r="H47" s="66"/>
      <c r="N47" s="16"/>
      <c r="O47" s="16"/>
      <c r="P47" s="16"/>
    </row>
    <row r="48" spans="1:16" s="3" customFormat="1" x14ac:dyDescent="0.25">
      <c r="A48" s="11"/>
      <c r="B48" s="2"/>
      <c r="C48" s="2"/>
      <c r="E48" s="12"/>
      <c r="H48" s="66"/>
      <c r="N48" s="16"/>
      <c r="O48" s="16"/>
      <c r="P48" s="16"/>
    </row>
    <row r="49" spans="1:16" s="3" customFormat="1" x14ac:dyDescent="0.25">
      <c r="A49" s="11"/>
      <c r="B49" s="2"/>
      <c r="C49" s="2"/>
      <c r="E49" s="12"/>
      <c r="H49" s="66"/>
      <c r="N49" s="16"/>
      <c r="O49" s="16"/>
      <c r="P49" s="16"/>
    </row>
    <row r="50" spans="1:16" s="3" customFormat="1" x14ac:dyDescent="0.25">
      <c r="A50" s="11"/>
      <c r="B50" s="2"/>
      <c r="C50" s="2"/>
      <c r="E50" s="12"/>
      <c r="H50" s="66"/>
      <c r="N50" s="16"/>
      <c r="O50" s="16"/>
      <c r="P50" s="16"/>
    </row>
    <row r="51" spans="1:16" s="3" customFormat="1" x14ac:dyDescent="0.25">
      <c r="A51" s="11"/>
      <c r="B51" s="2"/>
      <c r="C51" s="2"/>
      <c r="E51" s="12"/>
      <c r="H51" s="66"/>
      <c r="N51" s="16"/>
      <c r="O51" s="16"/>
      <c r="P51" s="16"/>
    </row>
    <row r="52" spans="1:16" s="3" customFormat="1" x14ac:dyDescent="0.25">
      <c r="A52" s="11"/>
      <c r="B52" s="2"/>
      <c r="C52" s="2"/>
      <c r="E52" s="12"/>
      <c r="H52" s="66"/>
      <c r="N52" s="16"/>
      <c r="O52" s="16"/>
      <c r="P52" s="16"/>
    </row>
    <row r="53" spans="1:16" s="3" customFormat="1" x14ac:dyDescent="0.25">
      <c r="A53" s="11"/>
      <c r="B53" s="2"/>
      <c r="C53" s="2"/>
      <c r="E53" s="12"/>
      <c r="H53" s="66"/>
      <c r="N53" s="16"/>
      <c r="O53" s="16"/>
      <c r="P53" s="16"/>
    </row>
    <row r="54" spans="1:16" s="3" customFormat="1" x14ac:dyDescent="0.25">
      <c r="A54" s="11"/>
      <c r="B54" s="2"/>
      <c r="C54" s="2"/>
      <c r="E54" s="12"/>
      <c r="H54" s="66"/>
      <c r="N54" s="16"/>
      <c r="O54" s="16"/>
      <c r="P54" s="16"/>
    </row>
  </sheetData>
  <mergeCells count="3">
    <mergeCell ref="A3:A4"/>
    <mergeCell ref="A34:L34"/>
    <mergeCell ref="O34:P34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33">
    <cfRule type="duplicateValues" dxfId="15" priority="2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11" sqref="G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26.25" customHeight="1" x14ac:dyDescent="0.2">
      <c r="A3" s="120" t="s">
        <v>641</v>
      </c>
      <c r="B3" s="77" t="s">
        <v>626</v>
      </c>
      <c r="C3" s="9" t="s">
        <v>627</v>
      </c>
      <c r="D3" s="79" t="s">
        <v>49</v>
      </c>
      <c r="E3" s="13">
        <v>44429</v>
      </c>
      <c r="F3" s="79" t="s">
        <v>639</v>
      </c>
      <c r="G3" s="13">
        <v>44435.916666666664</v>
      </c>
      <c r="H3" s="10" t="s">
        <v>640</v>
      </c>
      <c r="I3" s="1">
        <v>53</v>
      </c>
      <c r="J3" s="1">
        <v>33</v>
      </c>
      <c r="K3" s="1">
        <v>25</v>
      </c>
      <c r="L3" s="1">
        <v>4</v>
      </c>
      <c r="M3" s="83">
        <v>10.93125</v>
      </c>
      <c r="N3" s="8">
        <v>11</v>
      </c>
      <c r="O3" s="67">
        <v>7000</v>
      </c>
      <c r="P3" s="68">
        <f>Table2245789101133[[#This Row],[PEMBULATAN]]*O3</f>
        <v>77000</v>
      </c>
    </row>
    <row r="4" spans="1:16" ht="26.25" customHeight="1" x14ac:dyDescent="0.2">
      <c r="A4" s="121"/>
      <c r="B4" s="78"/>
      <c r="C4" s="76" t="s">
        <v>628</v>
      </c>
      <c r="D4" s="81" t="s">
        <v>49</v>
      </c>
      <c r="E4" s="13">
        <v>44429</v>
      </c>
      <c r="F4" s="79" t="s">
        <v>639</v>
      </c>
      <c r="G4" s="13">
        <v>44435.916666666664</v>
      </c>
      <c r="H4" s="80" t="s">
        <v>640</v>
      </c>
      <c r="I4" s="17">
        <v>57</v>
      </c>
      <c r="J4" s="17">
        <v>20</v>
      </c>
      <c r="K4" s="17">
        <v>18</v>
      </c>
      <c r="L4" s="17">
        <v>5</v>
      </c>
      <c r="M4" s="84">
        <v>5.13</v>
      </c>
      <c r="N4" s="75">
        <v>5</v>
      </c>
      <c r="O4" s="67">
        <v>7000</v>
      </c>
      <c r="P4" s="68">
        <f>Table2245789101133[[#This Row],[PEMBULATAN]]*O4</f>
        <v>35000</v>
      </c>
    </row>
    <row r="5" spans="1:16" ht="26.25" customHeight="1" x14ac:dyDescent="0.2">
      <c r="A5" s="14"/>
      <c r="B5" s="78"/>
      <c r="C5" s="76" t="s">
        <v>629</v>
      </c>
      <c r="D5" s="81" t="s">
        <v>49</v>
      </c>
      <c r="E5" s="13">
        <v>44429</v>
      </c>
      <c r="F5" s="79" t="s">
        <v>639</v>
      </c>
      <c r="G5" s="13">
        <v>44435.916666666664</v>
      </c>
      <c r="H5" s="80" t="s">
        <v>640</v>
      </c>
      <c r="I5" s="17">
        <v>40</v>
      </c>
      <c r="J5" s="17">
        <v>32</v>
      </c>
      <c r="K5" s="17">
        <v>15</v>
      </c>
      <c r="L5" s="17">
        <v>25</v>
      </c>
      <c r="M5" s="84">
        <v>4.8</v>
      </c>
      <c r="N5" s="75">
        <v>25</v>
      </c>
      <c r="O5" s="67">
        <v>7000</v>
      </c>
      <c r="P5" s="68">
        <f>Table2245789101133[[#This Row],[PEMBULATAN]]*O5</f>
        <v>175000</v>
      </c>
    </row>
    <row r="6" spans="1:16" ht="26.25" customHeight="1" x14ac:dyDescent="0.2">
      <c r="A6" s="14"/>
      <c r="B6" s="78"/>
      <c r="C6" s="76" t="s">
        <v>630</v>
      </c>
      <c r="D6" s="81" t="s">
        <v>49</v>
      </c>
      <c r="E6" s="13">
        <v>44429</v>
      </c>
      <c r="F6" s="79" t="s">
        <v>639</v>
      </c>
      <c r="G6" s="13">
        <v>44435.916666666664</v>
      </c>
      <c r="H6" s="80" t="s">
        <v>640</v>
      </c>
      <c r="I6" s="17">
        <v>40</v>
      </c>
      <c r="J6" s="17">
        <v>32</v>
      </c>
      <c r="K6" s="17">
        <v>15</v>
      </c>
      <c r="L6" s="17">
        <v>25</v>
      </c>
      <c r="M6" s="84">
        <v>4.8</v>
      </c>
      <c r="N6" s="75">
        <v>25</v>
      </c>
      <c r="O6" s="67">
        <v>7000</v>
      </c>
      <c r="P6" s="68">
        <f>Table2245789101133[[#This Row],[PEMBULATAN]]*O6</f>
        <v>175000</v>
      </c>
    </row>
    <row r="7" spans="1:16" ht="26.25" customHeight="1" x14ac:dyDescent="0.2">
      <c r="A7" s="14"/>
      <c r="B7" s="78"/>
      <c r="C7" s="76" t="s">
        <v>631</v>
      </c>
      <c r="D7" s="81" t="s">
        <v>49</v>
      </c>
      <c r="E7" s="13">
        <v>44429</v>
      </c>
      <c r="F7" s="79" t="s">
        <v>639</v>
      </c>
      <c r="G7" s="13">
        <v>44435.916666666664</v>
      </c>
      <c r="H7" s="80" t="s">
        <v>640</v>
      </c>
      <c r="I7" s="17">
        <v>58</v>
      </c>
      <c r="J7" s="17">
        <v>40</v>
      </c>
      <c r="K7" s="17">
        <v>28</v>
      </c>
      <c r="L7" s="17">
        <v>47</v>
      </c>
      <c r="M7" s="84">
        <v>16.239999999999998</v>
      </c>
      <c r="N7" s="75">
        <v>47</v>
      </c>
      <c r="O7" s="67">
        <v>7000</v>
      </c>
      <c r="P7" s="68">
        <f>Table2245789101133[[#This Row],[PEMBULATAN]]*O7</f>
        <v>329000</v>
      </c>
    </row>
    <row r="8" spans="1:16" ht="26.25" customHeight="1" x14ac:dyDescent="0.2">
      <c r="A8" s="14"/>
      <c r="B8" s="78"/>
      <c r="C8" s="76" t="s">
        <v>632</v>
      </c>
      <c r="D8" s="81" t="s">
        <v>49</v>
      </c>
      <c r="E8" s="13">
        <v>44429</v>
      </c>
      <c r="F8" s="79" t="s">
        <v>639</v>
      </c>
      <c r="G8" s="13">
        <v>44435.916666666664</v>
      </c>
      <c r="H8" s="80" t="s">
        <v>640</v>
      </c>
      <c r="I8" s="17">
        <v>55</v>
      </c>
      <c r="J8" s="17">
        <v>45</v>
      </c>
      <c r="K8" s="17">
        <v>15</v>
      </c>
      <c r="L8" s="17">
        <v>7</v>
      </c>
      <c r="M8" s="84">
        <v>9.28125</v>
      </c>
      <c r="N8" s="75">
        <v>9</v>
      </c>
      <c r="O8" s="67">
        <v>7000</v>
      </c>
      <c r="P8" s="68">
        <f>Table2245789101133[[#This Row],[PEMBULATAN]]*O8</f>
        <v>63000</v>
      </c>
    </row>
    <row r="9" spans="1:16" ht="26.25" customHeight="1" x14ac:dyDescent="0.2">
      <c r="A9" s="14"/>
      <c r="B9" s="78"/>
      <c r="C9" s="76" t="s">
        <v>633</v>
      </c>
      <c r="D9" s="81" t="s">
        <v>49</v>
      </c>
      <c r="E9" s="13">
        <v>44429</v>
      </c>
      <c r="F9" s="79" t="s">
        <v>639</v>
      </c>
      <c r="G9" s="13">
        <v>44435.916666666664</v>
      </c>
      <c r="H9" s="80" t="s">
        <v>640</v>
      </c>
      <c r="I9" s="17">
        <v>38</v>
      </c>
      <c r="J9" s="17">
        <v>26</v>
      </c>
      <c r="K9" s="17">
        <v>37</v>
      </c>
      <c r="L9" s="17">
        <v>9</v>
      </c>
      <c r="M9" s="84">
        <v>9.1389999999999993</v>
      </c>
      <c r="N9" s="75">
        <v>9</v>
      </c>
      <c r="O9" s="67">
        <v>7000</v>
      </c>
      <c r="P9" s="68">
        <f>Table2245789101133[[#This Row],[PEMBULATAN]]*O9</f>
        <v>63000</v>
      </c>
    </row>
    <row r="10" spans="1:16" ht="26.25" customHeight="1" x14ac:dyDescent="0.2">
      <c r="A10" s="14"/>
      <c r="B10" s="78"/>
      <c r="C10" s="76" t="s">
        <v>634</v>
      </c>
      <c r="D10" s="81" t="s">
        <v>49</v>
      </c>
      <c r="E10" s="13">
        <v>44429</v>
      </c>
      <c r="F10" s="79" t="s">
        <v>639</v>
      </c>
      <c r="G10" s="13">
        <v>44435.916666666664</v>
      </c>
      <c r="H10" s="80" t="s">
        <v>640</v>
      </c>
      <c r="I10" s="17">
        <v>60</v>
      </c>
      <c r="J10" s="17">
        <v>67</v>
      </c>
      <c r="K10" s="17">
        <v>55</v>
      </c>
      <c r="L10" s="17">
        <v>38</v>
      </c>
      <c r="M10" s="84">
        <v>55.274999999999999</v>
      </c>
      <c r="N10" s="75">
        <v>55</v>
      </c>
      <c r="O10" s="67">
        <v>7000</v>
      </c>
      <c r="P10" s="68">
        <f>Table2245789101133[[#This Row],[PEMBULATAN]]*O10</f>
        <v>385000</v>
      </c>
    </row>
    <row r="11" spans="1:16" ht="26.25" customHeight="1" x14ac:dyDescent="0.2">
      <c r="A11" s="14"/>
      <c r="B11" s="78"/>
      <c r="C11" s="76" t="s">
        <v>635</v>
      </c>
      <c r="D11" s="81" t="s">
        <v>49</v>
      </c>
      <c r="E11" s="13">
        <v>44429</v>
      </c>
      <c r="F11" s="79" t="s">
        <v>639</v>
      </c>
      <c r="G11" s="13">
        <v>44435.916666666664</v>
      </c>
      <c r="H11" s="80" t="s">
        <v>640</v>
      </c>
      <c r="I11" s="17">
        <v>77</v>
      </c>
      <c r="J11" s="17">
        <v>20</v>
      </c>
      <c r="K11" s="17">
        <v>26</v>
      </c>
      <c r="L11" s="17">
        <v>13</v>
      </c>
      <c r="M11" s="84">
        <v>10.01</v>
      </c>
      <c r="N11" s="75">
        <v>13</v>
      </c>
      <c r="O11" s="67">
        <v>7000</v>
      </c>
      <c r="P11" s="68">
        <f>Table2245789101133[[#This Row],[PEMBULATAN]]*O11</f>
        <v>91000</v>
      </c>
    </row>
    <row r="12" spans="1:16" ht="26.25" customHeight="1" x14ac:dyDescent="0.2">
      <c r="A12" s="14"/>
      <c r="B12" s="85"/>
      <c r="C12" s="76" t="s">
        <v>636</v>
      </c>
      <c r="D12" s="81" t="s">
        <v>49</v>
      </c>
      <c r="E12" s="13">
        <v>44429</v>
      </c>
      <c r="F12" s="79" t="s">
        <v>639</v>
      </c>
      <c r="G12" s="13">
        <v>44435.916666666664</v>
      </c>
      <c r="H12" s="80" t="s">
        <v>640</v>
      </c>
      <c r="I12" s="17">
        <v>45</v>
      </c>
      <c r="J12" s="17">
        <v>35</v>
      </c>
      <c r="K12" s="17">
        <v>25</v>
      </c>
      <c r="L12" s="17">
        <v>8</v>
      </c>
      <c r="M12" s="84">
        <v>9.84375</v>
      </c>
      <c r="N12" s="75">
        <v>10</v>
      </c>
      <c r="O12" s="67">
        <v>7000</v>
      </c>
      <c r="P12" s="68">
        <f>Table2245789101133[[#This Row],[PEMBULATAN]]*O12</f>
        <v>70000</v>
      </c>
    </row>
    <row r="13" spans="1:16" ht="26.25" customHeight="1" x14ac:dyDescent="0.2">
      <c r="A13" s="14"/>
      <c r="B13" s="78" t="s">
        <v>637</v>
      </c>
      <c r="C13" s="76" t="s">
        <v>638</v>
      </c>
      <c r="D13" s="81" t="s">
        <v>49</v>
      </c>
      <c r="E13" s="13">
        <v>44429</v>
      </c>
      <c r="F13" s="79" t="s">
        <v>639</v>
      </c>
      <c r="G13" s="13">
        <v>44435.916666666664</v>
      </c>
      <c r="H13" s="80" t="s">
        <v>640</v>
      </c>
      <c r="I13" s="17">
        <v>77</v>
      </c>
      <c r="J13" s="17">
        <v>20</v>
      </c>
      <c r="K13" s="17">
        <v>20</v>
      </c>
      <c r="L13" s="17">
        <v>16</v>
      </c>
      <c r="M13" s="84">
        <v>7.7</v>
      </c>
      <c r="N13" s="75">
        <v>16</v>
      </c>
      <c r="O13" s="67">
        <v>7000</v>
      </c>
      <c r="P13" s="68">
        <f>Table2245789101133[[#This Row],[PEMBULATAN]]*O13</f>
        <v>112000</v>
      </c>
    </row>
    <row r="14" spans="1:16" ht="22.5" customHeight="1" x14ac:dyDescent="0.2">
      <c r="A14" s="122" t="s">
        <v>30</v>
      </c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4"/>
      <c r="M14" s="82">
        <f>SUBTOTAL(109,Table2245789101133[KG VOLUME])</f>
        <v>143.15024999999997</v>
      </c>
      <c r="N14" s="71">
        <f>SUM(N3:N13)</f>
        <v>225</v>
      </c>
      <c r="O14" s="125">
        <f>SUM(P3:P13)</f>
        <v>1575000</v>
      </c>
      <c r="P14" s="126"/>
    </row>
    <row r="15" spans="1:16" ht="18" customHeight="1" x14ac:dyDescent="0.2">
      <c r="A15" s="94"/>
      <c r="B15" s="59" t="s">
        <v>42</v>
      </c>
      <c r="C15" s="58"/>
      <c r="D15" s="60" t="s">
        <v>43</v>
      </c>
      <c r="E15" s="94"/>
      <c r="F15" s="94"/>
      <c r="G15" s="94"/>
      <c r="H15" s="94"/>
      <c r="I15" s="94"/>
      <c r="J15" s="94"/>
      <c r="K15" s="94"/>
      <c r="L15" s="94"/>
      <c r="M15" s="95"/>
      <c r="N15" s="96" t="s">
        <v>649</v>
      </c>
      <c r="O15" s="97"/>
      <c r="P15" s="97">
        <v>0</v>
      </c>
    </row>
    <row r="16" spans="1:16" ht="18" customHeight="1" thickBot="1" x14ac:dyDescent="0.25">
      <c r="A16" s="94"/>
      <c r="B16" s="59"/>
      <c r="C16" s="58"/>
      <c r="D16" s="60"/>
      <c r="E16" s="94"/>
      <c r="F16" s="94"/>
      <c r="G16" s="94"/>
      <c r="H16" s="94"/>
      <c r="I16" s="94"/>
      <c r="J16" s="94"/>
      <c r="K16" s="94"/>
      <c r="L16" s="94"/>
      <c r="M16" s="95"/>
      <c r="N16" s="98" t="s">
        <v>650</v>
      </c>
      <c r="O16" s="99"/>
      <c r="P16" s="99">
        <f>O14-P15</f>
        <v>1575000</v>
      </c>
    </row>
    <row r="17" spans="1:16" ht="18" customHeight="1" x14ac:dyDescent="0.2">
      <c r="A17" s="11"/>
      <c r="H17" s="66"/>
      <c r="N17" s="65" t="s">
        <v>31</v>
      </c>
      <c r="P17" s="72">
        <f>P16*1%</f>
        <v>15750</v>
      </c>
    </row>
    <row r="18" spans="1:16" ht="18" customHeight="1" thickBot="1" x14ac:dyDescent="0.25">
      <c r="A18" s="11"/>
      <c r="H18" s="66"/>
      <c r="N18" s="65" t="s">
        <v>651</v>
      </c>
      <c r="P18" s="74">
        <f>P16*2%</f>
        <v>31500</v>
      </c>
    </row>
    <row r="19" spans="1:16" ht="18" customHeight="1" x14ac:dyDescent="0.2">
      <c r="A19" s="11"/>
      <c r="H19" s="66"/>
      <c r="N19" s="69" t="s">
        <v>32</v>
      </c>
      <c r="O19" s="70"/>
      <c r="P19" s="73">
        <f>P16+P17-P18</f>
        <v>1559250</v>
      </c>
    </row>
    <row r="21" spans="1:16" x14ac:dyDescent="0.2">
      <c r="A21" s="11"/>
      <c r="H21" s="66"/>
      <c r="P21" s="74"/>
    </row>
    <row r="22" spans="1:16" x14ac:dyDescent="0.2">
      <c r="A22" s="11"/>
      <c r="H22" s="66"/>
      <c r="O22" s="61"/>
      <c r="P22" s="74"/>
    </row>
    <row r="23" spans="1:16" s="3" customFormat="1" x14ac:dyDescent="0.25">
      <c r="A23" s="11"/>
      <c r="B23" s="2"/>
      <c r="C23" s="2"/>
      <c r="E23" s="12"/>
      <c r="H23" s="66"/>
      <c r="N23" s="16"/>
      <c r="O23" s="16"/>
      <c r="P23" s="16"/>
    </row>
    <row r="24" spans="1:16" s="3" customFormat="1" x14ac:dyDescent="0.25">
      <c r="A24" s="11"/>
      <c r="B24" s="2"/>
      <c r="C24" s="2"/>
      <c r="E24" s="12"/>
      <c r="H24" s="66"/>
      <c r="N24" s="16"/>
      <c r="O24" s="16"/>
      <c r="P24" s="16"/>
    </row>
    <row r="25" spans="1:16" s="3" customFormat="1" x14ac:dyDescent="0.25">
      <c r="A25" s="11"/>
      <c r="B25" s="2"/>
      <c r="C25" s="2"/>
      <c r="E25" s="12"/>
      <c r="H25" s="66"/>
      <c r="N25" s="16"/>
      <c r="O25" s="16"/>
      <c r="P25" s="16"/>
    </row>
    <row r="26" spans="1:16" s="3" customFormat="1" x14ac:dyDescent="0.25">
      <c r="A26" s="11"/>
      <c r="B26" s="2"/>
      <c r="C26" s="2"/>
      <c r="E26" s="12"/>
      <c r="H26" s="66"/>
      <c r="N26" s="16"/>
      <c r="O26" s="16"/>
      <c r="P26" s="16"/>
    </row>
    <row r="27" spans="1:16" s="3" customFormat="1" x14ac:dyDescent="0.25">
      <c r="A27" s="11"/>
      <c r="B27" s="2"/>
      <c r="C27" s="2"/>
      <c r="E27" s="12"/>
      <c r="H27" s="66"/>
      <c r="N27" s="16"/>
      <c r="O27" s="16"/>
      <c r="P27" s="16"/>
    </row>
    <row r="28" spans="1:16" s="3" customFormat="1" x14ac:dyDescent="0.25">
      <c r="A28" s="11"/>
      <c r="B28" s="2"/>
      <c r="C28" s="2"/>
      <c r="E28" s="12"/>
      <c r="H28" s="66"/>
      <c r="N28" s="16"/>
      <c r="O28" s="16"/>
      <c r="P28" s="16"/>
    </row>
    <row r="29" spans="1:16" s="3" customFormat="1" x14ac:dyDescent="0.25">
      <c r="A29" s="11"/>
      <c r="B29" s="2"/>
      <c r="C29" s="2"/>
      <c r="E29" s="12"/>
      <c r="H29" s="66"/>
      <c r="N29" s="16"/>
      <c r="O29" s="16"/>
      <c r="P29" s="16"/>
    </row>
    <row r="30" spans="1:16" s="3" customFormat="1" x14ac:dyDescent="0.25">
      <c r="A30" s="11"/>
      <c r="B30" s="2"/>
      <c r="C30" s="2"/>
      <c r="E30" s="12"/>
      <c r="H30" s="66"/>
      <c r="N30" s="16"/>
      <c r="O30" s="16"/>
      <c r="P30" s="16"/>
    </row>
    <row r="31" spans="1:16" s="3" customFormat="1" x14ac:dyDescent="0.25">
      <c r="A31" s="11"/>
      <c r="B31" s="2"/>
      <c r="C31" s="2"/>
      <c r="E31" s="12"/>
      <c r="H31" s="66"/>
      <c r="N31" s="16"/>
      <c r="O31" s="16"/>
      <c r="P31" s="16"/>
    </row>
    <row r="32" spans="1:16" s="3" customFormat="1" x14ac:dyDescent="0.25">
      <c r="A32" s="11"/>
      <c r="B32" s="2"/>
      <c r="C32" s="2"/>
      <c r="E32" s="12"/>
      <c r="H32" s="66"/>
      <c r="N32" s="16"/>
      <c r="O32" s="16"/>
      <c r="P32" s="16"/>
    </row>
    <row r="33" spans="1:16" s="3" customFormat="1" x14ac:dyDescent="0.25">
      <c r="A33" s="11"/>
      <c r="B33" s="2"/>
      <c r="C33" s="2"/>
      <c r="E33" s="12"/>
      <c r="H33" s="66"/>
      <c r="N33" s="16"/>
      <c r="O33" s="16"/>
      <c r="P33" s="16"/>
    </row>
    <row r="34" spans="1:16" s="3" customFormat="1" x14ac:dyDescent="0.25">
      <c r="A34" s="11"/>
      <c r="B34" s="2"/>
      <c r="C34" s="2"/>
      <c r="E34" s="12"/>
      <c r="H34" s="66"/>
      <c r="N34" s="16"/>
      <c r="O34" s="16"/>
      <c r="P34" s="16"/>
    </row>
  </sheetData>
  <mergeCells count="3">
    <mergeCell ref="A14:L14"/>
    <mergeCell ref="O14:P14"/>
    <mergeCell ref="A3:A4"/>
  </mergeCells>
  <conditionalFormatting sqref="B3:B13">
    <cfRule type="duplicateValues" dxfId="474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2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K9" sqref="K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26.25" customHeight="1" x14ac:dyDescent="0.2">
      <c r="A3" s="120" t="s">
        <v>571</v>
      </c>
      <c r="B3" s="77" t="s">
        <v>559</v>
      </c>
      <c r="C3" s="9" t="s">
        <v>560</v>
      </c>
      <c r="D3" s="79" t="s">
        <v>49</v>
      </c>
      <c r="E3" s="13">
        <v>44426</v>
      </c>
      <c r="F3" s="79" t="s">
        <v>569</v>
      </c>
      <c r="G3" s="13">
        <v>44427</v>
      </c>
      <c r="H3" s="10" t="s">
        <v>570</v>
      </c>
      <c r="I3" s="1">
        <v>83</v>
      </c>
      <c r="J3" s="1">
        <v>57</v>
      </c>
      <c r="K3" s="1">
        <v>24</v>
      </c>
      <c r="L3" s="1">
        <v>6</v>
      </c>
      <c r="M3" s="83">
        <v>28.385999999999999</v>
      </c>
      <c r="N3" s="8">
        <v>28</v>
      </c>
      <c r="O3" s="67">
        <v>7000</v>
      </c>
      <c r="P3" s="68">
        <f>Table2245789101130[[#This Row],[PEMBULATAN]]*O3</f>
        <v>196000</v>
      </c>
    </row>
    <row r="4" spans="1:16" ht="26.25" customHeight="1" x14ac:dyDescent="0.2">
      <c r="A4" s="121"/>
      <c r="B4" s="78"/>
      <c r="C4" s="76" t="s">
        <v>561</v>
      </c>
      <c r="D4" s="81" t="s">
        <v>49</v>
      </c>
      <c r="E4" s="13">
        <v>44426</v>
      </c>
      <c r="F4" s="79" t="s">
        <v>569</v>
      </c>
      <c r="G4" s="13">
        <v>44427</v>
      </c>
      <c r="H4" s="80" t="s">
        <v>570</v>
      </c>
      <c r="I4" s="17">
        <v>95</v>
      </c>
      <c r="J4" s="17">
        <v>70</v>
      </c>
      <c r="K4" s="17">
        <v>37</v>
      </c>
      <c r="L4" s="17">
        <v>11</v>
      </c>
      <c r="M4" s="84">
        <v>61.512500000000003</v>
      </c>
      <c r="N4" s="75">
        <v>62</v>
      </c>
      <c r="O4" s="67">
        <v>7000</v>
      </c>
      <c r="P4" s="68">
        <f>Table2245789101130[[#This Row],[PEMBULATAN]]*O4</f>
        <v>434000</v>
      </c>
    </row>
    <row r="5" spans="1:16" ht="26.25" customHeight="1" x14ac:dyDescent="0.2">
      <c r="A5" s="14"/>
      <c r="B5" s="78"/>
      <c r="C5" s="76" t="s">
        <v>562</v>
      </c>
      <c r="D5" s="81" t="s">
        <v>49</v>
      </c>
      <c r="E5" s="13">
        <v>44426</v>
      </c>
      <c r="F5" s="79" t="s">
        <v>569</v>
      </c>
      <c r="G5" s="13">
        <v>44427</v>
      </c>
      <c r="H5" s="80" t="s">
        <v>570</v>
      </c>
      <c r="I5" s="17">
        <v>53</v>
      </c>
      <c r="J5" s="17">
        <v>42</v>
      </c>
      <c r="K5" s="17">
        <v>20</v>
      </c>
      <c r="L5" s="17">
        <v>12</v>
      </c>
      <c r="M5" s="84">
        <v>11.13</v>
      </c>
      <c r="N5" s="75">
        <v>12</v>
      </c>
      <c r="O5" s="67">
        <v>7000</v>
      </c>
      <c r="P5" s="68">
        <f>Table2245789101130[[#This Row],[PEMBULATAN]]*O5</f>
        <v>84000</v>
      </c>
    </row>
    <row r="6" spans="1:16" ht="26.25" customHeight="1" x14ac:dyDescent="0.2">
      <c r="A6" s="14"/>
      <c r="B6" s="78"/>
      <c r="C6" s="76" t="s">
        <v>563</v>
      </c>
      <c r="D6" s="81" t="s">
        <v>49</v>
      </c>
      <c r="E6" s="13">
        <v>44426</v>
      </c>
      <c r="F6" s="79" t="s">
        <v>569</v>
      </c>
      <c r="G6" s="13">
        <v>44427</v>
      </c>
      <c r="H6" s="80" t="s">
        <v>570</v>
      </c>
      <c r="I6" s="17">
        <v>92</v>
      </c>
      <c r="J6" s="17">
        <v>57</v>
      </c>
      <c r="K6" s="17">
        <v>28</v>
      </c>
      <c r="L6" s="17">
        <v>11</v>
      </c>
      <c r="M6" s="84">
        <v>36.707999999999998</v>
      </c>
      <c r="N6" s="75">
        <v>37</v>
      </c>
      <c r="O6" s="67">
        <v>7000</v>
      </c>
      <c r="P6" s="68">
        <f>Table2245789101130[[#This Row],[PEMBULATAN]]*O6</f>
        <v>259000</v>
      </c>
    </row>
    <row r="7" spans="1:16" ht="26.25" customHeight="1" x14ac:dyDescent="0.2">
      <c r="A7" s="14"/>
      <c r="B7" s="78"/>
      <c r="C7" s="76" t="s">
        <v>564</v>
      </c>
      <c r="D7" s="81" t="s">
        <v>49</v>
      </c>
      <c r="E7" s="13">
        <v>44426</v>
      </c>
      <c r="F7" s="79" t="s">
        <v>569</v>
      </c>
      <c r="G7" s="13">
        <v>44427</v>
      </c>
      <c r="H7" s="80" t="s">
        <v>570</v>
      </c>
      <c r="I7" s="17">
        <v>30</v>
      </c>
      <c r="J7" s="17">
        <v>24</v>
      </c>
      <c r="K7" s="17">
        <v>30</v>
      </c>
      <c r="L7" s="17">
        <v>11</v>
      </c>
      <c r="M7" s="84">
        <v>5.4</v>
      </c>
      <c r="N7" s="75">
        <v>11</v>
      </c>
      <c r="O7" s="67">
        <v>7000</v>
      </c>
      <c r="P7" s="68">
        <f>Table2245789101130[[#This Row],[PEMBULATAN]]*O7</f>
        <v>77000</v>
      </c>
    </row>
    <row r="8" spans="1:16" ht="26.25" customHeight="1" x14ac:dyDescent="0.2">
      <c r="A8" s="14"/>
      <c r="B8" s="78"/>
      <c r="C8" s="76" t="s">
        <v>565</v>
      </c>
      <c r="D8" s="81" t="s">
        <v>49</v>
      </c>
      <c r="E8" s="13">
        <v>44426</v>
      </c>
      <c r="F8" s="79" t="s">
        <v>569</v>
      </c>
      <c r="G8" s="13">
        <v>44427</v>
      </c>
      <c r="H8" s="80" t="s">
        <v>570</v>
      </c>
      <c r="I8" s="17">
        <v>60</v>
      </c>
      <c r="J8" s="17">
        <v>53</v>
      </c>
      <c r="K8" s="17">
        <v>21</v>
      </c>
      <c r="L8" s="17">
        <v>11</v>
      </c>
      <c r="M8" s="84">
        <v>16.695</v>
      </c>
      <c r="N8" s="75">
        <v>17</v>
      </c>
      <c r="O8" s="67">
        <v>7000</v>
      </c>
      <c r="P8" s="68">
        <f>Table2245789101130[[#This Row],[PEMBULATAN]]*O8</f>
        <v>119000</v>
      </c>
    </row>
    <row r="9" spans="1:16" ht="26.25" customHeight="1" x14ac:dyDescent="0.2">
      <c r="A9" s="14"/>
      <c r="B9" s="78"/>
      <c r="C9" s="76" t="s">
        <v>566</v>
      </c>
      <c r="D9" s="81" t="s">
        <v>49</v>
      </c>
      <c r="E9" s="13">
        <v>44426</v>
      </c>
      <c r="F9" s="79" t="s">
        <v>569</v>
      </c>
      <c r="G9" s="13">
        <v>44427</v>
      </c>
      <c r="H9" s="80" t="s">
        <v>570</v>
      </c>
      <c r="I9" s="17">
        <v>90</v>
      </c>
      <c r="J9" s="17">
        <v>64</v>
      </c>
      <c r="K9" s="17">
        <v>30</v>
      </c>
      <c r="L9" s="17">
        <v>11</v>
      </c>
      <c r="M9" s="84">
        <v>43.2</v>
      </c>
      <c r="N9" s="75">
        <v>43</v>
      </c>
      <c r="O9" s="67">
        <v>7000</v>
      </c>
      <c r="P9" s="68">
        <f>Table2245789101130[[#This Row],[PEMBULATAN]]*O9</f>
        <v>301000</v>
      </c>
    </row>
    <row r="10" spans="1:16" ht="26.25" customHeight="1" x14ac:dyDescent="0.2">
      <c r="A10" s="14"/>
      <c r="B10" s="78"/>
      <c r="C10" s="76" t="s">
        <v>567</v>
      </c>
      <c r="D10" s="81" t="s">
        <v>49</v>
      </c>
      <c r="E10" s="13">
        <v>44426</v>
      </c>
      <c r="F10" s="79" t="s">
        <v>569</v>
      </c>
      <c r="G10" s="13">
        <v>44427</v>
      </c>
      <c r="H10" s="80" t="s">
        <v>570</v>
      </c>
      <c r="I10" s="17">
        <v>85</v>
      </c>
      <c r="J10" s="17">
        <v>80</v>
      </c>
      <c r="K10" s="17">
        <v>28</v>
      </c>
      <c r="L10" s="17">
        <v>2</v>
      </c>
      <c r="M10" s="84">
        <v>47.6</v>
      </c>
      <c r="N10" s="75">
        <v>48</v>
      </c>
      <c r="O10" s="67">
        <v>7000</v>
      </c>
      <c r="P10" s="68">
        <f>Table2245789101130[[#This Row],[PEMBULATAN]]*O10</f>
        <v>336000</v>
      </c>
    </row>
    <row r="11" spans="1:16" ht="26.25" customHeight="1" x14ac:dyDescent="0.2">
      <c r="A11" s="14"/>
      <c r="B11" s="78"/>
      <c r="C11" s="76" t="s">
        <v>568</v>
      </c>
      <c r="D11" s="81" t="s">
        <v>49</v>
      </c>
      <c r="E11" s="13">
        <v>44426</v>
      </c>
      <c r="F11" s="79" t="s">
        <v>569</v>
      </c>
      <c r="G11" s="13">
        <v>44427</v>
      </c>
      <c r="H11" s="80" t="s">
        <v>570</v>
      </c>
      <c r="I11" s="17">
        <v>60</v>
      </c>
      <c r="J11" s="17">
        <v>37</v>
      </c>
      <c r="K11" s="17">
        <v>16</v>
      </c>
      <c r="L11" s="17">
        <v>12</v>
      </c>
      <c r="M11" s="84">
        <v>8.8800000000000008</v>
      </c>
      <c r="N11" s="75">
        <v>12</v>
      </c>
      <c r="O11" s="67">
        <v>7000</v>
      </c>
      <c r="P11" s="68">
        <f>Table2245789101130[[#This Row],[PEMBULATAN]]*O11</f>
        <v>84000</v>
      </c>
    </row>
    <row r="12" spans="1:16" ht="22.5" customHeight="1" x14ac:dyDescent="0.2">
      <c r="A12" s="122" t="s">
        <v>30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4"/>
      <c r="M12" s="82">
        <f>SUBTOTAL(109,Table2245789101130[KG VOLUME])</f>
        <v>259.51150000000001</v>
      </c>
      <c r="N12" s="71">
        <f>SUM(N3:N11)</f>
        <v>270</v>
      </c>
      <c r="O12" s="125">
        <f>SUM(P3:P11)</f>
        <v>1890000</v>
      </c>
      <c r="P12" s="126"/>
    </row>
    <row r="13" spans="1:16" ht="18" customHeight="1" x14ac:dyDescent="0.2">
      <c r="A13" s="94"/>
      <c r="B13" s="59" t="s">
        <v>42</v>
      </c>
      <c r="C13" s="58"/>
      <c r="D13" s="60" t="s">
        <v>43</v>
      </c>
      <c r="E13" s="94"/>
      <c r="F13" s="94"/>
      <c r="G13" s="94"/>
      <c r="H13" s="94"/>
      <c r="I13" s="94"/>
      <c r="J13" s="94"/>
      <c r="K13" s="94"/>
      <c r="L13" s="94"/>
      <c r="M13" s="95"/>
      <c r="N13" s="96" t="s">
        <v>649</v>
      </c>
      <c r="O13" s="97"/>
      <c r="P13" s="97">
        <v>0</v>
      </c>
    </row>
    <row r="14" spans="1:16" ht="18" customHeight="1" thickBot="1" x14ac:dyDescent="0.25">
      <c r="A14" s="94"/>
      <c r="B14" s="59"/>
      <c r="C14" s="58"/>
      <c r="D14" s="60"/>
      <c r="E14" s="94"/>
      <c r="F14" s="94"/>
      <c r="G14" s="94"/>
      <c r="H14" s="94"/>
      <c r="I14" s="94"/>
      <c r="J14" s="94"/>
      <c r="K14" s="94"/>
      <c r="L14" s="94"/>
      <c r="M14" s="95"/>
      <c r="N14" s="98" t="s">
        <v>650</v>
      </c>
      <c r="O14" s="99"/>
      <c r="P14" s="99">
        <f>O12-P13</f>
        <v>1890000</v>
      </c>
    </row>
    <row r="15" spans="1:16" ht="18" customHeight="1" x14ac:dyDescent="0.2">
      <c r="A15" s="11"/>
      <c r="H15" s="66"/>
      <c r="N15" s="65" t="s">
        <v>31</v>
      </c>
      <c r="P15" s="72">
        <f>P14*1%</f>
        <v>18900</v>
      </c>
    </row>
    <row r="16" spans="1:16" ht="18" customHeight="1" thickBot="1" x14ac:dyDescent="0.25">
      <c r="A16" s="11"/>
      <c r="H16" s="66"/>
      <c r="N16" s="65" t="s">
        <v>651</v>
      </c>
      <c r="P16" s="74">
        <f>P14*2%</f>
        <v>37800</v>
      </c>
    </row>
    <row r="17" spans="1:16" ht="18" customHeight="1" x14ac:dyDescent="0.2">
      <c r="A17" s="11"/>
      <c r="H17" s="66"/>
      <c r="N17" s="69" t="s">
        <v>32</v>
      </c>
      <c r="O17" s="70"/>
      <c r="P17" s="73">
        <f>P14+P15-P16</f>
        <v>1871100</v>
      </c>
    </row>
    <row r="19" spans="1:16" x14ac:dyDescent="0.2">
      <c r="A19" s="11"/>
      <c r="H19" s="66"/>
      <c r="P19" s="74"/>
    </row>
    <row r="20" spans="1:16" x14ac:dyDescent="0.2">
      <c r="A20" s="11"/>
      <c r="H20" s="66"/>
      <c r="O20" s="61"/>
      <c r="P20" s="74"/>
    </row>
    <row r="21" spans="1:16" s="3" customFormat="1" x14ac:dyDescent="0.25">
      <c r="A21" s="11"/>
      <c r="B21" s="2"/>
      <c r="C21" s="2"/>
      <c r="E21" s="12"/>
      <c r="H21" s="66"/>
      <c r="N21" s="16"/>
      <c r="O21" s="16"/>
      <c r="P21" s="16"/>
    </row>
    <row r="22" spans="1:16" s="3" customFormat="1" x14ac:dyDescent="0.25">
      <c r="A22" s="11"/>
      <c r="B22" s="2"/>
      <c r="C22" s="2"/>
      <c r="E22" s="12"/>
      <c r="H22" s="66"/>
      <c r="N22" s="16"/>
      <c r="O22" s="16"/>
      <c r="P22" s="16"/>
    </row>
    <row r="23" spans="1:16" s="3" customFormat="1" x14ac:dyDescent="0.25">
      <c r="A23" s="11"/>
      <c r="B23" s="2"/>
      <c r="C23" s="2"/>
      <c r="E23" s="12"/>
      <c r="H23" s="66"/>
      <c r="N23" s="16"/>
      <c r="O23" s="16"/>
      <c r="P23" s="16"/>
    </row>
    <row r="24" spans="1:16" s="3" customFormat="1" x14ac:dyDescent="0.25">
      <c r="A24" s="11"/>
      <c r="B24" s="2"/>
      <c r="C24" s="2"/>
      <c r="E24" s="12"/>
      <c r="H24" s="66"/>
      <c r="N24" s="16"/>
      <c r="O24" s="16"/>
      <c r="P24" s="16"/>
    </row>
    <row r="25" spans="1:16" s="3" customFormat="1" x14ac:dyDescent="0.25">
      <c r="A25" s="11"/>
      <c r="B25" s="2"/>
      <c r="C25" s="2"/>
      <c r="E25" s="12"/>
      <c r="H25" s="66"/>
      <c r="N25" s="16"/>
      <c r="O25" s="16"/>
      <c r="P25" s="16"/>
    </row>
    <row r="26" spans="1:16" s="3" customFormat="1" x14ac:dyDescent="0.25">
      <c r="A26" s="11"/>
      <c r="B26" s="2"/>
      <c r="C26" s="2"/>
      <c r="E26" s="12"/>
      <c r="H26" s="66"/>
      <c r="N26" s="16"/>
      <c r="O26" s="16"/>
      <c r="P26" s="16"/>
    </row>
    <row r="27" spans="1:16" s="3" customFormat="1" x14ac:dyDescent="0.25">
      <c r="A27" s="11"/>
      <c r="B27" s="2"/>
      <c r="C27" s="2"/>
      <c r="E27" s="12"/>
      <c r="H27" s="66"/>
      <c r="N27" s="16"/>
      <c r="O27" s="16"/>
      <c r="P27" s="16"/>
    </row>
    <row r="28" spans="1:16" s="3" customFormat="1" x14ac:dyDescent="0.25">
      <c r="A28" s="11"/>
      <c r="B28" s="2"/>
      <c r="C28" s="2"/>
      <c r="E28" s="12"/>
      <c r="H28" s="66"/>
      <c r="N28" s="16"/>
      <c r="O28" s="16"/>
      <c r="P28" s="16"/>
    </row>
    <row r="29" spans="1:16" s="3" customFormat="1" x14ac:dyDescent="0.25">
      <c r="A29" s="11"/>
      <c r="B29" s="2"/>
      <c r="C29" s="2"/>
      <c r="E29" s="12"/>
      <c r="H29" s="66"/>
      <c r="N29" s="16"/>
      <c r="O29" s="16"/>
      <c r="P29" s="16"/>
    </row>
    <row r="30" spans="1:16" s="3" customFormat="1" x14ac:dyDescent="0.25">
      <c r="A30" s="11"/>
      <c r="B30" s="2"/>
      <c r="C30" s="2"/>
      <c r="E30" s="12"/>
      <c r="H30" s="66"/>
      <c r="N30" s="16"/>
      <c r="O30" s="16"/>
      <c r="P30" s="16"/>
    </row>
    <row r="31" spans="1:16" s="3" customFormat="1" x14ac:dyDescent="0.25">
      <c r="A31" s="11"/>
      <c r="B31" s="2"/>
      <c r="C31" s="2"/>
      <c r="E31" s="12"/>
      <c r="H31" s="66"/>
      <c r="N31" s="16"/>
      <c r="O31" s="16"/>
      <c r="P31" s="16"/>
    </row>
    <row r="32" spans="1:16" s="3" customFormat="1" x14ac:dyDescent="0.25">
      <c r="A32" s="11"/>
      <c r="B32" s="2"/>
      <c r="C32" s="2"/>
      <c r="E32" s="12"/>
      <c r="H32" s="66"/>
      <c r="N32" s="16"/>
      <c r="O32" s="16"/>
      <c r="P32" s="16"/>
    </row>
  </sheetData>
  <mergeCells count="3">
    <mergeCell ref="A12:L12"/>
    <mergeCell ref="O12:P12"/>
    <mergeCell ref="A3:A4"/>
  </mergeCells>
  <conditionalFormatting sqref="B3:B11">
    <cfRule type="duplicateValues" dxfId="458" priority="2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E7" sqref="E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26.25" customHeight="1" x14ac:dyDescent="0.2">
      <c r="A3" s="120" t="s">
        <v>100</v>
      </c>
      <c r="B3" s="77" t="s">
        <v>80</v>
      </c>
      <c r="C3" s="9" t="s">
        <v>81</v>
      </c>
      <c r="D3" s="79" t="s">
        <v>49</v>
      </c>
      <c r="E3" s="13">
        <v>44427</v>
      </c>
      <c r="F3" s="79" t="s">
        <v>98</v>
      </c>
      <c r="G3" s="13">
        <v>44431</v>
      </c>
      <c r="H3" s="10" t="s">
        <v>99</v>
      </c>
      <c r="I3" s="1">
        <v>53</v>
      </c>
      <c r="J3" s="1">
        <v>42</v>
      </c>
      <c r="K3" s="1">
        <v>30</v>
      </c>
      <c r="L3" s="1">
        <v>7</v>
      </c>
      <c r="M3" s="83">
        <v>16.695</v>
      </c>
      <c r="N3" s="8">
        <v>17</v>
      </c>
      <c r="O3" s="67">
        <v>7000</v>
      </c>
      <c r="P3" s="68">
        <f>Table2245789101123[[#This Row],[PEMBULATAN]]*O3</f>
        <v>119000</v>
      </c>
    </row>
    <row r="4" spans="1:16" ht="26.25" customHeight="1" x14ac:dyDescent="0.2">
      <c r="A4" s="121"/>
      <c r="B4" s="78"/>
      <c r="C4" s="9" t="s">
        <v>82</v>
      </c>
      <c r="D4" s="79" t="s">
        <v>49</v>
      </c>
      <c r="E4" s="13">
        <v>44427</v>
      </c>
      <c r="F4" s="79" t="s">
        <v>98</v>
      </c>
      <c r="G4" s="13">
        <v>44431</v>
      </c>
      <c r="H4" s="10" t="s">
        <v>99</v>
      </c>
      <c r="I4" s="1">
        <v>56</v>
      </c>
      <c r="J4" s="1">
        <v>55</v>
      </c>
      <c r="K4" s="1">
        <v>33</v>
      </c>
      <c r="L4" s="1">
        <v>16</v>
      </c>
      <c r="M4" s="83">
        <v>25.41</v>
      </c>
      <c r="N4" s="8">
        <v>25</v>
      </c>
      <c r="O4" s="67">
        <v>7000</v>
      </c>
      <c r="P4" s="68">
        <f>Table2245789101123[[#This Row],[PEMBULATAN]]*O4</f>
        <v>175000</v>
      </c>
    </row>
    <row r="5" spans="1:16" ht="26.25" customHeight="1" x14ac:dyDescent="0.2">
      <c r="A5" s="14"/>
      <c r="B5" s="14"/>
      <c r="C5" s="9" t="s">
        <v>83</v>
      </c>
      <c r="D5" s="79" t="s">
        <v>49</v>
      </c>
      <c r="E5" s="13">
        <v>44427</v>
      </c>
      <c r="F5" s="79" t="s">
        <v>98</v>
      </c>
      <c r="G5" s="13">
        <v>44431</v>
      </c>
      <c r="H5" s="10" t="s">
        <v>99</v>
      </c>
      <c r="I5" s="1">
        <v>58</v>
      </c>
      <c r="J5" s="1">
        <v>52</v>
      </c>
      <c r="K5" s="1">
        <v>30</v>
      </c>
      <c r="L5" s="1">
        <v>18</v>
      </c>
      <c r="M5" s="83">
        <v>22.62</v>
      </c>
      <c r="N5" s="8">
        <v>23</v>
      </c>
      <c r="O5" s="67">
        <v>7000</v>
      </c>
      <c r="P5" s="68">
        <f>Table2245789101123[[#This Row],[PEMBULATAN]]*O5</f>
        <v>161000</v>
      </c>
    </row>
    <row r="6" spans="1:16" ht="26.25" customHeight="1" x14ac:dyDescent="0.2">
      <c r="A6" s="14"/>
      <c r="B6" s="14"/>
      <c r="C6" s="76" t="s">
        <v>84</v>
      </c>
      <c r="D6" s="81" t="s">
        <v>49</v>
      </c>
      <c r="E6" s="13">
        <v>44427</v>
      </c>
      <c r="F6" s="79" t="s">
        <v>98</v>
      </c>
      <c r="G6" s="13">
        <v>44431</v>
      </c>
      <c r="H6" s="80" t="s">
        <v>99</v>
      </c>
      <c r="I6" s="17">
        <v>52</v>
      </c>
      <c r="J6" s="17">
        <v>42</v>
      </c>
      <c r="K6" s="17">
        <v>33</v>
      </c>
      <c r="L6" s="17">
        <v>25</v>
      </c>
      <c r="M6" s="84">
        <v>18.018000000000001</v>
      </c>
      <c r="N6" s="75">
        <v>25</v>
      </c>
      <c r="O6" s="67">
        <v>7000</v>
      </c>
      <c r="P6" s="68">
        <f>Table2245789101123[[#This Row],[PEMBULATAN]]*O6</f>
        <v>175000</v>
      </c>
    </row>
    <row r="7" spans="1:16" ht="26.25" customHeight="1" x14ac:dyDescent="0.2">
      <c r="A7" s="14"/>
      <c r="B7" s="14"/>
      <c r="C7" s="76" t="s">
        <v>85</v>
      </c>
      <c r="D7" s="81" t="s">
        <v>49</v>
      </c>
      <c r="E7" s="13">
        <v>44427</v>
      </c>
      <c r="F7" s="79" t="s">
        <v>98</v>
      </c>
      <c r="G7" s="13">
        <v>44431</v>
      </c>
      <c r="H7" s="80" t="s">
        <v>99</v>
      </c>
      <c r="I7" s="17">
        <v>44</v>
      </c>
      <c r="J7" s="17">
        <v>21</v>
      </c>
      <c r="K7" s="17">
        <v>34</v>
      </c>
      <c r="L7" s="17">
        <v>8</v>
      </c>
      <c r="M7" s="84">
        <v>7.8540000000000001</v>
      </c>
      <c r="N7" s="75">
        <v>8</v>
      </c>
      <c r="O7" s="67">
        <v>7000</v>
      </c>
      <c r="P7" s="68">
        <f>Table2245789101123[[#This Row],[PEMBULATAN]]*O7</f>
        <v>56000</v>
      </c>
    </row>
    <row r="8" spans="1:16" ht="26.25" customHeight="1" x14ac:dyDescent="0.2">
      <c r="A8" s="14"/>
      <c r="B8" s="14"/>
      <c r="C8" s="76" t="s">
        <v>86</v>
      </c>
      <c r="D8" s="81" t="s">
        <v>49</v>
      </c>
      <c r="E8" s="13">
        <v>44427</v>
      </c>
      <c r="F8" s="79" t="s">
        <v>98</v>
      </c>
      <c r="G8" s="13">
        <v>44431</v>
      </c>
      <c r="H8" s="80" t="s">
        <v>99</v>
      </c>
      <c r="I8" s="17">
        <v>35</v>
      </c>
      <c r="J8" s="17">
        <v>26</v>
      </c>
      <c r="K8" s="17">
        <v>17</v>
      </c>
      <c r="L8" s="17">
        <v>13</v>
      </c>
      <c r="M8" s="84">
        <v>3.8675000000000002</v>
      </c>
      <c r="N8" s="75">
        <v>13</v>
      </c>
      <c r="O8" s="67">
        <v>7000</v>
      </c>
      <c r="P8" s="68">
        <f>Table2245789101123[[#This Row],[PEMBULATAN]]*O8</f>
        <v>91000</v>
      </c>
    </row>
    <row r="9" spans="1:16" ht="26.25" customHeight="1" x14ac:dyDescent="0.2">
      <c r="A9" s="14"/>
      <c r="B9" s="14"/>
      <c r="C9" s="76" t="s">
        <v>87</v>
      </c>
      <c r="D9" s="81" t="s">
        <v>49</v>
      </c>
      <c r="E9" s="13">
        <v>44427</v>
      </c>
      <c r="F9" s="79" t="s">
        <v>98</v>
      </c>
      <c r="G9" s="13">
        <v>44431</v>
      </c>
      <c r="H9" s="80" t="s">
        <v>99</v>
      </c>
      <c r="I9" s="17">
        <v>40</v>
      </c>
      <c r="J9" s="17">
        <v>38</v>
      </c>
      <c r="K9" s="17">
        <v>33</v>
      </c>
      <c r="L9" s="17">
        <v>5</v>
      </c>
      <c r="M9" s="84">
        <v>12.54</v>
      </c>
      <c r="N9" s="75">
        <v>13</v>
      </c>
      <c r="O9" s="67">
        <v>7000</v>
      </c>
      <c r="P9" s="68">
        <f>Table2245789101123[[#This Row],[PEMBULATAN]]*O9</f>
        <v>91000</v>
      </c>
    </row>
    <row r="10" spans="1:16" ht="26.25" customHeight="1" x14ac:dyDescent="0.2">
      <c r="A10" s="14"/>
      <c r="B10" s="14"/>
      <c r="C10" s="76" t="s">
        <v>88</v>
      </c>
      <c r="D10" s="81" t="s">
        <v>49</v>
      </c>
      <c r="E10" s="13">
        <v>44427</v>
      </c>
      <c r="F10" s="79" t="s">
        <v>98</v>
      </c>
      <c r="G10" s="13">
        <v>44431</v>
      </c>
      <c r="H10" s="80" t="s">
        <v>99</v>
      </c>
      <c r="I10" s="17">
        <v>59</v>
      </c>
      <c r="J10" s="17">
        <v>42</v>
      </c>
      <c r="K10" s="17">
        <v>38</v>
      </c>
      <c r="L10" s="17">
        <v>12</v>
      </c>
      <c r="M10" s="84">
        <v>23.541</v>
      </c>
      <c r="N10" s="75">
        <v>24</v>
      </c>
      <c r="O10" s="67">
        <v>7000</v>
      </c>
      <c r="P10" s="68">
        <f>Table2245789101123[[#This Row],[PEMBULATAN]]*O10</f>
        <v>168000</v>
      </c>
    </row>
    <row r="11" spans="1:16" ht="26.25" customHeight="1" x14ac:dyDescent="0.2">
      <c r="A11" s="14"/>
      <c r="B11" s="14"/>
      <c r="C11" s="76" t="s">
        <v>89</v>
      </c>
      <c r="D11" s="81" t="s">
        <v>49</v>
      </c>
      <c r="E11" s="13">
        <v>44427</v>
      </c>
      <c r="F11" s="79" t="s">
        <v>98</v>
      </c>
      <c r="G11" s="13">
        <v>44431</v>
      </c>
      <c r="H11" s="80" t="s">
        <v>99</v>
      </c>
      <c r="I11" s="17">
        <v>121</v>
      </c>
      <c r="J11" s="17">
        <v>23</v>
      </c>
      <c r="K11" s="17">
        <v>15</v>
      </c>
      <c r="L11" s="17">
        <v>8</v>
      </c>
      <c r="M11" s="84">
        <v>10.436249999999999</v>
      </c>
      <c r="N11" s="75">
        <v>10</v>
      </c>
      <c r="O11" s="67">
        <v>7000</v>
      </c>
      <c r="P11" s="68">
        <f>Table2245789101123[[#This Row],[PEMBULATAN]]*O11</f>
        <v>70000</v>
      </c>
    </row>
    <row r="12" spans="1:16" ht="26.25" customHeight="1" x14ac:dyDescent="0.2">
      <c r="A12" s="14"/>
      <c r="B12" s="14"/>
      <c r="C12" s="76" t="s">
        <v>90</v>
      </c>
      <c r="D12" s="81" t="s">
        <v>49</v>
      </c>
      <c r="E12" s="13">
        <v>44427</v>
      </c>
      <c r="F12" s="79" t="s">
        <v>98</v>
      </c>
      <c r="G12" s="13">
        <v>44431</v>
      </c>
      <c r="H12" s="80" t="s">
        <v>99</v>
      </c>
      <c r="I12" s="17">
        <v>123</v>
      </c>
      <c r="J12" s="17">
        <v>55</v>
      </c>
      <c r="K12" s="17">
        <v>7</v>
      </c>
      <c r="L12" s="17">
        <v>1</v>
      </c>
      <c r="M12" s="84">
        <v>11.838749999999999</v>
      </c>
      <c r="N12" s="75">
        <v>12</v>
      </c>
      <c r="O12" s="67">
        <v>7000</v>
      </c>
      <c r="P12" s="68">
        <f>Table2245789101123[[#This Row],[PEMBULATAN]]*O12</f>
        <v>84000</v>
      </c>
    </row>
    <row r="13" spans="1:16" ht="26.25" customHeight="1" x14ac:dyDescent="0.2">
      <c r="A13" s="14"/>
      <c r="B13" s="14"/>
      <c r="C13" s="76" t="s">
        <v>91</v>
      </c>
      <c r="D13" s="81" t="s">
        <v>49</v>
      </c>
      <c r="E13" s="13">
        <v>44427</v>
      </c>
      <c r="F13" s="79" t="s">
        <v>98</v>
      </c>
      <c r="G13" s="13">
        <v>44431</v>
      </c>
      <c r="H13" s="80" t="s">
        <v>99</v>
      </c>
      <c r="I13" s="17">
        <v>47</v>
      </c>
      <c r="J13" s="17">
        <v>33</v>
      </c>
      <c r="K13" s="17">
        <v>10</v>
      </c>
      <c r="L13" s="17">
        <v>4</v>
      </c>
      <c r="M13" s="84">
        <v>3.8774999999999999</v>
      </c>
      <c r="N13" s="75">
        <v>4</v>
      </c>
      <c r="O13" s="67">
        <v>7000</v>
      </c>
      <c r="P13" s="68">
        <f>Table2245789101123[[#This Row],[PEMBULATAN]]*O13</f>
        <v>28000</v>
      </c>
    </row>
    <row r="14" spans="1:16" ht="26.25" customHeight="1" x14ac:dyDescent="0.2">
      <c r="A14" s="14"/>
      <c r="B14" s="14"/>
      <c r="C14" s="76" t="s">
        <v>92</v>
      </c>
      <c r="D14" s="81" t="s">
        <v>49</v>
      </c>
      <c r="E14" s="13">
        <v>44427</v>
      </c>
      <c r="F14" s="79" t="s">
        <v>98</v>
      </c>
      <c r="G14" s="13">
        <v>44431</v>
      </c>
      <c r="H14" s="80" t="s">
        <v>99</v>
      </c>
      <c r="I14" s="17">
        <v>26</v>
      </c>
      <c r="J14" s="17">
        <v>24</v>
      </c>
      <c r="K14" s="17">
        <v>26</v>
      </c>
      <c r="L14" s="17">
        <v>8</v>
      </c>
      <c r="M14" s="84">
        <v>4.056</v>
      </c>
      <c r="N14" s="75">
        <v>8</v>
      </c>
      <c r="O14" s="67">
        <v>7000</v>
      </c>
      <c r="P14" s="68">
        <f>Table2245789101123[[#This Row],[PEMBULATAN]]*O14</f>
        <v>56000</v>
      </c>
    </row>
    <row r="15" spans="1:16" ht="26.25" customHeight="1" x14ac:dyDescent="0.2">
      <c r="A15" s="14"/>
      <c r="B15" s="14"/>
      <c r="C15" s="76" t="s">
        <v>93</v>
      </c>
      <c r="D15" s="81" t="s">
        <v>49</v>
      </c>
      <c r="E15" s="13">
        <v>44427</v>
      </c>
      <c r="F15" s="79" t="s">
        <v>98</v>
      </c>
      <c r="G15" s="13">
        <v>44431</v>
      </c>
      <c r="H15" s="80" t="s">
        <v>99</v>
      </c>
      <c r="I15" s="17">
        <v>88</v>
      </c>
      <c r="J15" s="17">
        <v>75</v>
      </c>
      <c r="K15" s="17">
        <v>21</v>
      </c>
      <c r="L15" s="17">
        <v>20</v>
      </c>
      <c r="M15" s="84">
        <v>34.65</v>
      </c>
      <c r="N15" s="75">
        <v>35</v>
      </c>
      <c r="O15" s="67">
        <v>7000</v>
      </c>
      <c r="P15" s="68">
        <f>Table2245789101123[[#This Row],[PEMBULATAN]]*O15</f>
        <v>245000</v>
      </c>
    </row>
    <row r="16" spans="1:16" ht="26.25" customHeight="1" x14ac:dyDescent="0.2">
      <c r="A16" s="14"/>
      <c r="B16" s="14"/>
      <c r="C16" s="76" t="s">
        <v>94</v>
      </c>
      <c r="D16" s="81" t="s">
        <v>49</v>
      </c>
      <c r="E16" s="13">
        <v>44427</v>
      </c>
      <c r="F16" s="79" t="s">
        <v>98</v>
      </c>
      <c r="G16" s="13">
        <v>44431</v>
      </c>
      <c r="H16" s="80" t="s">
        <v>99</v>
      </c>
      <c r="I16" s="17">
        <v>57</v>
      </c>
      <c r="J16" s="17">
        <v>41</v>
      </c>
      <c r="K16" s="17">
        <v>14</v>
      </c>
      <c r="L16" s="17">
        <v>4</v>
      </c>
      <c r="M16" s="84">
        <v>8.1795000000000009</v>
      </c>
      <c r="N16" s="75">
        <v>8</v>
      </c>
      <c r="O16" s="67">
        <v>7000</v>
      </c>
      <c r="P16" s="68">
        <f>Table2245789101123[[#This Row],[PEMBULATAN]]*O16</f>
        <v>56000</v>
      </c>
    </row>
    <row r="17" spans="1:16" ht="26.25" customHeight="1" x14ac:dyDescent="0.2">
      <c r="A17" s="14"/>
      <c r="B17" s="14"/>
      <c r="C17" s="76" t="s">
        <v>95</v>
      </c>
      <c r="D17" s="81" t="s">
        <v>49</v>
      </c>
      <c r="E17" s="13">
        <v>44427</v>
      </c>
      <c r="F17" s="79" t="s">
        <v>98</v>
      </c>
      <c r="G17" s="13">
        <v>44431</v>
      </c>
      <c r="H17" s="80" t="s">
        <v>99</v>
      </c>
      <c r="I17" s="17">
        <v>80</v>
      </c>
      <c r="J17" s="17">
        <v>32</v>
      </c>
      <c r="K17" s="17">
        <v>46</v>
      </c>
      <c r="L17" s="17">
        <v>12</v>
      </c>
      <c r="M17" s="84">
        <v>29.44</v>
      </c>
      <c r="N17" s="75">
        <v>29</v>
      </c>
      <c r="O17" s="67">
        <v>7000</v>
      </c>
      <c r="P17" s="68">
        <f>Table2245789101123[[#This Row],[PEMBULATAN]]*O17</f>
        <v>203000</v>
      </c>
    </row>
    <row r="18" spans="1:16" ht="26.25" customHeight="1" x14ac:dyDescent="0.2">
      <c r="A18" s="14"/>
      <c r="B18" s="14"/>
      <c r="C18" s="76" t="s">
        <v>96</v>
      </c>
      <c r="D18" s="81" t="s">
        <v>49</v>
      </c>
      <c r="E18" s="13">
        <v>44427</v>
      </c>
      <c r="F18" s="79" t="s">
        <v>98</v>
      </c>
      <c r="G18" s="13">
        <v>44431</v>
      </c>
      <c r="H18" s="80" t="s">
        <v>99</v>
      </c>
      <c r="I18" s="17">
        <v>132</v>
      </c>
      <c r="J18" s="17">
        <v>20</v>
      </c>
      <c r="K18" s="17">
        <v>20</v>
      </c>
      <c r="L18" s="17">
        <v>10</v>
      </c>
      <c r="M18" s="84">
        <v>13.2</v>
      </c>
      <c r="N18" s="75">
        <v>13</v>
      </c>
      <c r="O18" s="67">
        <v>7000</v>
      </c>
      <c r="P18" s="68">
        <f>Table2245789101123[[#This Row],[PEMBULATAN]]*O18</f>
        <v>91000</v>
      </c>
    </row>
    <row r="19" spans="1:16" ht="26.25" customHeight="1" x14ac:dyDescent="0.2">
      <c r="A19" s="14"/>
      <c r="B19" s="14"/>
      <c r="C19" s="76" t="s">
        <v>97</v>
      </c>
      <c r="D19" s="81" t="s">
        <v>49</v>
      </c>
      <c r="E19" s="13">
        <v>44427</v>
      </c>
      <c r="F19" s="79" t="s">
        <v>98</v>
      </c>
      <c r="G19" s="13">
        <v>44431</v>
      </c>
      <c r="H19" s="80" t="s">
        <v>99</v>
      </c>
      <c r="I19" s="17">
        <v>60</v>
      </c>
      <c r="J19" s="17">
        <v>55</v>
      </c>
      <c r="K19" s="17">
        <v>80</v>
      </c>
      <c r="L19" s="17">
        <v>8</v>
      </c>
      <c r="M19" s="84">
        <v>66</v>
      </c>
      <c r="N19" s="75">
        <v>66</v>
      </c>
      <c r="O19" s="67">
        <v>7000</v>
      </c>
      <c r="P19" s="68">
        <f>Table2245789101123[[#This Row],[PEMBULATAN]]*O19</f>
        <v>462000</v>
      </c>
    </row>
    <row r="20" spans="1:16" ht="22.5" customHeight="1" x14ac:dyDescent="0.2">
      <c r="A20" s="122" t="s">
        <v>30</v>
      </c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4"/>
      <c r="M20" s="82">
        <f>SUBTOTAL(109,Table2245789101123[KG VOLUME])</f>
        <v>312.2235</v>
      </c>
      <c r="N20" s="71">
        <f>SUM(N3:N19)</f>
        <v>333</v>
      </c>
      <c r="O20" s="125">
        <f>SUM(P3:P19)</f>
        <v>2331000</v>
      </c>
      <c r="P20" s="126"/>
    </row>
    <row r="21" spans="1:16" ht="18" customHeight="1" x14ac:dyDescent="0.2">
      <c r="A21" s="94"/>
      <c r="B21" s="59" t="s">
        <v>42</v>
      </c>
      <c r="C21" s="58"/>
      <c r="D21" s="60" t="s">
        <v>43</v>
      </c>
      <c r="E21" s="94"/>
      <c r="F21" s="94"/>
      <c r="G21" s="94"/>
      <c r="H21" s="94"/>
      <c r="I21" s="94"/>
      <c r="J21" s="94"/>
      <c r="K21" s="94"/>
      <c r="L21" s="94"/>
      <c r="M21" s="95"/>
      <c r="N21" s="96" t="s">
        <v>649</v>
      </c>
      <c r="O21" s="97"/>
      <c r="P21" s="97">
        <v>0</v>
      </c>
    </row>
    <row r="22" spans="1:16" ht="18" customHeight="1" thickBot="1" x14ac:dyDescent="0.25">
      <c r="A22" s="94"/>
      <c r="B22" s="59"/>
      <c r="C22" s="58"/>
      <c r="D22" s="60"/>
      <c r="E22" s="94"/>
      <c r="F22" s="94"/>
      <c r="G22" s="94"/>
      <c r="H22" s="94"/>
      <c r="I22" s="94"/>
      <c r="J22" s="94"/>
      <c r="K22" s="94"/>
      <c r="L22" s="94"/>
      <c r="M22" s="95"/>
      <c r="N22" s="98" t="s">
        <v>650</v>
      </c>
      <c r="O22" s="99"/>
      <c r="P22" s="99">
        <f>O20-P21</f>
        <v>2331000</v>
      </c>
    </row>
    <row r="23" spans="1:16" ht="18" customHeight="1" x14ac:dyDescent="0.2">
      <c r="A23" s="11"/>
      <c r="H23" s="66"/>
      <c r="N23" s="65" t="s">
        <v>31</v>
      </c>
      <c r="P23" s="72">
        <f>P22*1%</f>
        <v>23310</v>
      </c>
    </row>
    <row r="24" spans="1:16" ht="18" customHeight="1" thickBot="1" x14ac:dyDescent="0.25">
      <c r="A24" s="11"/>
      <c r="H24" s="66"/>
      <c r="N24" s="65" t="s">
        <v>651</v>
      </c>
      <c r="P24" s="74">
        <f>P22*2%</f>
        <v>46620</v>
      </c>
    </row>
    <row r="25" spans="1:16" ht="18" customHeight="1" x14ac:dyDescent="0.2">
      <c r="A25" s="11"/>
      <c r="H25" s="66"/>
      <c r="N25" s="69" t="s">
        <v>32</v>
      </c>
      <c r="O25" s="70"/>
      <c r="P25" s="73">
        <f>P22+P23-P24</f>
        <v>2307690</v>
      </c>
    </row>
    <row r="27" spans="1:16" x14ac:dyDescent="0.2">
      <c r="A27" s="11"/>
      <c r="H27" s="66"/>
      <c r="P27" s="74"/>
    </row>
    <row r="28" spans="1:16" x14ac:dyDescent="0.2">
      <c r="A28" s="11"/>
      <c r="H28" s="66"/>
      <c r="O28" s="61"/>
      <c r="P28" s="74"/>
    </row>
    <row r="29" spans="1:16" s="3" customFormat="1" x14ac:dyDescent="0.25">
      <c r="A29" s="11"/>
      <c r="B29" s="2"/>
      <c r="C29" s="2"/>
      <c r="E29" s="12"/>
      <c r="H29" s="66"/>
      <c r="N29" s="16"/>
      <c r="O29" s="16"/>
      <c r="P29" s="16"/>
    </row>
    <row r="30" spans="1:16" s="3" customFormat="1" x14ac:dyDescent="0.25">
      <c r="A30" s="11"/>
      <c r="B30" s="2"/>
      <c r="C30" s="2"/>
      <c r="E30" s="12"/>
      <c r="H30" s="66"/>
      <c r="N30" s="16"/>
      <c r="O30" s="16"/>
      <c r="P30" s="16"/>
    </row>
    <row r="31" spans="1:16" s="3" customFormat="1" x14ac:dyDescent="0.25">
      <c r="A31" s="11"/>
      <c r="B31" s="2"/>
      <c r="C31" s="2"/>
      <c r="E31" s="12"/>
      <c r="H31" s="66"/>
      <c r="N31" s="16"/>
      <c r="O31" s="16"/>
      <c r="P31" s="16"/>
    </row>
    <row r="32" spans="1:16" s="3" customFormat="1" x14ac:dyDescent="0.25">
      <c r="A32" s="11"/>
      <c r="B32" s="2"/>
      <c r="C32" s="2"/>
      <c r="E32" s="12"/>
      <c r="H32" s="66"/>
      <c r="N32" s="16"/>
      <c r="O32" s="16"/>
      <c r="P32" s="16"/>
    </row>
    <row r="33" spans="1:16" s="3" customFormat="1" x14ac:dyDescent="0.25">
      <c r="A33" s="11"/>
      <c r="B33" s="2"/>
      <c r="C33" s="2"/>
      <c r="E33" s="12"/>
      <c r="H33" s="66"/>
      <c r="N33" s="16"/>
      <c r="O33" s="16"/>
      <c r="P33" s="16"/>
    </row>
    <row r="34" spans="1:16" s="3" customFormat="1" x14ac:dyDescent="0.25">
      <c r="A34" s="11"/>
      <c r="B34" s="2"/>
      <c r="C34" s="2"/>
      <c r="E34" s="12"/>
      <c r="H34" s="66"/>
      <c r="N34" s="16"/>
      <c r="O34" s="16"/>
      <c r="P34" s="16"/>
    </row>
    <row r="35" spans="1:16" s="3" customFormat="1" x14ac:dyDescent="0.25">
      <c r="A35" s="11"/>
      <c r="B35" s="2"/>
      <c r="C35" s="2"/>
      <c r="E35" s="12"/>
      <c r="H35" s="66"/>
      <c r="N35" s="16"/>
      <c r="O35" s="16"/>
      <c r="P35" s="16"/>
    </row>
    <row r="36" spans="1:16" s="3" customFormat="1" x14ac:dyDescent="0.25">
      <c r="A36" s="11"/>
      <c r="B36" s="2"/>
      <c r="C36" s="2"/>
      <c r="E36" s="12"/>
      <c r="H36" s="66"/>
      <c r="N36" s="16"/>
      <c r="O36" s="16"/>
      <c r="P36" s="16"/>
    </row>
    <row r="37" spans="1:16" s="3" customFormat="1" x14ac:dyDescent="0.25">
      <c r="A37" s="11"/>
      <c r="B37" s="2"/>
      <c r="C37" s="2"/>
      <c r="E37" s="12"/>
      <c r="H37" s="66"/>
      <c r="N37" s="16"/>
      <c r="O37" s="16"/>
      <c r="P37" s="16"/>
    </row>
    <row r="38" spans="1:16" s="3" customFormat="1" x14ac:dyDescent="0.25">
      <c r="A38" s="11"/>
      <c r="B38" s="2"/>
      <c r="C38" s="2"/>
      <c r="E38" s="12"/>
      <c r="H38" s="66"/>
      <c r="N38" s="16"/>
      <c r="O38" s="16"/>
      <c r="P38" s="16"/>
    </row>
    <row r="39" spans="1:16" s="3" customFormat="1" x14ac:dyDescent="0.25">
      <c r="A39" s="11"/>
      <c r="B39" s="2"/>
      <c r="C39" s="2"/>
      <c r="E39" s="12"/>
      <c r="H39" s="66"/>
      <c r="N39" s="16"/>
      <c r="O39" s="16"/>
      <c r="P39" s="16"/>
    </row>
    <row r="40" spans="1:16" s="3" customFormat="1" x14ac:dyDescent="0.25">
      <c r="A40" s="11"/>
      <c r="B40" s="2"/>
      <c r="C40" s="2"/>
      <c r="E40" s="12"/>
      <c r="H40" s="66"/>
      <c r="N40" s="16"/>
      <c r="O40" s="16"/>
      <c r="P40" s="16"/>
    </row>
  </sheetData>
  <mergeCells count="3">
    <mergeCell ref="A3:A4"/>
    <mergeCell ref="A20:L20"/>
    <mergeCell ref="O20:P20"/>
  </mergeCells>
  <conditionalFormatting sqref="B3">
    <cfRule type="duplicateValues" dxfId="442" priority="2"/>
  </conditionalFormatting>
  <conditionalFormatting sqref="B4">
    <cfRule type="duplicateValues" dxfId="441" priority="1"/>
  </conditionalFormatting>
  <conditionalFormatting sqref="B5:B19">
    <cfRule type="duplicateValues" dxfId="440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1" sqref="H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26.25" customHeight="1" x14ac:dyDescent="0.2">
      <c r="A3" s="120" t="s">
        <v>104</v>
      </c>
      <c r="B3" s="77" t="s">
        <v>101</v>
      </c>
      <c r="C3" s="9" t="s">
        <v>102</v>
      </c>
      <c r="D3" s="79" t="s">
        <v>49</v>
      </c>
      <c r="E3" s="13">
        <v>44427</v>
      </c>
      <c r="F3" s="79" t="s">
        <v>98</v>
      </c>
      <c r="G3" s="13">
        <v>44431</v>
      </c>
      <c r="H3" s="10" t="s">
        <v>99</v>
      </c>
      <c r="I3" s="1">
        <v>60</v>
      </c>
      <c r="J3" s="1">
        <v>30</v>
      </c>
      <c r="K3" s="1">
        <v>20</v>
      </c>
      <c r="L3" s="1">
        <v>7</v>
      </c>
      <c r="M3" s="83">
        <v>9</v>
      </c>
      <c r="N3" s="8">
        <v>9</v>
      </c>
      <c r="O3" s="67">
        <v>7000</v>
      </c>
      <c r="P3" s="68">
        <f>Table22457891011234[[#This Row],[PEMBULATAN]]*O3</f>
        <v>63000</v>
      </c>
    </row>
    <row r="4" spans="1:16" ht="26.25" customHeight="1" x14ac:dyDescent="0.2">
      <c r="A4" s="121"/>
      <c r="B4" s="78"/>
      <c r="C4" s="9" t="s">
        <v>103</v>
      </c>
      <c r="D4" s="79" t="s">
        <v>49</v>
      </c>
      <c r="E4" s="13">
        <v>44427</v>
      </c>
      <c r="F4" s="79" t="s">
        <v>98</v>
      </c>
      <c r="G4" s="13">
        <v>44431</v>
      </c>
      <c r="H4" s="10" t="s">
        <v>99</v>
      </c>
      <c r="I4" s="1">
        <v>30</v>
      </c>
      <c r="J4" s="1">
        <v>25</v>
      </c>
      <c r="K4" s="1">
        <v>22</v>
      </c>
      <c r="L4" s="1">
        <v>12</v>
      </c>
      <c r="M4" s="83">
        <v>4.125</v>
      </c>
      <c r="N4" s="8">
        <v>12</v>
      </c>
      <c r="O4" s="67">
        <v>7000</v>
      </c>
      <c r="P4" s="68">
        <f>Table22457891011234[[#This Row],[PEMBULATAN]]*O4</f>
        <v>84000</v>
      </c>
    </row>
    <row r="5" spans="1:16" ht="22.5" customHeight="1" x14ac:dyDescent="0.2">
      <c r="A5" s="122" t="s">
        <v>30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4"/>
      <c r="M5" s="82">
        <f>SUBTOTAL(109,Table22457891011234[KG VOLUME])</f>
        <v>13.125</v>
      </c>
      <c r="N5" s="71">
        <f>SUM(N3:N4)</f>
        <v>21</v>
      </c>
      <c r="O5" s="125">
        <f>SUM(P3:P4)</f>
        <v>147000</v>
      </c>
      <c r="P5" s="126"/>
    </row>
    <row r="6" spans="1:16" ht="18" customHeight="1" x14ac:dyDescent="0.2">
      <c r="A6" s="94"/>
      <c r="B6" s="59" t="s">
        <v>42</v>
      </c>
      <c r="C6" s="58"/>
      <c r="D6" s="60" t="s">
        <v>43</v>
      </c>
      <c r="E6" s="94"/>
      <c r="F6" s="94"/>
      <c r="G6" s="94"/>
      <c r="H6" s="94"/>
      <c r="I6" s="94"/>
      <c r="J6" s="94"/>
      <c r="K6" s="94"/>
      <c r="L6" s="94"/>
      <c r="M6" s="95"/>
      <c r="N6" s="96" t="s">
        <v>649</v>
      </c>
      <c r="O6" s="97"/>
      <c r="P6" s="97">
        <v>0</v>
      </c>
    </row>
    <row r="7" spans="1:16" ht="18" customHeight="1" thickBot="1" x14ac:dyDescent="0.25">
      <c r="A7" s="94"/>
      <c r="B7" s="59"/>
      <c r="C7" s="58"/>
      <c r="D7" s="60"/>
      <c r="E7" s="94"/>
      <c r="F7" s="94"/>
      <c r="G7" s="94"/>
      <c r="H7" s="94"/>
      <c r="I7" s="94"/>
      <c r="J7" s="94"/>
      <c r="K7" s="94"/>
      <c r="L7" s="94"/>
      <c r="M7" s="95"/>
      <c r="N7" s="98" t="s">
        <v>650</v>
      </c>
      <c r="O7" s="99"/>
      <c r="P7" s="99">
        <f>O5-P6</f>
        <v>147000</v>
      </c>
    </row>
    <row r="8" spans="1:16" ht="18" customHeight="1" x14ac:dyDescent="0.2">
      <c r="A8" s="11"/>
      <c r="H8" s="66"/>
      <c r="N8" s="65" t="s">
        <v>31</v>
      </c>
      <c r="P8" s="72">
        <f>P7*1%</f>
        <v>1470</v>
      </c>
    </row>
    <row r="9" spans="1:16" ht="18" customHeight="1" thickBot="1" x14ac:dyDescent="0.25">
      <c r="A9" s="11"/>
      <c r="H9" s="66"/>
      <c r="N9" s="65" t="s">
        <v>651</v>
      </c>
      <c r="P9" s="74">
        <f>P7*2%</f>
        <v>2940</v>
      </c>
    </row>
    <row r="10" spans="1:16" ht="18" customHeight="1" x14ac:dyDescent="0.2">
      <c r="A10" s="11"/>
      <c r="H10" s="66"/>
      <c r="N10" s="69" t="s">
        <v>32</v>
      </c>
      <c r="O10" s="70"/>
      <c r="P10" s="73">
        <f>P7+P8-P9</f>
        <v>145530</v>
      </c>
    </row>
    <row r="12" spans="1:16" x14ac:dyDescent="0.2">
      <c r="A12" s="11"/>
      <c r="H12" s="66"/>
      <c r="P12" s="74"/>
    </row>
    <row r="13" spans="1:16" x14ac:dyDescent="0.2">
      <c r="A13" s="11"/>
      <c r="H13" s="66"/>
      <c r="O13" s="61"/>
      <c r="P13" s="74"/>
    </row>
    <row r="14" spans="1:16" s="3" customFormat="1" x14ac:dyDescent="0.25">
      <c r="A14" s="11"/>
      <c r="B14" s="2"/>
      <c r="C14" s="2"/>
      <c r="E14" s="12"/>
      <c r="H14" s="66"/>
      <c r="N14" s="16"/>
      <c r="O14" s="16"/>
      <c r="P14" s="16"/>
    </row>
    <row r="15" spans="1:16" s="3" customFormat="1" x14ac:dyDescent="0.25">
      <c r="A15" s="11"/>
      <c r="B15" s="2"/>
      <c r="C15" s="2"/>
      <c r="E15" s="12"/>
      <c r="H15" s="66"/>
      <c r="N15" s="16"/>
      <c r="O15" s="16"/>
      <c r="P15" s="16"/>
    </row>
    <row r="16" spans="1:16" s="3" customFormat="1" x14ac:dyDescent="0.25">
      <c r="A16" s="11"/>
      <c r="B16" s="2"/>
      <c r="C16" s="2"/>
      <c r="E16" s="12"/>
      <c r="H16" s="66"/>
      <c r="N16" s="16"/>
      <c r="O16" s="16"/>
      <c r="P16" s="16"/>
    </row>
    <row r="17" spans="1:16" s="3" customFormat="1" x14ac:dyDescent="0.25">
      <c r="A17" s="11"/>
      <c r="B17" s="2"/>
      <c r="C17" s="2"/>
      <c r="E17" s="12"/>
      <c r="H17" s="66"/>
      <c r="N17" s="16"/>
      <c r="O17" s="16"/>
      <c r="P17" s="16"/>
    </row>
    <row r="18" spans="1:16" s="3" customFormat="1" x14ac:dyDescent="0.25">
      <c r="A18" s="11"/>
      <c r="B18" s="2"/>
      <c r="C18" s="2"/>
      <c r="E18" s="12"/>
      <c r="H18" s="66"/>
      <c r="N18" s="16"/>
      <c r="O18" s="16"/>
      <c r="P18" s="16"/>
    </row>
    <row r="19" spans="1:16" s="3" customFormat="1" x14ac:dyDescent="0.25">
      <c r="A19" s="11"/>
      <c r="B19" s="2"/>
      <c r="C19" s="2"/>
      <c r="E19" s="12"/>
      <c r="H19" s="66"/>
      <c r="N19" s="16"/>
      <c r="O19" s="16"/>
      <c r="P19" s="16"/>
    </row>
    <row r="20" spans="1:16" s="3" customFormat="1" x14ac:dyDescent="0.25">
      <c r="A20" s="11"/>
      <c r="B20" s="2"/>
      <c r="C20" s="2"/>
      <c r="E20" s="12"/>
      <c r="H20" s="66"/>
      <c r="N20" s="16"/>
      <c r="O20" s="16"/>
      <c r="P20" s="16"/>
    </row>
    <row r="21" spans="1:16" s="3" customFormat="1" x14ac:dyDescent="0.25">
      <c r="A21" s="11"/>
      <c r="B21" s="2"/>
      <c r="C21" s="2"/>
      <c r="E21" s="12"/>
      <c r="H21" s="66"/>
      <c r="N21" s="16"/>
      <c r="O21" s="16"/>
      <c r="P21" s="16"/>
    </row>
    <row r="22" spans="1:16" s="3" customFormat="1" x14ac:dyDescent="0.25">
      <c r="A22" s="11"/>
      <c r="B22" s="2"/>
      <c r="C22" s="2"/>
      <c r="E22" s="12"/>
      <c r="H22" s="66"/>
      <c r="N22" s="16"/>
      <c r="O22" s="16"/>
      <c r="P22" s="16"/>
    </row>
    <row r="23" spans="1:16" s="3" customFormat="1" x14ac:dyDescent="0.25">
      <c r="A23" s="11"/>
      <c r="B23" s="2"/>
      <c r="C23" s="2"/>
      <c r="E23" s="12"/>
      <c r="H23" s="66"/>
      <c r="N23" s="16"/>
      <c r="O23" s="16"/>
      <c r="P23" s="16"/>
    </row>
    <row r="24" spans="1:16" s="3" customFormat="1" x14ac:dyDescent="0.25">
      <c r="A24" s="11"/>
      <c r="B24" s="2"/>
      <c r="C24" s="2"/>
      <c r="E24" s="12"/>
      <c r="H24" s="66"/>
      <c r="N24" s="16"/>
      <c r="O24" s="16"/>
      <c r="P24" s="16"/>
    </row>
    <row r="25" spans="1:16" s="3" customFormat="1" x14ac:dyDescent="0.25">
      <c r="A25" s="11"/>
      <c r="B25" s="2"/>
      <c r="C25" s="2"/>
      <c r="E25" s="12"/>
      <c r="H25" s="66"/>
      <c r="N25" s="16"/>
      <c r="O25" s="16"/>
      <c r="P25" s="16"/>
    </row>
  </sheetData>
  <mergeCells count="3">
    <mergeCell ref="A3:A4"/>
    <mergeCell ref="A5:L5"/>
    <mergeCell ref="O5:P5"/>
  </mergeCells>
  <conditionalFormatting sqref="B3">
    <cfRule type="duplicateValues" dxfId="424" priority="2"/>
  </conditionalFormatting>
  <conditionalFormatting sqref="B4">
    <cfRule type="duplicateValues" dxfId="423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activeCell="H14" sqref="H14"/>
      <selection pane="topRight" activeCell="H14" sqref="H14"/>
      <selection pane="bottomLeft" activeCell="H14" sqref="H14"/>
      <selection pane="bottomRight" activeCell="C11" sqref="C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26.25" customHeight="1" x14ac:dyDescent="0.2">
      <c r="A3" s="89" t="s">
        <v>589</v>
      </c>
      <c r="B3" s="77" t="s">
        <v>105</v>
      </c>
      <c r="C3" s="9" t="s">
        <v>106</v>
      </c>
      <c r="D3" s="79" t="s">
        <v>49</v>
      </c>
      <c r="E3" s="13">
        <v>44428</v>
      </c>
      <c r="F3" s="79" t="s">
        <v>98</v>
      </c>
      <c r="G3" s="13">
        <v>44431</v>
      </c>
      <c r="H3" s="10" t="s">
        <v>99</v>
      </c>
      <c r="I3" s="1">
        <v>58</v>
      </c>
      <c r="J3" s="1">
        <v>40</v>
      </c>
      <c r="K3" s="1">
        <v>50</v>
      </c>
      <c r="L3" s="1">
        <v>12</v>
      </c>
      <c r="M3" s="83">
        <f>Table224578910112345[P]*Table224578910112345[L]*Table224578910112345[T]/4000</f>
        <v>29</v>
      </c>
      <c r="N3" s="8">
        <v>29</v>
      </c>
      <c r="O3" s="67">
        <v>7000</v>
      </c>
      <c r="P3" s="68">
        <f>Table224578910112345[[#This Row],[PEMBULATAN]]*O3</f>
        <v>203000</v>
      </c>
    </row>
    <row r="4" spans="1:16" ht="22.5" customHeight="1" x14ac:dyDescent="0.2">
      <c r="A4" s="122" t="s">
        <v>30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4"/>
      <c r="M4" s="82">
        <f>SUBTOTAL(109,Table224578910112345[KG VOLUME])</f>
        <v>29</v>
      </c>
      <c r="N4" s="71">
        <f>SUM(N3:N3)</f>
        <v>29</v>
      </c>
      <c r="O4" s="125">
        <f>SUM(P3:P3)</f>
        <v>203000</v>
      </c>
      <c r="P4" s="126"/>
    </row>
    <row r="5" spans="1:16" ht="18" customHeight="1" x14ac:dyDescent="0.2">
      <c r="A5" s="94"/>
      <c r="B5" s="59" t="s">
        <v>42</v>
      </c>
      <c r="C5" s="58"/>
      <c r="D5" s="60" t="s">
        <v>43</v>
      </c>
      <c r="E5" s="94"/>
      <c r="F5" s="94"/>
      <c r="G5" s="94"/>
      <c r="H5" s="94"/>
      <c r="I5" s="94"/>
      <c r="J5" s="94"/>
      <c r="K5" s="94"/>
      <c r="L5" s="94"/>
      <c r="M5" s="95"/>
      <c r="N5" s="96" t="s">
        <v>649</v>
      </c>
      <c r="O5" s="97"/>
      <c r="P5" s="97">
        <v>0</v>
      </c>
    </row>
    <row r="6" spans="1:16" ht="18" customHeight="1" thickBot="1" x14ac:dyDescent="0.25">
      <c r="A6" s="94"/>
      <c r="B6" s="59"/>
      <c r="C6" s="58"/>
      <c r="D6" s="60"/>
      <c r="E6" s="94"/>
      <c r="F6" s="94"/>
      <c r="G6" s="94"/>
      <c r="H6" s="94"/>
      <c r="I6" s="94"/>
      <c r="J6" s="94"/>
      <c r="K6" s="94"/>
      <c r="L6" s="94"/>
      <c r="M6" s="95"/>
      <c r="N6" s="98" t="s">
        <v>650</v>
      </c>
      <c r="O6" s="99"/>
      <c r="P6" s="99">
        <f>O4-P5</f>
        <v>203000</v>
      </c>
    </row>
    <row r="7" spans="1:16" ht="18" customHeight="1" x14ac:dyDescent="0.2">
      <c r="A7" s="11"/>
      <c r="H7" s="66"/>
      <c r="N7" s="65" t="s">
        <v>31</v>
      </c>
      <c r="P7" s="72">
        <f>P6*1%</f>
        <v>2030</v>
      </c>
    </row>
    <row r="8" spans="1:16" ht="18" customHeight="1" thickBot="1" x14ac:dyDescent="0.25">
      <c r="A8" s="11"/>
      <c r="H8" s="66"/>
      <c r="N8" s="65" t="s">
        <v>651</v>
      </c>
      <c r="P8" s="74">
        <f>P6*2%</f>
        <v>4060</v>
      </c>
    </row>
    <row r="9" spans="1:16" ht="18" customHeight="1" x14ac:dyDescent="0.2">
      <c r="A9" s="11"/>
      <c r="H9" s="66"/>
      <c r="N9" s="69" t="s">
        <v>32</v>
      </c>
      <c r="O9" s="70"/>
      <c r="P9" s="73">
        <f>P6+P7-P8</f>
        <v>200970</v>
      </c>
    </row>
    <row r="11" spans="1:16" x14ac:dyDescent="0.2">
      <c r="A11" s="11"/>
      <c r="H11" s="66"/>
      <c r="P11" s="74"/>
    </row>
    <row r="12" spans="1:16" x14ac:dyDescent="0.2">
      <c r="A12" s="11"/>
      <c r="H12" s="66"/>
      <c r="O12" s="61"/>
      <c r="P12" s="74"/>
    </row>
    <row r="13" spans="1:16" s="3" customFormat="1" x14ac:dyDescent="0.25">
      <c r="A13" s="11"/>
      <c r="B13" s="2"/>
      <c r="C13" s="2"/>
      <c r="E13" s="12"/>
      <c r="H13" s="66"/>
      <c r="N13" s="16"/>
      <c r="O13" s="16"/>
      <c r="P13" s="16"/>
    </row>
    <row r="14" spans="1:16" s="3" customFormat="1" x14ac:dyDescent="0.25">
      <c r="A14" s="11"/>
      <c r="B14" s="2"/>
      <c r="C14" s="2"/>
      <c r="E14" s="12"/>
      <c r="H14" s="66"/>
      <c r="N14" s="16"/>
      <c r="O14" s="16"/>
      <c r="P14" s="16"/>
    </row>
    <row r="15" spans="1:16" s="3" customFormat="1" x14ac:dyDescent="0.25">
      <c r="A15" s="11"/>
      <c r="B15" s="2"/>
      <c r="C15" s="2"/>
      <c r="E15" s="12"/>
      <c r="H15" s="66"/>
      <c r="N15" s="16"/>
      <c r="O15" s="16"/>
      <c r="P15" s="16"/>
    </row>
    <row r="16" spans="1:16" s="3" customFormat="1" x14ac:dyDescent="0.25">
      <c r="A16" s="11"/>
      <c r="B16" s="2"/>
      <c r="C16" s="2"/>
      <c r="E16" s="12"/>
      <c r="H16" s="66"/>
      <c r="N16" s="16"/>
      <c r="O16" s="16"/>
      <c r="P16" s="16"/>
    </row>
    <row r="17" spans="1:16" s="3" customFormat="1" x14ac:dyDescent="0.25">
      <c r="A17" s="11"/>
      <c r="B17" s="2"/>
      <c r="C17" s="2"/>
      <c r="E17" s="12"/>
      <c r="H17" s="66"/>
      <c r="N17" s="16"/>
      <c r="O17" s="16"/>
      <c r="P17" s="16"/>
    </row>
    <row r="18" spans="1:16" s="3" customFormat="1" x14ac:dyDescent="0.25">
      <c r="A18" s="11"/>
      <c r="B18" s="2"/>
      <c r="C18" s="2"/>
      <c r="E18" s="12"/>
      <c r="H18" s="66"/>
      <c r="N18" s="16"/>
      <c r="O18" s="16"/>
      <c r="P18" s="16"/>
    </row>
    <row r="19" spans="1:16" s="3" customFormat="1" x14ac:dyDescent="0.25">
      <c r="A19" s="11"/>
      <c r="B19" s="2"/>
      <c r="C19" s="2"/>
      <c r="E19" s="12"/>
      <c r="H19" s="66"/>
      <c r="N19" s="16"/>
      <c r="O19" s="16"/>
      <c r="P19" s="16"/>
    </row>
    <row r="20" spans="1:16" s="3" customFormat="1" x14ac:dyDescent="0.25">
      <c r="A20" s="11"/>
      <c r="B20" s="2"/>
      <c r="C20" s="2"/>
      <c r="E20" s="12"/>
      <c r="H20" s="66"/>
      <c r="N20" s="16"/>
      <c r="O20" s="16"/>
      <c r="P20" s="16"/>
    </row>
    <row r="21" spans="1:16" s="3" customFormat="1" x14ac:dyDescent="0.25">
      <c r="A21" s="11"/>
      <c r="B21" s="2"/>
      <c r="C21" s="2"/>
      <c r="E21" s="12"/>
      <c r="H21" s="66"/>
      <c r="N21" s="16"/>
      <c r="O21" s="16"/>
      <c r="P21" s="16"/>
    </row>
    <row r="22" spans="1:16" s="3" customFormat="1" x14ac:dyDescent="0.25">
      <c r="A22" s="11"/>
      <c r="B22" s="2"/>
      <c r="C22" s="2"/>
      <c r="E22" s="12"/>
      <c r="H22" s="66"/>
      <c r="N22" s="16"/>
      <c r="O22" s="16"/>
      <c r="P22" s="16"/>
    </row>
    <row r="23" spans="1:16" s="3" customFormat="1" x14ac:dyDescent="0.25">
      <c r="A23" s="11"/>
      <c r="B23" s="2"/>
      <c r="C23" s="2"/>
      <c r="E23" s="12"/>
      <c r="H23" s="66"/>
      <c r="N23" s="16"/>
      <c r="O23" s="16"/>
      <c r="P23" s="16"/>
    </row>
    <row r="24" spans="1:16" s="3" customFormat="1" x14ac:dyDescent="0.25">
      <c r="A24" s="11"/>
      <c r="B24" s="2"/>
      <c r="C24" s="2"/>
      <c r="E24" s="12"/>
      <c r="H24" s="66"/>
      <c r="N24" s="16"/>
      <c r="O24" s="16"/>
      <c r="P24" s="16"/>
    </row>
  </sheetData>
  <mergeCells count="2">
    <mergeCell ref="A4:L4"/>
    <mergeCell ref="O4:P4"/>
  </mergeCells>
  <conditionalFormatting sqref="B3">
    <cfRule type="duplicateValues" dxfId="407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14" sqref="D1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44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39</v>
      </c>
      <c r="J2" s="7" t="s">
        <v>40</v>
      </c>
      <c r="K2" s="7" t="s">
        <v>41</v>
      </c>
      <c r="L2" s="64" t="s">
        <v>45</v>
      </c>
      <c r="M2" s="64" t="s">
        <v>46</v>
      </c>
      <c r="N2" s="64" t="s">
        <v>6</v>
      </c>
      <c r="O2" s="64" t="s">
        <v>47</v>
      </c>
      <c r="P2" s="64" t="s">
        <v>48</v>
      </c>
    </row>
    <row r="3" spans="1:16" ht="26.25" customHeight="1" x14ac:dyDescent="0.2">
      <c r="A3" s="88" t="s">
        <v>572</v>
      </c>
      <c r="B3" s="77" t="s">
        <v>107</v>
      </c>
      <c r="C3" s="9" t="s">
        <v>108</v>
      </c>
      <c r="D3" s="79" t="s">
        <v>49</v>
      </c>
      <c r="E3" s="13">
        <v>44428</v>
      </c>
      <c r="F3" s="79" t="s">
        <v>98</v>
      </c>
      <c r="G3" s="13">
        <v>44431</v>
      </c>
      <c r="H3" s="10" t="s">
        <v>99</v>
      </c>
      <c r="I3" s="1">
        <v>57</v>
      </c>
      <c r="J3" s="1">
        <v>46</v>
      </c>
      <c r="K3" s="1">
        <v>23</v>
      </c>
      <c r="L3" s="1">
        <v>10</v>
      </c>
      <c r="M3" s="83">
        <v>15.076499999999999</v>
      </c>
      <c r="N3" s="8">
        <v>15</v>
      </c>
      <c r="O3" s="67">
        <v>7000</v>
      </c>
      <c r="P3" s="68">
        <f>Table2245789101123456[[#This Row],[PEMBULATAN]]*O3</f>
        <v>105000</v>
      </c>
    </row>
    <row r="4" spans="1:16" ht="22.5" customHeight="1" x14ac:dyDescent="0.2">
      <c r="A4" s="122" t="s">
        <v>30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4"/>
      <c r="M4" s="82">
        <f>SUBTOTAL(109,Table2245789101123456[KG VOLUME])</f>
        <v>15.076499999999999</v>
      </c>
      <c r="N4" s="71">
        <f>SUM(N3:N3)</f>
        <v>15</v>
      </c>
      <c r="O4" s="125">
        <f>SUM(P3:P3)</f>
        <v>105000</v>
      </c>
      <c r="P4" s="126"/>
    </row>
    <row r="5" spans="1:16" ht="18" customHeight="1" x14ac:dyDescent="0.2">
      <c r="A5" s="94"/>
      <c r="B5" s="59" t="s">
        <v>42</v>
      </c>
      <c r="C5" s="58"/>
      <c r="D5" s="60" t="s">
        <v>43</v>
      </c>
      <c r="E5" s="94"/>
      <c r="F5" s="94"/>
      <c r="G5" s="94"/>
      <c r="H5" s="94"/>
      <c r="I5" s="94"/>
      <c r="J5" s="94"/>
      <c r="K5" s="94"/>
      <c r="L5" s="94"/>
      <c r="M5" s="95"/>
      <c r="N5" s="96" t="s">
        <v>649</v>
      </c>
      <c r="O5" s="97"/>
      <c r="P5" s="97">
        <v>0</v>
      </c>
    </row>
    <row r="6" spans="1:16" ht="18" customHeight="1" thickBot="1" x14ac:dyDescent="0.25">
      <c r="A6" s="94"/>
      <c r="B6" s="59"/>
      <c r="C6" s="58"/>
      <c r="D6" s="60"/>
      <c r="E6" s="94"/>
      <c r="F6" s="94"/>
      <c r="G6" s="94"/>
      <c r="H6" s="94"/>
      <c r="I6" s="94"/>
      <c r="J6" s="94"/>
      <c r="K6" s="94"/>
      <c r="L6" s="94"/>
      <c r="M6" s="95"/>
      <c r="N6" s="98" t="s">
        <v>650</v>
      </c>
      <c r="O6" s="99"/>
      <c r="P6" s="99">
        <f>O4-P5</f>
        <v>105000</v>
      </c>
    </row>
    <row r="7" spans="1:16" ht="18" customHeight="1" x14ac:dyDescent="0.2">
      <c r="A7" s="11"/>
      <c r="H7" s="66"/>
      <c r="N7" s="65" t="s">
        <v>31</v>
      </c>
      <c r="P7" s="72">
        <f>P6*1%</f>
        <v>1050</v>
      </c>
    </row>
    <row r="8" spans="1:16" ht="18" customHeight="1" thickBot="1" x14ac:dyDescent="0.25">
      <c r="A8" s="11"/>
      <c r="H8" s="66"/>
      <c r="N8" s="65" t="s">
        <v>651</v>
      </c>
      <c r="P8" s="74">
        <f>P6*2%</f>
        <v>2100</v>
      </c>
    </row>
    <row r="9" spans="1:16" ht="18" customHeight="1" x14ac:dyDescent="0.2">
      <c r="A9" s="11"/>
      <c r="H9" s="66"/>
      <c r="N9" s="69" t="s">
        <v>32</v>
      </c>
      <c r="O9" s="70"/>
      <c r="P9" s="73">
        <f>P6+P7-P8</f>
        <v>103950</v>
      </c>
    </row>
    <row r="11" spans="1:16" x14ac:dyDescent="0.2">
      <c r="A11" s="11"/>
      <c r="H11" s="66"/>
      <c r="P11" s="74"/>
    </row>
    <row r="12" spans="1:16" x14ac:dyDescent="0.2">
      <c r="A12" s="11"/>
      <c r="H12" s="66"/>
      <c r="O12" s="61"/>
      <c r="P12" s="74"/>
    </row>
    <row r="13" spans="1:16" s="3" customFormat="1" x14ac:dyDescent="0.25">
      <c r="A13" s="11"/>
      <c r="B13" s="2"/>
      <c r="C13" s="2"/>
      <c r="E13" s="12"/>
      <c r="H13" s="66"/>
      <c r="N13" s="16"/>
      <c r="O13" s="16"/>
      <c r="P13" s="16"/>
    </row>
    <row r="14" spans="1:16" s="3" customFormat="1" x14ac:dyDescent="0.25">
      <c r="A14" s="11"/>
      <c r="B14" s="2"/>
      <c r="C14" s="2"/>
      <c r="E14" s="12"/>
      <c r="H14" s="66"/>
      <c r="N14" s="16"/>
      <c r="O14" s="16"/>
      <c r="P14" s="16"/>
    </row>
    <row r="15" spans="1:16" s="3" customFormat="1" x14ac:dyDescent="0.25">
      <c r="A15" s="11"/>
      <c r="B15" s="2"/>
      <c r="C15" s="2"/>
      <c r="E15" s="12"/>
      <c r="H15" s="66"/>
      <c r="N15" s="16"/>
      <c r="O15" s="16"/>
      <c r="P15" s="16"/>
    </row>
    <row r="16" spans="1:16" s="3" customFormat="1" x14ac:dyDescent="0.25">
      <c r="A16" s="11"/>
      <c r="B16" s="2"/>
      <c r="C16" s="2"/>
      <c r="E16" s="12"/>
      <c r="H16" s="66"/>
      <c r="N16" s="16"/>
      <c r="O16" s="16"/>
      <c r="P16" s="16"/>
    </row>
    <row r="17" spans="1:16" s="3" customFormat="1" x14ac:dyDescent="0.25">
      <c r="A17" s="11"/>
      <c r="B17" s="2"/>
      <c r="C17" s="2"/>
      <c r="E17" s="12"/>
      <c r="H17" s="66"/>
      <c r="N17" s="16"/>
      <c r="O17" s="16"/>
      <c r="P17" s="16"/>
    </row>
    <row r="18" spans="1:16" s="3" customFormat="1" x14ac:dyDescent="0.25">
      <c r="A18" s="11"/>
      <c r="B18" s="2"/>
      <c r="C18" s="2"/>
      <c r="E18" s="12"/>
      <c r="H18" s="66"/>
      <c r="N18" s="16"/>
      <c r="O18" s="16"/>
      <c r="P18" s="16"/>
    </row>
    <row r="19" spans="1:16" s="3" customFormat="1" x14ac:dyDescent="0.25">
      <c r="A19" s="11"/>
      <c r="B19" s="2"/>
      <c r="C19" s="2"/>
      <c r="E19" s="12"/>
      <c r="H19" s="66"/>
      <c r="N19" s="16"/>
      <c r="O19" s="16"/>
      <c r="P19" s="16"/>
    </row>
    <row r="20" spans="1:16" s="3" customFormat="1" x14ac:dyDescent="0.25">
      <c r="A20" s="11"/>
      <c r="B20" s="2"/>
      <c r="C20" s="2"/>
      <c r="E20" s="12"/>
      <c r="H20" s="66"/>
      <c r="N20" s="16"/>
      <c r="O20" s="16"/>
      <c r="P20" s="16"/>
    </row>
    <row r="21" spans="1:16" s="3" customFormat="1" x14ac:dyDescent="0.25">
      <c r="A21" s="11"/>
      <c r="B21" s="2"/>
      <c r="C21" s="2"/>
      <c r="E21" s="12"/>
      <c r="H21" s="66"/>
      <c r="N21" s="16"/>
      <c r="O21" s="16"/>
      <c r="P21" s="16"/>
    </row>
    <row r="22" spans="1:16" s="3" customFormat="1" x14ac:dyDescent="0.25">
      <c r="A22" s="11"/>
      <c r="B22" s="2"/>
      <c r="C22" s="2"/>
      <c r="E22" s="12"/>
      <c r="H22" s="66"/>
      <c r="N22" s="16"/>
      <c r="O22" s="16"/>
      <c r="P22" s="16"/>
    </row>
    <row r="23" spans="1:16" s="3" customFormat="1" x14ac:dyDescent="0.25">
      <c r="A23" s="11"/>
      <c r="B23" s="2"/>
      <c r="C23" s="2"/>
      <c r="E23" s="12"/>
      <c r="H23" s="66"/>
      <c r="N23" s="16"/>
      <c r="O23" s="16"/>
      <c r="P23" s="16"/>
    </row>
    <row r="24" spans="1:16" s="3" customFormat="1" x14ac:dyDescent="0.25">
      <c r="A24" s="11"/>
      <c r="B24" s="2"/>
      <c r="C24" s="2"/>
      <c r="E24" s="12"/>
      <c r="H24" s="66"/>
      <c r="N24" s="16"/>
      <c r="O24" s="16"/>
      <c r="P24" s="16"/>
    </row>
  </sheetData>
  <mergeCells count="2">
    <mergeCell ref="A4:L4"/>
    <mergeCell ref="O4:P4"/>
  </mergeCells>
  <conditionalFormatting sqref="B3">
    <cfRule type="duplicateValues" dxfId="391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30</vt:i4>
      </vt:variant>
    </vt:vector>
  </HeadingPairs>
  <TitlesOfParts>
    <vt:vector size="60" baseType="lpstr">
      <vt:lpstr>019_Sicepat</vt:lpstr>
      <vt:lpstr>BKI032210029835</vt:lpstr>
      <vt:lpstr>BKI032210030874</vt:lpstr>
      <vt:lpstr>BKI032210033894</vt:lpstr>
      <vt:lpstr>BKI032210033886</vt:lpstr>
      <vt:lpstr>BKI032210030890</vt:lpstr>
      <vt:lpstr>BKI032210030882</vt:lpstr>
      <vt:lpstr>BKI032210033902</vt:lpstr>
      <vt:lpstr>BKI032210033688</vt:lpstr>
      <vt:lpstr>BKI032210033696</vt:lpstr>
      <vt:lpstr>BKI032210033704</vt:lpstr>
      <vt:lpstr>BKI032210033993</vt:lpstr>
      <vt:lpstr>BKI032210033712</vt:lpstr>
      <vt:lpstr>BKI032210033985</vt:lpstr>
      <vt:lpstr>BKI032210033720</vt:lpstr>
      <vt:lpstr>BKI032210033738</vt:lpstr>
      <vt:lpstr>BKI032210033746</vt:lpstr>
      <vt:lpstr>BKI032210033753</vt:lpstr>
      <vt:lpstr>BKI032210033761</vt:lpstr>
      <vt:lpstr>BKI032210033779</vt:lpstr>
      <vt:lpstr>BKI032210033787</vt:lpstr>
      <vt:lpstr>BKI032210033795</vt:lpstr>
      <vt:lpstr>BKI032210033803</vt:lpstr>
      <vt:lpstr>BKI032210033811</vt:lpstr>
      <vt:lpstr>BKI032210033829</vt:lpstr>
      <vt:lpstr>BKI032210033837</vt:lpstr>
      <vt:lpstr>BKI032210033845</vt:lpstr>
      <vt:lpstr>BKI032210033852</vt:lpstr>
      <vt:lpstr>BKI032210033860</vt:lpstr>
      <vt:lpstr>BKI032210033878</vt:lpstr>
      <vt:lpstr>'019_Sicepat'!Print_Titles</vt:lpstr>
      <vt:lpstr>BKI032210029835!Print_Titles</vt:lpstr>
      <vt:lpstr>BKI032210030874!Print_Titles</vt:lpstr>
      <vt:lpstr>BKI032210030882!Print_Titles</vt:lpstr>
      <vt:lpstr>BKI032210030890!Print_Titles</vt:lpstr>
      <vt:lpstr>BKI032210033688!Print_Titles</vt:lpstr>
      <vt:lpstr>BKI032210033696!Print_Titles</vt:lpstr>
      <vt:lpstr>BKI032210033704!Print_Titles</vt:lpstr>
      <vt:lpstr>BKI032210033712!Print_Titles</vt:lpstr>
      <vt:lpstr>BKI032210033720!Print_Titles</vt:lpstr>
      <vt:lpstr>BKI032210033738!Print_Titles</vt:lpstr>
      <vt:lpstr>BKI032210033746!Print_Titles</vt:lpstr>
      <vt:lpstr>BKI032210033753!Print_Titles</vt:lpstr>
      <vt:lpstr>BKI032210033761!Print_Titles</vt:lpstr>
      <vt:lpstr>BKI032210033779!Print_Titles</vt:lpstr>
      <vt:lpstr>BKI032210033787!Print_Titles</vt:lpstr>
      <vt:lpstr>BKI032210033795!Print_Titles</vt:lpstr>
      <vt:lpstr>BKI032210033803!Print_Titles</vt:lpstr>
      <vt:lpstr>BKI032210033811!Print_Titles</vt:lpstr>
      <vt:lpstr>BKI032210033829!Print_Titles</vt:lpstr>
      <vt:lpstr>BKI032210033837!Print_Titles</vt:lpstr>
      <vt:lpstr>BKI032210033845!Print_Titles</vt:lpstr>
      <vt:lpstr>BKI032210033852!Print_Titles</vt:lpstr>
      <vt:lpstr>BKI032210033860!Print_Titles</vt:lpstr>
      <vt:lpstr>BKI032210033878!Print_Titles</vt:lpstr>
      <vt:lpstr>BKI032210033886!Print_Titles</vt:lpstr>
      <vt:lpstr>BKI032210033894!Print_Titles</vt:lpstr>
      <vt:lpstr>BKI032210033902!Print_Titles</vt:lpstr>
      <vt:lpstr>BKI032210033985!Print_Titles</vt:lpstr>
      <vt:lpstr>BKI032210033993!Print_Titles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2021-10-06T07:28:34Z</cp:lastPrinted>
  <dcterms:created xsi:type="dcterms:W3CDTF">2021-07-02T11:08:00Z</dcterms:created>
  <dcterms:modified xsi:type="dcterms:W3CDTF">2021-10-06T07:34:56Z</dcterms:modified>
</cp:coreProperties>
</file>