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22_Sicepat_Batam" sheetId="2" r:id="rId1"/>
    <sheet name="BKI032210036228" sheetId="26" r:id="rId2"/>
    <sheet name="BKI032210036236" sheetId="57" r:id="rId3"/>
    <sheet name="BKI032210036244" sheetId="58" r:id="rId4"/>
    <sheet name="BKI032210036251" sheetId="59" r:id="rId5"/>
    <sheet name="BKI032210036269" sheetId="60" r:id="rId6"/>
    <sheet name="BKI032210036277" sheetId="61" r:id="rId7"/>
    <sheet name="BKI032210036285" sheetId="62" r:id="rId8"/>
    <sheet name="BKI032210036293" sheetId="63" r:id="rId9"/>
    <sheet name="BKI032210036301" sheetId="64" r:id="rId10"/>
    <sheet name="BKI032210036319" sheetId="65" r:id="rId11"/>
    <sheet name="BKI032210036327" sheetId="66" r:id="rId12"/>
    <sheet name="BKI032210036335" sheetId="67" r:id="rId13"/>
    <sheet name="BKI032210036343" sheetId="68" r:id="rId14"/>
    <sheet name="BKI032210036350" sheetId="69" r:id="rId15"/>
    <sheet name="BKI032210036368" sheetId="70" r:id="rId16"/>
    <sheet name="BKI032210036376" sheetId="71" r:id="rId17"/>
    <sheet name="BKI032210036384" sheetId="72" r:id="rId18"/>
    <sheet name="BKI032210036392" sheetId="73" r:id="rId19"/>
    <sheet name="BKI032210036624" sheetId="75" r:id="rId20"/>
    <sheet name="BKI032210036426" sheetId="89" r:id="rId21"/>
    <sheet name="BKI032210036434" sheetId="74" r:id="rId22"/>
    <sheet name="BKI032210036400" sheetId="76" r:id="rId23"/>
    <sheet name="BKI032210036442" sheetId="77" r:id="rId24"/>
    <sheet name="BKI032210036459" sheetId="78" r:id="rId25"/>
    <sheet name="BKI032210036475" sheetId="79" r:id="rId26"/>
    <sheet name="BKI032210036483" sheetId="80" r:id="rId27"/>
    <sheet name="BKI032210036491" sheetId="81" r:id="rId28"/>
    <sheet name="BKI032210036517" sheetId="82" r:id="rId29"/>
    <sheet name="BKI032210036525" sheetId="83" r:id="rId30"/>
    <sheet name="BKI032210036541" sheetId="84" r:id="rId31"/>
    <sheet name="BKI032210036558" sheetId="85" r:id="rId32"/>
    <sheet name="BKI032210036566" sheetId="86" r:id="rId33"/>
    <sheet name="BKI032210036574" sheetId="87" r:id="rId34"/>
    <sheet name="BKI032210036582" sheetId="88" r:id="rId35"/>
    <sheet name="BKI032210036590" sheetId="90" r:id="rId36"/>
    <sheet name="BKI032210036608" sheetId="91" r:id="rId37"/>
  </sheets>
  <definedNames>
    <definedName name="_xlnm.Print_Titles" localSheetId="0">'022_Sicepat_Batam'!$2:$17</definedName>
    <definedName name="_xlnm.Print_Titles" localSheetId="1">BKI032210036228!$2:$2</definedName>
    <definedName name="_xlnm.Print_Titles" localSheetId="2">BKI032210036236!$2:$2</definedName>
    <definedName name="_xlnm.Print_Titles" localSheetId="3">BKI032210036244!$2:$2</definedName>
    <definedName name="_xlnm.Print_Titles" localSheetId="4">BKI032210036251!$2:$2</definedName>
    <definedName name="_xlnm.Print_Titles" localSheetId="5">BKI032210036269!$2:$2</definedName>
    <definedName name="_xlnm.Print_Titles" localSheetId="6">BKI032210036277!$2:$2</definedName>
    <definedName name="_xlnm.Print_Titles" localSheetId="7">BKI032210036285!$2:$2</definedName>
    <definedName name="_xlnm.Print_Titles" localSheetId="8">BKI032210036293!$2:$2</definedName>
    <definedName name="_xlnm.Print_Titles" localSheetId="9">BKI032210036301!$2:$2</definedName>
    <definedName name="_xlnm.Print_Titles" localSheetId="10">BKI032210036319!$2:$2</definedName>
    <definedName name="_xlnm.Print_Titles" localSheetId="11">BKI032210036327!$2:$2</definedName>
    <definedName name="_xlnm.Print_Titles" localSheetId="12">BKI032210036335!$2:$2</definedName>
    <definedName name="_xlnm.Print_Titles" localSheetId="13">BKI032210036343!$2:$2</definedName>
    <definedName name="_xlnm.Print_Titles" localSheetId="14">BKI032210036350!$2:$2</definedName>
    <definedName name="_xlnm.Print_Titles" localSheetId="15">BKI032210036368!$2:$2</definedName>
    <definedName name="_xlnm.Print_Titles" localSheetId="16">BKI032210036376!$2:$2</definedName>
    <definedName name="_xlnm.Print_Titles" localSheetId="17">BKI032210036384!$2:$2</definedName>
    <definedName name="_xlnm.Print_Titles" localSheetId="18">BKI032210036392!$2:$2</definedName>
    <definedName name="_xlnm.Print_Titles" localSheetId="22">BKI032210036400!$2:$2</definedName>
    <definedName name="_xlnm.Print_Titles" localSheetId="20">BKI032210036426!$2:$2</definedName>
    <definedName name="_xlnm.Print_Titles" localSheetId="21">BKI032210036434!$2:$2</definedName>
    <definedName name="_xlnm.Print_Titles" localSheetId="23">BKI032210036442!$2:$2</definedName>
    <definedName name="_xlnm.Print_Titles" localSheetId="24">BKI032210036459!$2:$2</definedName>
    <definedName name="_xlnm.Print_Titles" localSheetId="25">BKI032210036475!$2:$2</definedName>
    <definedName name="_xlnm.Print_Titles" localSheetId="26">BKI032210036483!$2:$2</definedName>
    <definedName name="_xlnm.Print_Titles" localSheetId="27">BKI032210036491!$2:$2</definedName>
    <definedName name="_xlnm.Print_Titles" localSheetId="28">BKI032210036517!$2:$2</definedName>
    <definedName name="_xlnm.Print_Titles" localSheetId="29">BKI032210036525!$2:$2</definedName>
    <definedName name="_xlnm.Print_Titles" localSheetId="30">BKI032210036541!$2:$2</definedName>
    <definedName name="_xlnm.Print_Titles" localSheetId="31">BKI032210036558!$2:$2</definedName>
    <definedName name="_xlnm.Print_Titles" localSheetId="32">BKI032210036566!$2:$2</definedName>
    <definedName name="_xlnm.Print_Titles" localSheetId="33">BKI032210036574!$2:$2</definedName>
    <definedName name="_xlnm.Print_Titles" localSheetId="34">BKI032210036582!$2:$2</definedName>
    <definedName name="_xlnm.Print_Titles" localSheetId="35">BKI032210036590!$2:$2</definedName>
    <definedName name="_xlnm.Print_Titles" localSheetId="36">BKI032210036608!$2:$2</definedName>
    <definedName name="_xlnm.Print_Titles" localSheetId="19">BKI032210036624!$2:$2</definedName>
  </definedNames>
  <calcPr calcId="162913"/>
</workbook>
</file>

<file path=xl/calcChain.xml><?xml version="1.0" encoding="utf-8"?>
<calcChain xmlns="http://schemas.openxmlformats.org/spreadsheetml/2006/main">
  <c r="C26" i="2" l="1"/>
  <c r="O18" i="58"/>
  <c r="O5" i="91" l="1"/>
  <c r="N5" i="91"/>
  <c r="O41" i="90"/>
  <c r="N41" i="90"/>
  <c r="O19" i="88"/>
  <c r="N19" i="88"/>
  <c r="O31" i="87"/>
  <c r="N31" i="87"/>
  <c r="O15" i="86"/>
  <c r="N15" i="86"/>
  <c r="O16" i="85"/>
  <c r="N16" i="85"/>
  <c r="N23" i="84"/>
  <c r="O23" i="84"/>
  <c r="O39" i="83"/>
  <c r="N39" i="83"/>
  <c r="O28" i="82"/>
  <c r="N28" i="82"/>
  <c r="O23" i="81"/>
  <c r="N23" i="81"/>
  <c r="O24" i="80"/>
  <c r="N24" i="80"/>
  <c r="O15" i="79"/>
  <c r="N15" i="79"/>
  <c r="O26" i="78"/>
  <c r="N26" i="78"/>
  <c r="O18" i="77"/>
  <c r="N18" i="77"/>
  <c r="O34" i="76"/>
  <c r="N34" i="76"/>
  <c r="O34" i="74"/>
  <c r="N34" i="74"/>
  <c r="O55" i="89"/>
  <c r="N55" i="89"/>
  <c r="O32" i="75"/>
  <c r="N32" i="75"/>
  <c r="O12" i="73"/>
  <c r="N12" i="73"/>
  <c r="O8" i="72"/>
  <c r="N8" i="72"/>
  <c r="O8" i="71"/>
  <c r="N8" i="71"/>
  <c r="O22" i="70"/>
  <c r="N22" i="70"/>
  <c r="O15" i="69"/>
  <c r="N15" i="69"/>
  <c r="O26" i="68"/>
  <c r="N26" i="68"/>
  <c r="O5" i="67"/>
  <c r="N5" i="67"/>
  <c r="O47" i="66"/>
  <c r="N47" i="66"/>
  <c r="O24" i="65"/>
  <c r="N24" i="65"/>
  <c r="O32" i="64"/>
  <c r="N32" i="64"/>
  <c r="O9" i="63"/>
  <c r="N9" i="63"/>
  <c r="O17" i="62"/>
  <c r="N17" i="62"/>
  <c r="O27" i="61"/>
  <c r="O22" i="60"/>
  <c r="N22" i="60"/>
  <c r="O31" i="59"/>
  <c r="N31" i="59"/>
  <c r="N18" i="58"/>
  <c r="N11" i="57"/>
  <c r="G48" i="2" l="1"/>
  <c r="G53" i="2" l="1"/>
  <c r="J53" i="2" s="1"/>
  <c r="G52" i="2"/>
  <c r="J52" i="2" s="1"/>
  <c r="C53" i="2"/>
  <c r="C52" i="2"/>
  <c r="B53" i="2"/>
  <c r="B52" i="2"/>
  <c r="A52" i="2"/>
  <c r="A53" i="2"/>
  <c r="G37" i="2"/>
  <c r="J37" i="2" s="1"/>
  <c r="C37" i="2"/>
  <c r="B37" i="2"/>
  <c r="M5" i="91" l="1"/>
  <c r="P4" i="91"/>
  <c r="P3" i="91"/>
  <c r="P7" i="91" s="1"/>
  <c r="M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43" i="90" l="1"/>
  <c r="P45" i="90" s="1"/>
  <c r="P9" i="91"/>
  <c r="P8" i="91"/>
  <c r="P10" i="91" s="1"/>
  <c r="P44" i="90" l="1"/>
  <c r="P46" i="90"/>
  <c r="P44" i="89" l="1"/>
  <c r="P43" i="89"/>
  <c r="P42" i="89"/>
  <c r="P41" i="89"/>
  <c r="P40" i="89"/>
  <c r="P39" i="89"/>
  <c r="P38" i="89"/>
  <c r="P37" i="89"/>
  <c r="P31" i="75"/>
  <c r="M55" i="89"/>
  <c r="P54" i="89"/>
  <c r="P53" i="89"/>
  <c r="P52" i="89"/>
  <c r="P51" i="89"/>
  <c r="P50" i="89"/>
  <c r="P49" i="89"/>
  <c r="P48" i="89"/>
  <c r="P47" i="89"/>
  <c r="P46" i="89"/>
  <c r="P45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57" i="89" l="1"/>
  <c r="P59" i="89" s="1"/>
  <c r="B50" i="2"/>
  <c r="B51" i="2"/>
  <c r="B49" i="2"/>
  <c r="B48" i="2"/>
  <c r="B47" i="2"/>
  <c r="B46" i="2"/>
  <c r="B45" i="2"/>
  <c r="B44" i="2"/>
  <c r="B43" i="2"/>
  <c r="B42" i="2"/>
  <c r="B41" i="2"/>
  <c r="B40" i="2"/>
  <c r="B39" i="2"/>
  <c r="B36" i="2"/>
  <c r="B38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P58" i="89" l="1"/>
  <c r="P60" i="89" s="1"/>
  <c r="G45" i="2"/>
  <c r="G41" i="2"/>
  <c r="G31" i="2"/>
  <c r="G27" i="2"/>
  <c r="C51" i="2"/>
  <c r="C50" i="2"/>
  <c r="C49" i="2"/>
  <c r="C48" i="2"/>
  <c r="G51" i="2"/>
  <c r="J51" i="2" s="1"/>
  <c r="M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3" i="88"/>
  <c r="C47" i="2"/>
  <c r="C46" i="2"/>
  <c r="C45" i="2"/>
  <c r="C44" i="2"/>
  <c r="C43" i="2"/>
  <c r="C42" i="2"/>
  <c r="C41" i="2"/>
  <c r="C40" i="2"/>
  <c r="C39" i="2"/>
  <c r="C36" i="2"/>
  <c r="C38" i="2"/>
  <c r="G50" i="2"/>
  <c r="J50" i="2" s="1"/>
  <c r="M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G49" i="2"/>
  <c r="J49" i="2" s="1"/>
  <c r="M15" i="86"/>
  <c r="P14" i="86"/>
  <c r="P13" i="86"/>
  <c r="P12" i="86"/>
  <c r="P11" i="86"/>
  <c r="P10" i="86"/>
  <c r="P9" i="86"/>
  <c r="P8" i="86"/>
  <c r="P7" i="86"/>
  <c r="P6" i="86"/>
  <c r="P5" i="86"/>
  <c r="P4" i="86"/>
  <c r="P3" i="86"/>
  <c r="J48" i="2"/>
  <c r="M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G47" i="2"/>
  <c r="M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G46" i="2"/>
  <c r="M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M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G44" i="2"/>
  <c r="M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G43" i="2"/>
  <c r="M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G42" i="2"/>
  <c r="M15" i="79"/>
  <c r="P14" i="79"/>
  <c r="P13" i="79"/>
  <c r="P12" i="79"/>
  <c r="P11" i="79"/>
  <c r="P10" i="79"/>
  <c r="P9" i="79"/>
  <c r="P8" i="79"/>
  <c r="P7" i="79"/>
  <c r="P6" i="79"/>
  <c r="P5" i="79"/>
  <c r="P4" i="79"/>
  <c r="P3" i="79"/>
  <c r="M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G40" i="2"/>
  <c r="M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G39" i="2"/>
  <c r="M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G36" i="2"/>
  <c r="M32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G38" i="2"/>
  <c r="J38" i="2" s="1"/>
  <c r="M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G35" i="2"/>
  <c r="M12" i="73"/>
  <c r="P11" i="73"/>
  <c r="P10" i="73"/>
  <c r="P9" i="73"/>
  <c r="P8" i="73"/>
  <c r="P7" i="73"/>
  <c r="P6" i="73"/>
  <c r="P5" i="73"/>
  <c r="P4" i="73"/>
  <c r="P3" i="73"/>
  <c r="G34" i="2"/>
  <c r="M8" i="72"/>
  <c r="P7" i="72"/>
  <c r="P6" i="72"/>
  <c r="P5" i="72"/>
  <c r="P4" i="72"/>
  <c r="P3" i="72"/>
  <c r="G33" i="2"/>
  <c r="M8" i="71"/>
  <c r="P7" i="71"/>
  <c r="P6" i="71"/>
  <c r="P5" i="71"/>
  <c r="P4" i="71"/>
  <c r="P3" i="71"/>
  <c r="G32" i="2"/>
  <c r="M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M15" i="69"/>
  <c r="P14" i="69"/>
  <c r="P13" i="69"/>
  <c r="P12" i="69"/>
  <c r="P11" i="69"/>
  <c r="P10" i="69"/>
  <c r="P9" i="69"/>
  <c r="P8" i="69"/>
  <c r="P7" i="69"/>
  <c r="P6" i="69"/>
  <c r="P5" i="69"/>
  <c r="P4" i="69"/>
  <c r="P3" i="69"/>
  <c r="G30" i="2"/>
  <c r="M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G29" i="2"/>
  <c r="M5" i="67"/>
  <c r="P4" i="67"/>
  <c r="P3" i="67"/>
  <c r="P7" i="67" s="1"/>
  <c r="G28" i="2"/>
  <c r="M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M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G26" i="2"/>
  <c r="M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G25" i="2"/>
  <c r="M9" i="63"/>
  <c r="P8" i="63"/>
  <c r="P7" i="63"/>
  <c r="P6" i="63"/>
  <c r="P5" i="63"/>
  <c r="P4" i="63"/>
  <c r="P3" i="63"/>
  <c r="G24" i="2"/>
  <c r="M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P19" i="62" s="1"/>
  <c r="N27" i="61"/>
  <c r="G23" i="2" s="1"/>
  <c r="M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G22" i="2"/>
  <c r="M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G21" i="2"/>
  <c r="M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G20" i="2"/>
  <c r="M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G19" i="2"/>
  <c r="M11" i="57"/>
  <c r="P10" i="57"/>
  <c r="P9" i="57"/>
  <c r="P8" i="57"/>
  <c r="P7" i="57"/>
  <c r="P6" i="57"/>
  <c r="P5" i="57"/>
  <c r="P4" i="57"/>
  <c r="P3" i="57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21" i="88" l="1"/>
  <c r="P23" i="88" s="1"/>
  <c r="P33" i="87"/>
  <c r="P35" i="87" s="1"/>
  <c r="P17" i="86"/>
  <c r="P18" i="86" s="1"/>
  <c r="P18" i="85"/>
  <c r="P19" i="85" s="1"/>
  <c r="P25" i="84"/>
  <c r="P27" i="84" s="1"/>
  <c r="P41" i="83"/>
  <c r="P43" i="83" s="1"/>
  <c r="P30" i="82"/>
  <c r="P31" i="82" s="1"/>
  <c r="P25" i="81"/>
  <c r="P27" i="81" s="1"/>
  <c r="P26" i="80"/>
  <c r="P28" i="80" s="1"/>
  <c r="P17" i="79"/>
  <c r="P19" i="79" s="1"/>
  <c r="P28" i="78"/>
  <c r="P29" i="78" s="1"/>
  <c r="P20" i="77"/>
  <c r="P22" i="77" s="1"/>
  <c r="P36" i="76"/>
  <c r="P38" i="76" s="1"/>
  <c r="P34" i="75"/>
  <c r="P36" i="75" s="1"/>
  <c r="P36" i="74"/>
  <c r="P37" i="74" s="1"/>
  <c r="P14" i="73"/>
  <c r="P16" i="73" s="1"/>
  <c r="P10" i="72"/>
  <c r="P12" i="72" s="1"/>
  <c r="P10" i="71"/>
  <c r="P12" i="71" s="1"/>
  <c r="P24" i="70"/>
  <c r="P26" i="70" s="1"/>
  <c r="P17" i="69"/>
  <c r="P19" i="69" s="1"/>
  <c r="P28" i="68"/>
  <c r="P30" i="68" s="1"/>
  <c r="P49" i="66"/>
  <c r="P51" i="66" s="1"/>
  <c r="P26" i="65"/>
  <c r="P28" i="65" s="1"/>
  <c r="P34" i="64"/>
  <c r="P36" i="64" s="1"/>
  <c r="P11" i="63"/>
  <c r="P13" i="63" s="1"/>
  <c r="P29" i="61"/>
  <c r="P30" i="61" s="1"/>
  <c r="P24" i="60"/>
  <c r="P26" i="60" s="1"/>
  <c r="P33" i="59"/>
  <c r="P35" i="59" s="1"/>
  <c r="P20" i="58"/>
  <c r="P22" i="58" s="1"/>
  <c r="O11" i="57"/>
  <c r="P13" i="57" s="1"/>
  <c r="P14" i="57" s="1"/>
  <c r="P21" i="77"/>
  <c r="P9" i="67"/>
  <c r="P8" i="67"/>
  <c r="P21" i="62"/>
  <c r="P20" i="62"/>
  <c r="P22" i="62" s="1"/>
  <c r="P34" i="87" l="1"/>
  <c r="P19" i="86"/>
  <c r="P18" i="79"/>
  <c r="P30" i="78"/>
  <c r="P25" i="70"/>
  <c r="P27" i="70" s="1"/>
  <c r="P27" i="65"/>
  <c r="P31" i="61"/>
  <c r="P32" i="61" s="1"/>
  <c r="P34" i="59"/>
  <c r="P36" i="59" s="1"/>
  <c r="P22" i="88"/>
  <c r="P24" i="88" s="1"/>
  <c r="P36" i="87"/>
  <c r="P20" i="86"/>
  <c r="P20" i="85"/>
  <c r="P21" i="85" s="1"/>
  <c r="P26" i="84"/>
  <c r="P28" i="84" s="1"/>
  <c r="P42" i="83"/>
  <c r="P44" i="83" s="1"/>
  <c r="P32" i="82"/>
  <c r="P33" i="82" s="1"/>
  <c r="P26" i="81"/>
  <c r="P28" i="81" s="1"/>
  <c r="P27" i="80"/>
  <c r="P29" i="80" s="1"/>
  <c r="P20" i="79"/>
  <c r="P31" i="78"/>
  <c r="P23" i="77"/>
  <c r="P37" i="76"/>
  <c r="P39" i="76" s="1"/>
  <c r="P35" i="75"/>
  <c r="P37" i="75" s="1"/>
  <c r="P38" i="74"/>
  <c r="P39" i="74" s="1"/>
  <c r="P15" i="73"/>
  <c r="P17" i="73" s="1"/>
  <c r="P11" i="72"/>
  <c r="P13" i="72" s="1"/>
  <c r="P11" i="71"/>
  <c r="P13" i="71" s="1"/>
  <c r="P18" i="69"/>
  <c r="P20" i="69" s="1"/>
  <c r="P29" i="68"/>
  <c r="P31" i="68" s="1"/>
  <c r="P10" i="67"/>
  <c r="P50" i="66"/>
  <c r="P52" i="66" s="1"/>
  <c r="P35" i="64"/>
  <c r="P37" i="64" s="1"/>
  <c r="P29" i="65"/>
  <c r="P12" i="63"/>
  <c r="P14" i="63" s="1"/>
  <c r="P25" i="60"/>
  <c r="P27" i="60" s="1"/>
  <c r="P21" i="58"/>
  <c r="P23" i="58" s="1"/>
  <c r="P15" i="57"/>
  <c r="P16" i="57" s="1"/>
  <c r="I59" i="2"/>
  <c r="I58" i="2"/>
  <c r="I60" i="2" s="1"/>
  <c r="P4" i="26"/>
  <c r="P5" i="26"/>
  <c r="P6" i="26"/>
  <c r="P7" i="26"/>
  <c r="J46" i="2" l="1"/>
  <c r="J45" i="2"/>
  <c r="J44" i="2"/>
  <c r="J29" i="2" l="1"/>
  <c r="J43" i="2"/>
  <c r="J42" i="2"/>
  <c r="J41" i="2"/>
  <c r="J40" i="2"/>
  <c r="J39" i="2"/>
  <c r="J36" i="2"/>
  <c r="J35" i="2"/>
  <c r="J34" i="2"/>
  <c r="J33" i="2"/>
  <c r="J32" i="2"/>
  <c r="J31" i="2"/>
  <c r="J30" i="2"/>
  <c r="N33" i="26"/>
  <c r="G18" i="2" s="1"/>
  <c r="M33" i="26"/>
  <c r="P3" i="26"/>
  <c r="O33" i="26" l="1"/>
  <c r="P35" i="26" s="1"/>
  <c r="J47" i="2"/>
  <c r="J28" i="2"/>
  <c r="J27" i="2"/>
  <c r="J26" i="2"/>
  <c r="J25" i="2"/>
  <c r="P36" i="26" l="1"/>
  <c r="P37" i="26"/>
  <c r="J24" i="2"/>
  <c r="P38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J23" i="2"/>
  <c r="J21" i="2"/>
  <c r="J22" i="2"/>
  <c r="J20" i="2"/>
  <c r="J19" i="2"/>
  <c r="J54" i="2" l="1"/>
  <c r="I71" i="2"/>
  <c r="J18" i="2"/>
  <c r="J57" i="2" l="1"/>
  <c r="J59" i="2" l="1"/>
  <c r="J58" i="2"/>
  <c r="J60" i="2" l="1"/>
</calcChain>
</file>

<file path=xl/sharedStrings.xml><?xml version="1.0" encoding="utf-8"?>
<sst xmlns="http://schemas.openxmlformats.org/spreadsheetml/2006/main" count="4054" uniqueCount="939">
  <si>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</si>
  <si>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</si>
  <si>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</si>
  <si>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</si>
  <si>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</si>
  <si>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</si>
  <si>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</si>
  <si>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</si>
  <si>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</si>
  <si>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</si>
  <si>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</si>
  <si>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</si>
  <si>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</si>
  <si>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</si>
  <si>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</si>
  <si>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</si>
  <si>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</si>
  <si>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</si>
  <si>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</si>
  <si>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</si>
  <si>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</si>
  <si>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</si>
  <si>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</si>
  <si>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</si>
  <si>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</si>
  <si>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</si>
  <si>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</si>
  <si>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</si>
  <si>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</si>
  <si>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</si>
  <si>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</si>
  <si>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</si>
  <si>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</si>
  <si>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</si>
  <si>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</si>
  <si>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</si>
  <si>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</si>
  <si>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</si>
  <si>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</si>
  <si>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</si>
  <si>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</si>
  <si>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</si>
  <si>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</si>
  <si>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</si>
  <si>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</si>
  <si>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</si>
  <si>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</si>
  <si>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</si>
  <si>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</si>
  <si>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</si>
  <si>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BATAM</t>
  </si>
  <si>
    <t>Periode</t>
  </si>
  <si>
    <t>Discount 10%</t>
  </si>
  <si>
    <t>Total Setelah Discount</t>
  </si>
  <si>
    <t>PPh 23  2%</t>
  </si>
  <si>
    <t>PPh 23 2%</t>
  </si>
  <si>
    <t>TOTAL</t>
  </si>
  <si>
    <t xml:space="preserve"> 022/PCI/K1/X/21</t>
  </si>
  <si>
    <t>DMD/2109/01/ZTXA8725</t>
  </si>
  <si>
    <t>GSK210901AGM021</t>
  </si>
  <si>
    <t>GSK210901QOM498</t>
  </si>
  <si>
    <t>DMD/2109/01/HJCA5419</t>
  </si>
  <si>
    <t>GSK210901YOF546</t>
  </si>
  <si>
    <t>GSK210901YJM360</t>
  </si>
  <si>
    <t>GSK210901SEG260</t>
  </si>
  <si>
    <t>GSK210901IHT872</t>
  </si>
  <si>
    <t>GSK210901FIS246</t>
  </si>
  <si>
    <t>GSK210901BOM816</t>
  </si>
  <si>
    <t>GSK210901UCI946</t>
  </si>
  <si>
    <t>GSK210901BUE759</t>
  </si>
  <si>
    <t>GSK210901WRB279</t>
  </si>
  <si>
    <t>GSK210901ULH302</t>
  </si>
  <si>
    <t>GSK210901VBZ583</t>
  </si>
  <si>
    <t>GSK210901EGK527</t>
  </si>
  <si>
    <t>GSK210901QRC823</t>
  </si>
  <si>
    <t>GSK210901FLO205</t>
  </si>
  <si>
    <t>GSK210901PST759</t>
  </si>
  <si>
    <t>GSK210831STL379</t>
  </si>
  <si>
    <t>GSK210901IEA154</t>
  </si>
  <si>
    <t>GSK210901KMD149</t>
  </si>
  <si>
    <t>GSK210901SVN183</t>
  </si>
  <si>
    <t>GSK210901FKZ012</t>
  </si>
  <si>
    <t>GSK210901NOV436</t>
  </si>
  <si>
    <t>GSK210901MJG801</t>
  </si>
  <si>
    <t>GSK210901OYE361</t>
  </si>
  <si>
    <t>GSK210901VHQ697</t>
  </si>
  <si>
    <t>GSK210901DCB327</t>
  </si>
  <si>
    <t>GSK210901XGH589</t>
  </si>
  <si>
    <t>GSK210831EZN053</t>
  </si>
  <si>
    <t>GSK210901ZGR361</t>
  </si>
  <si>
    <t>DMP BTH (BATAM)</t>
  </si>
  <si>
    <t>KM SATRIA PRATAMA</t>
  </si>
  <si>
    <t>DMD/2109/01/XVYM1873</t>
  </si>
  <si>
    <t>GSK210901BQO385</t>
  </si>
  <si>
    <t>GSK210901OYR634</t>
  </si>
  <si>
    <t>GSK210901ABC315</t>
  </si>
  <si>
    <t>GSK210901QLW043</t>
  </si>
  <si>
    <t>GSK210901WZG092</t>
  </si>
  <si>
    <t>GSK210901XEV865</t>
  </si>
  <si>
    <t>GSK210901ZGT596</t>
  </si>
  <si>
    <t>GSK210901BJX528</t>
  </si>
  <si>
    <t>10/09/2021 RESTU</t>
  </si>
  <si>
    <t>DMD/2109/02/SDHV1690</t>
  </si>
  <si>
    <t>GSK210902YEO803</t>
  </si>
  <si>
    <t>DMD/2109/02/UHCL0265</t>
  </si>
  <si>
    <t>GSK210831PVT760</t>
  </si>
  <si>
    <t>GSK210902XWB174</t>
  </si>
  <si>
    <t>GSK210902EVN813</t>
  </si>
  <si>
    <t>GSK210902NXA582</t>
  </si>
  <si>
    <t>GSK210831PQC342</t>
  </si>
  <si>
    <t>GSK210902FHJ749</t>
  </si>
  <si>
    <t>GSK210831QYT796</t>
  </si>
  <si>
    <t>GSK210831URQ192</t>
  </si>
  <si>
    <t>GSK210902NSW356</t>
  </si>
  <si>
    <t>GSK210902USA068</t>
  </si>
  <si>
    <t>GSK210902QVR209</t>
  </si>
  <si>
    <t>GSK210902PZJ685</t>
  </si>
  <si>
    <t>GSK210902GRU152</t>
  </si>
  <si>
    <t>GSK210902UQY560</t>
  </si>
  <si>
    <t>DMD/2109/02/AOWJ6138</t>
  </si>
  <si>
    <t>GSK210902LRO057</t>
  </si>
  <si>
    <t>DMD/2109/02/LRJD2765</t>
  </si>
  <si>
    <t>GSK210902FIH237</t>
  </si>
  <si>
    <t>GSK210902HML294</t>
  </si>
  <si>
    <t>GSK210902IUF539</t>
  </si>
  <si>
    <t>GSK210902MJC801</t>
  </si>
  <si>
    <t>GSK210902VUW540</t>
  </si>
  <si>
    <t>GSK210902VQC564</t>
  </si>
  <si>
    <t>GSK210902PVE375</t>
  </si>
  <si>
    <t>GSK210902TCJ381</t>
  </si>
  <si>
    <t>GSK210902HYG679</t>
  </si>
  <si>
    <t>GSK210902RXZ286</t>
  </si>
  <si>
    <t>GSK210902FVJ201</t>
  </si>
  <si>
    <t>GSK210902BHI570</t>
  </si>
  <si>
    <t>GSK210902ZJP124</t>
  </si>
  <si>
    <t>GSK210902EGN825</t>
  </si>
  <si>
    <t>GSK210902FEP649</t>
  </si>
  <si>
    <t>GSK210902RIZ647</t>
  </si>
  <si>
    <t>GSK210902QIP879</t>
  </si>
  <si>
    <t>GSK210902HYC286</t>
  </si>
  <si>
    <t>GSK210902NHY364</t>
  </si>
  <si>
    <t>GSK210902MUS086</t>
  </si>
  <si>
    <t>GSK210902KGB612</t>
  </si>
  <si>
    <t>GSK210902EIC537</t>
  </si>
  <si>
    <t>GSK210902UZR520</t>
  </si>
  <si>
    <t>GSK210902ZAJ783</t>
  </si>
  <si>
    <t>GSK210902GTX725</t>
  </si>
  <si>
    <t>GSK210902TDZ518</t>
  </si>
  <si>
    <t>GSK210902JUB984</t>
  </si>
  <si>
    <t>DMD/2109/03/KTEZ8135</t>
  </si>
  <si>
    <t>GSK210903ZDL401</t>
  </si>
  <si>
    <t>DMD/2109/03/IVAB4915</t>
  </si>
  <si>
    <t>GSK210903VBT920</t>
  </si>
  <si>
    <t>DMD/2109/03/GJAD7896</t>
  </si>
  <si>
    <t>GSK210902LYR615</t>
  </si>
  <si>
    <t>GSK210903WFV129</t>
  </si>
  <si>
    <t>GSK210903TLS032</t>
  </si>
  <si>
    <t>GSK210903EQN146</t>
  </si>
  <si>
    <t>GSK210903GNK162</t>
  </si>
  <si>
    <t>GSK210901QBR687</t>
  </si>
  <si>
    <t>GSK210902JYI462</t>
  </si>
  <si>
    <t>GSK210903QCB120</t>
  </si>
  <si>
    <t>GSK210903WHQ108</t>
  </si>
  <si>
    <t>GSK210901GVH129</t>
  </si>
  <si>
    <t>GSK210901QXM254</t>
  </si>
  <si>
    <t>GSK210903UWA247</t>
  </si>
  <si>
    <t>GSK210902XYR634</t>
  </si>
  <si>
    <t>GSK210903MPG947</t>
  </si>
  <si>
    <t>GSK210901HJL460</t>
  </si>
  <si>
    <t>GSK210902LPI538</t>
  </si>
  <si>
    <t>GSK210903FWH640</t>
  </si>
  <si>
    <t>DMD/2109/04/QLWP3567</t>
  </si>
  <si>
    <t>GSK210904EAY856</t>
  </si>
  <si>
    <t>GSK210904BWQ348</t>
  </si>
  <si>
    <t>GSK210904EUW250</t>
  </si>
  <si>
    <t>GSK210904CVE274</t>
  </si>
  <si>
    <t>GSK210904GKL241</t>
  </si>
  <si>
    <t>GSK210904IPN068</t>
  </si>
  <si>
    <t>GSK210904UWY846</t>
  </si>
  <si>
    <t>GSK210904IGQ249</t>
  </si>
  <si>
    <t>GSK210904DKQ890</t>
  </si>
  <si>
    <t>GSK210904FRP954</t>
  </si>
  <si>
    <t>GSK210904CKP917</t>
  </si>
  <si>
    <t>GSK210903IRS260</t>
  </si>
  <si>
    <t>GSK210904NGW197</t>
  </si>
  <si>
    <t>GSK210904HPX036</t>
  </si>
  <si>
    <t>GSK210904YIQ813</t>
  </si>
  <si>
    <t>GSK210904VAD357</t>
  </si>
  <si>
    <t>GSK210904QCA406</t>
  </si>
  <si>
    <t>GSK210904WXZ623</t>
  </si>
  <si>
    <t>GSK210904DOF147</t>
  </si>
  <si>
    <t>GSK210903JOA384</t>
  </si>
  <si>
    <t>DMD/2109/04/MDNR8174</t>
  </si>
  <si>
    <t>GSK210903TQC137</t>
  </si>
  <si>
    <t>GSK210904KIM261</t>
  </si>
  <si>
    <t>DMD/2109/04/IHYS7053</t>
  </si>
  <si>
    <t>GSK210904KQA703</t>
  </si>
  <si>
    <t>GSK210904YLM953</t>
  </si>
  <si>
    <t>DMD/2109/05/ZOEL3627</t>
  </si>
  <si>
    <t>GSK210905SDC628</t>
  </si>
  <si>
    <t>GSK210905EBV205</t>
  </si>
  <si>
    <t>DMD/2109/05/YDMR5871</t>
  </si>
  <si>
    <t>GSK210905FQR026</t>
  </si>
  <si>
    <t>GSK210905OUT054</t>
  </si>
  <si>
    <t>GSK210905HZP670</t>
  </si>
  <si>
    <t>DMD/2109/05/JNKL7683</t>
  </si>
  <si>
    <t>GSK210904WJF178</t>
  </si>
  <si>
    <t>GSK210905NFM073</t>
  </si>
  <si>
    <t>GSK210905NBY750</t>
  </si>
  <si>
    <t>GSK210903VZA431</t>
  </si>
  <si>
    <t>GSK210903TNX504</t>
  </si>
  <si>
    <t>GSK210905MSP290</t>
  </si>
  <si>
    <t>GSK210903YNC371</t>
  </si>
  <si>
    <t>GSK210904YUJ596</t>
  </si>
  <si>
    <t>GSK210904ELT690</t>
  </si>
  <si>
    <t>DMD/2109/06/BDSJ3125</t>
  </si>
  <si>
    <t>GSK210906WSZ043</t>
  </si>
  <si>
    <t>DMD/2109/06/ZBPL0563</t>
  </si>
  <si>
    <t>GSK210906LXW058</t>
  </si>
  <si>
    <t>GSK210906CGJ329</t>
  </si>
  <si>
    <t>GSK210906ZTG462</t>
  </si>
  <si>
    <t>GSK210905AKX285</t>
  </si>
  <si>
    <t>GSK210905UVE785</t>
  </si>
  <si>
    <t>13/09/2021 RESTU</t>
  </si>
  <si>
    <t>DMD/2109/07/EMKB8624</t>
  </si>
  <si>
    <t>GSK210907OFM426</t>
  </si>
  <si>
    <t>GSK210907XIJ432</t>
  </si>
  <si>
    <t>GSK210907HQL912</t>
  </si>
  <si>
    <t>GSK210907ANS804</t>
  </si>
  <si>
    <t>GSK210905WNX826</t>
  </si>
  <si>
    <t>GSK210907HRW560</t>
  </si>
  <si>
    <t>GSK210907NCQ941</t>
  </si>
  <si>
    <t>GSK210907RHM276</t>
  </si>
  <si>
    <t>GSK210905KMC217</t>
  </si>
  <si>
    <t>GSK210905QJD138</t>
  </si>
  <si>
    <t>GSK210907YPX816</t>
  </si>
  <si>
    <t>GSK210907SZG847</t>
  </si>
  <si>
    <t>GSK210907BDV081</t>
  </si>
  <si>
    <t>GSK210907NTX103</t>
  </si>
  <si>
    <t>GSK210905JQV249</t>
  </si>
  <si>
    <t>GSK210907ALX367</t>
  </si>
  <si>
    <t>GSK210907GPN025</t>
  </si>
  <si>
    <t>GSK210907DEV701</t>
  </si>
  <si>
    <t>GSK210907WVN126</t>
  </si>
  <si>
    <t>GSK210907BWT857</t>
  </si>
  <si>
    <t>GSK210906DQM529</t>
  </si>
  <si>
    <t>GSK210907JAD310</t>
  </si>
  <si>
    <t>GSK210907JMP782</t>
  </si>
  <si>
    <t>GSK210907CWJ460</t>
  </si>
  <si>
    <t>GSK210907FXG327</t>
  </si>
  <si>
    <t>GSK210907XZO278</t>
  </si>
  <si>
    <t>DMD/2109/07/ZFIW5493</t>
  </si>
  <si>
    <t>GSK210907ZBK341</t>
  </si>
  <si>
    <t>GSK210907ALF184</t>
  </si>
  <si>
    <t>GSK210907SCJ754</t>
  </si>
  <si>
    <t>DMD/2109/08/WACL2547</t>
  </si>
  <si>
    <t>GSK210908LMS503</t>
  </si>
  <si>
    <t>GSK210908UEO965</t>
  </si>
  <si>
    <t>GSK210908JKP341</t>
  </si>
  <si>
    <t>GSK210908PML428</t>
  </si>
  <si>
    <t>GSK210908TLW192</t>
  </si>
  <si>
    <t>GSK210908EHN065</t>
  </si>
  <si>
    <t>GSK210908XQE420</t>
  </si>
  <si>
    <t>GSK210908JYV439</t>
  </si>
  <si>
    <t>GSK210908WLC417</t>
  </si>
  <si>
    <t>GSK210908VXI236</t>
  </si>
  <si>
    <t>GSK210908VRE720</t>
  </si>
  <si>
    <t>GSK210907ZEO213</t>
  </si>
  <si>
    <t>GSK210908IZX516</t>
  </si>
  <si>
    <t>GSK210908DFT790</t>
  </si>
  <si>
    <t>GSK210908WKZ504</t>
  </si>
  <si>
    <t>GSK210908ZHY469</t>
  </si>
  <si>
    <t>GSK210907BYQ392</t>
  </si>
  <si>
    <t>GSK210908YPF936</t>
  </si>
  <si>
    <t>DMD/2109/08/ETKR7246</t>
  </si>
  <si>
    <t>GSK210908PGV687</t>
  </si>
  <si>
    <t>GSK210908VIO678</t>
  </si>
  <si>
    <t>GSK210907EUP837</t>
  </si>
  <si>
    <t>DMD/2109/09/DVET1892</t>
  </si>
  <si>
    <t>GSK210909RGU846</t>
  </si>
  <si>
    <t>GSK210909OUN768</t>
  </si>
  <si>
    <t>GSK210909YFE391</t>
  </si>
  <si>
    <t>GSK210909NXW972</t>
  </si>
  <si>
    <t>GSK210909COD804</t>
  </si>
  <si>
    <t>GSK210907JTN602</t>
  </si>
  <si>
    <t>GSK210908RMS172</t>
  </si>
  <si>
    <t>GSK210908TKC741</t>
  </si>
  <si>
    <t>GSK210909MVG843</t>
  </si>
  <si>
    <t>GSK210908SKB605</t>
  </si>
  <si>
    <t>GSK210909CZN598</t>
  </si>
  <si>
    <t>GSK210909RHY243</t>
  </si>
  <si>
    <t>GSK210909BCT789</t>
  </si>
  <si>
    <t>GSK210907XKS815</t>
  </si>
  <si>
    <t>GSK210907QAB310</t>
  </si>
  <si>
    <t>GSK210909TCH906</t>
  </si>
  <si>
    <t>GSK210908YTF678</t>
  </si>
  <si>
    <t>GSK210909GKM124</t>
  </si>
  <si>
    <t>GSK210909JZY105</t>
  </si>
  <si>
    <t>GSK210909MIR251</t>
  </si>
  <si>
    <t>GSK210908AOV310</t>
  </si>
  <si>
    <t>GSK210908CWM732</t>
  </si>
  <si>
    <t>GSK210909UJD248</t>
  </si>
  <si>
    <t>GSK210909CDQ847</t>
  </si>
  <si>
    <t>GSK210908KJZ854</t>
  </si>
  <si>
    <t>GSK210909ZNC371</t>
  </si>
  <si>
    <t>GSK210909TGP378</t>
  </si>
  <si>
    <t>GSK210907QEH285</t>
  </si>
  <si>
    <t>DMD/2109/09/YAOT8576</t>
  </si>
  <si>
    <t>GSK210909QVN327</t>
  </si>
  <si>
    <t>GSK210908PQC810</t>
  </si>
  <si>
    <t>GSK210909BMP194</t>
  </si>
  <si>
    <t>GSK210909HDF791</t>
  </si>
  <si>
    <t>DMD/2109/09/GVZD0798</t>
  </si>
  <si>
    <t>GSK210908UBI210</t>
  </si>
  <si>
    <t>GSK210908BNT697</t>
  </si>
  <si>
    <t>GSK210908QXM602</t>
  </si>
  <si>
    <t>GSK210908XKT205</t>
  </si>
  <si>
    <t>GSK210908ETI053</t>
  </si>
  <si>
    <t>GSK210908QVL612</t>
  </si>
  <si>
    <t>GSK210908OIX492</t>
  </si>
  <si>
    <t>GSK210908KVI543</t>
  </si>
  <si>
    <t>GSK210908XIF217</t>
  </si>
  <si>
    <t>GSK210908SVU502</t>
  </si>
  <si>
    <t>GSK210908UAT816</t>
  </si>
  <si>
    <t>GSK210908RSZ401</t>
  </si>
  <si>
    <t>14/09/2021 RESTU</t>
  </si>
  <si>
    <t>DMD/2109/09/DWPU3617</t>
  </si>
  <si>
    <t>GSK210909HST760</t>
  </si>
  <si>
    <t>GSK210909YFI035</t>
  </si>
  <si>
    <t>DMD/2109/10/IKXT8269</t>
  </si>
  <si>
    <t>GSK210910FAO629</t>
  </si>
  <si>
    <t>DMD/2109/10/XJWK4720</t>
  </si>
  <si>
    <t>GSK210910FZG650</t>
  </si>
  <si>
    <t>GSK210910SMW356</t>
  </si>
  <si>
    <t>GSK210904DXF964</t>
  </si>
  <si>
    <t>DMD/2109/10/DRXB7864</t>
  </si>
  <si>
    <t>GSK210910GVL372</t>
  </si>
  <si>
    <t>GSK210909PDR794</t>
  </si>
  <si>
    <t>GSK210910KSJ392</t>
  </si>
  <si>
    <t>GSK210910JYS759</t>
  </si>
  <si>
    <t>GSK210910BYG418</t>
  </si>
  <si>
    <t>GSK210910JZA890</t>
  </si>
  <si>
    <t>GSK210910UIW570</t>
  </si>
  <si>
    <t>GSK210909WKG521</t>
  </si>
  <si>
    <t>GSK210910HQF236</t>
  </si>
  <si>
    <t>GSK210909JNS459</t>
  </si>
  <si>
    <t>GSK210909OZI276</t>
  </si>
  <si>
    <t>GSK210910TIW138</t>
  </si>
  <si>
    <t>GSK210910OMI298</t>
  </si>
  <si>
    <t>GSK210910LSX243</t>
  </si>
  <si>
    <t>GSK210909STE659</t>
  </si>
  <si>
    <t>GSK210910QTV471</t>
  </si>
  <si>
    <t>GSK210910NWR056</t>
  </si>
  <si>
    <t>GSK210910ADI275</t>
  </si>
  <si>
    <t>GSK210910ZIW840</t>
  </si>
  <si>
    <t>KM SEMBILANG</t>
  </si>
  <si>
    <t>DMD/2109/10/PULA5967</t>
  </si>
  <si>
    <t>GSK210909YIX096</t>
  </si>
  <si>
    <t>GSK210909EMY756</t>
  </si>
  <si>
    <t>GSK210904RGX893</t>
  </si>
  <si>
    <t>GSK210909YFD574</t>
  </si>
  <si>
    <t>GSK210909VBD981</t>
  </si>
  <si>
    <t>GSK210910VJM342</t>
  </si>
  <si>
    <t>GSK210909WSL145</t>
  </si>
  <si>
    <t>GSK210909BAC653</t>
  </si>
  <si>
    <t>GSK210909FJZ347</t>
  </si>
  <si>
    <t>GSK210910KCF632</t>
  </si>
  <si>
    <t>GSK210909AGV815</t>
  </si>
  <si>
    <t>GSK210909FLT389</t>
  </si>
  <si>
    <t>17/09/2021 RESTU</t>
  </si>
  <si>
    <t>DMD/2109/11/UKLH3184</t>
  </si>
  <si>
    <t>GSK210911NEA308</t>
  </si>
  <si>
    <t>GSK210910PJX271</t>
  </si>
  <si>
    <t>GSK210910STA702</t>
  </si>
  <si>
    <t>GSK210910YFC475</t>
  </si>
  <si>
    <t>GSK210910DNM503</t>
  </si>
  <si>
    <t>DMD/2109/11/GITP8946</t>
  </si>
  <si>
    <t>GSK210911PVB329</t>
  </si>
  <si>
    <t>GSK210911YAQ708</t>
  </si>
  <si>
    <t>GSK210911BHW574</t>
  </si>
  <si>
    <t>GSK210911TNA382</t>
  </si>
  <si>
    <t>GSK210911KYB638</t>
  </si>
  <si>
    <t>GSK210911EZC529</t>
  </si>
  <si>
    <t>GSK210911MGD143</t>
  </si>
  <si>
    <t>GSK210911FVJ631</t>
  </si>
  <si>
    <t>GSK210911XNE145</t>
  </si>
  <si>
    <t>GSK210911ULT385</t>
  </si>
  <si>
    <t>GSK210911GDK196</t>
  </si>
  <si>
    <t>GSK210911RCN701</t>
  </si>
  <si>
    <t>GSK210911KGX859</t>
  </si>
  <si>
    <t>DMD/2109/11/CJOK1523</t>
  </si>
  <si>
    <t>GSK210911QBD835</t>
  </si>
  <si>
    <t>DMD/2109/12/TCVB1274</t>
  </si>
  <si>
    <t>GSK210912GTU203</t>
  </si>
  <si>
    <t>GSK210912XUD907</t>
  </si>
  <si>
    <t>GSK210911APG970</t>
  </si>
  <si>
    <t>GSK210911BVO948</t>
  </si>
  <si>
    <t>GSK210912LNY864</t>
  </si>
  <si>
    <t>DMD/2109/12/XJHZ8275</t>
  </si>
  <si>
    <t>GSK210911VLO567</t>
  </si>
  <si>
    <t>GSK210912DXA465</t>
  </si>
  <si>
    <t>GSK210912UZD852</t>
  </si>
  <si>
    <t>GSK210912YMG439</t>
  </si>
  <si>
    <t>DMD/2109/12/PJRX0274</t>
  </si>
  <si>
    <t>GSK210912UMF802</t>
  </si>
  <si>
    <t>DMD/2109/13/NPTF4856</t>
  </si>
  <si>
    <t>GSK210911KOS187</t>
  </si>
  <si>
    <t>GSK210911BNW713</t>
  </si>
  <si>
    <t>GSK210913LDA429</t>
  </si>
  <si>
    <t>GSK210912RIV248</t>
  </si>
  <si>
    <t>GSK210912XGS514</t>
  </si>
  <si>
    <t>GSK210913DLM502</t>
  </si>
  <si>
    <t>GSK210913JFP738</t>
  </si>
  <si>
    <t>GSK210913RTQ936</t>
  </si>
  <si>
    <t>GSK210913IAW408</t>
  </si>
  <si>
    <t>DMD/2109/16/NRCD4056</t>
  </si>
  <si>
    <t>GSK210916SEK680</t>
  </si>
  <si>
    <t>GSK210916FEB506</t>
  </si>
  <si>
    <t>GSK210916RWL798</t>
  </si>
  <si>
    <t>DMD/2109/16/UNBX2835</t>
  </si>
  <si>
    <t>GSK210916ZKT314</t>
  </si>
  <si>
    <t>GSK210916EXU275</t>
  </si>
  <si>
    <t>GSK210916TPJ781</t>
  </si>
  <si>
    <t>GSK210916NDU862</t>
  </si>
  <si>
    <t>GSK210916HBY614</t>
  </si>
  <si>
    <t>GSK210916VOZ123</t>
  </si>
  <si>
    <t>GSK210916FDU890</t>
  </si>
  <si>
    <t>GSK210916CQN645</t>
  </si>
  <si>
    <t>GSK210916OKI719</t>
  </si>
  <si>
    <t>GSK210916EID820</t>
  </si>
  <si>
    <t>GSK210916LNE653</t>
  </si>
  <si>
    <t>GSK210916HGX190</t>
  </si>
  <si>
    <t>GSK210916NPU786</t>
  </si>
  <si>
    <t>GSK210912KTN870</t>
  </si>
  <si>
    <t>KM SURYA 77</t>
  </si>
  <si>
    <t>20/09/2021 RESTU</t>
  </si>
  <si>
    <t>DMD/2109/16/NPAO2546</t>
  </si>
  <si>
    <t>GSK210916VUD896</t>
  </si>
  <si>
    <t>GSK210914ZHB738</t>
  </si>
  <si>
    <t>GSK210915JAZ320</t>
  </si>
  <si>
    <t>GSK210914OWY832</t>
  </si>
  <si>
    <t>GSK210914AWN418</t>
  </si>
  <si>
    <t>GSK210916CSW271</t>
  </si>
  <si>
    <t>GSK210916JPM523</t>
  </si>
  <si>
    <t>GSK210916YOS136</t>
  </si>
  <si>
    <t>GSK210914WNQ251</t>
  </si>
  <si>
    <t>GSK210916WXS594</t>
  </si>
  <si>
    <t>GSK210916GVW083</t>
  </si>
  <si>
    <t>GSK210916FHZ576</t>
  </si>
  <si>
    <t>GSK210915IPB135</t>
  </si>
  <si>
    <t>GSK210914TLV039</t>
  </si>
  <si>
    <t>DMD/2109/14/WUKY0943</t>
  </si>
  <si>
    <t>GSK210913GFV796</t>
  </si>
  <si>
    <t>GSK210914DIF573</t>
  </si>
  <si>
    <t>GSK210914WIC742</t>
  </si>
  <si>
    <t>DMD/2109/14/OVQS4738</t>
  </si>
  <si>
    <t>GSK210914NZS678</t>
  </si>
  <si>
    <t>GSK210914KIC368</t>
  </si>
  <si>
    <t>DMD/2109/14/VPMR4237</t>
  </si>
  <si>
    <t>GSK210912BQJ723</t>
  </si>
  <si>
    <t>GSK210914MFE029</t>
  </si>
  <si>
    <t>GSK210914DWQ594</t>
  </si>
  <si>
    <t>GSK210914OLV031</t>
  </si>
  <si>
    <t>GSK210914DTC576</t>
  </si>
  <si>
    <t>GSK210914PEM389</t>
  </si>
  <si>
    <t>GSK210914PCQ571</t>
  </si>
  <si>
    <t>GSK210912KQC729</t>
  </si>
  <si>
    <t>GSK210914BMG489</t>
  </si>
  <si>
    <t>GSK210914IWC627</t>
  </si>
  <si>
    <t>GSK210914VZM627</t>
  </si>
  <si>
    <t>GSK210914FHW730</t>
  </si>
  <si>
    <t>GSK210912LOE094</t>
  </si>
  <si>
    <t>GSK210914AMW820</t>
  </si>
  <si>
    <t>GSK210914SJY924</t>
  </si>
  <si>
    <t>GSK210914JDR126</t>
  </si>
  <si>
    <t>GSK210914SWQ769</t>
  </si>
  <si>
    <t>GSK210912PUA170</t>
  </si>
  <si>
    <t>GSK210914PCH640</t>
  </si>
  <si>
    <t>GSK210913CQR720</t>
  </si>
  <si>
    <t>GSK210914MKU619</t>
  </si>
  <si>
    <t>GSK210914VAN409</t>
  </si>
  <si>
    <t>GSK210914MKI942</t>
  </si>
  <si>
    <t>DMD/2109/14/HNYR8152</t>
  </si>
  <si>
    <t>GSK210913ZRF681</t>
  </si>
  <si>
    <t>DMD/2109/15/CPRO2560</t>
  </si>
  <si>
    <t>GSK210914JOQ798</t>
  </si>
  <si>
    <t>GSK210915TQV749</t>
  </si>
  <si>
    <t>GSK210914FRA582</t>
  </si>
  <si>
    <t>DMD/2109/15/ZWQG1537</t>
  </si>
  <si>
    <t>GSK210915OME109</t>
  </si>
  <si>
    <t>GSK210915OKX160</t>
  </si>
  <si>
    <t>GSK210915BAD913</t>
  </si>
  <si>
    <t>GSK210915FOJ138</t>
  </si>
  <si>
    <t>GSK210915BVJ716</t>
  </si>
  <si>
    <t>GSK210915BAM126</t>
  </si>
  <si>
    <t>GSK210915WFO435</t>
  </si>
  <si>
    <t>GSK210915WVN436</t>
  </si>
  <si>
    <t>GSK210915VIC450</t>
  </si>
  <si>
    <t>GSK210915ODF630</t>
  </si>
  <si>
    <t>GSK210915QHI820</t>
  </si>
  <si>
    <t>GSK210915YID231</t>
  </si>
  <si>
    <t>GSK210915UIW506</t>
  </si>
  <si>
    <t>GSK210915YSI071</t>
  </si>
  <si>
    <t>GSK210915HKD296</t>
  </si>
  <si>
    <t>GSK210915BLY529</t>
  </si>
  <si>
    <t>GSK210915NBE801</t>
  </si>
  <si>
    <t>DMD/2109/15/OSLG9653</t>
  </si>
  <si>
    <t>GSK210912EXV456</t>
  </si>
  <si>
    <t>GSK210912OEA451</t>
  </si>
  <si>
    <t>GSK210912LUB560</t>
  </si>
  <si>
    <t>GSK210912LUT802</t>
  </si>
  <si>
    <t>GSK210915FKQ361</t>
  </si>
  <si>
    <t>GSK210912SHN107</t>
  </si>
  <si>
    <t>GSK210912VNX237</t>
  </si>
  <si>
    <t>GSK210915EQF385</t>
  </si>
  <si>
    <t>GSK210912HQK365</t>
  </si>
  <si>
    <t>GSK210912WYH730</t>
  </si>
  <si>
    <t>GSK210915XLH416</t>
  </si>
  <si>
    <t>GSK210915HUI759</t>
  </si>
  <si>
    <t>GSK210912TLR490</t>
  </si>
  <si>
    <t>GSK210912SKI275</t>
  </si>
  <si>
    <t>GSK210915STG870</t>
  </si>
  <si>
    <t>GSK210915UBQ350</t>
  </si>
  <si>
    <t>GSK210915NQM967</t>
  </si>
  <si>
    <t>GSK210912RWO965</t>
  </si>
  <si>
    <t>GSK210912OAV259</t>
  </si>
  <si>
    <t>GSK210915HWT795</t>
  </si>
  <si>
    <t>GSK210915FKL375</t>
  </si>
  <si>
    <t>GSK210912MIY568</t>
  </si>
  <si>
    <t>GSK210915BQW630</t>
  </si>
  <si>
    <t>GSK210912HDV801</t>
  </si>
  <si>
    <t>GSK210912FRZ408</t>
  </si>
  <si>
    <t>GSK210915PBL241</t>
  </si>
  <si>
    <t>GSK210912SQI498</t>
  </si>
  <si>
    <t>GSK210912UYK278</t>
  </si>
  <si>
    <t>GSK210915MUN354</t>
  </si>
  <si>
    <t>GSK210915EKT394</t>
  </si>
  <si>
    <t>GSK210915LRU793</t>
  </si>
  <si>
    <t>GSK210912CIP865</t>
  </si>
  <si>
    <t>DMD/2109/17/LAOY9650</t>
  </si>
  <si>
    <t>GSK210916UBZ437</t>
  </si>
  <si>
    <t>GSK210917SFB354</t>
  </si>
  <si>
    <t>GSK210917XEJ293</t>
  </si>
  <si>
    <t>GSK210916ILE689</t>
  </si>
  <si>
    <t>GSK210916CYI205</t>
  </si>
  <si>
    <t>GSK210916MZX380</t>
  </si>
  <si>
    <t>GSK210916LZS674</t>
  </si>
  <si>
    <t>GSK210916DIR640</t>
  </si>
  <si>
    <t>GSK210915MSZ183</t>
  </si>
  <si>
    <t>GSK210916TJI831</t>
  </si>
  <si>
    <t>GSK210917ZSP350</t>
  </si>
  <si>
    <t>DMD/2109/17/LSKW5861</t>
  </si>
  <si>
    <t>GSK210917SFB962</t>
  </si>
  <si>
    <t>GSK210917KBV742</t>
  </si>
  <si>
    <t>GSK210915IDJ214</t>
  </si>
  <si>
    <t>GSK210916OZR862</t>
  </si>
  <si>
    <t>DMD/2109/17/ZNQP4910</t>
  </si>
  <si>
    <t>GSK210917JVE718</t>
  </si>
  <si>
    <t>GSK210917GZL523</t>
  </si>
  <si>
    <t>GSK210915ZOM714</t>
  </si>
  <si>
    <t>GSK210917GAU156</t>
  </si>
  <si>
    <t>GSK210917EIA938</t>
  </si>
  <si>
    <t>GSK210917KSV045</t>
  </si>
  <si>
    <t>GSK210917SYX132</t>
  </si>
  <si>
    <t>GSK210917AQU087</t>
  </si>
  <si>
    <t>GSK210917WAI198</t>
  </si>
  <si>
    <t>GSK210917VEN497</t>
  </si>
  <si>
    <t>GSK210915HVK981</t>
  </si>
  <si>
    <t>GSK210917UWP952</t>
  </si>
  <si>
    <t>GSK210917TFC753</t>
  </si>
  <si>
    <t>GSK210915ICP825</t>
  </si>
  <si>
    <t>GSK210917VIR621</t>
  </si>
  <si>
    <t>GSK210917IZX680</t>
  </si>
  <si>
    <t>25/09/2021 RESTU</t>
  </si>
  <si>
    <t>DMD/2109/18/SLDT0987</t>
  </si>
  <si>
    <t>GSK210918QKO608</t>
  </si>
  <si>
    <t>GSK210918YCT348</t>
  </si>
  <si>
    <t>GSK210918KCW694</t>
  </si>
  <si>
    <t>GSK210917EAW725</t>
  </si>
  <si>
    <t>DMD/2109/18/GIDN4682</t>
  </si>
  <si>
    <t>GSK210918XQK703</t>
  </si>
  <si>
    <t>GSK210918CTJ463</t>
  </si>
  <si>
    <t>GSK210918JOB569</t>
  </si>
  <si>
    <t>GSK210917PNY421</t>
  </si>
  <si>
    <t>GSK210918AJV164</t>
  </si>
  <si>
    <t>GSK210918AGF152</t>
  </si>
  <si>
    <t>GSK210918TBH017</t>
  </si>
  <si>
    <t>GSK210917AQM236</t>
  </si>
  <si>
    <t>GSK210917XUK470</t>
  </si>
  <si>
    <t>GSK210918KHJ685</t>
  </si>
  <si>
    <t>DMD/2109/18/UZPX1295</t>
  </si>
  <si>
    <t>GSK210918OHX349</t>
  </si>
  <si>
    <t>DMD/2109/19/EIHX7230</t>
  </si>
  <si>
    <t>GSK210919KBC756</t>
  </si>
  <si>
    <t>GSK210919SJN724</t>
  </si>
  <si>
    <t>GSK210919ZMU861</t>
  </si>
  <si>
    <t>GSK210918YMK096</t>
  </si>
  <si>
    <t>GSK210918FML704</t>
  </si>
  <si>
    <t>GSK210918XBH536</t>
  </si>
  <si>
    <t>GSK210918CGS804</t>
  </si>
  <si>
    <t>GSK210918AWP697</t>
  </si>
  <si>
    <t>DMD/2109/19/GTYQ3674</t>
  </si>
  <si>
    <t>GSK210919TRN078</t>
  </si>
  <si>
    <t>GSK210919XZJ072</t>
  </si>
  <si>
    <t>GSK210919JVD081</t>
  </si>
  <si>
    <t>GSK210919MZD365</t>
  </si>
  <si>
    <t>GSK210919OZU836</t>
  </si>
  <si>
    <t>GSK210919CDR502</t>
  </si>
  <si>
    <t>GSK210919NZA894</t>
  </si>
  <si>
    <t>GSK210919GJP768</t>
  </si>
  <si>
    <t>GSK210919GXE478</t>
  </si>
  <si>
    <t>GSK210917ZBT640</t>
  </si>
  <si>
    <t>GSK210919SYF542</t>
  </si>
  <si>
    <t>GSK210919ARP491</t>
  </si>
  <si>
    <t>GSK210917ECI391</t>
  </si>
  <si>
    <t>GSK210919DSK548</t>
  </si>
  <si>
    <t>DMD/2109/19/RZEC2907</t>
  </si>
  <si>
    <t>GSK210919HTF957</t>
  </si>
  <si>
    <t>DMD/2109/20/ORJM2861</t>
  </si>
  <si>
    <t>GSK210920UXV230</t>
  </si>
  <si>
    <t>GSK210919JHG470</t>
  </si>
  <si>
    <t>GSK210919GMB265</t>
  </si>
  <si>
    <t>GSK210919XPY354</t>
  </si>
  <si>
    <t>GSK210918ZIR156</t>
  </si>
  <si>
    <t>GSK210920JVR891</t>
  </si>
  <si>
    <t>GSK210918IJZ870</t>
  </si>
  <si>
    <t>GSK210919UOK329</t>
  </si>
  <si>
    <t>GSK210919ZCK517</t>
  </si>
  <si>
    <t>DMD/2109/20/KLZB2516</t>
  </si>
  <si>
    <t>GSK210919CKE284</t>
  </si>
  <si>
    <t>GSK210918GTI753</t>
  </si>
  <si>
    <t>GSK210919QUE940</t>
  </si>
  <si>
    <t>DMD/2109/21/FCUH2406</t>
  </si>
  <si>
    <t>GSK210921KVQ810</t>
  </si>
  <si>
    <t>GSK210921ZGK186</t>
  </si>
  <si>
    <t>GSK210919NPT825</t>
  </si>
  <si>
    <t>GSK210921CSV915</t>
  </si>
  <si>
    <t>DMD/2109/21/GBMD7046</t>
  </si>
  <si>
    <t>GSK210921GSW097</t>
  </si>
  <si>
    <t>DMD/2109/21/FALC9684</t>
  </si>
  <si>
    <t>GSK210921UEQ630</t>
  </si>
  <si>
    <t>GSK210920CIA526</t>
  </si>
  <si>
    <t>GSK210921YLX589</t>
  </si>
  <si>
    <t>GSK210921JVK514</t>
  </si>
  <si>
    <t>GSK210921VCB498</t>
  </si>
  <si>
    <t>GSK210921MSE405</t>
  </si>
  <si>
    <t>GSK210921QBP857</t>
  </si>
  <si>
    <t>GSK210921IBX302</t>
  </si>
  <si>
    <t>GSK210921JAQ257</t>
  </si>
  <si>
    <t>GSK210921TYC731</t>
  </si>
  <si>
    <t>GSK210921RFB728</t>
  </si>
  <si>
    <t>GSK210921YEO037</t>
  </si>
  <si>
    <t>GSK210921JOK074</t>
  </si>
  <si>
    <t>GSK210921HSL489</t>
  </si>
  <si>
    <t>GSK210921RDI361</t>
  </si>
  <si>
    <t>DMD/2109/21/VNLA3954</t>
  </si>
  <si>
    <t>GSK210912KWH901</t>
  </si>
  <si>
    <t>DMD/2109/22/YBHC0417</t>
  </si>
  <si>
    <t>GSK210921KTB201</t>
  </si>
  <si>
    <t>GSK210922IPL108</t>
  </si>
  <si>
    <t>GSK210922JFM173</t>
  </si>
  <si>
    <t>GSK210921RXM659</t>
  </si>
  <si>
    <t>GSK210922KCZ768</t>
  </si>
  <si>
    <t>GSK210922JTY796</t>
  </si>
  <si>
    <t>GSK210922AXC426</t>
  </si>
  <si>
    <t>GSK210922YDM895</t>
  </si>
  <si>
    <t>GSK210922BFX068</t>
  </si>
  <si>
    <t>GSK210922PUX120</t>
  </si>
  <si>
    <t>GSK210922WCY341</t>
  </si>
  <si>
    <t>GSK210921EGF176</t>
  </si>
  <si>
    <t>GSK210922MEK015</t>
  </si>
  <si>
    <t>GSK210922FJX023</t>
  </si>
  <si>
    <t>GSK210922PNM201</t>
  </si>
  <si>
    <t>GSK210922DTU924</t>
  </si>
  <si>
    <t>DMD/2109/22/RQGK6830</t>
  </si>
  <si>
    <t>GSK210922JAV715</t>
  </si>
  <si>
    <t>GSK210922MKI879</t>
  </si>
  <si>
    <t>GSK210922VIW162</t>
  </si>
  <si>
    <t>GSK210922OGL176</t>
  </si>
  <si>
    <t>27/09/2021 RESTU</t>
  </si>
  <si>
    <t>DMD/2109/23/XGZD0195</t>
  </si>
  <si>
    <t>GSK210922LKQ829</t>
  </si>
  <si>
    <t>GSK210923HFW923</t>
  </si>
  <si>
    <t>GSK210923MCR264</t>
  </si>
  <si>
    <t>GSK210923IAN745</t>
  </si>
  <si>
    <t>GSK210923CWI146</t>
  </si>
  <si>
    <t>GSK210923ZYW218</t>
  </si>
  <si>
    <t>GSK210923YHV258</t>
  </si>
  <si>
    <t>GSK210922HMJ301</t>
  </si>
  <si>
    <t>GSK210923UOK047</t>
  </si>
  <si>
    <t>GSK210922TFY301</t>
  </si>
  <si>
    <t>GSK210923WDM075</t>
  </si>
  <si>
    <t>GSK210922GMO401</t>
  </si>
  <si>
    <t>GSK210922JND306</t>
  </si>
  <si>
    <t>GSK210922TWF326</t>
  </si>
  <si>
    <t>GSK210922NBI027</t>
  </si>
  <si>
    <t>GSK210922ZMX480</t>
  </si>
  <si>
    <t>GSK210922QAE896</t>
  </si>
  <si>
    <t>GSK210922TGE827</t>
  </si>
  <si>
    <t>GSK210923YGE012</t>
  </si>
  <si>
    <t>DMD/2109/23/HBQF6981</t>
  </si>
  <si>
    <t>GSK210923YAW358</t>
  </si>
  <si>
    <t>GSK210923YGE681</t>
  </si>
  <si>
    <t>GSK210923EJU321</t>
  </si>
  <si>
    <t>GSK210923MZE645</t>
  </si>
  <si>
    <t>GSK210923PZM164</t>
  </si>
  <si>
    <t>DMD/2109/23/CXHB2539</t>
  </si>
  <si>
    <t>GSK210923XGC016</t>
  </si>
  <si>
    <t>DMD/2109/24/QBUA4729</t>
  </si>
  <si>
    <t>GSK210923OCZ590</t>
  </si>
  <si>
    <t>GSK210922IMY245</t>
  </si>
  <si>
    <t>GSK210924HOG461</t>
  </si>
  <si>
    <t>GSK210923DSU079</t>
  </si>
  <si>
    <t>GSK210923SNQ752</t>
  </si>
  <si>
    <t>GSK210923VCH148</t>
  </si>
  <si>
    <t>GSK210924BVO125</t>
  </si>
  <si>
    <t>GSK210924EMR721</t>
  </si>
  <si>
    <t>GSK210923JPY325</t>
  </si>
  <si>
    <t>GSK210923DVS061</t>
  </si>
  <si>
    <t>GSK210923KMC176</t>
  </si>
  <si>
    <t>GSK210924NSU648</t>
  </si>
  <si>
    <t>GSK210923NYB894</t>
  </si>
  <si>
    <t>GSK210924HZF231</t>
  </si>
  <si>
    <t>GSK210924OZP432</t>
  </si>
  <si>
    <t>gsk210923elm530</t>
  </si>
  <si>
    <t>GSK210924KSZ946</t>
  </si>
  <si>
    <t>GSK210924AUK264</t>
  </si>
  <si>
    <t>GSK210923STM078</t>
  </si>
  <si>
    <t>GSK210924EMZ316</t>
  </si>
  <si>
    <t>GSK210924MFD382</t>
  </si>
  <si>
    <t>DMD/2109/24/OTRC2175</t>
  </si>
  <si>
    <t>GSK210924MBL214</t>
  </si>
  <si>
    <t>GSK210924SXM967</t>
  </si>
  <si>
    <t>GSK210924FLA965</t>
  </si>
  <si>
    <t>DMD/2109/24/VNCW1469</t>
  </si>
  <si>
    <t>GSK210924ORD384</t>
  </si>
  <si>
    <t>GSK210924RIQ738</t>
  </si>
  <si>
    <t>GSK210924DKA549</t>
  </si>
  <si>
    <t>GSK210924FTP205</t>
  </si>
  <si>
    <t>GSK210924QKH831</t>
  </si>
  <si>
    <t>GSK210924KDR056</t>
  </si>
  <si>
    <t>GSK210924FIS295</t>
  </si>
  <si>
    <t>GSK210924XSM691</t>
  </si>
  <si>
    <t>GSK210924JPB925</t>
  </si>
  <si>
    <t>GSK210924FPW037</t>
  </si>
  <si>
    <t>GSK210924EKB098</t>
  </si>
  <si>
    <t>GSK210924DQW426</t>
  </si>
  <si>
    <t>DMD/2109/25/IVZJ6180</t>
  </si>
  <si>
    <t>GSK210925SJU062</t>
  </si>
  <si>
    <t>GSK210925BWZ039</t>
  </si>
  <si>
    <t>GSK210925XDR674</t>
  </si>
  <si>
    <t>GSK210923RHY538</t>
  </si>
  <si>
    <t>GSK210923VHZ284</t>
  </si>
  <si>
    <t>GSK210925SFN310</t>
  </si>
  <si>
    <t>GSK210923BDX301</t>
  </si>
  <si>
    <t>GSK210923USD782</t>
  </si>
  <si>
    <t>GSK210924UGD806</t>
  </si>
  <si>
    <t>GSK210925FWT962</t>
  </si>
  <si>
    <t>GSK210923LXA156</t>
  </si>
  <si>
    <t>GSK210925HFC601</t>
  </si>
  <si>
    <t>GSK210925MDP675</t>
  </si>
  <si>
    <t>GSK210925ZKB534</t>
  </si>
  <si>
    <t>DMD/2109/25/QSGC9436</t>
  </si>
  <si>
    <t>GSK210925HNA065</t>
  </si>
  <si>
    <t>GSK210925AMF214</t>
  </si>
  <si>
    <t>GSK210924XJD509</t>
  </si>
  <si>
    <t>DMD/2109/25/XGQU5176</t>
  </si>
  <si>
    <t>GSK210925ZTW164</t>
  </si>
  <si>
    <t>GSK210925EIM098</t>
  </si>
  <si>
    <t>GSK210925ZQI320</t>
  </si>
  <si>
    <t>01/10/21 RESRTU</t>
  </si>
  <si>
    <t>DMD/2109/26/WDYX3164</t>
  </si>
  <si>
    <t>GSK210925QRO639</t>
  </si>
  <si>
    <t>GSK210926HPT649</t>
  </si>
  <si>
    <t>GSK210924NHO815</t>
  </si>
  <si>
    <t>GSK210926EGI302</t>
  </si>
  <si>
    <t>GSK210925WIA341</t>
  </si>
  <si>
    <t>GSK210926PHI412</t>
  </si>
  <si>
    <t>GSK210926VNH963</t>
  </si>
  <si>
    <t>GSK210926TGX341</t>
  </si>
  <si>
    <t>GSK210926FGE761</t>
  </si>
  <si>
    <t>GSK210925KXO192</t>
  </si>
  <si>
    <t>GSK210926ICH659</t>
  </si>
  <si>
    <t>GSK210926GRQ078</t>
  </si>
  <si>
    <t>DMD/2109/26/EHWC6583</t>
  </si>
  <si>
    <t>GSK210925XGP061</t>
  </si>
  <si>
    <t>DMD/2109/27/ZWUB1608</t>
  </si>
  <si>
    <t>GSK210927FGU745</t>
  </si>
  <si>
    <t>GSK210926QXG217</t>
  </si>
  <si>
    <t>GSK210927QRF128</t>
  </si>
  <si>
    <t>GSK210927PGO913</t>
  </si>
  <si>
    <t>GSK210925HNC297</t>
  </si>
  <si>
    <t>GSK210926GSW568</t>
  </si>
  <si>
    <t>GSK210925ALK130</t>
  </si>
  <si>
    <t>GSK210926EAU970</t>
  </si>
  <si>
    <t>DMD/2109/27/ZYLX1542</t>
  </si>
  <si>
    <t>GSK210926VKP678</t>
  </si>
  <si>
    <t>GSK210927JPE169</t>
  </si>
  <si>
    <t>GSK210926RPX831</t>
  </si>
  <si>
    <t>DMD/2109/27/GKPM5781</t>
  </si>
  <si>
    <t>GSK210925TJF270</t>
  </si>
  <si>
    <t>DMD/2109/28/NAYH2478</t>
  </si>
  <si>
    <t>GSK210928RJD051</t>
  </si>
  <si>
    <t>GSK210927QUL816</t>
  </si>
  <si>
    <t>GSK210928LDH894</t>
  </si>
  <si>
    <t>GSK210928FPV975</t>
  </si>
  <si>
    <t>GSK210928LRN130</t>
  </si>
  <si>
    <t>GSK210928DXA263</t>
  </si>
  <si>
    <t>GSK210928JGZ380</t>
  </si>
  <si>
    <t>GSK210928UIM547</t>
  </si>
  <si>
    <t>GSK210928UEG726</t>
  </si>
  <si>
    <t>GSK210928YEN542</t>
  </si>
  <si>
    <t>GSK210928AOD758</t>
  </si>
  <si>
    <t>GSK210928UBW741</t>
  </si>
  <si>
    <t>GSK210928OKD459</t>
  </si>
  <si>
    <t>GSK210928ROZ370</t>
  </si>
  <si>
    <t>GSK210928ECK792</t>
  </si>
  <si>
    <t>GSK210928RIC782</t>
  </si>
  <si>
    <t>GSK210928SEM317</t>
  </si>
  <si>
    <t>GSK210928NDU340</t>
  </si>
  <si>
    <t>GSK210928RMN126</t>
  </si>
  <si>
    <t>DMD/2109/28/JMBP6742</t>
  </si>
  <si>
    <t>GSK210928OFH324</t>
  </si>
  <si>
    <t>GSK210928MQW398</t>
  </si>
  <si>
    <t>DMD/2109/28/VYIB2795</t>
  </si>
  <si>
    <t>GSK210928YXL526</t>
  </si>
  <si>
    <t>GSK210928TZO893</t>
  </si>
  <si>
    <t>GSK210928EMH718</t>
  </si>
  <si>
    <t>GSK210928BKF952</t>
  </si>
  <si>
    <t>GSK210928TPA245</t>
  </si>
  <si>
    <t>GSK210928XKL164</t>
  </si>
  <si>
    <t>GSK210928AVT268</t>
  </si>
  <si>
    <t>04/10/2021 RESTU</t>
  </si>
  <si>
    <t>DMD/2109/29/WIUS4890</t>
  </si>
  <si>
    <t>GSK210927RKO206</t>
  </si>
  <si>
    <t>DMD/2109/29/BKQH8265</t>
  </si>
  <si>
    <t>GSK210929INE534</t>
  </si>
  <si>
    <t>GSK210929GEM793</t>
  </si>
  <si>
    <t>GSK210927AGM659</t>
  </si>
  <si>
    <t>GSK210929TQE829</t>
  </si>
  <si>
    <t>GSK210929WZR563</t>
  </si>
  <si>
    <t>GSK210929QNS793</t>
  </si>
  <si>
    <t>GSK210928ZEL350</t>
  </si>
  <si>
    <t>GSK210929ATV725</t>
  </si>
  <si>
    <t>GSK210929VDY103</t>
  </si>
  <si>
    <t>GSK210929OYN178</t>
  </si>
  <si>
    <t>GSK210929CFD637</t>
  </si>
  <si>
    <t>DMD/2109/29/JKYR0267</t>
  </si>
  <si>
    <t>GSK210929MZO230</t>
  </si>
  <si>
    <t>GSK210929XCK751</t>
  </si>
  <si>
    <t>DMD/2109/29/JPNX8792</t>
  </si>
  <si>
    <t>GSK210929HKV176</t>
  </si>
  <si>
    <t>DMD/2109/29/AOLW5674</t>
  </si>
  <si>
    <t>GSK210929SBF381</t>
  </si>
  <si>
    <t>DMD/2109/30/QXSO8952</t>
  </si>
  <si>
    <t>GSK210929PVN098</t>
  </si>
  <si>
    <t>GSK210930BKP801</t>
  </si>
  <si>
    <t>GSK210929IVU092</t>
  </si>
  <si>
    <t>GSK210930FAV309</t>
  </si>
  <si>
    <t>GSK210928VLI360</t>
  </si>
  <si>
    <t>GSK210929XZV809</t>
  </si>
  <si>
    <t>GSK210928LFR821</t>
  </si>
  <si>
    <t>GSK210930YTH812</t>
  </si>
  <si>
    <t>GSK210929RFM604</t>
  </si>
  <si>
    <t>GSK210930NEX216</t>
  </si>
  <si>
    <t>GSK210930HXP527</t>
  </si>
  <si>
    <t>GSK210930RCV271</t>
  </si>
  <si>
    <t>GSK210930HCS521</t>
  </si>
  <si>
    <t>GSK210930HSW251</t>
  </si>
  <si>
    <t>GSK210930JBQ408</t>
  </si>
  <si>
    <t>GSK210930HJY170</t>
  </si>
  <si>
    <t>GSK210930VNM978</t>
  </si>
  <si>
    <t>GSK210930LSI471</t>
  </si>
  <si>
    <t>GSK210930VQZ360</t>
  </si>
  <si>
    <t>GSK210930LSR024</t>
  </si>
  <si>
    <t>GSK210928WFV164</t>
  </si>
  <si>
    <t>DMD/2109/30/XJLY0267</t>
  </si>
  <si>
    <t>GSK210929SPM062</t>
  </si>
  <si>
    <t>GSK210929PWV486</t>
  </si>
  <si>
    <t>GSK210929GPD938</t>
  </si>
  <si>
    <t>GSK210929NDL782</t>
  </si>
  <si>
    <t>GSK210930FJQ789</t>
  </si>
  <si>
    <t>GSK210930QFL943</t>
  </si>
  <si>
    <t>GSK210930LKY806</t>
  </si>
  <si>
    <t>GSK210930SBI349</t>
  </si>
  <si>
    <t>GSK210930ZME964</t>
  </si>
  <si>
    <t>GSK210930NHL823</t>
  </si>
  <si>
    <t>GSK210930XGT638</t>
  </si>
  <si>
    <t>GSK210930KEV948</t>
  </si>
  <si>
    <t>GSK210930XPZ513</t>
  </si>
  <si>
    <t>GSK210930WOS273</t>
  </si>
  <si>
    <t>DMD/2109/30/RHMW3081</t>
  </si>
  <si>
    <t>GSK210930YSL853</t>
  </si>
  <si>
    <t>GSK210930LWX316</t>
  </si>
  <si>
    <t>GSK210930VYP914</t>
  </si>
  <si>
    <t>DMD/2109/30/RQKD3840</t>
  </si>
  <si>
    <t>GSK210930ZPU634</t>
  </si>
  <si>
    <t>GSK210930VEH140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</si>
  <si>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Delapan Juta Enam Ratus Sembilan Puluh Dua Ribu Seratus Dua Puluh Enam Rupiah.</t>
    </r>
  </si>
  <si>
    <t>BKI032210036426</t>
  </si>
  <si>
    <t>BKI032210036228</t>
  </si>
  <si>
    <t>BKI032210036236</t>
  </si>
  <si>
    <t>BKI032210036251</t>
  </si>
  <si>
    <t>BKI032210036269</t>
  </si>
  <si>
    <t>BKI032210036293</t>
  </si>
  <si>
    <t>BKI032210036285</t>
  </si>
  <si>
    <t>BKI032210036277</t>
  </si>
  <si>
    <t>BKI032210036301</t>
  </si>
  <si>
    <t>BKI032210036327</t>
  </si>
  <si>
    <t>BKI032210036319</t>
  </si>
  <si>
    <t>BKI032210036335</t>
  </si>
  <si>
    <t>BKI032210036343</t>
  </si>
  <si>
    <t>BKI032210036350</t>
  </si>
  <si>
    <t>BKI032210036368</t>
  </si>
  <si>
    <t>BKI032210036376</t>
  </si>
  <si>
    <t>BKI032210036384</t>
  </si>
  <si>
    <t>BKI032210036392</t>
  </si>
  <si>
    <t>BKI032210036624</t>
  </si>
  <si>
    <t>BKI032210036434</t>
  </si>
  <si>
    <t>BKI032210036400</t>
  </si>
  <si>
    <t>BKI032210036442</t>
  </si>
  <si>
    <t>BKI032210036459</t>
  </si>
  <si>
    <t>BKI032210036475</t>
  </si>
  <si>
    <t>BKI032210036483</t>
  </si>
  <si>
    <t>BKI032210036491</t>
  </si>
  <si>
    <t>BKI032210036517</t>
  </si>
  <si>
    <t>BKI032210036525</t>
  </si>
  <si>
    <t>BKI032210036541</t>
  </si>
  <si>
    <t>BKI032210036558</t>
  </si>
  <si>
    <t>BKI032210036566</t>
  </si>
  <si>
    <t>BKI032210036574</t>
  </si>
  <si>
    <t>BKI032210036582</t>
  </si>
  <si>
    <t>BKI032210036590</t>
  </si>
  <si>
    <t>SICEPAT EXPRESBATAMORCHARD         (SORTATION)</t>
  </si>
  <si>
    <t>BATAM KOTA</t>
  </si>
  <si>
    <t xml:space="preserve"> 11 Oktober 21</t>
  </si>
  <si>
    <t>01-30 September 21</t>
  </si>
  <si>
    <t>BKI032210036244</t>
  </si>
  <si>
    <t>BKI032210036608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</si>
</sst>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9" fillId="0" borderId="4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304800</xdr:colOff>
      <xdr:row>70</xdr:row>
      <xdr:rowOff>106079</xdr:rowOff>
    </xdr:from>
    <xdr:to>
      <xdr:col>10</xdr:col>
      <xdr:colOff>285750</xdr:colOff>
      <xdr:row>76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93192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2" totalsRowShown="0" headerRowDxfId="642" dataDxfId="640" headerRowBorderDxfId="641">
  <tableColumns count="12">
    <tableColumn id="1" name="NOMOR" dataDxfId="639" dataCellStyle="Normal"/>
    <tableColumn id="3" name="TUJUAN" dataDxfId="638" dataCellStyle="Normal"/>
    <tableColumn id="16" name="Pick Up" dataDxfId="637"/>
    <tableColumn id="14" name="KAPAL" dataDxfId="636"/>
    <tableColumn id="15" name="ETD Kapal" dataDxfId="635"/>
    <tableColumn id="10" name="KETERANGAN" dataDxfId="634" dataCellStyle="Normal"/>
    <tableColumn id="5" name="P" dataDxfId="633" dataCellStyle="Normal"/>
    <tableColumn id="6" name="L" dataDxfId="632" dataCellStyle="Normal"/>
    <tableColumn id="7" name="T" dataDxfId="631" dataCellStyle="Normal"/>
    <tableColumn id="4" name="ACT KG" dataDxfId="630" dataCellStyle="Normal"/>
    <tableColumn id="8" name="KG VOLUME" dataDxfId="629" dataCellStyle="Normal"/>
    <tableColumn id="19" name="PEMBULATAN" dataDxfId="62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23" totalsRowShown="0" headerRowDxfId="480" dataDxfId="478" headerRowBorderDxfId="479">
  <tableColumns count="12">
    <tableColumn id="1" name="NOMOR" dataDxfId="477" dataCellStyle="Normal"/>
    <tableColumn id="3" name="TUJUAN" dataDxfId="476" dataCellStyle="Normal"/>
    <tableColumn id="16" name="Pick Up" dataDxfId="475"/>
    <tableColumn id="14" name="KAPAL" dataDxfId="474"/>
    <tableColumn id="15" name="ETD Kapal" dataDxfId="473"/>
    <tableColumn id="10" name="KETERANGAN" dataDxfId="472" dataCellStyle="Normal"/>
    <tableColumn id="5" name="P" dataDxfId="471" dataCellStyle="Normal"/>
    <tableColumn id="6" name="L" dataDxfId="470" dataCellStyle="Normal"/>
    <tableColumn id="7" name="T" dataDxfId="469" dataCellStyle="Normal"/>
    <tableColumn id="4" name="ACT KG" dataDxfId="468" dataCellStyle="Normal"/>
    <tableColumn id="8" name="KG VOLUME" dataDxfId="467" dataCellStyle="Normal"/>
    <tableColumn id="19" name="PEMBULATAN" dataDxfId="466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46" totalsRowShown="0" headerRowDxfId="462" dataDxfId="460" headerRowBorderDxfId="461">
  <tableColumns count="12">
    <tableColumn id="1" name="NOMOR" dataDxfId="459" dataCellStyle="Normal"/>
    <tableColumn id="3" name="TUJUAN" dataDxfId="458" dataCellStyle="Normal"/>
    <tableColumn id="16" name="Pick Up" dataDxfId="457"/>
    <tableColumn id="14" name="KAPAL" dataDxfId="456"/>
    <tableColumn id="15" name="ETD Kapal" dataDxfId="455"/>
    <tableColumn id="10" name="KETERANGAN" dataDxfId="454" dataCellStyle="Normal"/>
    <tableColumn id="5" name="P" dataDxfId="453" dataCellStyle="Normal"/>
    <tableColumn id="6" name="L" dataDxfId="452" dataCellStyle="Normal"/>
    <tableColumn id="7" name="T" dataDxfId="451" dataCellStyle="Normal"/>
    <tableColumn id="4" name="ACT KG" dataDxfId="450" dataCellStyle="Normal"/>
    <tableColumn id="8" name="KG VOLUME" dataDxfId="449" dataCellStyle="Normal"/>
    <tableColumn id="19" name="PEMBULATAN" dataDxfId="44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4" totalsRowShown="0" headerRowDxfId="445" dataDxfId="443" headerRowBorderDxfId="444">
  <tableColumns count="12">
    <tableColumn id="1" name="NOMOR" dataDxfId="442" dataCellStyle="Normal"/>
    <tableColumn id="3" name="TUJUAN" dataDxfId="441" dataCellStyle="Normal"/>
    <tableColumn id="16" name="Pick Up" dataDxfId="440"/>
    <tableColumn id="14" name="KAPAL" dataDxfId="439"/>
    <tableColumn id="15" name="ETD Kapal" dataDxfId="438"/>
    <tableColumn id="10" name="KETERANGAN" dataDxfId="437" dataCellStyle="Normal"/>
    <tableColumn id="5" name="P" dataDxfId="436" dataCellStyle="Normal"/>
    <tableColumn id="6" name="L" dataDxfId="435" dataCellStyle="Normal"/>
    <tableColumn id="7" name="T" dataDxfId="434" dataCellStyle="Normal"/>
    <tableColumn id="4" name="ACT KG" dataDxfId="433" dataCellStyle="Normal"/>
    <tableColumn id="8" name="KG VOLUME" dataDxfId="432" dataCellStyle="Normal"/>
    <tableColumn id="19" name="PEMBULATAN" dataDxfId="431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25" totalsRowShown="0" headerRowDxfId="427" dataDxfId="425" headerRowBorderDxfId="426">
  <tableColumns count="12">
    <tableColumn id="1" name="NOMOR" dataDxfId="424" dataCellStyle="Normal"/>
    <tableColumn id="3" name="TUJUAN" dataDxfId="423" dataCellStyle="Normal"/>
    <tableColumn id="16" name="Pick Up" dataDxfId="422"/>
    <tableColumn id="14" name="KAPAL" dataDxfId="421"/>
    <tableColumn id="15" name="ETD Kapal" dataDxfId="420"/>
    <tableColumn id="10" name="KETERANGAN" dataDxfId="419" dataCellStyle="Normal"/>
    <tableColumn id="5" name="P" dataDxfId="418" dataCellStyle="Normal"/>
    <tableColumn id="6" name="L" dataDxfId="417" dataCellStyle="Normal"/>
    <tableColumn id="7" name="T" dataDxfId="416" dataCellStyle="Normal"/>
    <tableColumn id="4" name="ACT KG" dataDxfId="415" dataCellStyle="Normal"/>
    <tableColumn id="8" name="KG VOLUME" dataDxfId="414" dataCellStyle="Normal"/>
    <tableColumn id="19" name="PEMBULATAN" dataDxfId="413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4" totalsRowShown="0" headerRowDxfId="409" dataDxfId="407" headerRowBorderDxfId="408">
  <tableColumns count="12">
    <tableColumn id="1" name="NOMOR" dataDxfId="406" dataCellStyle="Normal"/>
    <tableColumn id="3" name="TUJUAN" dataDxfId="405" dataCellStyle="Normal"/>
    <tableColumn id="16" name="Pick Up" dataDxfId="404"/>
    <tableColumn id="14" name="KAPAL" dataDxfId="403"/>
    <tableColumn id="15" name="ETD Kapal" dataDxfId="402"/>
    <tableColumn id="10" name="KETERANGAN" dataDxfId="401" dataCellStyle="Normal"/>
    <tableColumn id="5" name="P" dataDxfId="400" dataCellStyle="Normal"/>
    <tableColumn id="6" name="L" dataDxfId="399" dataCellStyle="Normal"/>
    <tableColumn id="7" name="T" dataDxfId="398" dataCellStyle="Normal"/>
    <tableColumn id="4" name="ACT KG" dataDxfId="397" dataCellStyle="Normal"/>
    <tableColumn id="8" name="KG VOLUME" dataDxfId="396" dataCellStyle="Normal"/>
    <tableColumn id="19" name="PEMBULATAN" dataDxfId="395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21" totalsRowShown="0" headerRowDxfId="391" dataDxfId="389" headerRowBorderDxfId="390">
  <tableColumns count="12">
    <tableColumn id="1" name="NOMOR" dataDxfId="388" dataCellStyle="Normal"/>
    <tableColumn id="3" name="TUJUAN" dataDxfId="387" dataCellStyle="Normal"/>
    <tableColumn id="16" name="Pick Up" dataDxfId="386"/>
    <tableColumn id="14" name="KAPAL" dataDxfId="385"/>
    <tableColumn id="15" name="ETD Kapal" dataDxfId="384"/>
    <tableColumn id="10" name="KETERANGAN" dataDxfId="383" dataCellStyle="Normal"/>
    <tableColumn id="5" name="P" dataDxfId="382" dataCellStyle="Normal"/>
    <tableColumn id="6" name="L" dataDxfId="381" dataCellStyle="Normal"/>
    <tableColumn id="7" name="T" dataDxfId="380" dataCellStyle="Normal"/>
    <tableColumn id="4" name="ACT KG" dataDxfId="379" dataCellStyle="Normal"/>
    <tableColumn id="8" name="KG VOLUME" dataDxfId="378" dataCellStyle="Normal"/>
    <tableColumn id="19" name="PEMBULATAN" dataDxfId="377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7" totalsRowShown="0" headerRowDxfId="373" dataDxfId="371" headerRowBorderDxfId="372">
  <tableColumns count="12">
    <tableColumn id="1" name="NOMOR" dataDxfId="370" dataCellStyle="Normal"/>
    <tableColumn id="3" name="TUJUAN" dataDxfId="369" dataCellStyle="Normal"/>
    <tableColumn id="16" name="Pick Up" dataDxfId="368"/>
    <tableColumn id="14" name="KAPAL" dataDxfId="367"/>
    <tableColumn id="15" name="ETD Kapal" dataDxfId="366"/>
    <tableColumn id="10" name="KETERANGAN" dataDxfId="365" dataCellStyle="Normal"/>
    <tableColumn id="5" name="P" dataDxfId="364" dataCellStyle="Normal"/>
    <tableColumn id="6" name="L" dataDxfId="363" dataCellStyle="Normal"/>
    <tableColumn id="7" name="T" dataDxfId="362" dataCellStyle="Normal"/>
    <tableColumn id="4" name="ACT KG" dataDxfId="361" dataCellStyle="Normal"/>
    <tableColumn id="8" name="KG VOLUME" dataDxfId="360" dataCellStyle="Normal"/>
    <tableColumn id="19" name="PEMBULATAN" dataDxfId="359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7" totalsRowShown="0" headerRowDxfId="355" dataDxfId="353" headerRowBorderDxfId="354">
  <tableColumns count="12">
    <tableColumn id="1" name="NOMOR" dataDxfId="352" dataCellStyle="Normal"/>
    <tableColumn id="3" name="TUJUAN" dataDxfId="351" dataCellStyle="Normal"/>
    <tableColumn id="16" name="Pick Up" dataDxfId="350"/>
    <tableColumn id="14" name="KAPAL" dataDxfId="349"/>
    <tableColumn id="15" name="ETD Kapal" dataDxfId="348"/>
    <tableColumn id="10" name="KETERANGAN" dataDxfId="347" dataCellStyle="Normal"/>
    <tableColumn id="5" name="P" dataDxfId="346" dataCellStyle="Normal"/>
    <tableColumn id="6" name="L" dataDxfId="345" dataCellStyle="Normal"/>
    <tableColumn id="7" name="T" dataDxfId="344" dataCellStyle="Normal"/>
    <tableColumn id="4" name="ACT KG" dataDxfId="343" dataCellStyle="Normal"/>
    <tableColumn id="8" name="KG VOLUME" dataDxfId="342" dataCellStyle="Normal"/>
    <tableColumn id="19" name="PEMBULATAN" dataDxfId="341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11" totalsRowShown="0" headerRowDxfId="337" dataDxfId="335" headerRowBorderDxfId="336">
  <tableColumns count="12">
    <tableColumn id="1" name="NOMOR" dataDxfId="334" dataCellStyle="Normal"/>
    <tableColumn id="3" name="TUJUAN" dataDxfId="333" dataCellStyle="Normal"/>
    <tableColumn id="16" name="Pick Up" dataDxfId="332"/>
    <tableColumn id="14" name="KAPAL" dataDxfId="331"/>
    <tableColumn id="15" name="ETD Kapal" dataDxfId="330"/>
    <tableColumn id="10" name="KETERANGAN" dataDxfId="329" dataCellStyle="Normal"/>
    <tableColumn id="5" name="P" dataDxfId="328" dataCellStyle="Normal"/>
    <tableColumn id="6" name="L" dataDxfId="327" dataCellStyle="Normal"/>
    <tableColumn id="7" name="T" dataDxfId="326" dataCellStyle="Normal"/>
    <tableColumn id="4" name="ACT KG" dataDxfId="325" dataCellStyle="Normal"/>
    <tableColumn id="8" name="KG VOLUME" dataDxfId="324" dataCellStyle="Normal"/>
    <tableColumn id="19" name="PEMBULATAN" dataDxfId="323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31" totalsRowShown="0" headerRowDxfId="319" dataDxfId="317" headerRowBorderDxfId="318">
  <tableColumns count="12">
    <tableColumn id="1" name="NOMOR" dataDxfId="316" dataCellStyle="Normal"/>
    <tableColumn id="3" name="TUJUAN" dataDxfId="315" dataCellStyle="Normal"/>
    <tableColumn id="16" name="Pick Up" dataDxfId="314"/>
    <tableColumn id="14" name="KAPAL" dataDxfId="313"/>
    <tableColumn id="15" name="ETD Kapal" dataDxfId="312"/>
    <tableColumn id="10" name="KETERANGAN" dataDxfId="311" dataCellStyle="Normal"/>
    <tableColumn id="5" name="P" dataDxfId="310" dataCellStyle="Normal"/>
    <tableColumn id="6" name="L" dataDxfId="309" dataCellStyle="Normal"/>
    <tableColumn id="7" name="T" dataDxfId="308" dataCellStyle="Normal"/>
    <tableColumn id="4" name="ACT KG" dataDxfId="307" dataCellStyle="Normal"/>
    <tableColumn id="8" name="KG VOLUME" dataDxfId="306" dataCellStyle="Normal"/>
    <tableColumn id="19" name="PEMBULATAN" dataDxfId="30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0" totalsRowShown="0" headerRowDxfId="624" dataDxfId="622" headerRowBorderDxfId="623">
  <tableColumns count="12">
    <tableColumn id="1" name="NOMOR" dataDxfId="621" dataCellStyle="Normal"/>
    <tableColumn id="3" name="TUJUAN" dataDxfId="620" dataCellStyle="Normal"/>
    <tableColumn id="16" name="Pick Up" dataDxfId="619"/>
    <tableColumn id="14" name="KAPAL" dataDxfId="618"/>
    <tableColumn id="15" name="ETD Kapal" dataDxfId="617"/>
    <tableColumn id="10" name="KETERANGAN" dataDxfId="616" dataCellStyle="Normal"/>
    <tableColumn id="5" name="P" dataDxfId="615" dataCellStyle="Normal"/>
    <tableColumn id="6" name="L" dataDxfId="614" dataCellStyle="Normal"/>
    <tableColumn id="7" name="T" dataDxfId="613" dataCellStyle="Normal"/>
    <tableColumn id="4" name="ACT KG" dataDxfId="612" dataCellStyle="Normal"/>
    <tableColumn id="8" name="KG VOLUME" dataDxfId="611" dataCellStyle="Normal"/>
    <tableColumn id="19" name="PEMBULATAN" dataDxfId="610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34" name="Table224578910112345678910111213141516171819202135" displayName="Table224578910112345678910111213141516171819202135" ref="C2:N54" totalsRowShown="0" headerRowDxfId="301" dataDxfId="299" headerRowBorderDxfId="300">
  <tableColumns count="12">
    <tableColumn id="1" name="NOMOR" dataDxfId="298" dataCellStyle="Normal"/>
    <tableColumn id="3" name="TUJUAN" dataDxfId="297" dataCellStyle="Normal"/>
    <tableColumn id="16" name="Pick Up" dataDxfId="296"/>
    <tableColumn id="14" name="KAPAL" dataDxfId="295"/>
    <tableColumn id="15" name="ETD Kapal" dataDxfId="294"/>
    <tableColumn id="10" name="KETERANGAN" dataDxfId="293" dataCellStyle="Normal"/>
    <tableColumn id="5" name="P" dataDxfId="292" dataCellStyle="Normal"/>
    <tableColumn id="6" name="L" dataDxfId="291" dataCellStyle="Normal"/>
    <tableColumn id="7" name="T" dataDxfId="290" dataCellStyle="Normal"/>
    <tableColumn id="4" name="ACT KG" dataDxfId="289" dataCellStyle="Normal"/>
    <tableColumn id="8" name="KG VOLUME" dataDxfId="288" dataCellStyle="Normal"/>
    <tableColumn id="19" name="PEMBULATAN" dataDxfId="287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9" name="Table22457891011234567891011121314151617181920" displayName="Table22457891011234567891011121314151617181920" ref="C2:N33" totalsRowShown="0" headerRowDxfId="283" dataDxfId="281" headerRowBorderDxfId="282">
  <tableColumns count="12">
    <tableColumn id="1" name="NOMOR" dataDxfId="280" dataCellStyle="Normal"/>
    <tableColumn id="3" name="TUJUAN" dataDxfId="279" dataCellStyle="Normal"/>
    <tableColumn id="16" name="Pick Up" dataDxfId="278"/>
    <tableColumn id="14" name="KAPAL" dataDxfId="277"/>
    <tableColumn id="15" name="ETD Kapal" dataDxfId="276"/>
    <tableColumn id="10" name="KETERANGAN" dataDxfId="275" dataCellStyle="Normal"/>
    <tableColumn id="5" name="P" dataDxfId="274" dataCellStyle="Normal"/>
    <tableColumn id="6" name="L" dataDxfId="273" dataCellStyle="Normal"/>
    <tableColumn id="7" name="T" dataDxfId="272" dataCellStyle="Normal"/>
    <tableColumn id="4" name="ACT KG" dataDxfId="271" dataCellStyle="Normal"/>
    <tableColumn id="8" name="KG VOLUME" dataDxfId="270" dataCellStyle="Normal"/>
    <tableColumn id="19" name="PEMBULATAN" dataDxfId="269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1" name="Table224578910112345678910111213141516171819202122" displayName="Table224578910112345678910111213141516171819202122" ref="C2:N33" totalsRowShown="0" headerRowDxfId="265" dataDxfId="263" headerRowBorderDxfId="264">
  <tableColumns count="12">
    <tableColumn id="1" name="NOMOR" dataDxfId="262" dataCellStyle="Normal"/>
    <tableColumn id="3" name="TUJUAN" dataDxfId="261" dataCellStyle="Normal"/>
    <tableColumn id="16" name="Pick Up" dataDxfId="260"/>
    <tableColumn id="14" name="KAPAL" dataDxfId="259"/>
    <tableColumn id="15" name="ETD Kapal" dataDxfId="258"/>
    <tableColumn id="10" name="KETERANGAN" dataDxfId="257" dataCellStyle="Normal"/>
    <tableColumn id="5" name="P" dataDxfId="256" dataCellStyle="Normal"/>
    <tableColumn id="6" name="L" dataDxfId="255" dataCellStyle="Normal"/>
    <tableColumn id="7" name="T" dataDxfId="254" dataCellStyle="Normal"/>
    <tableColumn id="4" name="ACT KG" dataDxfId="253" dataCellStyle="Normal"/>
    <tableColumn id="8" name="KG VOLUME" dataDxfId="252" dataCellStyle="Normal"/>
    <tableColumn id="19" name="PEMBULATAN" dataDxfId="251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2" name="Table22457891011234567891011121314151617181920212223" displayName="Table22457891011234567891011121314151617181920212223" ref="C2:N17" totalsRowShown="0" headerRowDxfId="247" dataDxfId="245" headerRowBorderDxfId="246">
  <tableColumns count="12">
    <tableColumn id="1" name="NOMOR" dataDxfId="244" dataCellStyle="Normal"/>
    <tableColumn id="3" name="TUJUAN" dataDxfId="243" dataCellStyle="Normal"/>
    <tableColumn id="16" name="Pick Up" dataDxfId="242"/>
    <tableColumn id="14" name="KAPAL" dataDxfId="241"/>
    <tableColumn id="15" name="ETD Kapal" dataDxfId="240"/>
    <tableColumn id="10" name="KETERANGAN" dataDxfId="239" dataCellStyle="Normal"/>
    <tableColumn id="5" name="P" dataDxfId="238" dataCellStyle="Normal"/>
    <tableColumn id="6" name="L" dataDxfId="237" dataCellStyle="Normal"/>
    <tableColumn id="7" name="T" dataDxfId="236" dataCellStyle="Normal"/>
    <tableColumn id="4" name="ACT KG" dataDxfId="235" dataCellStyle="Normal"/>
    <tableColumn id="8" name="KG VOLUME" dataDxfId="234" dataCellStyle="Normal"/>
    <tableColumn id="19" name="PEMBULATAN" dataDxfId="233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3" name="Table2245789101123456789101112131415161718192021222324" displayName="Table2245789101123456789101112131415161718192021222324" ref="C2:N25" totalsRowShown="0" headerRowDxfId="229" dataDxfId="227" headerRowBorderDxfId="228">
  <tableColumns count="12">
    <tableColumn id="1" name="NOMOR" dataDxfId="226" dataCellStyle="Normal"/>
    <tableColumn id="3" name="TUJUAN" dataDxfId="225" dataCellStyle="Normal"/>
    <tableColumn id="16" name="Pick Up" dataDxfId="224"/>
    <tableColumn id="14" name="KAPAL" dataDxfId="223"/>
    <tableColumn id="15" name="ETD Kapal" dataDxfId="222"/>
    <tableColumn id="10" name="KETERANGAN" dataDxfId="221" dataCellStyle="Normal"/>
    <tableColumn id="5" name="P" dataDxfId="220" dataCellStyle="Normal"/>
    <tableColumn id="6" name="L" dataDxfId="219" dataCellStyle="Normal"/>
    <tableColumn id="7" name="T" dataDxfId="218" dataCellStyle="Normal"/>
    <tableColumn id="4" name="ACT KG" dataDxfId="217" dataCellStyle="Normal"/>
    <tableColumn id="8" name="KG VOLUME" dataDxfId="216" dataCellStyle="Normal"/>
    <tableColumn id="19" name="PEMBULATAN" dataDxfId="21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4" name="Table224578910112345678910111213141516171819202122232425" displayName="Table224578910112345678910111213141516171819202122232425" ref="C2:N14" totalsRowShown="0" headerRowDxfId="211" dataDxfId="209" headerRowBorderDxfId="210">
  <tableColumns count="12">
    <tableColumn id="1" name="NOMOR" dataDxfId="208" dataCellStyle="Normal"/>
    <tableColumn id="3" name="TUJUAN" dataDxfId="207" dataCellStyle="Normal"/>
    <tableColumn id="16" name="Pick Up" dataDxfId="206"/>
    <tableColumn id="14" name="KAPAL" dataDxfId="205"/>
    <tableColumn id="15" name="ETD Kapal" dataDxfId="204"/>
    <tableColumn id="10" name="KETERANGAN" dataDxfId="203" dataCellStyle="Normal"/>
    <tableColumn id="5" name="P" dataDxfId="202" dataCellStyle="Normal"/>
    <tableColumn id="6" name="L" dataDxfId="201" dataCellStyle="Normal"/>
    <tableColumn id="7" name="T" dataDxfId="200" dataCellStyle="Normal"/>
    <tableColumn id="4" name="ACT KG" dataDxfId="199" dataCellStyle="Normal"/>
    <tableColumn id="8" name="KG VOLUME" dataDxfId="198" dataCellStyle="Normal"/>
    <tableColumn id="19" name="PEMBULATAN" dataDxfId="197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5" name="Table22457891011234567891011121314151617181920212223242526" displayName="Table22457891011234567891011121314151617181920212223242526" ref="C2:N23" totalsRowShown="0" headerRowDxfId="193" dataDxfId="191" headerRowBorderDxfId="192">
  <tableColumns count="12">
    <tableColumn id="1" name="NOMOR" dataDxfId="190" dataCellStyle="Normal"/>
    <tableColumn id="3" name="TUJUAN" dataDxfId="189" dataCellStyle="Normal"/>
    <tableColumn id="16" name="Pick Up" dataDxfId="188"/>
    <tableColumn id="14" name="KAPAL" dataDxfId="187"/>
    <tableColumn id="15" name="ETD Kapal" dataDxfId="186"/>
    <tableColumn id="10" name="KETERANGAN" dataDxfId="185" dataCellStyle="Normal"/>
    <tableColumn id="5" name="P" dataDxfId="184" dataCellStyle="Normal"/>
    <tableColumn id="6" name="L" dataDxfId="183" dataCellStyle="Normal"/>
    <tableColumn id="7" name="T" dataDxfId="182" dataCellStyle="Normal"/>
    <tableColumn id="4" name="ACT KG" dataDxfId="181" dataCellStyle="Normal"/>
    <tableColumn id="8" name="KG VOLUME" dataDxfId="180" dataCellStyle="Normal"/>
    <tableColumn id="19" name="PEMBULATAN" dataDxfId="179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6" name="Table2245789101123456789101112131415161718192021222324252627" displayName="Table2245789101123456789101112131415161718192021222324252627" ref="C2:N22" totalsRowShown="0" headerRowDxfId="175" dataDxfId="173" headerRowBorderDxfId="174">
  <tableColumns count="12">
    <tableColumn id="1" name="NOMOR" dataDxfId="172" dataCellStyle="Normal"/>
    <tableColumn id="3" name="TUJUAN" dataDxfId="171" dataCellStyle="Normal"/>
    <tableColumn id="16" name="Pick Up" dataDxfId="170"/>
    <tableColumn id="14" name="KAPAL" dataDxfId="169"/>
    <tableColumn id="15" name="ETD Kapal" dataDxfId="168"/>
    <tableColumn id="10" name="KETERANGAN" dataDxfId="167" dataCellStyle="Normal"/>
    <tableColumn id="5" name="P" dataDxfId="166" dataCellStyle="Normal"/>
    <tableColumn id="6" name="L" dataDxfId="165" dataCellStyle="Normal"/>
    <tableColumn id="7" name="T" dataDxfId="164" dataCellStyle="Normal"/>
    <tableColumn id="4" name="ACT KG" dataDxfId="163" dataCellStyle="Normal"/>
    <tableColumn id="8" name="KG VOLUME" dataDxfId="162" dataCellStyle="Normal"/>
    <tableColumn id="19" name="PEMBULATAN" dataDxfId="161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27" totalsRowShown="0" headerRowDxfId="157" dataDxfId="155" headerRowBorderDxfId="156">
  <tableColumns count="12">
    <tableColumn id="1" name="NOMOR" dataDxfId="154" dataCellStyle="Normal"/>
    <tableColumn id="3" name="TUJUAN" dataDxfId="153" dataCellStyle="Normal"/>
    <tableColumn id="16" name="Pick Up" dataDxfId="152"/>
    <tableColumn id="14" name="KAPAL" dataDxfId="151"/>
    <tableColumn id="15" name="ETD Kapal" dataDxfId="150"/>
    <tableColumn id="10" name="KETERANGAN" dataDxfId="149" dataCellStyle="Normal"/>
    <tableColumn id="5" name="P" dataDxfId="148" dataCellStyle="Normal"/>
    <tableColumn id="6" name="L" dataDxfId="147" dataCellStyle="Normal"/>
    <tableColumn id="7" name="T" dataDxfId="146" dataCellStyle="Normal"/>
    <tableColumn id="4" name="ACT KG" dataDxfId="145" dataCellStyle="Normal"/>
    <tableColumn id="8" name="KG VOLUME" dataDxfId="144" dataCellStyle="Normal"/>
    <tableColumn id="19" name="PEMBULATAN" dataDxfId="143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38" totalsRowShown="0" headerRowDxfId="139" dataDxfId="137" headerRowBorderDxfId="138">
  <tableColumns count="12">
    <tableColumn id="1" name="NOMOR" dataDxfId="136" dataCellStyle="Normal"/>
    <tableColumn id="3" name="TUJUAN" dataDxfId="135" dataCellStyle="Normal"/>
    <tableColumn id="16" name="Pick Up" dataDxfId="134"/>
    <tableColumn id="14" name="KAPAL" dataDxfId="133"/>
    <tableColumn id="15" name="ETD Kapal" dataDxfId="132"/>
    <tableColumn id="10" name="KETERANGAN" dataDxfId="131" dataCellStyle="Normal"/>
    <tableColumn id="5" name="P" dataDxfId="130" dataCellStyle="Normal"/>
    <tableColumn id="6" name="L" dataDxfId="129" dataCellStyle="Normal"/>
    <tableColumn id="7" name="T" dataDxfId="128" dataCellStyle="Normal"/>
    <tableColumn id="4" name="ACT KG" dataDxfId="127" dataCellStyle="Normal"/>
    <tableColumn id="8" name="KG VOLUME" dataDxfId="126" dataCellStyle="Normal"/>
    <tableColumn id="19" name="PEMBULATAN" dataDxfId="12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17" totalsRowShown="0" headerRowDxfId="606" dataDxfId="604" headerRowBorderDxfId="605">
  <tableColumns count="12">
    <tableColumn id="1" name="NOMOR" dataDxfId="603" dataCellStyle="Normal"/>
    <tableColumn id="3" name="TUJUAN" dataDxfId="602" dataCellStyle="Normal"/>
    <tableColumn id="16" name="Pick Up" dataDxfId="601"/>
    <tableColumn id="14" name="KAPAL" dataDxfId="600"/>
    <tableColumn id="15" name="ETD Kapal" dataDxfId="599"/>
    <tableColumn id="10" name="KETERANGAN" dataDxfId="598" dataCellStyle="Normal"/>
    <tableColumn id="5" name="P" dataDxfId="597" dataCellStyle="Normal"/>
    <tableColumn id="6" name="L" dataDxfId="596" dataCellStyle="Normal"/>
    <tableColumn id="7" name="T" dataDxfId="595" dataCellStyle="Normal"/>
    <tableColumn id="4" name="ACT KG" dataDxfId="594" dataCellStyle="Normal"/>
    <tableColumn id="8" name="KG VOLUME" dataDxfId="593" dataCellStyle="Normal"/>
    <tableColumn id="19" name="PEMBULATAN" dataDxfId="592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2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15" totalsRowShown="0" headerRowDxfId="103" dataDxfId="101" headerRowBorderDxfId="102">
  <tableColumns count="12">
    <tableColumn id="1" name="NOMOR" dataDxfId="100" dataCellStyle="Normal"/>
    <tableColumn id="3" name="TUJUAN" dataDxfId="99" dataCellStyle="Normal"/>
    <tableColumn id="16" name="Pick Up" dataDxfId="98"/>
    <tableColumn id="14" name="KAPAL" dataDxfId="97"/>
    <tableColumn id="15" name="ETD Kapal" dataDxfId="96"/>
    <tableColumn id="10" name="KETERANGAN" dataDxfId="95" dataCellStyle="Normal"/>
    <tableColumn id="5" name="P" dataDxfId="94" dataCellStyle="Normal"/>
    <tableColumn id="6" name="L" dataDxfId="93" dataCellStyle="Normal"/>
    <tableColumn id="7" name="T" dataDxfId="92" dataCellStyle="Normal"/>
    <tableColumn id="4" name="ACT KG" dataDxfId="91" dataCellStyle="Normal"/>
    <tableColumn id="8" name="KG VOLUME" dataDxfId="90" dataCellStyle="Normal"/>
    <tableColumn id="19" name="PEMBULATAN" dataDxfId="89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14" totalsRowShown="0" headerRowDxfId="85" dataDxfId="83" headerRowBorderDxfId="84"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30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18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7891011234567891011121314151617181920212223242526272829303132333436" displayName="Table22457891011234567891011121314151617181920212223242526272829303132333436" ref="C2:N40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3637" displayName="Table2245789101123456789101112131415161718192021222324252627282930313233343637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0" totalsRowShown="0" headerRowDxfId="588" dataDxfId="586" headerRowBorderDxfId="587">
  <tableColumns count="12">
    <tableColumn id="1" name="NOMOR" dataDxfId="585" dataCellStyle="Normal"/>
    <tableColumn id="3" name="TUJUAN" dataDxfId="584" dataCellStyle="Normal"/>
    <tableColumn id="16" name="Pick Up" dataDxfId="583"/>
    <tableColumn id="14" name="KAPAL" dataDxfId="582"/>
    <tableColumn id="15" name="ETD Kapal" dataDxfId="581"/>
    <tableColumn id="10" name="KETERANGAN" dataDxfId="580" dataCellStyle="Normal"/>
    <tableColumn id="5" name="P" dataDxfId="579" dataCellStyle="Normal"/>
    <tableColumn id="6" name="L" dataDxfId="578" dataCellStyle="Normal"/>
    <tableColumn id="7" name="T" dataDxfId="577" dataCellStyle="Normal"/>
    <tableColumn id="4" name="ACT KG" dataDxfId="576" dataCellStyle="Normal"/>
    <tableColumn id="8" name="KG VOLUME" dataDxfId="575" dataCellStyle="Normal"/>
    <tableColumn id="19" name="PEMBULATAN" dataDxfId="57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21" totalsRowShown="0" headerRowDxfId="570" dataDxfId="568" headerRowBorderDxfId="569">
  <tableColumns count="12">
    <tableColumn id="1" name="NOMOR" dataDxfId="567" dataCellStyle="Normal"/>
    <tableColumn id="3" name="TUJUAN" dataDxfId="566" dataCellStyle="Normal"/>
    <tableColumn id="16" name="Pick Up" dataDxfId="565"/>
    <tableColumn id="14" name="KAPAL" dataDxfId="564"/>
    <tableColumn id="15" name="ETD Kapal" dataDxfId="563"/>
    <tableColumn id="10" name="KETERANGAN" dataDxfId="562" dataCellStyle="Normal"/>
    <tableColumn id="5" name="P" dataDxfId="561" dataCellStyle="Normal"/>
    <tableColumn id="6" name="L" dataDxfId="560" dataCellStyle="Normal"/>
    <tableColumn id="7" name="T" dataDxfId="559" dataCellStyle="Normal"/>
    <tableColumn id="4" name="ACT KG" dataDxfId="558" dataCellStyle="Normal"/>
    <tableColumn id="8" name="KG VOLUME" dataDxfId="557" dataCellStyle="Normal"/>
    <tableColumn id="19" name="PEMBULATAN" dataDxfId="556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26" totalsRowShown="0" headerRowDxfId="552" dataDxfId="550" headerRowBorderDxfId="551">
  <tableColumns count="12">
    <tableColumn id="1" name="NOMOR" dataDxfId="549" dataCellStyle="Normal"/>
    <tableColumn id="3" name="TUJUAN" dataDxfId="548" dataCellStyle="Normal"/>
    <tableColumn id="16" name="Pick Up" dataDxfId="547"/>
    <tableColumn id="14" name="KAPAL" dataDxfId="546"/>
    <tableColumn id="15" name="ETD Kapal" dataDxfId="545"/>
    <tableColumn id="10" name="KETERANGAN" dataDxfId="544" dataCellStyle="Normal"/>
    <tableColumn id="5" name="P" dataDxfId="543" dataCellStyle="Normal"/>
    <tableColumn id="6" name="L" dataDxfId="542" dataCellStyle="Normal"/>
    <tableColumn id="7" name="T" dataDxfId="541" dataCellStyle="Normal"/>
    <tableColumn id="4" name="ACT KG" dataDxfId="540" dataCellStyle="Normal"/>
    <tableColumn id="8" name="KG VOLUME" dataDxfId="539" dataCellStyle="Normal"/>
    <tableColumn id="19" name="PEMBULATAN" dataDxfId="53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16" totalsRowShown="0" headerRowDxfId="534" dataDxfId="532" headerRowBorderDxfId="533">
  <tableColumns count="12">
    <tableColumn id="1" name="NOMOR" dataDxfId="531" dataCellStyle="Normal"/>
    <tableColumn id="3" name="TUJUAN" dataDxfId="530" dataCellStyle="Normal"/>
    <tableColumn id="16" name="Pick Up" dataDxfId="529"/>
    <tableColumn id="14" name="KAPAL" dataDxfId="528"/>
    <tableColumn id="15" name="ETD Kapal" dataDxfId="527"/>
    <tableColumn id="10" name="KETERANGAN" dataDxfId="526" dataCellStyle="Normal"/>
    <tableColumn id="5" name="P" dataDxfId="525" dataCellStyle="Normal"/>
    <tableColumn id="6" name="L" dataDxfId="524" dataCellStyle="Normal"/>
    <tableColumn id="7" name="T" dataDxfId="523" dataCellStyle="Normal"/>
    <tableColumn id="4" name="ACT KG" dataDxfId="522" dataCellStyle="Normal"/>
    <tableColumn id="8" name="KG VOLUME" dataDxfId="521" dataCellStyle="Normal"/>
    <tableColumn id="19" name="PEMBULATAN" dataDxfId="52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8" totalsRowShown="0" headerRowDxfId="516" dataDxfId="514" headerRowBorderDxfId="515">
  <tableColumns count="12">
    <tableColumn id="1" name="NOMOR" dataDxfId="513" dataCellStyle="Normal"/>
    <tableColumn id="3" name="TUJUAN" dataDxfId="512" dataCellStyle="Normal"/>
    <tableColumn id="16" name="Pick Up" dataDxfId="511"/>
    <tableColumn id="14" name="KAPAL" dataDxfId="510"/>
    <tableColumn id="15" name="ETD Kapal" dataDxfId="509"/>
    <tableColumn id="10" name="KETERANGAN" dataDxfId="508" dataCellStyle="Normal"/>
    <tableColumn id="5" name="P" dataDxfId="507" dataCellStyle="Normal"/>
    <tableColumn id="6" name="L" dataDxfId="506" dataCellStyle="Normal"/>
    <tableColumn id="7" name="T" dataDxfId="505" dataCellStyle="Normal"/>
    <tableColumn id="4" name="ACT KG" dataDxfId="504" dataCellStyle="Normal"/>
    <tableColumn id="8" name="KG VOLUME" dataDxfId="503" dataCellStyle="Normal"/>
    <tableColumn id="19" name="PEMBULATAN" dataDxfId="502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31" totalsRowShown="0" headerRowDxfId="498" dataDxfId="496" headerRowBorderDxfId="497">
  <tableColumns count="12">
    <tableColumn id="1" name="NOMOR" dataDxfId="495" dataCellStyle="Normal"/>
    <tableColumn id="3" name="TUJUAN" dataDxfId="494" dataCellStyle="Normal"/>
    <tableColumn id="16" name="Pick Up" dataDxfId="493"/>
    <tableColumn id="14" name="KAPAL" dataDxfId="492"/>
    <tableColumn id="15" name="ETD Kapal" dataDxfId="491"/>
    <tableColumn id="10" name="KETERANGAN" dataDxfId="490" dataCellStyle="Normal"/>
    <tableColumn id="5" name="P" dataDxfId="489" dataCellStyle="Normal"/>
    <tableColumn id="6" name="L" dataDxfId="488" dataCellStyle="Normal"/>
    <tableColumn id="7" name="T" dataDxfId="487" dataCellStyle="Normal"/>
    <tableColumn id="4" name="ACT KG" dataDxfId="486" dataCellStyle="Normal"/>
    <tableColumn id="8" name="KG VOLUME" dataDxfId="485" dataCellStyle="Normal"/>
    <tableColumn id="19" name="PEMBULATAN" dataDxfId="48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8"/>
  <sheetViews>
    <sheetView tabSelected="1" topLeftCell="A31" workbookViewId="0">
      <selection activeCell="G33" sqref="G33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21" t="s">
        <v>14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2" spans="1:10" x14ac:dyDescent="0.25">
      <c r="A12" s="18" t="s">
        <v>15</v>
      </c>
      <c r="B12" s="18" t="s">
        <v>16</v>
      </c>
      <c r="G12" s="129" t="s">
        <v>49</v>
      </c>
      <c r="H12" s="129"/>
      <c r="I12" s="23" t="s">
        <v>17</v>
      </c>
      <c r="J12" s="24" t="s">
        <v>57</v>
      </c>
    </row>
    <row r="13" spans="1:10" x14ac:dyDescent="0.25">
      <c r="G13" s="129" t="s">
        <v>18</v>
      </c>
      <c r="H13" s="129"/>
      <c r="I13" s="23" t="s">
        <v>17</v>
      </c>
      <c r="J13" s="25" t="s">
        <v>935</v>
      </c>
    </row>
    <row r="14" spans="1:10" x14ac:dyDescent="0.25">
      <c r="G14" s="129" t="s">
        <v>51</v>
      </c>
      <c r="H14" s="129"/>
      <c r="I14" s="23" t="s">
        <v>17</v>
      </c>
      <c r="J14" s="18" t="s">
        <v>50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936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24" t="s">
        <v>28</v>
      </c>
      <c r="I17" s="125"/>
      <c r="J17" s="29" t="s">
        <v>29</v>
      </c>
    </row>
    <row r="18" spans="1:12" ht="48" customHeight="1" x14ac:dyDescent="0.25">
      <c r="A18" s="30">
        <v>1</v>
      </c>
      <c r="B18" s="31">
        <f>BKI032210036228!E3</f>
        <v>44440</v>
      </c>
      <c r="C18" s="85" t="str">
        <f>BKI032210036228!A3</f>
        <v>BKI032210036228</v>
      </c>
      <c r="D18" s="32" t="s">
        <v>933</v>
      </c>
      <c r="E18" s="32" t="s">
        <v>934</v>
      </c>
      <c r="F18" s="33">
        <v>30</v>
      </c>
      <c r="G18" s="34">
        <f>BKI032210036228!N33</f>
        <v>558</v>
      </c>
      <c r="H18" s="126">
        <v>7000</v>
      </c>
      <c r="I18" s="127"/>
      <c r="J18" s="35">
        <f>G18*H18</f>
        <v>3906000</v>
      </c>
      <c r="L18"/>
    </row>
    <row r="19" spans="1:12" ht="48" customHeight="1" x14ac:dyDescent="0.25">
      <c r="A19" s="30">
        <f>A18+1</f>
        <v>2</v>
      </c>
      <c r="B19" s="31">
        <f>BKI032210036236!E3</f>
        <v>44440</v>
      </c>
      <c r="C19" s="85" t="str">
        <f>BKI032210036236!A3</f>
        <v>BKI032210036236</v>
      </c>
      <c r="D19" s="32" t="s">
        <v>933</v>
      </c>
      <c r="E19" s="32" t="s">
        <v>934</v>
      </c>
      <c r="F19" s="33">
        <v>8</v>
      </c>
      <c r="G19" s="33">
        <f>BKI032210036236!N11</f>
        <v>141</v>
      </c>
      <c r="H19" s="126">
        <v>7000</v>
      </c>
      <c r="I19" s="127"/>
      <c r="J19" s="35">
        <f t="shared" ref="J19:J47" si="0">G19*H19</f>
        <v>987000</v>
      </c>
      <c r="L19"/>
    </row>
    <row r="20" spans="1:12" ht="48" customHeight="1" x14ac:dyDescent="0.25">
      <c r="A20" s="30">
        <f t="shared" ref="A20:A50" si="1">A19+1</f>
        <v>3</v>
      </c>
      <c r="B20" s="31">
        <f>BKI032210036244!E3</f>
        <v>44441</v>
      </c>
      <c r="C20" s="85" t="str">
        <f>BKI032210036244!A3</f>
        <v>BKI032210036244</v>
      </c>
      <c r="D20" s="32" t="s">
        <v>933</v>
      </c>
      <c r="E20" s="32" t="s">
        <v>934</v>
      </c>
      <c r="F20" s="33">
        <v>15</v>
      </c>
      <c r="G20" s="33">
        <f>BKI032210036244!N18</f>
        <v>329</v>
      </c>
      <c r="H20" s="126">
        <v>7000</v>
      </c>
      <c r="I20" s="127"/>
      <c r="J20" s="35">
        <f t="shared" si="0"/>
        <v>2303000</v>
      </c>
      <c r="L20"/>
    </row>
    <row r="21" spans="1:12" ht="48" customHeight="1" x14ac:dyDescent="0.25">
      <c r="A21" s="30">
        <f t="shared" si="1"/>
        <v>4</v>
      </c>
      <c r="B21" s="31">
        <f>BKI032210036251!E3</f>
        <v>44441</v>
      </c>
      <c r="C21" s="85" t="str">
        <f>BKI032210036251!A3</f>
        <v>BKI032210036251</v>
      </c>
      <c r="D21" s="32" t="s">
        <v>933</v>
      </c>
      <c r="E21" s="32" t="s">
        <v>934</v>
      </c>
      <c r="F21" s="33">
        <v>28</v>
      </c>
      <c r="G21" s="33">
        <f>BKI032210036251!N31</f>
        <v>441</v>
      </c>
      <c r="H21" s="126">
        <v>7000</v>
      </c>
      <c r="I21" s="127"/>
      <c r="J21" s="35">
        <f>G21*H21</f>
        <v>3087000</v>
      </c>
      <c r="L21"/>
    </row>
    <row r="22" spans="1:12" ht="48" customHeight="1" x14ac:dyDescent="0.25">
      <c r="A22" s="30">
        <f t="shared" si="1"/>
        <v>5</v>
      </c>
      <c r="B22" s="31">
        <f>BKI032210036269!E3</f>
        <v>44442</v>
      </c>
      <c r="C22" s="85" t="str">
        <f>BKI032210036269!A3</f>
        <v>BKI032210036269</v>
      </c>
      <c r="D22" s="32" t="s">
        <v>933</v>
      </c>
      <c r="E22" s="32" t="s">
        <v>934</v>
      </c>
      <c r="F22" s="33">
        <v>19</v>
      </c>
      <c r="G22" s="33">
        <f>BKI032210036269!N22</f>
        <v>436</v>
      </c>
      <c r="H22" s="126">
        <v>7000</v>
      </c>
      <c r="I22" s="127"/>
      <c r="J22" s="35">
        <f>G22*H22</f>
        <v>3052000</v>
      </c>
      <c r="L22"/>
    </row>
    <row r="23" spans="1:12" ht="48" customHeight="1" x14ac:dyDescent="0.25">
      <c r="A23" s="30">
        <f t="shared" si="1"/>
        <v>6</v>
      </c>
      <c r="B23" s="31">
        <f>BKI032210036277!E3</f>
        <v>44443</v>
      </c>
      <c r="C23" s="85" t="str">
        <f>BKI032210036277!A3</f>
        <v>BKI032210036277</v>
      </c>
      <c r="D23" s="32" t="s">
        <v>933</v>
      </c>
      <c r="E23" s="32" t="s">
        <v>934</v>
      </c>
      <c r="F23" s="33">
        <v>24</v>
      </c>
      <c r="G23" s="33">
        <f>BKI032210036277!N27</f>
        <v>453</v>
      </c>
      <c r="H23" s="126">
        <v>7000</v>
      </c>
      <c r="I23" s="127"/>
      <c r="J23" s="35">
        <f>G23*H23</f>
        <v>3171000</v>
      </c>
      <c r="L23"/>
    </row>
    <row r="24" spans="1:12" ht="48" customHeight="1" x14ac:dyDescent="0.25">
      <c r="A24" s="30">
        <f t="shared" si="1"/>
        <v>7</v>
      </c>
      <c r="B24" s="31">
        <f>BKI032210036285!E3</f>
        <v>44444</v>
      </c>
      <c r="C24" s="85" t="str">
        <f>BKI032210036285!A3</f>
        <v>BKI032210036285</v>
      </c>
      <c r="D24" s="32" t="s">
        <v>933</v>
      </c>
      <c r="E24" s="32" t="s">
        <v>934</v>
      </c>
      <c r="F24" s="33">
        <v>14</v>
      </c>
      <c r="G24" s="33">
        <f>BKI032210036285!N17</f>
        <v>433</v>
      </c>
      <c r="H24" s="126">
        <v>7000</v>
      </c>
      <c r="I24" s="127"/>
      <c r="J24" s="35">
        <f t="shared" si="0"/>
        <v>3031000</v>
      </c>
      <c r="L24"/>
    </row>
    <row r="25" spans="1:12" ht="48" customHeight="1" x14ac:dyDescent="0.25">
      <c r="A25" s="30">
        <f t="shared" si="1"/>
        <v>8</v>
      </c>
      <c r="B25" s="31">
        <f>BKI032210036293!E3</f>
        <v>44445</v>
      </c>
      <c r="C25" s="85" t="str">
        <f>BKI032210036293!A3</f>
        <v>BKI032210036293</v>
      </c>
      <c r="D25" s="32" t="s">
        <v>933</v>
      </c>
      <c r="E25" s="32" t="s">
        <v>934</v>
      </c>
      <c r="F25" s="33">
        <v>6</v>
      </c>
      <c r="G25" s="33">
        <f>BKI032210036293!N9</f>
        <v>104</v>
      </c>
      <c r="H25" s="126">
        <v>7000</v>
      </c>
      <c r="I25" s="127"/>
      <c r="J25" s="35">
        <f t="shared" si="0"/>
        <v>728000</v>
      </c>
      <c r="L25"/>
    </row>
    <row r="26" spans="1:12" ht="48" customHeight="1" x14ac:dyDescent="0.25">
      <c r="A26" s="30">
        <f t="shared" si="1"/>
        <v>9</v>
      </c>
      <c r="B26" s="31">
        <f>BKI032210036301!E3</f>
        <v>44446</v>
      </c>
      <c r="C26" s="85" t="str">
        <f>BKI032210036301!A3</f>
        <v>BKI032210036301</v>
      </c>
      <c r="D26" s="32" t="s">
        <v>933</v>
      </c>
      <c r="E26" s="32" t="s">
        <v>934</v>
      </c>
      <c r="F26" s="33">
        <v>29</v>
      </c>
      <c r="G26" s="33">
        <f>BKI032210036301!N32</f>
        <v>438</v>
      </c>
      <c r="H26" s="126">
        <v>7000</v>
      </c>
      <c r="I26" s="127"/>
      <c r="J26" s="35">
        <f t="shared" si="0"/>
        <v>3066000</v>
      </c>
      <c r="L26"/>
    </row>
    <row r="27" spans="1:12" ht="48" customHeight="1" x14ac:dyDescent="0.25">
      <c r="A27" s="30">
        <f t="shared" si="1"/>
        <v>10</v>
      </c>
      <c r="B27" s="31">
        <f>BKI032210036319!E3</f>
        <v>44447</v>
      </c>
      <c r="C27" s="85" t="str">
        <f>BKI032210036319!A3</f>
        <v>BKI032210036319</v>
      </c>
      <c r="D27" s="32" t="s">
        <v>933</v>
      </c>
      <c r="E27" s="32" t="s">
        <v>934</v>
      </c>
      <c r="F27" s="33">
        <v>21</v>
      </c>
      <c r="G27" s="33">
        <f>BKI032210036319!N24</f>
        <v>584</v>
      </c>
      <c r="H27" s="126">
        <v>7000</v>
      </c>
      <c r="I27" s="127"/>
      <c r="J27" s="35">
        <f t="shared" si="0"/>
        <v>4088000</v>
      </c>
      <c r="L27"/>
    </row>
    <row r="28" spans="1:12" ht="48" customHeight="1" x14ac:dyDescent="0.25">
      <c r="A28" s="30">
        <f t="shared" si="1"/>
        <v>11</v>
      </c>
      <c r="B28" s="31">
        <f>BKI032210036327!E3</f>
        <v>44448</v>
      </c>
      <c r="C28" s="85" t="str">
        <f>BKI032210036327!A3</f>
        <v>BKI032210036327</v>
      </c>
      <c r="D28" s="32" t="s">
        <v>933</v>
      </c>
      <c r="E28" s="32" t="s">
        <v>934</v>
      </c>
      <c r="F28" s="33">
        <v>44</v>
      </c>
      <c r="G28" s="33">
        <f>BKI032210036327!N47</f>
        <v>846</v>
      </c>
      <c r="H28" s="126">
        <v>7000</v>
      </c>
      <c r="I28" s="127"/>
      <c r="J28" s="35">
        <f t="shared" si="0"/>
        <v>5922000</v>
      </c>
      <c r="L28"/>
    </row>
    <row r="29" spans="1:12" ht="48" customHeight="1" x14ac:dyDescent="0.25">
      <c r="A29" s="30">
        <f t="shared" si="1"/>
        <v>12</v>
      </c>
      <c r="B29" s="31">
        <f>BKI032210036335!E3</f>
        <v>44448</v>
      </c>
      <c r="C29" s="85" t="str">
        <f>BKI032210036335!A3</f>
        <v>BKI032210036335</v>
      </c>
      <c r="D29" s="32" t="s">
        <v>933</v>
      </c>
      <c r="E29" s="32" t="s">
        <v>934</v>
      </c>
      <c r="F29" s="33">
        <v>2</v>
      </c>
      <c r="G29" s="33">
        <f>BKI032210036335!N5</f>
        <v>50</v>
      </c>
      <c r="H29" s="126">
        <v>7000</v>
      </c>
      <c r="I29" s="127"/>
      <c r="J29" s="35">
        <f t="shared" ref="J29:J46" si="2">G29*H29</f>
        <v>350000</v>
      </c>
      <c r="L29"/>
    </row>
    <row r="30" spans="1:12" ht="48" customHeight="1" x14ac:dyDescent="0.25">
      <c r="A30" s="30">
        <f t="shared" si="1"/>
        <v>13</v>
      </c>
      <c r="B30" s="31">
        <f>BKI032210036343!E3</f>
        <v>44449</v>
      </c>
      <c r="C30" s="85" t="str">
        <f>BKI032210036343!A3</f>
        <v>BKI032210036343</v>
      </c>
      <c r="D30" s="32" t="s">
        <v>933</v>
      </c>
      <c r="E30" s="32" t="s">
        <v>934</v>
      </c>
      <c r="F30" s="33">
        <v>23</v>
      </c>
      <c r="G30" s="33">
        <f>BKI032210036343!N26</f>
        <v>412</v>
      </c>
      <c r="H30" s="126">
        <v>7000</v>
      </c>
      <c r="I30" s="127"/>
      <c r="J30" s="35">
        <f t="shared" si="2"/>
        <v>2884000</v>
      </c>
      <c r="L30"/>
    </row>
    <row r="31" spans="1:12" ht="48" customHeight="1" x14ac:dyDescent="0.25">
      <c r="A31" s="30">
        <f t="shared" si="1"/>
        <v>14</v>
      </c>
      <c r="B31" s="31">
        <f>BKI032210036350!E3</f>
        <v>44449</v>
      </c>
      <c r="C31" s="85" t="str">
        <f>BKI032210036350!A3</f>
        <v>BKI032210036350</v>
      </c>
      <c r="D31" s="32" t="s">
        <v>933</v>
      </c>
      <c r="E31" s="32" t="s">
        <v>934</v>
      </c>
      <c r="F31" s="33">
        <v>12</v>
      </c>
      <c r="G31" s="33">
        <f>BKI032210036350!N15</f>
        <v>359</v>
      </c>
      <c r="H31" s="126">
        <v>7000</v>
      </c>
      <c r="I31" s="127"/>
      <c r="J31" s="35">
        <f t="shared" si="2"/>
        <v>2513000</v>
      </c>
      <c r="L31"/>
    </row>
    <row r="32" spans="1:12" ht="48" customHeight="1" x14ac:dyDescent="0.25">
      <c r="A32" s="30">
        <f t="shared" si="1"/>
        <v>15</v>
      </c>
      <c r="B32" s="31">
        <f>BKI032210036368!E3</f>
        <v>44450</v>
      </c>
      <c r="C32" s="85" t="str">
        <f>BKI032210036368!A3</f>
        <v>BKI032210036368</v>
      </c>
      <c r="D32" s="32" t="s">
        <v>933</v>
      </c>
      <c r="E32" s="32" t="s">
        <v>934</v>
      </c>
      <c r="F32" s="33">
        <v>19</v>
      </c>
      <c r="G32" s="33">
        <f>BKI032210036368!N22</f>
        <v>355</v>
      </c>
      <c r="H32" s="126">
        <v>7000</v>
      </c>
      <c r="I32" s="127"/>
      <c r="J32" s="35">
        <f t="shared" si="2"/>
        <v>2485000</v>
      </c>
      <c r="L32"/>
    </row>
    <row r="33" spans="1:12" ht="48" customHeight="1" x14ac:dyDescent="0.25">
      <c r="A33" s="30">
        <f t="shared" si="1"/>
        <v>16</v>
      </c>
      <c r="B33" s="31">
        <f>BKI032210036376!E3</f>
        <v>44451</v>
      </c>
      <c r="C33" s="85" t="str">
        <f>BKI032210036376!A3</f>
        <v>BKI032210036376</v>
      </c>
      <c r="D33" s="32" t="s">
        <v>933</v>
      </c>
      <c r="E33" s="32" t="s">
        <v>934</v>
      </c>
      <c r="F33" s="33">
        <v>5</v>
      </c>
      <c r="G33" s="33">
        <f>BKI032210036376!N8</f>
        <v>78</v>
      </c>
      <c r="H33" s="126">
        <v>7000</v>
      </c>
      <c r="I33" s="127"/>
      <c r="J33" s="35">
        <f t="shared" si="2"/>
        <v>546000</v>
      </c>
      <c r="L33"/>
    </row>
    <row r="34" spans="1:12" ht="48" customHeight="1" x14ac:dyDescent="0.25">
      <c r="A34" s="30">
        <f t="shared" si="1"/>
        <v>17</v>
      </c>
      <c r="B34" s="31">
        <f>BKI032210036384!E3</f>
        <v>44451</v>
      </c>
      <c r="C34" s="85" t="str">
        <f>BKI032210036384!A3</f>
        <v>BKI032210036384</v>
      </c>
      <c r="D34" s="32" t="s">
        <v>933</v>
      </c>
      <c r="E34" s="32" t="s">
        <v>934</v>
      </c>
      <c r="F34" s="33">
        <v>5</v>
      </c>
      <c r="G34" s="33">
        <f>BKI032210036384!N8</f>
        <v>106</v>
      </c>
      <c r="H34" s="126">
        <v>7000</v>
      </c>
      <c r="I34" s="127"/>
      <c r="J34" s="35">
        <f t="shared" si="2"/>
        <v>742000</v>
      </c>
      <c r="L34"/>
    </row>
    <row r="35" spans="1:12" ht="48" customHeight="1" x14ac:dyDescent="0.25">
      <c r="A35" s="30">
        <f t="shared" si="1"/>
        <v>18</v>
      </c>
      <c r="B35" s="31">
        <f>BKI032210036392!E3</f>
        <v>44452</v>
      </c>
      <c r="C35" s="85" t="str">
        <f>BKI032210036392!A3</f>
        <v>BKI032210036392</v>
      </c>
      <c r="D35" s="32" t="s">
        <v>933</v>
      </c>
      <c r="E35" s="32" t="s">
        <v>934</v>
      </c>
      <c r="F35" s="33">
        <v>9</v>
      </c>
      <c r="G35" s="33">
        <f>BKI032210036392!N12</f>
        <v>220</v>
      </c>
      <c r="H35" s="126">
        <v>7000</v>
      </c>
      <c r="I35" s="127"/>
      <c r="J35" s="35">
        <f t="shared" si="2"/>
        <v>1540000</v>
      </c>
      <c r="L35"/>
    </row>
    <row r="36" spans="1:12" ht="48" customHeight="1" x14ac:dyDescent="0.25">
      <c r="A36" s="30">
        <f t="shared" si="1"/>
        <v>19</v>
      </c>
      <c r="B36" s="31">
        <f>BKI032210036624!E3</f>
        <v>44453</v>
      </c>
      <c r="C36" s="85" t="str">
        <f>BKI032210036624!A3</f>
        <v>BKI032210036624</v>
      </c>
      <c r="D36" s="32" t="s">
        <v>933</v>
      </c>
      <c r="E36" s="32" t="s">
        <v>934</v>
      </c>
      <c r="F36" s="33">
        <v>29</v>
      </c>
      <c r="G36" s="117">
        <f>BKI032210036624!N32</f>
        <v>467</v>
      </c>
      <c r="H36" s="126">
        <v>7000</v>
      </c>
      <c r="I36" s="127"/>
      <c r="J36" s="35">
        <f>G36*H36</f>
        <v>3269000</v>
      </c>
      <c r="L36"/>
    </row>
    <row r="37" spans="1:12" ht="48" customHeight="1" x14ac:dyDescent="0.25">
      <c r="A37" s="30">
        <f t="shared" si="1"/>
        <v>20</v>
      </c>
      <c r="B37" s="31">
        <f>BKI032210036426!E3</f>
        <v>44454</v>
      </c>
      <c r="C37" s="85" t="str">
        <f>BKI032210036426!A3</f>
        <v>BKI032210036426</v>
      </c>
      <c r="D37" s="32" t="s">
        <v>933</v>
      </c>
      <c r="E37" s="32" t="s">
        <v>934</v>
      </c>
      <c r="F37" s="33">
        <v>52</v>
      </c>
      <c r="G37" s="33">
        <f>BKI032210036426!N55</f>
        <v>688</v>
      </c>
      <c r="H37" s="126">
        <v>7000</v>
      </c>
      <c r="I37" s="127"/>
      <c r="J37" s="35">
        <f t="shared" ref="J37:J38" si="3">G37*H37</f>
        <v>4816000</v>
      </c>
      <c r="L37"/>
    </row>
    <row r="38" spans="1:12" ht="48" customHeight="1" x14ac:dyDescent="0.25">
      <c r="A38" s="30">
        <f t="shared" si="1"/>
        <v>21</v>
      </c>
      <c r="B38" s="31">
        <f>BKI032210036434!E3</f>
        <v>44455</v>
      </c>
      <c r="C38" s="85" t="str">
        <f>BKI032210036434!A3</f>
        <v>BKI032210036434</v>
      </c>
      <c r="D38" s="32" t="s">
        <v>933</v>
      </c>
      <c r="E38" s="32" t="s">
        <v>934</v>
      </c>
      <c r="F38" s="33">
        <v>31</v>
      </c>
      <c r="G38" s="117">
        <f>BKI032210036434!N34</f>
        <v>541</v>
      </c>
      <c r="H38" s="126">
        <v>7000</v>
      </c>
      <c r="I38" s="127"/>
      <c r="J38" s="35">
        <f t="shared" si="3"/>
        <v>3787000</v>
      </c>
      <c r="L38"/>
    </row>
    <row r="39" spans="1:12" ht="48" customHeight="1" x14ac:dyDescent="0.25">
      <c r="A39" s="30">
        <f t="shared" si="1"/>
        <v>22</v>
      </c>
      <c r="B39" s="31">
        <f>BKI032210036400!E3</f>
        <v>44456</v>
      </c>
      <c r="C39" s="85" t="str">
        <f>BKI032210036400!A3</f>
        <v>BKI032210036400</v>
      </c>
      <c r="D39" s="32" t="s">
        <v>933</v>
      </c>
      <c r="E39" s="32" t="s">
        <v>934</v>
      </c>
      <c r="F39" s="33">
        <v>31</v>
      </c>
      <c r="G39" s="33">
        <f>BKI032210036400!N34</f>
        <v>983</v>
      </c>
      <c r="H39" s="126">
        <v>7000</v>
      </c>
      <c r="I39" s="127"/>
      <c r="J39" s="35">
        <f t="shared" si="2"/>
        <v>6881000</v>
      </c>
      <c r="L39"/>
    </row>
    <row r="40" spans="1:12" ht="48" customHeight="1" x14ac:dyDescent="0.25">
      <c r="A40" s="30">
        <f t="shared" si="1"/>
        <v>23</v>
      </c>
      <c r="B40" s="31">
        <f>BKI032210036442!E3</f>
        <v>44457</v>
      </c>
      <c r="C40" s="85" t="str">
        <f>BKI032210036442!A3</f>
        <v>BKI032210036442</v>
      </c>
      <c r="D40" s="32" t="s">
        <v>933</v>
      </c>
      <c r="E40" s="32" t="s">
        <v>934</v>
      </c>
      <c r="F40" s="33">
        <v>15</v>
      </c>
      <c r="G40" s="33">
        <f>BKI032210036442!N18</f>
        <v>327</v>
      </c>
      <c r="H40" s="126">
        <v>7000</v>
      </c>
      <c r="I40" s="127"/>
      <c r="J40" s="35">
        <f t="shared" si="2"/>
        <v>2289000</v>
      </c>
      <c r="L40"/>
    </row>
    <row r="41" spans="1:12" ht="48" customHeight="1" x14ac:dyDescent="0.25">
      <c r="A41" s="30">
        <f t="shared" si="1"/>
        <v>24</v>
      </c>
      <c r="B41" s="31">
        <f>BKI032210036459!E3</f>
        <v>44458</v>
      </c>
      <c r="C41" s="85" t="str">
        <f>BKI032210036459!A3</f>
        <v>BKI032210036459</v>
      </c>
      <c r="D41" s="32" t="s">
        <v>933</v>
      </c>
      <c r="E41" s="32" t="s">
        <v>934</v>
      </c>
      <c r="F41" s="33">
        <v>23</v>
      </c>
      <c r="G41" s="33">
        <f>BKI032210036459!N26</f>
        <v>367</v>
      </c>
      <c r="H41" s="126">
        <v>7000</v>
      </c>
      <c r="I41" s="127"/>
      <c r="J41" s="35">
        <f t="shared" si="2"/>
        <v>2569000</v>
      </c>
      <c r="L41"/>
    </row>
    <row r="42" spans="1:12" ht="48" customHeight="1" x14ac:dyDescent="0.25">
      <c r="A42" s="30">
        <f t="shared" si="1"/>
        <v>25</v>
      </c>
      <c r="B42" s="31">
        <f>BKI032210036475!E3</f>
        <v>44459</v>
      </c>
      <c r="C42" s="85" t="str">
        <f>BKI032210036475!A3</f>
        <v>BKI032210036475</v>
      </c>
      <c r="D42" s="32" t="s">
        <v>933</v>
      </c>
      <c r="E42" s="32" t="s">
        <v>934</v>
      </c>
      <c r="F42" s="33">
        <v>12</v>
      </c>
      <c r="G42" s="33">
        <f>BKI032210036475!N15</f>
        <v>290</v>
      </c>
      <c r="H42" s="126">
        <v>7000</v>
      </c>
      <c r="I42" s="127"/>
      <c r="J42" s="35">
        <f t="shared" si="2"/>
        <v>2030000</v>
      </c>
      <c r="L42"/>
    </row>
    <row r="43" spans="1:12" ht="48" customHeight="1" x14ac:dyDescent="0.25">
      <c r="A43" s="30">
        <f t="shared" si="1"/>
        <v>26</v>
      </c>
      <c r="B43" s="31">
        <f>BKI032210036483!E3</f>
        <v>44460</v>
      </c>
      <c r="C43" s="85" t="str">
        <f>BKI032210036483!A3</f>
        <v>BKI032210036483</v>
      </c>
      <c r="D43" s="32" t="s">
        <v>933</v>
      </c>
      <c r="E43" s="32" t="s">
        <v>934</v>
      </c>
      <c r="F43" s="33">
        <v>21</v>
      </c>
      <c r="G43" s="33">
        <f>BKI032210036483!N24</f>
        <v>390</v>
      </c>
      <c r="H43" s="126">
        <v>7000</v>
      </c>
      <c r="I43" s="127"/>
      <c r="J43" s="35">
        <f t="shared" si="2"/>
        <v>2730000</v>
      </c>
      <c r="L43"/>
    </row>
    <row r="44" spans="1:12" ht="48" customHeight="1" x14ac:dyDescent="0.25">
      <c r="A44" s="30">
        <f t="shared" si="1"/>
        <v>27</v>
      </c>
      <c r="B44" s="31">
        <f>BKI032210036491!E3</f>
        <v>44461</v>
      </c>
      <c r="C44" s="85" t="str">
        <f>BKI032210036491!A3</f>
        <v>BKI032210036491</v>
      </c>
      <c r="D44" s="32" t="s">
        <v>933</v>
      </c>
      <c r="E44" s="32" t="s">
        <v>934</v>
      </c>
      <c r="F44" s="33">
        <v>20</v>
      </c>
      <c r="G44" s="33">
        <f>BKI032210036491!N23</f>
        <v>392</v>
      </c>
      <c r="H44" s="126">
        <v>7000</v>
      </c>
      <c r="I44" s="127"/>
      <c r="J44" s="35">
        <f t="shared" si="2"/>
        <v>2744000</v>
      </c>
      <c r="L44"/>
    </row>
    <row r="45" spans="1:12" ht="48" customHeight="1" x14ac:dyDescent="0.25">
      <c r="A45" s="30">
        <f t="shared" si="1"/>
        <v>28</v>
      </c>
      <c r="B45" s="31">
        <f>BKI032210036517!E3</f>
        <v>44462</v>
      </c>
      <c r="C45" s="85" t="str">
        <f>BKI032210036517!A3</f>
        <v>BKI032210036517</v>
      </c>
      <c r="D45" s="32" t="s">
        <v>933</v>
      </c>
      <c r="E45" s="32" t="s">
        <v>934</v>
      </c>
      <c r="F45" s="33">
        <v>25</v>
      </c>
      <c r="G45" s="33">
        <f>BKI032210036517!N28</f>
        <v>538</v>
      </c>
      <c r="H45" s="126">
        <v>7000</v>
      </c>
      <c r="I45" s="127"/>
      <c r="J45" s="35">
        <f t="shared" si="2"/>
        <v>3766000</v>
      </c>
      <c r="L45"/>
    </row>
    <row r="46" spans="1:12" ht="48" customHeight="1" x14ac:dyDescent="0.25">
      <c r="A46" s="30">
        <f t="shared" si="1"/>
        <v>29</v>
      </c>
      <c r="B46" s="31">
        <f>BKI032210036525!E3</f>
        <v>44463</v>
      </c>
      <c r="C46" s="85" t="str">
        <f>BKI032210036525!A3</f>
        <v>BKI032210036525</v>
      </c>
      <c r="D46" s="32" t="s">
        <v>933</v>
      </c>
      <c r="E46" s="32" t="s">
        <v>934</v>
      </c>
      <c r="F46" s="33">
        <v>36</v>
      </c>
      <c r="G46" s="33">
        <f>BKI032210036525!N39</f>
        <v>482</v>
      </c>
      <c r="H46" s="126">
        <v>7000</v>
      </c>
      <c r="I46" s="127"/>
      <c r="J46" s="35">
        <f t="shared" si="2"/>
        <v>3374000</v>
      </c>
      <c r="L46"/>
    </row>
    <row r="47" spans="1:12" ht="48" customHeight="1" x14ac:dyDescent="0.25">
      <c r="A47" s="30">
        <f t="shared" si="1"/>
        <v>30</v>
      </c>
      <c r="B47" s="31">
        <f>BKI032210036541!E3</f>
        <v>44464</v>
      </c>
      <c r="C47" s="85" t="str">
        <f>BKI032210036541!A3</f>
        <v>BKI032210036541</v>
      </c>
      <c r="D47" s="32" t="s">
        <v>933</v>
      </c>
      <c r="E47" s="32" t="s">
        <v>934</v>
      </c>
      <c r="F47" s="33">
        <v>20</v>
      </c>
      <c r="G47" s="33">
        <f>BKI032210036541!N23</f>
        <v>483.97500000000002</v>
      </c>
      <c r="H47" s="126">
        <v>7000</v>
      </c>
      <c r="I47" s="127"/>
      <c r="J47" s="35">
        <f t="shared" si="0"/>
        <v>3387825</v>
      </c>
      <c r="L47"/>
    </row>
    <row r="48" spans="1:12" ht="48" customHeight="1" x14ac:dyDescent="0.25">
      <c r="A48" s="30">
        <f t="shared" si="1"/>
        <v>31</v>
      </c>
      <c r="B48" s="31">
        <f>BKI032210036558!E3</f>
        <v>44465</v>
      </c>
      <c r="C48" s="85" t="str">
        <f>BKI032210036558!A3</f>
        <v>BKI032210036558</v>
      </c>
      <c r="D48" s="32" t="s">
        <v>933</v>
      </c>
      <c r="E48" s="32" t="s">
        <v>934</v>
      </c>
      <c r="F48" s="33">
        <v>13</v>
      </c>
      <c r="G48" s="116">
        <f>BKI032210036558!N16</f>
        <v>307.72849999999994</v>
      </c>
      <c r="H48" s="126">
        <v>7000</v>
      </c>
      <c r="I48" s="127"/>
      <c r="J48" s="35">
        <f t="shared" ref="J48:J50" si="4">G48*H48</f>
        <v>2154099.4999999995</v>
      </c>
      <c r="L48"/>
    </row>
    <row r="49" spans="1:12" ht="48" customHeight="1" x14ac:dyDescent="0.25">
      <c r="A49" s="30">
        <f t="shared" si="1"/>
        <v>32</v>
      </c>
      <c r="B49" s="31">
        <f>BKI032210036566!E3</f>
        <v>44466</v>
      </c>
      <c r="C49" s="85" t="str">
        <f>BKI032210036566!A3</f>
        <v>BKI032210036566</v>
      </c>
      <c r="D49" s="32" t="s">
        <v>933</v>
      </c>
      <c r="E49" s="32" t="s">
        <v>934</v>
      </c>
      <c r="F49" s="33">
        <v>12</v>
      </c>
      <c r="G49" s="116">
        <f>BKI032210036566!N15</f>
        <v>226.58449999999999</v>
      </c>
      <c r="H49" s="126">
        <v>7000</v>
      </c>
      <c r="I49" s="127"/>
      <c r="J49" s="35">
        <f t="shared" si="4"/>
        <v>1586091.5</v>
      </c>
      <c r="L49"/>
    </row>
    <row r="50" spans="1:12" ht="48" customHeight="1" x14ac:dyDescent="0.25">
      <c r="A50" s="30">
        <f t="shared" si="1"/>
        <v>33</v>
      </c>
      <c r="B50" s="31">
        <f>BKI032210036574!E3</f>
        <v>44467</v>
      </c>
      <c r="C50" s="85" t="str">
        <f>BKI032210036574!A3</f>
        <v>BKI032210036574</v>
      </c>
      <c r="D50" s="32" t="s">
        <v>933</v>
      </c>
      <c r="E50" s="32" t="s">
        <v>934</v>
      </c>
      <c r="F50" s="33">
        <v>28</v>
      </c>
      <c r="G50" s="33">
        <f>BKI032210036574!N31</f>
        <v>526</v>
      </c>
      <c r="H50" s="126">
        <v>7000</v>
      </c>
      <c r="I50" s="127"/>
      <c r="J50" s="35">
        <f t="shared" si="4"/>
        <v>3682000</v>
      </c>
      <c r="L50"/>
    </row>
    <row r="51" spans="1:12" ht="48" customHeight="1" x14ac:dyDescent="0.25">
      <c r="A51" s="30">
        <f>A50+1</f>
        <v>34</v>
      </c>
      <c r="B51" s="31">
        <f>BKI032210036582!E3</f>
        <v>44468</v>
      </c>
      <c r="C51" s="85" t="str">
        <f>BKI032210036582!A3</f>
        <v>BKI032210036582</v>
      </c>
      <c r="D51" s="32" t="s">
        <v>933</v>
      </c>
      <c r="E51" s="32" t="s">
        <v>934</v>
      </c>
      <c r="F51" s="33">
        <v>16</v>
      </c>
      <c r="G51" s="33">
        <f>BKI032210036582!N19</f>
        <v>277</v>
      </c>
      <c r="H51" s="126">
        <v>7000</v>
      </c>
      <c r="I51" s="127"/>
      <c r="J51" s="35">
        <f>G51*H51</f>
        <v>1939000</v>
      </c>
      <c r="L51"/>
    </row>
    <row r="52" spans="1:12" ht="48" customHeight="1" x14ac:dyDescent="0.25">
      <c r="A52" s="30">
        <f t="shared" ref="A52:A53" si="5">A51+1</f>
        <v>35</v>
      </c>
      <c r="B52" s="31">
        <f>BKI032210036590!E3</f>
        <v>44469</v>
      </c>
      <c r="C52" s="85" t="str">
        <f>BKI032210036590!A3</f>
        <v>BKI032210036590</v>
      </c>
      <c r="D52" s="32" t="s">
        <v>933</v>
      </c>
      <c r="E52" s="32" t="s">
        <v>934</v>
      </c>
      <c r="F52" s="33">
        <v>38</v>
      </c>
      <c r="G52" s="33">
        <f>BKI032210036590!N41</f>
        <v>563</v>
      </c>
      <c r="H52" s="126">
        <v>7000</v>
      </c>
      <c r="I52" s="127"/>
      <c r="J52" s="35">
        <f t="shared" ref="J52:J53" si="6">G52*H52</f>
        <v>3941000</v>
      </c>
      <c r="L52"/>
    </row>
    <row r="53" spans="1:12" ht="48" customHeight="1" x14ac:dyDescent="0.25">
      <c r="A53" s="30">
        <f t="shared" si="5"/>
        <v>36</v>
      </c>
      <c r="B53" s="31">
        <f>BKI032210036608!E3</f>
        <v>44469</v>
      </c>
      <c r="C53" s="85" t="str">
        <f>BKI032210036608!A3</f>
        <v>BKI032210036608</v>
      </c>
      <c r="D53" s="32" t="s">
        <v>933</v>
      </c>
      <c r="E53" s="32" t="s">
        <v>934</v>
      </c>
      <c r="F53" s="33">
        <v>2</v>
      </c>
      <c r="G53" s="33">
        <f>BKI032210036608!N5</f>
        <v>49</v>
      </c>
      <c r="H53" s="126">
        <v>7000</v>
      </c>
      <c r="I53" s="127"/>
      <c r="J53" s="35">
        <f t="shared" si="6"/>
        <v>343000</v>
      </c>
      <c r="L53"/>
    </row>
    <row r="54" spans="1:12" ht="32.25" customHeight="1" thickBot="1" x14ac:dyDescent="0.3">
      <c r="A54" s="132" t="s">
        <v>30</v>
      </c>
      <c r="B54" s="133"/>
      <c r="C54" s="133"/>
      <c r="D54" s="133"/>
      <c r="E54" s="133"/>
      <c r="F54" s="133"/>
      <c r="G54" s="133"/>
      <c r="H54" s="133"/>
      <c r="I54" s="134"/>
      <c r="J54" s="36">
        <f>SUM(J18:J53)</f>
        <v>99689016</v>
      </c>
      <c r="L54" s="83"/>
    </row>
    <row r="55" spans="1:12" x14ac:dyDescent="0.25">
      <c r="A55" s="135"/>
      <c r="B55" s="135"/>
      <c r="C55" s="37"/>
      <c r="D55" s="37"/>
      <c r="E55" s="37"/>
      <c r="F55" s="37"/>
      <c r="G55" s="37"/>
      <c r="H55" s="38"/>
      <c r="I55" s="38"/>
      <c r="J55" s="39"/>
    </row>
    <row r="56" spans="1:12" x14ac:dyDescent="0.25">
      <c r="A56" s="86"/>
      <c r="B56" s="86"/>
      <c r="C56" s="86"/>
      <c r="D56" s="86"/>
      <c r="E56" s="86"/>
      <c r="F56" s="86"/>
      <c r="G56" s="40" t="s">
        <v>52</v>
      </c>
      <c r="H56" s="40"/>
      <c r="I56" s="38"/>
      <c r="J56" s="39">
        <v>0</v>
      </c>
      <c r="L56" s="41"/>
    </row>
    <row r="57" spans="1:12" x14ac:dyDescent="0.25">
      <c r="A57" s="86"/>
      <c r="B57" s="86"/>
      <c r="C57" s="86"/>
      <c r="D57" s="86"/>
      <c r="E57" s="86"/>
      <c r="F57" s="86"/>
      <c r="G57" s="93" t="s">
        <v>53</v>
      </c>
      <c r="H57" s="93"/>
      <c r="I57" s="94"/>
      <c r="J57" s="96">
        <f>J54-J56</f>
        <v>99689016</v>
      </c>
      <c r="L57" s="41"/>
    </row>
    <row r="58" spans="1:12" x14ac:dyDescent="0.25">
      <c r="A58" s="86"/>
      <c r="B58" s="86"/>
      <c r="C58" s="86"/>
      <c r="D58" s="86"/>
      <c r="E58" s="86"/>
      <c r="F58" s="86"/>
      <c r="G58" s="40" t="s">
        <v>31</v>
      </c>
      <c r="H58" s="40"/>
      <c r="I58" s="41" t="e">
        <f>#REF!*1%</f>
        <v>#REF!</v>
      </c>
      <c r="J58" s="39">
        <f>J57*1%</f>
        <v>996890.16</v>
      </c>
    </row>
    <row r="59" spans="1:12" ht="16.5" thickBot="1" x14ac:dyDescent="0.3">
      <c r="A59" s="86"/>
      <c r="B59" s="86"/>
      <c r="C59" s="86"/>
      <c r="D59" s="86"/>
      <c r="E59" s="86"/>
      <c r="F59" s="86"/>
      <c r="G59" s="95" t="s">
        <v>55</v>
      </c>
      <c r="H59" s="95"/>
      <c r="I59" s="42">
        <f>I55*10%</f>
        <v>0</v>
      </c>
      <c r="J59" s="42">
        <f>J57*2%</f>
        <v>1993780.32</v>
      </c>
    </row>
    <row r="60" spans="1:12" x14ac:dyDescent="0.25">
      <c r="E60" s="17"/>
      <c r="F60" s="17"/>
      <c r="G60" s="43" t="s">
        <v>56</v>
      </c>
      <c r="H60" s="43"/>
      <c r="I60" s="44" t="e">
        <f>I54+I58</f>
        <v>#REF!</v>
      </c>
      <c r="J60" s="44">
        <f>J57+J58-J59</f>
        <v>98692125.840000004</v>
      </c>
    </row>
    <row r="61" spans="1:12" x14ac:dyDescent="0.25">
      <c r="E61" s="17"/>
      <c r="F61" s="17"/>
      <c r="G61" s="43"/>
      <c r="H61" s="43"/>
      <c r="I61" s="44"/>
      <c r="J61" s="44"/>
    </row>
    <row r="62" spans="1:12" x14ac:dyDescent="0.25">
      <c r="A62" s="17" t="s">
        <v>898</v>
      </c>
      <c r="D62" s="17"/>
      <c r="E62" s="17"/>
      <c r="F62" s="17"/>
      <c r="G62" s="17"/>
      <c r="H62" s="43"/>
      <c r="I62" s="43"/>
      <c r="J62" s="44"/>
    </row>
    <row r="63" spans="1:12" x14ac:dyDescent="0.25">
      <c r="A63" s="45"/>
      <c r="D63" s="17"/>
      <c r="E63" s="17"/>
      <c r="F63" s="17"/>
      <c r="G63" s="17"/>
      <c r="H63" s="43"/>
      <c r="I63" s="43"/>
      <c r="J63" s="44"/>
    </row>
    <row r="64" spans="1:12" x14ac:dyDescent="0.25">
      <c r="D64" s="17"/>
      <c r="E64" s="17"/>
      <c r="F64" s="17"/>
      <c r="G64" s="17"/>
      <c r="H64" s="43"/>
      <c r="I64" s="43"/>
      <c r="J64" s="44"/>
    </row>
    <row r="65" spans="1:10" x14ac:dyDescent="0.25">
      <c r="A65" s="46" t="s">
        <v>33</v>
      </c>
    </row>
    <row r="66" spans="1:10" x14ac:dyDescent="0.25">
      <c r="A66" s="47" t="s">
        <v>34</v>
      </c>
      <c r="B66" s="48"/>
      <c r="C66" s="48"/>
      <c r="D66" s="49"/>
      <c r="E66" s="49"/>
      <c r="F66" s="49"/>
      <c r="G66" s="49"/>
    </row>
    <row r="67" spans="1:10" x14ac:dyDescent="0.25">
      <c r="A67" s="47" t="s">
        <v>35</v>
      </c>
      <c r="B67" s="48"/>
      <c r="C67" s="48"/>
      <c r="D67" s="49"/>
      <c r="E67" s="49"/>
      <c r="F67" s="49"/>
      <c r="G67" s="49"/>
    </row>
    <row r="68" spans="1:10" x14ac:dyDescent="0.25">
      <c r="A68" s="50" t="s">
        <v>36</v>
      </c>
      <c r="B68" s="51"/>
      <c r="C68" s="51"/>
      <c r="D68" s="49"/>
      <c r="E68" s="49"/>
      <c r="F68" s="49"/>
      <c r="G68" s="49"/>
    </row>
    <row r="69" spans="1:10" x14ac:dyDescent="0.25">
      <c r="A69" s="52" t="s">
        <v>8</v>
      </c>
      <c r="B69" s="53"/>
      <c r="C69" s="53"/>
      <c r="D69" s="49"/>
      <c r="E69" s="49"/>
      <c r="F69" s="49"/>
      <c r="G69" s="49"/>
    </row>
    <row r="70" spans="1:10" x14ac:dyDescent="0.25">
      <c r="A70" s="54"/>
      <c r="B70" s="54"/>
      <c r="C70" s="54"/>
    </row>
    <row r="71" spans="1:10" x14ac:dyDescent="0.25">
      <c r="H71" s="55" t="s">
        <v>37</v>
      </c>
      <c r="I71" s="130" t="str">
        <f>+J13</f>
        <v xml:space="preserve"> 11 Oktober 21</v>
      </c>
      <c r="J71" s="131"/>
    </row>
    <row r="75" spans="1:10" ht="18" customHeight="1" x14ac:dyDescent="0.25"/>
    <row r="76" spans="1:10" ht="17.25" customHeight="1" x14ac:dyDescent="0.25"/>
    <row r="78" spans="1:10" x14ac:dyDescent="0.25">
      <c r="H78" s="128" t="s">
        <v>38</v>
      </c>
      <c r="I78" s="128"/>
      <c r="J78" s="128"/>
    </row>
  </sheetData>
  <mergeCells count="45">
    <mergeCell ref="I71:J71"/>
    <mergeCell ref="H44:I44"/>
    <mergeCell ref="H45:I45"/>
    <mergeCell ref="H46:I46"/>
    <mergeCell ref="H48:I48"/>
    <mergeCell ref="H49:I49"/>
    <mergeCell ref="H50:I50"/>
    <mergeCell ref="H51:I51"/>
    <mergeCell ref="A54:I54"/>
    <mergeCell ref="A55:B55"/>
    <mergeCell ref="H52:I52"/>
    <mergeCell ref="H53:I53"/>
    <mergeCell ref="H47:I47"/>
    <mergeCell ref="H78:J78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8:I38"/>
    <mergeCell ref="H36:I36"/>
    <mergeCell ref="H40:I40"/>
    <mergeCell ref="H39:I39"/>
    <mergeCell ref="H41:I41"/>
    <mergeCell ref="H42:I42"/>
    <mergeCell ref="H43:I43"/>
    <mergeCell ref="H37:I37"/>
    <mergeCell ref="A10:J10"/>
    <mergeCell ref="H17:I17"/>
    <mergeCell ref="H18:I18"/>
    <mergeCell ref="H25:I25"/>
    <mergeCell ref="H28:I28"/>
    <mergeCell ref="H19:I19"/>
    <mergeCell ref="H20:I20"/>
    <mergeCell ref="H22:I22"/>
    <mergeCell ref="H21:I21"/>
    <mergeCell ref="H23:I23"/>
    <mergeCell ref="H24:I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907</v>
      </c>
      <c r="B3" s="98" t="s">
        <v>224</v>
      </c>
      <c r="C3" s="1" t="s">
        <v>225</v>
      </c>
      <c r="D3" s="77" t="s">
        <v>90</v>
      </c>
      <c r="E3" s="13">
        <v>44446</v>
      </c>
      <c r="F3" s="77" t="s">
        <v>91</v>
      </c>
      <c r="G3" s="13">
        <v>44450</v>
      </c>
      <c r="H3" s="99" t="s">
        <v>223</v>
      </c>
      <c r="I3" s="1">
        <v>56</v>
      </c>
      <c r="J3" s="1">
        <v>32</v>
      </c>
      <c r="K3" s="1">
        <v>38</v>
      </c>
      <c r="L3" s="1">
        <v>15</v>
      </c>
      <c r="M3" s="81">
        <v>17.024000000000001</v>
      </c>
      <c r="N3" s="8">
        <v>17</v>
      </c>
      <c r="O3" s="65">
        <v>7000</v>
      </c>
      <c r="P3" s="66">
        <f>Table224578910112345678910[[#This Row],[PEMBULATAN]]*O3</f>
        <v>119000</v>
      </c>
    </row>
    <row r="4" spans="1:16" ht="26.25" customHeight="1" x14ac:dyDescent="0.2">
      <c r="A4" s="100"/>
      <c r="B4" s="100"/>
      <c r="C4" s="1" t="s">
        <v>226</v>
      </c>
      <c r="D4" s="77" t="s">
        <v>90</v>
      </c>
      <c r="E4" s="13">
        <v>44446</v>
      </c>
      <c r="F4" s="77" t="s">
        <v>91</v>
      </c>
      <c r="G4" s="13">
        <v>44450</v>
      </c>
      <c r="H4" s="99" t="s">
        <v>223</v>
      </c>
      <c r="I4" s="1">
        <v>44</v>
      </c>
      <c r="J4" s="1">
        <v>40</v>
      </c>
      <c r="K4" s="1">
        <v>15</v>
      </c>
      <c r="L4" s="1">
        <v>7</v>
      </c>
      <c r="M4" s="81">
        <v>6.6</v>
      </c>
      <c r="N4" s="8">
        <v>7</v>
      </c>
      <c r="O4" s="65">
        <v>7000</v>
      </c>
      <c r="P4" s="66">
        <f>Table224578910112345678910[[#This Row],[PEMBULATAN]]*O4</f>
        <v>49000</v>
      </c>
    </row>
    <row r="5" spans="1:16" ht="26.25" customHeight="1" x14ac:dyDescent="0.2">
      <c r="A5" s="100"/>
      <c r="B5" s="100"/>
      <c r="C5" s="1" t="s">
        <v>227</v>
      </c>
      <c r="D5" s="77" t="s">
        <v>90</v>
      </c>
      <c r="E5" s="13">
        <v>44446</v>
      </c>
      <c r="F5" s="77" t="s">
        <v>91</v>
      </c>
      <c r="G5" s="13">
        <v>44450</v>
      </c>
      <c r="H5" s="99" t="s">
        <v>223</v>
      </c>
      <c r="I5" s="1">
        <v>123</v>
      </c>
      <c r="J5" s="1">
        <v>48</v>
      </c>
      <c r="K5" s="1">
        <v>40</v>
      </c>
      <c r="L5" s="1">
        <v>12</v>
      </c>
      <c r="M5" s="81">
        <v>59.04</v>
      </c>
      <c r="N5" s="8">
        <v>59</v>
      </c>
      <c r="O5" s="65">
        <v>7000</v>
      </c>
      <c r="P5" s="66">
        <f>Table224578910112345678910[[#This Row],[PEMBULATAN]]*O5</f>
        <v>413000</v>
      </c>
    </row>
    <row r="6" spans="1:16" ht="26.25" customHeight="1" x14ac:dyDescent="0.2">
      <c r="A6" s="100"/>
      <c r="B6" s="100"/>
      <c r="C6" s="16" t="s">
        <v>228</v>
      </c>
      <c r="D6" s="79" t="s">
        <v>90</v>
      </c>
      <c r="E6" s="13">
        <v>44446</v>
      </c>
      <c r="F6" s="77" t="s">
        <v>91</v>
      </c>
      <c r="G6" s="13">
        <v>44450</v>
      </c>
      <c r="H6" s="101" t="s">
        <v>223</v>
      </c>
      <c r="I6" s="16">
        <v>94</v>
      </c>
      <c r="J6" s="16">
        <v>46</v>
      </c>
      <c r="K6" s="16">
        <v>31</v>
      </c>
      <c r="L6" s="16">
        <v>27</v>
      </c>
      <c r="M6" s="82">
        <v>33.511000000000003</v>
      </c>
      <c r="N6" s="73">
        <v>34</v>
      </c>
      <c r="O6" s="65">
        <v>7000</v>
      </c>
      <c r="P6" s="66">
        <f>Table224578910112345678910[[#This Row],[PEMBULATAN]]*O6</f>
        <v>238000</v>
      </c>
    </row>
    <row r="7" spans="1:16" ht="26.25" customHeight="1" x14ac:dyDescent="0.2">
      <c r="A7" s="100"/>
      <c r="B7" s="100"/>
      <c r="C7" s="16" t="s">
        <v>229</v>
      </c>
      <c r="D7" s="79" t="s">
        <v>90</v>
      </c>
      <c r="E7" s="13">
        <v>44446</v>
      </c>
      <c r="F7" s="77" t="s">
        <v>91</v>
      </c>
      <c r="G7" s="13">
        <v>44450</v>
      </c>
      <c r="H7" s="101" t="s">
        <v>223</v>
      </c>
      <c r="I7" s="16">
        <v>63</v>
      </c>
      <c r="J7" s="16">
        <v>54</v>
      </c>
      <c r="K7" s="16">
        <v>20</v>
      </c>
      <c r="L7" s="16">
        <v>13</v>
      </c>
      <c r="M7" s="82">
        <v>17.010000000000002</v>
      </c>
      <c r="N7" s="73">
        <v>17</v>
      </c>
      <c r="O7" s="65">
        <v>7000</v>
      </c>
      <c r="P7" s="66">
        <f>Table224578910112345678910[[#This Row],[PEMBULATAN]]*O7</f>
        <v>119000</v>
      </c>
    </row>
    <row r="8" spans="1:16" ht="26.25" customHeight="1" x14ac:dyDescent="0.2">
      <c r="A8" s="100"/>
      <c r="B8" s="100"/>
      <c r="C8" s="16" t="s">
        <v>230</v>
      </c>
      <c r="D8" s="79" t="s">
        <v>90</v>
      </c>
      <c r="E8" s="13">
        <v>44446</v>
      </c>
      <c r="F8" s="77" t="s">
        <v>91</v>
      </c>
      <c r="G8" s="13">
        <v>44450</v>
      </c>
      <c r="H8" s="101" t="s">
        <v>223</v>
      </c>
      <c r="I8" s="16">
        <v>66</v>
      </c>
      <c r="J8" s="16">
        <v>26</v>
      </c>
      <c r="K8" s="16">
        <v>26</v>
      </c>
      <c r="L8" s="16">
        <v>10</v>
      </c>
      <c r="M8" s="82">
        <v>11.154</v>
      </c>
      <c r="N8" s="73">
        <v>11</v>
      </c>
      <c r="O8" s="65">
        <v>7000</v>
      </c>
      <c r="P8" s="66">
        <f>Table224578910112345678910[[#This Row],[PEMBULATAN]]*O8</f>
        <v>77000</v>
      </c>
    </row>
    <row r="9" spans="1:16" ht="26.25" customHeight="1" x14ac:dyDescent="0.2">
      <c r="A9" s="100"/>
      <c r="B9" s="100"/>
      <c r="C9" s="16" t="s">
        <v>231</v>
      </c>
      <c r="D9" s="79" t="s">
        <v>90</v>
      </c>
      <c r="E9" s="13">
        <v>44446</v>
      </c>
      <c r="F9" s="77" t="s">
        <v>91</v>
      </c>
      <c r="G9" s="13">
        <v>44450</v>
      </c>
      <c r="H9" s="101" t="s">
        <v>223</v>
      </c>
      <c r="I9" s="16">
        <v>83</v>
      </c>
      <c r="J9" s="16">
        <v>8</v>
      </c>
      <c r="K9" s="16">
        <v>6</v>
      </c>
      <c r="L9" s="16">
        <v>24</v>
      </c>
      <c r="M9" s="82">
        <v>0.996</v>
      </c>
      <c r="N9" s="73">
        <v>24</v>
      </c>
      <c r="O9" s="65">
        <v>7000</v>
      </c>
      <c r="P9" s="66">
        <f>Table224578910112345678910[[#This Row],[PEMBULATAN]]*O9</f>
        <v>168000</v>
      </c>
    </row>
    <row r="10" spans="1:16" ht="26.25" customHeight="1" x14ac:dyDescent="0.2">
      <c r="A10" s="100"/>
      <c r="B10" s="100"/>
      <c r="C10" s="16" t="s">
        <v>232</v>
      </c>
      <c r="D10" s="79" t="s">
        <v>90</v>
      </c>
      <c r="E10" s="13">
        <v>44446</v>
      </c>
      <c r="F10" s="77" t="s">
        <v>91</v>
      </c>
      <c r="G10" s="13">
        <v>44450</v>
      </c>
      <c r="H10" s="101" t="s">
        <v>223</v>
      </c>
      <c r="I10" s="16">
        <v>33</v>
      </c>
      <c r="J10" s="16">
        <v>30</v>
      </c>
      <c r="K10" s="16">
        <v>26</v>
      </c>
      <c r="L10" s="16">
        <v>5</v>
      </c>
      <c r="M10" s="82">
        <v>6.4349999999999996</v>
      </c>
      <c r="N10" s="73">
        <v>7</v>
      </c>
      <c r="O10" s="65">
        <v>7000</v>
      </c>
      <c r="P10" s="66">
        <f>Table224578910112345678910[[#This Row],[PEMBULATAN]]*O10</f>
        <v>49000</v>
      </c>
    </row>
    <row r="11" spans="1:16" ht="26.25" customHeight="1" x14ac:dyDescent="0.2">
      <c r="A11" s="100"/>
      <c r="B11" s="100"/>
      <c r="C11" s="16" t="s">
        <v>233</v>
      </c>
      <c r="D11" s="79" t="s">
        <v>90</v>
      </c>
      <c r="E11" s="13">
        <v>44446</v>
      </c>
      <c r="F11" s="77" t="s">
        <v>91</v>
      </c>
      <c r="G11" s="13">
        <v>44450</v>
      </c>
      <c r="H11" s="101" t="s">
        <v>223</v>
      </c>
      <c r="I11" s="16">
        <v>56</v>
      </c>
      <c r="J11" s="16">
        <v>30</v>
      </c>
      <c r="K11" s="16">
        <v>35</v>
      </c>
      <c r="L11" s="16">
        <v>11</v>
      </c>
      <c r="M11" s="82">
        <v>14.7</v>
      </c>
      <c r="N11" s="73">
        <v>15</v>
      </c>
      <c r="O11" s="65">
        <v>7000</v>
      </c>
      <c r="P11" s="66">
        <f>Table224578910112345678910[[#This Row],[PEMBULATAN]]*O11</f>
        <v>105000</v>
      </c>
    </row>
    <row r="12" spans="1:16" ht="26.25" customHeight="1" x14ac:dyDescent="0.2">
      <c r="A12" s="100"/>
      <c r="B12" s="100"/>
      <c r="C12" s="16" t="s">
        <v>234</v>
      </c>
      <c r="D12" s="79" t="s">
        <v>90</v>
      </c>
      <c r="E12" s="13">
        <v>44446</v>
      </c>
      <c r="F12" s="77" t="s">
        <v>91</v>
      </c>
      <c r="G12" s="13">
        <v>44450</v>
      </c>
      <c r="H12" s="101" t="s">
        <v>223</v>
      </c>
      <c r="I12" s="16">
        <v>34</v>
      </c>
      <c r="J12" s="16">
        <v>31</v>
      </c>
      <c r="K12" s="16">
        <v>30</v>
      </c>
      <c r="L12" s="16">
        <v>5</v>
      </c>
      <c r="M12" s="82">
        <v>7.9050000000000002</v>
      </c>
      <c r="N12" s="73">
        <v>8</v>
      </c>
      <c r="O12" s="65">
        <v>7000</v>
      </c>
      <c r="P12" s="66">
        <f>Table224578910112345678910[[#This Row],[PEMBULATAN]]*O12</f>
        <v>56000</v>
      </c>
    </row>
    <row r="13" spans="1:16" ht="26.25" customHeight="1" x14ac:dyDescent="0.2">
      <c r="A13" s="100"/>
      <c r="B13" s="100"/>
      <c r="C13" s="16" t="s">
        <v>235</v>
      </c>
      <c r="D13" s="79" t="s">
        <v>90</v>
      </c>
      <c r="E13" s="13">
        <v>44446</v>
      </c>
      <c r="F13" s="77" t="s">
        <v>91</v>
      </c>
      <c r="G13" s="13">
        <v>44450</v>
      </c>
      <c r="H13" s="101" t="s">
        <v>223</v>
      </c>
      <c r="I13" s="16">
        <v>33</v>
      </c>
      <c r="J13" s="16">
        <v>21</v>
      </c>
      <c r="K13" s="16">
        <v>17</v>
      </c>
      <c r="L13" s="16">
        <v>7</v>
      </c>
      <c r="M13" s="82">
        <v>2.9452500000000001</v>
      </c>
      <c r="N13" s="73">
        <v>7</v>
      </c>
      <c r="O13" s="65">
        <v>7000</v>
      </c>
      <c r="P13" s="66">
        <f>Table224578910112345678910[[#This Row],[PEMBULATAN]]*O13</f>
        <v>49000</v>
      </c>
    </row>
    <row r="14" spans="1:16" ht="26.25" customHeight="1" x14ac:dyDescent="0.2">
      <c r="A14" s="100"/>
      <c r="B14" s="100"/>
      <c r="C14" s="16" t="s">
        <v>236</v>
      </c>
      <c r="D14" s="79" t="s">
        <v>90</v>
      </c>
      <c r="E14" s="13">
        <v>44446</v>
      </c>
      <c r="F14" s="77" t="s">
        <v>91</v>
      </c>
      <c r="G14" s="13">
        <v>44450</v>
      </c>
      <c r="H14" s="101" t="s">
        <v>223</v>
      </c>
      <c r="I14" s="16">
        <v>51</v>
      </c>
      <c r="J14" s="16">
        <v>35</v>
      </c>
      <c r="K14" s="16">
        <v>29</v>
      </c>
      <c r="L14" s="16">
        <v>16</v>
      </c>
      <c r="M14" s="82">
        <v>12.94125</v>
      </c>
      <c r="N14" s="73">
        <v>16</v>
      </c>
      <c r="O14" s="65">
        <v>7000</v>
      </c>
      <c r="P14" s="66">
        <f>Table224578910112345678910[[#This Row],[PEMBULATAN]]*O14</f>
        <v>112000</v>
      </c>
    </row>
    <row r="15" spans="1:16" ht="26.25" customHeight="1" x14ac:dyDescent="0.2">
      <c r="A15" s="100"/>
      <c r="B15" s="100"/>
      <c r="C15" s="16" t="s">
        <v>237</v>
      </c>
      <c r="D15" s="79" t="s">
        <v>90</v>
      </c>
      <c r="E15" s="13">
        <v>44446</v>
      </c>
      <c r="F15" s="77" t="s">
        <v>91</v>
      </c>
      <c r="G15" s="13">
        <v>44450</v>
      </c>
      <c r="H15" s="101" t="s">
        <v>223</v>
      </c>
      <c r="I15" s="16">
        <v>55</v>
      </c>
      <c r="J15" s="16">
        <v>39</v>
      </c>
      <c r="K15" s="16">
        <v>19</v>
      </c>
      <c r="L15" s="16">
        <v>7</v>
      </c>
      <c r="M15" s="82">
        <v>10.188750000000001</v>
      </c>
      <c r="N15" s="73">
        <v>10</v>
      </c>
      <c r="O15" s="65">
        <v>7000</v>
      </c>
      <c r="P15" s="66">
        <f>Table224578910112345678910[[#This Row],[PEMBULATAN]]*O15</f>
        <v>70000</v>
      </c>
    </row>
    <row r="16" spans="1:16" ht="26.25" customHeight="1" x14ac:dyDescent="0.2">
      <c r="A16" s="100"/>
      <c r="B16" s="100"/>
      <c r="C16" s="16" t="s">
        <v>238</v>
      </c>
      <c r="D16" s="79" t="s">
        <v>90</v>
      </c>
      <c r="E16" s="13">
        <v>44446</v>
      </c>
      <c r="F16" s="77" t="s">
        <v>91</v>
      </c>
      <c r="G16" s="13">
        <v>44450</v>
      </c>
      <c r="H16" s="101" t="s">
        <v>223</v>
      </c>
      <c r="I16" s="16">
        <v>77</v>
      </c>
      <c r="J16" s="16">
        <v>29</v>
      </c>
      <c r="K16" s="16">
        <v>18</v>
      </c>
      <c r="L16" s="16">
        <v>6</v>
      </c>
      <c r="M16" s="82">
        <v>10.048500000000001</v>
      </c>
      <c r="N16" s="73">
        <v>10</v>
      </c>
      <c r="O16" s="65">
        <v>7000</v>
      </c>
      <c r="P16" s="66">
        <f>Table224578910112345678910[[#This Row],[PEMBULATAN]]*O16</f>
        <v>70000</v>
      </c>
    </row>
    <row r="17" spans="1:16" ht="26.25" customHeight="1" x14ac:dyDescent="0.2">
      <c r="A17" s="100"/>
      <c r="B17" s="100"/>
      <c r="C17" s="16" t="s">
        <v>239</v>
      </c>
      <c r="D17" s="79" t="s">
        <v>90</v>
      </c>
      <c r="E17" s="13">
        <v>44446</v>
      </c>
      <c r="F17" s="77" t="s">
        <v>91</v>
      </c>
      <c r="G17" s="13">
        <v>44450</v>
      </c>
      <c r="H17" s="101" t="s">
        <v>223</v>
      </c>
      <c r="I17" s="16">
        <v>76</v>
      </c>
      <c r="J17" s="16">
        <v>28</v>
      </c>
      <c r="K17" s="16">
        <v>19</v>
      </c>
      <c r="L17" s="16">
        <v>13</v>
      </c>
      <c r="M17" s="82">
        <v>10.108000000000001</v>
      </c>
      <c r="N17" s="73">
        <v>13</v>
      </c>
      <c r="O17" s="65">
        <v>7000</v>
      </c>
      <c r="P17" s="66">
        <f>Table224578910112345678910[[#This Row],[PEMBULATAN]]*O17</f>
        <v>91000</v>
      </c>
    </row>
    <row r="18" spans="1:16" ht="26.25" customHeight="1" x14ac:dyDescent="0.2">
      <c r="A18" s="100"/>
      <c r="B18" s="100"/>
      <c r="C18" s="16" t="s">
        <v>240</v>
      </c>
      <c r="D18" s="79" t="s">
        <v>90</v>
      </c>
      <c r="E18" s="13">
        <v>44446</v>
      </c>
      <c r="F18" s="77" t="s">
        <v>91</v>
      </c>
      <c r="G18" s="13">
        <v>44450</v>
      </c>
      <c r="H18" s="101" t="s">
        <v>223</v>
      </c>
      <c r="I18" s="16">
        <v>86</v>
      </c>
      <c r="J18" s="16">
        <v>72</v>
      </c>
      <c r="K18" s="16">
        <v>21</v>
      </c>
      <c r="L18" s="16">
        <v>19</v>
      </c>
      <c r="M18" s="82">
        <v>32.508000000000003</v>
      </c>
      <c r="N18" s="73">
        <v>33</v>
      </c>
      <c r="O18" s="65">
        <v>7000</v>
      </c>
      <c r="P18" s="66">
        <f>Table224578910112345678910[[#This Row],[PEMBULATAN]]*O18</f>
        <v>231000</v>
      </c>
    </row>
    <row r="19" spans="1:16" ht="26.25" customHeight="1" x14ac:dyDescent="0.2">
      <c r="A19" s="100"/>
      <c r="B19" s="100"/>
      <c r="C19" s="16" t="s">
        <v>241</v>
      </c>
      <c r="D19" s="79" t="s">
        <v>90</v>
      </c>
      <c r="E19" s="13">
        <v>44446</v>
      </c>
      <c r="F19" s="77" t="s">
        <v>91</v>
      </c>
      <c r="G19" s="13">
        <v>44450</v>
      </c>
      <c r="H19" s="101" t="s">
        <v>223</v>
      </c>
      <c r="I19" s="16">
        <v>47</v>
      </c>
      <c r="J19" s="16">
        <v>40</v>
      </c>
      <c r="K19" s="16">
        <v>17</v>
      </c>
      <c r="L19" s="16">
        <v>13</v>
      </c>
      <c r="M19" s="82">
        <v>7.99</v>
      </c>
      <c r="N19" s="73">
        <v>13</v>
      </c>
      <c r="O19" s="65">
        <v>7000</v>
      </c>
      <c r="P19" s="66">
        <f>Table224578910112345678910[[#This Row],[PEMBULATAN]]*O19</f>
        <v>91000</v>
      </c>
    </row>
    <row r="20" spans="1:16" ht="26.25" customHeight="1" x14ac:dyDescent="0.2">
      <c r="A20" s="100"/>
      <c r="B20" s="100"/>
      <c r="C20" s="16" t="s">
        <v>242</v>
      </c>
      <c r="D20" s="79" t="s">
        <v>90</v>
      </c>
      <c r="E20" s="13">
        <v>44446</v>
      </c>
      <c r="F20" s="77" t="s">
        <v>91</v>
      </c>
      <c r="G20" s="13">
        <v>44450</v>
      </c>
      <c r="H20" s="101" t="s">
        <v>223</v>
      </c>
      <c r="I20" s="16">
        <v>55</v>
      </c>
      <c r="J20" s="16">
        <v>44</v>
      </c>
      <c r="K20" s="16">
        <v>31</v>
      </c>
      <c r="L20" s="16">
        <v>7</v>
      </c>
      <c r="M20" s="82">
        <v>18.754999999999999</v>
      </c>
      <c r="N20" s="73">
        <v>19</v>
      </c>
      <c r="O20" s="65">
        <v>7000</v>
      </c>
      <c r="P20" s="66">
        <f>Table224578910112345678910[[#This Row],[PEMBULATAN]]*O20</f>
        <v>133000</v>
      </c>
    </row>
    <row r="21" spans="1:16" ht="26.25" customHeight="1" x14ac:dyDescent="0.2">
      <c r="A21" s="100"/>
      <c r="B21" s="100"/>
      <c r="C21" s="16" t="s">
        <v>243</v>
      </c>
      <c r="D21" s="79" t="s">
        <v>90</v>
      </c>
      <c r="E21" s="13">
        <v>44446</v>
      </c>
      <c r="F21" s="77" t="s">
        <v>91</v>
      </c>
      <c r="G21" s="13">
        <v>44450</v>
      </c>
      <c r="H21" s="101" t="s">
        <v>223</v>
      </c>
      <c r="I21" s="16">
        <v>45</v>
      </c>
      <c r="J21" s="16">
        <v>25</v>
      </c>
      <c r="K21" s="16">
        <v>20</v>
      </c>
      <c r="L21" s="16">
        <v>8</v>
      </c>
      <c r="M21" s="82">
        <v>5.625</v>
      </c>
      <c r="N21" s="73">
        <v>8</v>
      </c>
      <c r="O21" s="65">
        <v>7000</v>
      </c>
      <c r="P21" s="66">
        <f>Table224578910112345678910[[#This Row],[PEMBULATAN]]*O21</f>
        <v>56000</v>
      </c>
    </row>
    <row r="22" spans="1:16" ht="26.25" customHeight="1" x14ac:dyDescent="0.2">
      <c r="A22" s="100"/>
      <c r="B22" s="100"/>
      <c r="C22" s="16" t="s">
        <v>244</v>
      </c>
      <c r="D22" s="79" t="s">
        <v>90</v>
      </c>
      <c r="E22" s="13">
        <v>44446</v>
      </c>
      <c r="F22" s="77" t="s">
        <v>91</v>
      </c>
      <c r="G22" s="13">
        <v>44450</v>
      </c>
      <c r="H22" s="101" t="s">
        <v>223</v>
      </c>
      <c r="I22" s="16">
        <v>45</v>
      </c>
      <c r="J22" s="16">
        <v>27</v>
      </c>
      <c r="K22" s="16">
        <v>24</v>
      </c>
      <c r="L22" s="16">
        <v>9</v>
      </c>
      <c r="M22" s="82">
        <v>7.29</v>
      </c>
      <c r="N22" s="73">
        <v>9</v>
      </c>
      <c r="O22" s="65">
        <v>7000</v>
      </c>
      <c r="P22" s="66">
        <f>Table224578910112345678910[[#This Row],[PEMBULATAN]]*O22</f>
        <v>63000</v>
      </c>
    </row>
    <row r="23" spans="1:16" ht="26.25" customHeight="1" x14ac:dyDescent="0.2">
      <c r="A23" s="100"/>
      <c r="B23" s="100"/>
      <c r="C23" s="16" t="s">
        <v>245</v>
      </c>
      <c r="D23" s="79" t="s">
        <v>90</v>
      </c>
      <c r="E23" s="13">
        <v>44446</v>
      </c>
      <c r="F23" s="77" t="s">
        <v>91</v>
      </c>
      <c r="G23" s="13">
        <v>44450</v>
      </c>
      <c r="H23" s="101" t="s">
        <v>223</v>
      </c>
      <c r="I23" s="16">
        <v>82</v>
      </c>
      <c r="J23" s="16">
        <v>20</v>
      </c>
      <c r="K23" s="16">
        <v>20</v>
      </c>
      <c r="L23" s="16">
        <v>5</v>
      </c>
      <c r="M23" s="82">
        <v>8.1999999999999993</v>
      </c>
      <c r="N23" s="73">
        <v>8</v>
      </c>
      <c r="O23" s="65">
        <v>7000</v>
      </c>
      <c r="P23" s="66">
        <f>Table224578910112345678910[[#This Row],[PEMBULATAN]]*O23</f>
        <v>56000</v>
      </c>
    </row>
    <row r="24" spans="1:16" ht="26.25" customHeight="1" x14ac:dyDescent="0.2">
      <c r="A24" s="100"/>
      <c r="B24" s="100"/>
      <c r="C24" s="16" t="s">
        <v>246</v>
      </c>
      <c r="D24" s="79" t="s">
        <v>90</v>
      </c>
      <c r="E24" s="13">
        <v>44446</v>
      </c>
      <c r="F24" s="77" t="s">
        <v>91</v>
      </c>
      <c r="G24" s="13">
        <v>44450</v>
      </c>
      <c r="H24" s="101" t="s">
        <v>223</v>
      </c>
      <c r="I24" s="16">
        <v>30</v>
      </c>
      <c r="J24" s="16">
        <v>30</v>
      </c>
      <c r="K24" s="16">
        <v>30</v>
      </c>
      <c r="L24" s="16">
        <v>18</v>
      </c>
      <c r="M24" s="82">
        <v>6.75</v>
      </c>
      <c r="N24" s="73">
        <v>18</v>
      </c>
      <c r="O24" s="65">
        <v>7000</v>
      </c>
      <c r="P24" s="66">
        <f>Table224578910112345678910[[#This Row],[PEMBULATAN]]*O24</f>
        <v>126000</v>
      </c>
    </row>
    <row r="25" spans="1:16" ht="26.25" customHeight="1" x14ac:dyDescent="0.2">
      <c r="A25" s="100"/>
      <c r="B25" s="100"/>
      <c r="C25" s="16" t="s">
        <v>247</v>
      </c>
      <c r="D25" s="79" t="s">
        <v>90</v>
      </c>
      <c r="E25" s="13">
        <v>44446</v>
      </c>
      <c r="F25" s="77" t="s">
        <v>91</v>
      </c>
      <c r="G25" s="13">
        <v>44450</v>
      </c>
      <c r="H25" s="101" t="s">
        <v>223</v>
      </c>
      <c r="I25" s="16">
        <v>36</v>
      </c>
      <c r="J25" s="16">
        <v>25</v>
      </c>
      <c r="K25" s="16">
        <v>15</v>
      </c>
      <c r="L25" s="16">
        <v>4</v>
      </c>
      <c r="M25" s="82">
        <v>3.375</v>
      </c>
      <c r="N25" s="73">
        <v>4</v>
      </c>
      <c r="O25" s="65">
        <v>7000</v>
      </c>
      <c r="P25" s="66">
        <f>Table224578910112345678910[[#This Row],[PEMBULATAN]]*O25</f>
        <v>28000</v>
      </c>
    </row>
    <row r="26" spans="1:16" ht="26.25" customHeight="1" x14ac:dyDescent="0.2">
      <c r="A26" s="100"/>
      <c r="B26" s="100"/>
      <c r="C26" s="16" t="s">
        <v>248</v>
      </c>
      <c r="D26" s="79" t="s">
        <v>90</v>
      </c>
      <c r="E26" s="13">
        <v>44446</v>
      </c>
      <c r="F26" s="77" t="s">
        <v>91</v>
      </c>
      <c r="G26" s="13">
        <v>44450</v>
      </c>
      <c r="H26" s="101" t="s">
        <v>223</v>
      </c>
      <c r="I26" s="16">
        <v>37</v>
      </c>
      <c r="J26" s="16">
        <v>28</v>
      </c>
      <c r="K26" s="16">
        <v>11</v>
      </c>
      <c r="L26" s="16">
        <v>3</v>
      </c>
      <c r="M26" s="82">
        <v>2.8490000000000002</v>
      </c>
      <c r="N26" s="73">
        <v>3</v>
      </c>
      <c r="O26" s="65">
        <v>7000</v>
      </c>
      <c r="P26" s="66">
        <f>Table224578910112345678910[[#This Row],[PEMBULATAN]]*O26</f>
        <v>21000</v>
      </c>
    </row>
    <row r="27" spans="1:16" ht="26.25" customHeight="1" x14ac:dyDescent="0.2">
      <c r="A27" s="100"/>
      <c r="B27" s="100"/>
      <c r="C27" s="16" t="s">
        <v>249</v>
      </c>
      <c r="D27" s="79" t="s">
        <v>90</v>
      </c>
      <c r="E27" s="13">
        <v>44446</v>
      </c>
      <c r="F27" s="77" t="s">
        <v>91</v>
      </c>
      <c r="G27" s="13">
        <v>44450</v>
      </c>
      <c r="H27" s="101" t="s">
        <v>223</v>
      </c>
      <c r="I27" s="16">
        <v>108</v>
      </c>
      <c r="J27" s="16">
        <v>43</v>
      </c>
      <c r="K27" s="16">
        <v>16</v>
      </c>
      <c r="L27" s="16">
        <v>7</v>
      </c>
      <c r="M27" s="82">
        <v>18.576000000000001</v>
      </c>
      <c r="N27" s="73">
        <v>19</v>
      </c>
      <c r="O27" s="65">
        <v>7000</v>
      </c>
      <c r="P27" s="66">
        <f>Table224578910112345678910[[#This Row],[PEMBULATAN]]*O27</f>
        <v>133000</v>
      </c>
    </row>
    <row r="28" spans="1:16" ht="26.25" customHeight="1" x14ac:dyDescent="0.2">
      <c r="A28" s="100"/>
      <c r="B28" s="103"/>
      <c r="C28" s="16" t="s">
        <v>250</v>
      </c>
      <c r="D28" s="79" t="s">
        <v>90</v>
      </c>
      <c r="E28" s="13">
        <v>44446</v>
      </c>
      <c r="F28" s="77" t="s">
        <v>91</v>
      </c>
      <c r="G28" s="13">
        <v>44450</v>
      </c>
      <c r="H28" s="101" t="s">
        <v>223</v>
      </c>
      <c r="I28" s="16">
        <v>21</v>
      </c>
      <c r="J28" s="16">
        <v>20</v>
      </c>
      <c r="K28" s="16">
        <v>19</v>
      </c>
      <c r="L28" s="16">
        <v>6</v>
      </c>
      <c r="M28" s="82">
        <v>1.9950000000000001</v>
      </c>
      <c r="N28" s="73">
        <v>6</v>
      </c>
      <c r="O28" s="65">
        <v>7000</v>
      </c>
      <c r="P28" s="66">
        <f>Table224578910112345678910[[#This Row],[PEMBULATAN]]*O28</f>
        <v>42000</v>
      </c>
    </row>
    <row r="29" spans="1:16" ht="26.25" customHeight="1" x14ac:dyDescent="0.2">
      <c r="A29" s="100"/>
      <c r="B29" s="100" t="s">
        <v>251</v>
      </c>
      <c r="C29" s="16" t="s">
        <v>252</v>
      </c>
      <c r="D29" s="79" t="s">
        <v>90</v>
      </c>
      <c r="E29" s="13">
        <v>44446</v>
      </c>
      <c r="F29" s="77" t="s">
        <v>91</v>
      </c>
      <c r="G29" s="13">
        <v>44450</v>
      </c>
      <c r="H29" s="101" t="s">
        <v>223</v>
      </c>
      <c r="I29" s="16">
        <v>48</v>
      </c>
      <c r="J29" s="16">
        <v>36</v>
      </c>
      <c r="K29" s="16">
        <v>12</v>
      </c>
      <c r="L29" s="16">
        <v>2</v>
      </c>
      <c r="M29" s="82">
        <v>5.1840000000000002</v>
      </c>
      <c r="N29" s="73">
        <v>5</v>
      </c>
      <c r="O29" s="65">
        <v>7000</v>
      </c>
      <c r="P29" s="66">
        <f>Table224578910112345678910[[#This Row],[PEMBULATAN]]*O29</f>
        <v>35000</v>
      </c>
    </row>
    <row r="30" spans="1:16" ht="26.25" customHeight="1" x14ac:dyDescent="0.2">
      <c r="A30" s="100"/>
      <c r="B30" s="100"/>
      <c r="C30" s="16" t="s">
        <v>253</v>
      </c>
      <c r="D30" s="79" t="s">
        <v>90</v>
      </c>
      <c r="E30" s="13">
        <v>44446</v>
      </c>
      <c r="F30" s="77" t="s">
        <v>91</v>
      </c>
      <c r="G30" s="13">
        <v>44450</v>
      </c>
      <c r="H30" s="101" t="s">
        <v>223</v>
      </c>
      <c r="I30" s="16">
        <v>76</v>
      </c>
      <c r="J30" s="16">
        <v>44</v>
      </c>
      <c r="K30" s="16">
        <v>33</v>
      </c>
      <c r="L30" s="16">
        <v>13</v>
      </c>
      <c r="M30" s="82">
        <v>27.588000000000001</v>
      </c>
      <c r="N30" s="73">
        <v>28</v>
      </c>
      <c r="O30" s="65">
        <v>7000</v>
      </c>
      <c r="P30" s="66">
        <f>Table224578910112345678910[[#This Row],[PEMBULATAN]]*O30</f>
        <v>196000</v>
      </c>
    </row>
    <row r="31" spans="1:16" ht="26.25" customHeight="1" x14ac:dyDescent="0.2">
      <c r="A31" s="100"/>
      <c r="B31" s="100"/>
      <c r="C31" s="16" t="s">
        <v>254</v>
      </c>
      <c r="D31" s="79" t="s">
        <v>90</v>
      </c>
      <c r="E31" s="13">
        <v>44446</v>
      </c>
      <c r="F31" s="77" t="s">
        <v>91</v>
      </c>
      <c r="G31" s="13">
        <v>44450</v>
      </c>
      <c r="H31" s="101" t="s">
        <v>223</v>
      </c>
      <c r="I31" s="16">
        <v>42</v>
      </c>
      <c r="J31" s="16">
        <v>31</v>
      </c>
      <c r="K31" s="16">
        <v>31</v>
      </c>
      <c r="L31" s="16">
        <v>2</v>
      </c>
      <c r="M31" s="82">
        <v>10.0905</v>
      </c>
      <c r="N31" s="73">
        <v>10</v>
      </c>
      <c r="O31" s="65">
        <v>7000</v>
      </c>
      <c r="P31" s="66">
        <f>Table224578910112345678910[[#This Row],[PEMBULATAN]]*O31</f>
        <v>70000</v>
      </c>
    </row>
    <row r="32" spans="1:16" ht="22.5" customHeight="1" x14ac:dyDescent="0.2">
      <c r="A32" s="136" t="s">
        <v>30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8"/>
      <c r="M32" s="80">
        <f>SUBTOTAL(109,Table224578910112345678910[KG VOLUME])</f>
        <v>377.38225000000006</v>
      </c>
      <c r="N32" s="69">
        <f>SUM(N3:N31)</f>
        <v>438</v>
      </c>
      <c r="O32" s="139">
        <f>SUM(P3:P31)</f>
        <v>3066000</v>
      </c>
      <c r="P32" s="140"/>
    </row>
    <row r="33" spans="1:16" ht="18" customHeight="1" x14ac:dyDescent="0.2">
      <c r="A33" s="87"/>
      <c r="B33" s="57" t="s">
        <v>42</v>
      </c>
      <c r="C33" s="56"/>
      <c r="D33" s="58" t="s">
        <v>43</v>
      </c>
      <c r="E33" s="87"/>
      <c r="F33" s="87"/>
      <c r="G33" s="87"/>
      <c r="H33" s="87"/>
      <c r="I33" s="87"/>
      <c r="J33" s="87"/>
      <c r="K33" s="87"/>
      <c r="L33" s="87"/>
      <c r="M33" s="88"/>
      <c r="N33" s="89" t="s">
        <v>52</v>
      </c>
      <c r="O33" s="90"/>
      <c r="P33" s="90">
        <v>0</v>
      </c>
    </row>
    <row r="34" spans="1:16" ht="18" customHeight="1" thickBot="1" x14ac:dyDescent="0.25">
      <c r="A34" s="87"/>
      <c r="B34" s="57"/>
      <c r="C34" s="56"/>
      <c r="D34" s="58"/>
      <c r="E34" s="87"/>
      <c r="F34" s="87"/>
      <c r="G34" s="87"/>
      <c r="H34" s="87"/>
      <c r="I34" s="87"/>
      <c r="J34" s="87"/>
      <c r="K34" s="87"/>
      <c r="L34" s="87"/>
      <c r="M34" s="88"/>
      <c r="N34" s="91" t="s">
        <v>53</v>
      </c>
      <c r="O34" s="92"/>
      <c r="P34" s="92">
        <f>O32-P33</f>
        <v>3066000</v>
      </c>
    </row>
    <row r="35" spans="1:16" ht="18" customHeight="1" x14ac:dyDescent="0.2">
      <c r="A35" s="11"/>
      <c r="H35" s="64"/>
      <c r="N35" s="63" t="s">
        <v>31</v>
      </c>
      <c r="P35" s="70">
        <f>P34*1%</f>
        <v>30660</v>
      </c>
    </row>
    <row r="36" spans="1:16" ht="18" customHeight="1" thickBot="1" x14ac:dyDescent="0.25">
      <c r="A36" s="11"/>
      <c r="H36" s="64"/>
      <c r="N36" s="63" t="s">
        <v>54</v>
      </c>
      <c r="P36" s="72">
        <f>P34*2%</f>
        <v>61320</v>
      </c>
    </row>
    <row r="37" spans="1:16" ht="18" customHeight="1" x14ac:dyDescent="0.2">
      <c r="A37" s="11"/>
      <c r="H37" s="64"/>
      <c r="N37" s="67" t="s">
        <v>32</v>
      </c>
      <c r="O37" s="68"/>
      <c r="P37" s="71">
        <f>P34+P35-P36</f>
        <v>3035340</v>
      </c>
    </row>
    <row r="39" spans="1:16" x14ac:dyDescent="0.2">
      <c r="A39" s="11"/>
      <c r="H39" s="64"/>
      <c r="P39" s="72"/>
    </row>
    <row r="40" spans="1:16" x14ac:dyDescent="0.2">
      <c r="A40" s="11"/>
      <c r="H40" s="64"/>
      <c r="O40" s="59"/>
      <c r="P40" s="72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501" priority="2"/>
  </conditionalFormatting>
  <conditionalFormatting sqref="B4">
    <cfRule type="duplicateValues" dxfId="500" priority="1"/>
  </conditionalFormatting>
  <conditionalFormatting sqref="B5:B31">
    <cfRule type="duplicateValues" dxfId="499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909</v>
      </c>
      <c r="B3" s="98" t="s">
        <v>255</v>
      </c>
      <c r="C3" s="1" t="s">
        <v>256</v>
      </c>
      <c r="D3" s="77" t="s">
        <v>90</v>
      </c>
      <c r="E3" s="13">
        <v>44447</v>
      </c>
      <c r="F3" s="77" t="s">
        <v>91</v>
      </c>
      <c r="G3" s="13">
        <v>44450</v>
      </c>
      <c r="H3" s="99" t="s">
        <v>223</v>
      </c>
      <c r="I3" s="1">
        <v>39</v>
      </c>
      <c r="J3" s="1">
        <v>30</v>
      </c>
      <c r="K3" s="1">
        <v>25</v>
      </c>
      <c r="L3" s="1">
        <v>13</v>
      </c>
      <c r="M3" s="81">
        <v>7.3125</v>
      </c>
      <c r="N3" s="8">
        <v>13</v>
      </c>
      <c r="O3" s="65">
        <v>7000</v>
      </c>
      <c r="P3" s="66">
        <f>Table22457891011234567891011[[#This Row],[PEMBULATAN]]*O3</f>
        <v>91000</v>
      </c>
    </row>
    <row r="4" spans="1:16" ht="26.25" customHeight="1" x14ac:dyDescent="0.2">
      <c r="A4" s="100"/>
      <c r="B4" s="100"/>
      <c r="C4" s="1" t="s">
        <v>257</v>
      </c>
      <c r="D4" s="77" t="s">
        <v>90</v>
      </c>
      <c r="E4" s="13">
        <v>44447</v>
      </c>
      <c r="F4" s="77" t="s">
        <v>91</v>
      </c>
      <c r="G4" s="13">
        <v>44450</v>
      </c>
      <c r="H4" s="99" t="s">
        <v>223</v>
      </c>
      <c r="I4" s="1">
        <v>46</v>
      </c>
      <c r="J4" s="1">
        <v>24</v>
      </c>
      <c r="K4" s="1">
        <v>24</v>
      </c>
      <c r="L4" s="1">
        <v>8</v>
      </c>
      <c r="M4" s="81">
        <v>6.6239999999999997</v>
      </c>
      <c r="N4" s="8">
        <v>8</v>
      </c>
      <c r="O4" s="65">
        <v>7000</v>
      </c>
      <c r="P4" s="66">
        <f>Table22457891011234567891011[[#This Row],[PEMBULATAN]]*O4</f>
        <v>56000</v>
      </c>
    </row>
    <row r="5" spans="1:16" ht="26.25" customHeight="1" x14ac:dyDescent="0.2">
      <c r="A5" s="100"/>
      <c r="B5" s="100"/>
      <c r="C5" s="1" t="s">
        <v>258</v>
      </c>
      <c r="D5" s="77" t="s">
        <v>90</v>
      </c>
      <c r="E5" s="13">
        <v>44447</v>
      </c>
      <c r="F5" s="77" t="s">
        <v>91</v>
      </c>
      <c r="G5" s="13">
        <v>44450</v>
      </c>
      <c r="H5" s="99" t="s">
        <v>223</v>
      </c>
      <c r="I5" s="1">
        <v>44</v>
      </c>
      <c r="J5" s="1">
        <v>34</v>
      </c>
      <c r="K5" s="1">
        <v>27</v>
      </c>
      <c r="L5" s="1">
        <v>26</v>
      </c>
      <c r="M5" s="81">
        <v>10.098000000000001</v>
      </c>
      <c r="N5" s="8">
        <v>26</v>
      </c>
      <c r="O5" s="65">
        <v>7000</v>
      </c>
      <c r="P5" s="66">
        <f>Table22457891011234567891011[[#This Row],[PEMBULATAN]]*O5</f>
        <v>182000</v>
      </c>
    </row>
    <row r="6" spans="1:16" ht="26.25" customHeight="1" x14ac:dyDescent="0.2">
      <c r="A6" s="100"/>
      <c r="B6" s="100"/>
      <c r="C6" s="16" t="s">
        <v>259</v>
      </c>
      <c r="D6" s="79" t="s">
        <v>90</v>
      </c>
      <c r="E6" s="13">
        <v>44447</v>
      </c>
      <c r="F6" s="77" t="s">
        <v>91</v>
      </c>
      <c r="G6" s="13">
        <v>44450</v>
      </c>
      <c r="H6" s="101" t="s">
        <v>223</v>
      </c>
      <c r="I6" s="16">
        <v>44</v>
      </c>
      <c r="J6" s="16">
        <v>34</v>
      </c>
      <c r="K6" s="16">
        <v>27</v>
      </c>
      <c r="L6" s="16">
        <v>26</v>
      </c>
      <c r="M6" s="82">
        <v>10.098000000000001</v>
      </c>
      <c r="N6" s="73">
        <v>26</v>
      </c>
      <c r="O6" s="65">
        <v>7000</v>
      </c>
      <c r="P6" s="66">
        <f>Table22457891011234567891011[[#This Row],[PEMBULATAN]]*O6</f>
        <v>182000</v>
      </c>
    </row>
    <row r="7" spans="1:16" ht="26.25" customHeight="1" x14ac:dyDescent="0.2">
      <c r="A7" s="100"/>
      <c r="B7" s="100"/>
      <c r="C7" s="16" t="s">
        <v>260</v>
      </c>
      <c r="D7" s="79" t="s">
        <v>90</v>
      </c>
      <c r="E7" s="13">
        <v>44447</v>
      </c>
      <c r="F7" s="77" t="s">
        <v>91</v>
      </c>
      <c r="G7" s="13">
        <v>44450</v>
      </c>
      <c r="H7" s="101" t="s">
        <v>223</v>
      </c>
      <c r="I7" s="16">
        <v>44</v>
      </c>
      <c r="J7" s="16">
        <v>34</v>
      </c>
      <c r="K7" s="16">
        <v>26</v>
      </c>
      <c r="L7" s="16">
        <v>26</v>
      </c>
      <c r="M7" s="82">
        <v>9.7240000000000002</v>
      </c>
      <c r="N7" s="73">
        <v>26</v>
      </c>
      <c r="O7" s="65">
        <v>7000</v>
      </c>
      <c r="P7" s="66">
        <f>Table22457891011234567891011[[#This Row],[PEMBULATAN]]*O7</f>
        <v>182000</v>
      </c>
    </row>
    <row r="8" spans="1:16" ht="26.25" customHeight="1" x14ac:dyDescent="0.2">
      <c r="A8" s="100"/>
      <c r="B8" s="100"/>
      <c r="C8" s="16" t="s">
        <v>261</v>
      </c>
      <c r="D8" s="79" t="s">
        <v>90</v>
      </c>
      <c r="E8" s="13">
        <v>44447</v>
      </c>
      <c r="F8" s="77" t="s">
        <v>91</v>
      </c>
      <c r="G8" s="13">
        <v>44450</v>
      </c>
      <c r="H8" s="101" t="s">
        <v>223</v>
      </c>
      <c r="I8" s="16">
        <v>44</v>
      </c>
      <c r="J8" s="16">
        <v>34</v>
      </c>
      <c r="K8" s="16">
        <v>26</v>
      </c>
      <c r="L8" s="16">
        <v>26</v>
      </c>
      <c r="M8" s="82">
        <v>9.7240000000000002</v>
      </c>
      <c r="N8" s="73">
        <v>26</v>
      </c>
      <c r="O8" s="65">
        <v>7000</v>
      </c>
      <c r="P8" s="66">
        <f>Table22457891011234567891011[[#This Row],[PEMBULATAN]]*O8</f>
        <v>182000</v>
      </c>
    </row>
    <row r="9" spans="1:16" ht="26.25" customHeight="1" x14ac:dyDescent="0.2">
      <c r="A9" s="100"/>
      <c r="B9" s="100"/>
      <c r="C9" s="16" t="s">
        <v>262</v>
      </c>
      <c r="D9" s="79" t="s">
        <v>90</v>
      </c>
      <c r="E9" s="13">
        <v>44447</v>
      </c>
      <c r="F9" s="77" t="s">
        <v>91</v>
      </c>
      <c r="G9" s="13">
        <v>44450</v>
      </c>
      <c r="H9" s="101" t="s">
        <v>223</v>
      </c>
      <c r="I9" s="16">
        <v>78</v>
      </c>
      <c r="J9" s="16">
        <v>26</v>
      </c>
      <c r="K9" s="16">
        <v>17</v>
      </c>
      <c r="L9" s="16">
        <v>6</v>
      </c>
      <c r="M9" s="82">
        <v>8.6189999999999998</v>
      </c>
      <c r="N9" s="73">
        <v>9</v>
      </c>
      <c r="O9" s="65">
        <v>7000</v>
      </c>
      <c r="P9" s="66">
        <f>Table22457891011234567891011[[#This Row],[PEMBULATAN]]*O9</f>
        <v>63000</v>
      </c>
    </row>
    <row r="10" spans="1:16" ht="26.25" customHeight="1" x14ac:dyDescent="0.2">
      <c r="A10" s="100"/>
      <c r="B10" s="100"/>
      <c r="C10" s="16" t="s">
        <v>263</v>
      </c>
      <c r="D10" s="79" t="s">
        <v>90</v>
      </c>
      <c r="E10" s="13">
        <v>44447</v>
      </c>
      <c r="F10" s="77" t="s">
        <v>91</v>
      </c>
      <c r="G10" s="13">
        <v>44450</v>
      </c>
      <c r="H10" s="101" t="s">
        <v>223</v>
      </c>
      <c r="I10" s="16">
        <v>69</v>
      </c>
      <c r="J10" s="16">
        <v>53</v>
      </c>
      <c r="K10" s="16">
        <v>73</v>
      </c>
      <c r="L10" s="16">
        <v>33</v>
      </c>
      <c r="M10" s="82">
        <v>66.740250000000003</v>
      </c>
      <c r="N10" s="73">
        <v>67</v>
      </c>
      <c r="O10" s="65">
        <v>7000</v>
      </c>
      <c r="P10" s="66">
        <f>Table22457891011234567891011[[#This Row],[PEMBULATAN]]*O10</f>
        <v>469000</v>
      </c>
    </row>
    <row r="11" spans="1:16" ht="26.25" customHeight="1" x14ac:dyDescent="0.2">
      <c r="A11" s="100"/>
      <c r="B11" s="100"/>
      <c r="C11" s="16" t="s">
        <v>264</v>
      </c>
      <c r="D11" s="79" t="s">
        <v>90</v>
      </c>
      <c r="E11" s="13">
        <v>44447</v>
      </c>
      <c r="F11" s="77" t="s">
        <v>91</v>
      </c>
      <c r="G11" s="13">
        <v>44450</v>
      </c>
      <c r="H11" s="101" t="s">
        <v>223</v>
      </c>
      <c r="I11" s="16">
        <v>85</v>
      </c>
      <c r="J11" s="16">
        <v>38</v>
      </c>
      <c r="K11" s="16">
        <v>97</v>
      </c>
      <c r="L11" s="16">
        <v>27</v>
      </c>
      <c r="M11" s="82">
        <v>78.327500000000001</v>
      </c>
      <c r="N11" s="73">
        <v>79</v>
      </c>
      <c r="O11" s="65">
        <v>7000</v>
      </c>
      <c r="P11" s="66">
        <f>Table22457891011234567891011[[#This Row],[PEMBULATAN]]*O11</f>
        <v>553000</v>
      </c>
    </row>
    <row r="12" spans="1:16" ht="26.25" customHeight="1" x14ac:dyDescent="0.2">
      <c r="A12" s="100"/>
      <c r="B12" s="100"/>
      <c r="C12" s="16" t="s">
        <v>265</v>
      </c>
      <c r="D12" s="79" t="s">
        <v>90</v>
      </c>
      <c r="E12" s="13">
        <v>44447</v>
      </c>
      <c r="F12" s="77" t="s">
        <v>91</v>
      </c>
      <c r="G12" s="13">
        <v>44450</v>
      </c>
      <c r="H12" s="101" t="s">
        <v>223</v>
      </c>
      <c r="I12" s="16">
        <v>83</v>
      </c>
      <c r="J12" s="16">
        <v>52</v>
      </c>
      <c r="K12" s="16">
        <v>52</v>
      </c>
      <c r="L12" s="16">
        <v>30</v>
      </c>
      <c r="M12" s="82">
        <v>56.107999999999997</v>
      </c>
      <c r="N12" s="73">
        <v>56</v>
      </c>
      <c r="O12" s="65">
        <v>7000</v>
      </c>
      <c r="P12" s="66">
        <f>Table22457891011234567891011[[#This Row],[PEMBULATAN]]*O12</f>
        <v>392000</v>
      </c>
    </row>
    <row r="13" spans="1:16" ht="26.25" customHeight="1" x14ac:dyDescent="0.2">
      <c r="A13" s="100"/>
      <c r="B13" s="100"/>
      <c r="C13" s="16" t="s">
        <v>266</v>
      </c>
      <c r="D13" s="79" t="s">
        <v>90</v>
      </c>
      <c r="E13" s="13">
        <v>44447</v>
      </c>
      <c r="F13" s="77" t="s">
        <v>91</v>
      </c>
      <c r="G13" s="13">
        <v>44450</v>
      </c>
      <c r="H13" s="101" t="s">
        <v>223</v>
      </c>
      <c r="I13" s="16">
        <v>66</v>
      </c>
      <c r="J13" s="16">
        <v>53</v>
      </c>
      <c r="K13" s="16">
        <v>64</v>
      </c>
      <c r="L13" s="16">
        <v>28</v>
      </c>
      <c r="M13" s="82">
        <v>55.968000000000004</v>
      </c>
      <c r="N13" s="73">
        <v>56</v>
      </c>
      <c r="O13" s="65">
        <v>7000</v>
      </c>
      <c r="P13" s="66">
        <f>Table22457891011234567891011[[#This Row],[PEMBULATAN]]*O13</f>
        <v>392000</v>
      </c>
    </row>
    <row r="14" spans="1:16" ht="26.25" customHeight="1" x14ac:dyDescent="0.2">
      <c r="A14" s="100"/>
      <c r="B14" s="100"/>
      <c r="C14" s="16" t="s">
        <v>267</v>
      </c>
      <c r="D14" s="79" t="s">
        <v>90</v>
      </c>
      <c r="E14" s="13">
        <v>44447</v>
      </c>
      <c r="F14" s="77" t="s">
        <v>91</v>
      </c>
      <c r="G14" s="13">
        <v>44450</v>
      </c>
      <c r="H14" s="101" t="s">
        <v>223</v>
      </c>
      <c r="I14" s="16">
        <v>36</v>
      </c>
      <c r="J14" s="16">
        <v>27</v>
      </c>
      <c r="K14" s="16">
        <v>26</v>
      </c>
      <c r="L14" s="16">
        <v>5</v>
      </c>
      <c r="M14" s="82">
        <v>6.3179999999999996</v>
      </c>
      <c r="N14" s="73">
        <v>7</v>
      </c>
      <c r="O14" s="65">
        <v>7000</v>
      </c>
      <c r="P14" s="66">
        <f>Table22457891011234567891011[[#This Row],[PEMBULATAN]]*O14</f>
        <v>49000</v>
      </c>
    </row>
    <row r="15" spans="1:16" ht="26.25" customHeight="1" x14ac:dyDescent="0.2">
      <c r="A15" s="100"/>
      <c r="B15" s="100"/>
      <c r="C15" s="16" t="s">
        <v>268</v>
      </c>
      <c r="D15" s="79" t="s">
        <v>90</v>
      </c>
      <c r="E15" s="13">
        <v>44447</v>
      </c>
      <c r="F15" s="77" t="s">
        <v>91</v>
      </c>
      <c r="G15" s="13">
        <v>44450</v>
      </c>
      <c r="H15" s="101" t="s">
        <v>223</v>
      </c>
      <c r="I15" s="16">
        <v>54</v>
      </c>
      <c r="J15" s="16">
        <v>20</v>
      </c>
      <c r="K15" s="16">
        <v>10</v>
      </c>
      <c r="L15" s="16">
        <v>4</v>
      </c>
      <c r="M15" s="82">
        <v>2.7</v>
      </c>
      <c r="N15" s="73">
        <v>4</v>
      </c>
      <c r="O15" s="65">
        <v>7000</v>
      </c>
      <c r="P15" s="66">
        <f>Table22457891011234567891011[[#This Row],[PEMBULATAN]]*O15</f>
        <v>28000</v>
      </c>
    </row>
    <row r="16" spans="1:16" ht="26.25" customHeight="1" x14ac:dyDescent="0.2">
      <c r="A16" s="100"/>
      <c r="B16" s="100"/>
      <c r="C16" s="16" t="s">
        <v>269</v>
      </c>
      <c r="D16" s="79" t="s">
        <v>90</v>
      </c>
      <c r="E16" s="13">
        <v>44447</v>
      </c>
      <c r="F16" s="77" t="s">
        <v>91</v>
      </c>
      <c r="G16" s="13">
        <v>44450</v>
      </c>
      <c r="H16" s="101" t="s">
        <v>223</v>
      </c>
      <c r="I16" s="16">
        <v>90</v>
      </c>
      <c r="J16" s="16">
        <v>37</v>
      </c>
      <c r="K16" s="16">
        <v>26</v>
      </c>
      <c r="L16" s="16">
        <v>12</v>
      </c>
      <c r="M16" s="82">
        <v>21.645</v>
      </c>
      <c r="N16" s="73">
        <v>22</v>
      </c>
      <c r="O16" s="65">
        <v>7000</v>
      </c>
      <c r="P16" s="66">
        <f>Table22457891011234567891011[[#This Row],[PEMBULATAN]]*O16</f>
        <v>154000</v>
      </c>
    </row>
    <row r="17" spans="1:16" ht="26.25" customHeight="1" x14ac:dyDescent="0.2">
      <c r="A17" s="100"/>
      <c r="B17" s="100"/>
      <c r="C17" s="16" t="s">
        <v>270</v>
      </c>
      <c r="D17" s="79" t="s">
        <v>90</v>
      </c>
      <c r="E17" s="13">
        <v>44447</v>
      </c>
      <c r="F17" s="77" t="s">
        <v>91</v>
      </c>
      <c r="G17" s="13">
        <v>44450</v>
      </c>
      <c r="H17" s="101" t="s">
        <v>223</v>
      </c>
      <c r="I17" s="16">
        <v>44</v>
      </c>
      <c r="J17" s="16">
        <v>45</v>
      </c>
      <c r="K17" s="16">
        <v>50</v>
      </c>
      <c r="L17" s="16">
        <v>16</v>
      </c>
      <c r="M17" s="82">
        <v>24.75</v>
      </c>
      <c r="N17" s="73">
        <v>25</v>
      </c>
      <c r="O17" s="65">
        <v>7000</v>
      </c>
      <c r="P17" s="66">
        <f>Table22457891011234567891011[[#This Row],[PEMBULATAN]]*O17</f>
        <v>175000</v>
      </c>
    </row>
    <row r="18" spans="1:16" ht="26.25" customHeight="1" x14ac:dyDescent="0.2">
      <c r="A18" s="100"/>
      <c r="B18" s="100"/>
      <c r="C18" s="16" t="s">
        <v>271</v>
      </c>
      <c r="D18" s="79" t="s">
        <v>90</v>
      </c>
      <c r="E18" s="13">
        <v>44447</v>
      </c>
      <c r="F18" s="77" t="s">
        <v>91</v>
      </c>
      <c r="G18" s="13">
        <v>44450</v>
      </c>
      <c r="H18" s="101" t="s">
        <v>223</v>
      </c>
      <c r="I18" s="16">
        <v>40</v>
      </c>
      <c r="J18" s="16">
        <v>43</v>
      </c>
      <c r="K18" s="16">
        <v>26</v>
      </c>
      <c r="L18" s="16">
        <v>9</v>
      </c>
      <c r="M18" s="82">
        <v>11.18</v>
      </c>
      <c r="N18" s="73">
        <v>11</v>
      </c>
      <c r="O18" s="65">
        <v>7000</v>
      </c>
      <c r="P18" s="66">
        <f>Table22457891011234567891011[[#This Row],[PEMBULATAN]]*O18</f>
        <v>77000</v>
      </c>
    </row>
    <row r="19" spans="1:16" ht="26.25" customHeight="1" x14ac:dyDescent="0.2">
      <c r="A19" s="100"/>
      <c r="B19" s="100"/>
      <c r="C19" s="16" t="s">
        <v>272</v>
      </c>
      <c r="D19" s="79" t="s">
        <v>90</v>
      </c>
      <c r="E19" s="13">
        <v>44447</v>
      </c>
      <c r="F19" s="77" t="s">
        <v>91</v>
      </c>
      <c r="G19" s="13">
        <v>44450</v>
      </c>
      <c r="H19" s="101" t="s">
        <v>223</v>
      </c>
      <c r="I19" s="16">
        <v>55</v>
      </c>
      <c r="J19" s="16">
        <v>26</v>
      </c>
      <c r="K19" s="16">
        <v>25</v>
      </c>
      <c r="L19" s="16">
        <v>12</v>
      </c>
      <c r="M19" s="82">
        <v>8.9375</v>
      </c>
      <c r="N19" s="73">
        <v>12</v>
      </c>
      <c r="O19" s="65">
        <v>7000</v>
      </c>
      <c r="P19" s="66">
        <f>Table22457891011234567891011[[#This Row],[PEMBULATAN]]*O19</f>
        <v>84000</v>
      </c>
    </row>
    <row r="20" spans="1:16" ht="26.25" customHeight="1" x14ac:dyDescent="0.2">
      <c r="A20" s="100"/>
      <c r="B20" s="103"/>
      <c r="C20" s="16" t="s">
        <v>273</v>
      </c>
      <c r="D20" s="79" t="s">
        <v>90</v>
      </c>
      <c r="E20" s="13">
        <v>44447</v>
      </c>
      <c r="F20" s="77" t="s">
        <v>91</v>
      </c>
      <c r="G20" s="13">
        <v>44450</v>
      </c>
      <c r="H20" s="101" t="s">
        <v>223</v>
      </c>
      <c r="I20" s="16">
        <v>64</v>
      </c>
      <c r="J20" s="16">
        <v>32</v>
      </c>
      <c r="K20" s="16">
        <v>36</v>
      </c>
      <c r="L20" s="16">
        <v>7</v>
      </c>
      <c r="M20" s="82">
        <v>18.431999999999999</v>
      </c>
      <c r="N20" s="73">
        <v>19</v>
      </c>
      <c r="O20" s="65">
        <v>7000</v>
      </c>
      <c r="P20" s="66">
        <f>Table22457891011234567891011[[#This Row],[PEMBULATAN]]*O20</f>
        <v>133000</v>
      </c>
    </row>
    <row r="21" spans="1:16" ht="26.25" customHeight="1" x14ac:dyDescent="0.2">
      <c r="A21" s="100"/>
      <c r="B21" s="100" t="s">
        <v>274</v>
      </c>
      <c r="C21" s="16" t="s">
        <v>275</v>
      </c>
      <c r="D21" s="79" t="s">
        <v>90</v>
      </c>
      <c r="E21" s="13">
        <v>44447</v>
      </c>
      <c r="F21" s="77" t="s">
        <v>91</v>
      </c>
      <c r="G21" s="13">
        <v>44450</v>
      </c>
      <c r="H21" s="101" t="s">
        <v>223</v>
      </c>
      <c r="I21" s="16">
        <v>113</v>
      </c>
      <c r="J21" s="16">
        <v>60</v>
      </c>
      <c r="K21" s="16">
        <v>28</v>
      </c>
      <c r="L21" s="16">
        <v>10</v>
      </c>
      <c r="M21" s="82">
        <v>47.46</v>
      </c>
      <c r="N21" s="73">
        <v>48</v>
      </c>
      <c r="O21" s="65">
        <v>7000</v>
      </c>
      <c r="P21" s="66">
        <f>Table22457891011234567891011[[#This Row],[PEMBULATAN]]*O21</f>
        <v>336000</v>
      </c>
    </row>
    <row r="22" spans="1:16" ht="26.25" customHeight="1" x14ac:dyDescent="0.2">
      <c r="A22" s="100"/>
      <c r="B22" s="100"/>
      <c r="C22" s="16" t="s">
        <v>276</v>
      </c>
      <c r="D22" s="79" t="s">
        <v>90</v>
      </c>
      <c r="E22" s="13">
        <v>44447</v>
      </c>
      <c r="F22" s="77" t="s">
        <v>91</v>
      </c>
      <c r="G22" s="13">
        <v>44450</v>
      </c>
      <c r="H22" s="101" t="s">
        <v>223</v>
      </c>
      <c r="I22" s="16">
        <v>63</v>
      </c>
      <c r="J22" s="16">
        <v>60</v>
      </c>
      <c r="K22" s="16">
        <v>19</v>
      </c>
      <c r="L22" s="16">
        <v>24</v>
      </c>
      <c r="M22" s="82">
        <v>17.954999999999998</v>
      </c>
      <c r="N22" s="73">
        <v>24</v>
      </c>
      <c r="O22" s="65">
        <v>7000</v>
      </c>
      <c r="P22" s="66">
        <f>Table22457891011234567891011[[#This Row],[PEMBULATAN]]*O22</f>
        <v>168000</v>
      </c>
    </row>
    <row r="23" spans="1:16" ht="26.25" customHeight="1" x14ac:dyDescent="0.2">
      <c r="A23" s="100"/>
      <c r="B23" s="100"/>
      <c r="C23" s="16" t="s">
        <v>277</v>
      </c>
      <c r="D23" s="79" t="s">
        <v>90</v>
      </c>
      <c r="E23" s="13">
        <v>44447</v>
      </c>
      <c r="F23" s="77" t="s">
        <v>91</v>
      </c>
      <c r="G23" s="13">
        <v>44450</v>
      </c>
      <c r="H23" s="101" t="s">
        <v>223</v>
      </c>
      <c r="I23" s="16">
        <v>44</v>
      </c>
      <c r="J23" s="16">
        <v>37</v>
      </c>
      <c r="K23" s="16">
        <v>48</v>
      </c>
      <c r="L23" s="16">
        <v>15</v>
      </c>
      <c r="M23" s="82">
        <v>19.536000000000001</v>
      </c>
      <c r="N23" s="73">
        <v>20</v>
      </c>
      <c r="O23" s="65">
        <v>7000</v>
      </c>
      <c r="P23" s="66">
        <f>Table22457891011234567891011[[#This Row],[PEMBULATAN]]*O23</f>
        <v>140000</v>
      </c>
    </row>
    <row r="24" spans="1:16" ht="22.5" customHeight="1" x14ac:dyDescent="0.2">
      <c r="A24" s="136" t="s">
        <v>30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8"/>
      <c r="M24" s="80">
        <f>SUBTOTAL(109,Table22457891011234567891011[KG VOLUME])</f>
        <v>498.25674999999995</v>
      </c>
      <c r="N24" s="69">
        <f>SUM(N3:N23)</f>
        <v>584</v>
      </c>
      <c r="O24" s="139">
        <f>SUM(P3:P23)</f>
        <v>4088000</v>
      </c>
      <c r="P24" s="140"/>
    </row>
    <row r="25" spans="1:16" ht="18" customHeight="1" x14ac:dyDescent="0.2">
      <c r="A25" s="87"/>
      <c r="B25" s="57" t="s">
        <v>42</v>
      </c>
      <c r="C25" s="56"/>
      <c r="D25" s="58" t="s">
        <v>43</v>
      </c>
      <c r="E25" s="87"/>
      <c r="F25" s="87"/>
      <c r="G25" s="87"/>
      <c r="H25" s="87"/>
      <c r="I25" s="87"/>
      <c r="J25" s="87"/>
      <c r="K25" s="87"/>
      <c r="L25" s="87"/>
      <c r="M25" s="88"/>
      <c r="N25" s="89" t="s">
        <v>52</v>
      </c>
      <c r="O25" s="90"/>
      <c r="P25" s="90">
        <v>0</v>
      </c>
    </row>
    <row r="26" spans="1:16" ht="18" customHeight="1" thickBot="1" x14ac:dyDescent="0.25">
      <c r="A26" s="87"/>
      <c r="B26" s="57"/>
      <c r="C26" s="56"/>
      <c r="D26" s="58"/>
      <c r="E26" s="87"/>
      <c r="F26" s="87"/>
      <c r="G26" s="87"/>
      <c r="H26" s="87"/>
      <c r="I26" s="87"/>
      <c r="J26" s="87"/>
      <c r="K26" s="87"/>
      <c r="L26" s="87"/>
      <c r="M26" s="88"/>
      <c r="N26" s="91" t="s">
        <v>53</v>
      </c>
      <c r="O26" s="92"/>
      <c r="P26" s="92">
        <f>O24-P25</f>
        <v>4088000</v>
      </c>
    </row>
    <row r="27" spans="1:16" ht="18" customHeight="1" x14ac:dyDescent="0.2">
      <c r="A27" s="11"/>
      <c r="H27" s="64"/>
      <c r="N27" s="63" t="s">
        <v>31</v>
      </c>
      <c r="P27" s="70">
        <f>P26*1%</f>
        <v>40880</v>
      </c>
    </row>
    <row r="28" spans="1:16" ht="18" customHeight="1" thickBot="1" x14ac:dyDescent="0.25">
      <c r="A28" s="11"/>
      <c r="H28" s="64"/>
      <c r="N28" s="63" t="s">
        <v>54</v>
      </c>
      <c r="P28" s="72">
        <f>P26*2%</f>
        <v>81760</v>
      </c>
    </row>
    <row r="29" spans="1:16" ht="18" customHeight="1" x14ac:dyDescent="0.2">
      <c r="A29" s="11"/>
      <c r="H29" s="64"/>
      <c r="N29" s="67" t="s">
        <v>32</v>
      </c>
      <c r="O29" s="68"/>
      <c r="P29" s="71">
        <f>P26+P27-P28</f>
        <v>4047120</v>
      </c>
    </row>
    <row r="31" spans="1:16" x14ac:dyDescent="0.2">
      <c r="A31" s="11"/>
      <c r="H31" s="64"/>
      <c r="P31" s="72"/>
    </row>
    <row r="32" spans="1:16" x14ac:dyDescent="0.2">
      <c r="A32" s="11"/>
      <c r="H32" s="64"/>
      <c r="O32" s="59"/>
      <c r="P32" s="72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483" priority="2"/>
  </conditionalFormatting>
  <conditionalFormatting sqref="B4">
    <cfRule type="duplicateValues" dxfId="482" priority="1"/>
  </conditionalFormatting>
  <conditionalFormatting sqref="B5:B23">
    <cfRule type="duplicateValues" dxfId="481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7"/>
  <sheetViews>
    <sheetView zoomScale="110" zoomScaleNormal="110" workbookViewId="0">
      <pane xSplit="3" ySplit="2" topLeftCell="D43" activePane="bottomRight" state="frozen"/>
      <selection pane="topRight" activeCell="B1" sqref="B1"/>
      <selection pane="bottomLeft" activeCell="A3" sqref="A3"/>
      <selection pane="bottomRight" activeCell="M45" sqref="M45"/>
    </sheetView>
  </sheetViews>
  <sheetFormatPr defaultRowHeight="15" x14ac:dyDescent="0.2"/>
  <cols>
    <col min="1" max="1" width="8" style="4" customWidth="1"/>
    <col min="2" max="2" width="19.5703125" style="2" customWidth="1"/>
    <col min="3" max="3" width="16.140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908</v>
      </c>
      <c r="B3" s="98" t="s">
        <v>278</v>
      </c>
      <c r="C3" s="1" t="s">
        <v>279</v>
      </c>
      <c r="D3" s="77" t="s">
        <v>90</v>
      </c>
      <c r="E3" s="13">
        <v>44448</v>
      </c>
      <c r="F3" s="77" t="s">
        <v>91</v>
      </c>
      <c r="G3" s="13">
        <v>44451</v>
      </c>
      <c r="H3" s="99" t="s">
        <v>325</v>
      </c>
      <c r="I3" s="1">
        <v>20</v>
      </c>
      <c r="J3" s="1">
        <v>13</v>
      </c>
      <c r="K3" s="1">
        <v>13</v>
      </c>
      <c r="L3" s="1">
        <v>5</v>
      </c>
      <c r="M3" s="81">
        <v>0.84499999999999997</v>
      </c>
      <c r="N3" s="8">
        <v>5</v>
      </c>
      <c r="O3" s="65">
        <v>7000</v>
      </c>
      <c r="P3" s="66">
        <f>Table2245789101123456789101112[[#This Row],[PEMBULATAN]]*O3</f>
        <v>35000</v>
      </c>
    </row>
    <row r="4" spans="1:16" ht="26.25" customHeight="1" x14ac:dyDescent="0.2">
      <c r="A4" s="100"/>
      <c r="B4" s="100"/>
      <c r="C4" s="1" t="s">
        <v>280</v>
      </c>
      <c r="D4" s="77" t="s">
        <v>90</v>
      </c>
      <c r="E4" s="13">
        <v>44448</v>
      </c>
      <c r="F4" s="77" t="s">
        <v>91</v>
      </c>
      <c r="G4" s="13">
        <v>44451</v>
      </c>
      <c r="H4" s="99" t="s">
        <v>325</v>
      </c>
      <c r="I4" s="1">
        <v>73</v>
      </c>
      <c r="J4" s="1">
        <v>41</v>
      </c>
      <c r="K4" s="1">
        <v>32</v>
      </c>
      <c r="L4" s="1">
        <v>11</v>
      </c>
      <c r="M4" s="81">
        <v>23.943999999999999</v>
      </c>
      <c r="N4" s="8">
        <v>24</v>
      </c>
      <c r="O4" s="65">
        <v>7000</v>
      </c>
      <c r="P4" s="66">
        <f>Table2245789101123456789101112[[#This Row],[PEMBULATAN]]*O4</f>
        <v>168000</v>
      </c>
    </row>
    <row r="5" spans="1:16" ht="26.25" customHeight="1" x14ac:dyDescent="0.2">
      <c r="A5" s="100"/>
      <c r="B5" s="100"/>
      <c r="C5" s="1" t="s">
        <v>281</v>
      </c>
      <c r="D5" s="77" t="s">
        <v>90</v>
      </c>
      <c r="E5" s="13">
        <v>44448</v>
      </c>
      <c r="F5" s="77" t="s">
        <v>91</v>
      </c>
      <c r="G5" s="13">
        <v>44451</v>
      </c>
      <c r="H5" s="99" t="s">
        <v>325</v>
      </c>
      <c r="I5" s="1">
        <v>47</v>
      </c>
      <c r="J5" s="1">
        <v>36</v>
      </c>
      <c r="K5" s="1">
        <v>17</v>
      </c>
      <c r="L5" s="1">
        <v>16</v>
      </c>
      <c r="M5" s="81">
        <v>7.1909999999999998</v>
      </c>
      <c r="N5" s="8">
        <v>16</v>
      </c>
      <c r="O5" s="65">
        <v>7000</v>
      </c>
      <c r="P5" s="66">
        <f>Table2245789101123456789101112[[#This Row],[PEMBULATAN]]*O5</f>
        <v>112000</v>
      </c>
    </row>
    <row r="6" spans="1:16" ht="26.25" customHeight="1" x14ac:dyDescent="0.2">
      <c r="A6" s="100"/>
      <c r="B6" s="100"/>
      <c r="C6" s="16" t="s">
        <v>282</v>
      </c>
      <c r="D6" s="79" t="s">
        <v>90</v>
      </c>
      <c r="E6" s="13">
        <v>44448</v>
      </c>
      <c r="F6" s="77" t="s">
        <v>91</v>
      </c>
      <c r="G6" s="13">
        <v>44451</v>
      </c>
      <c r="H6" s="101" t="s">
        <v>325</v>
      </c>
      <c r="I6" s="16">
        <v>104</v>
      </c>
      <c r="J6" s="16">
        <v>14</v>
      </c>
      <c r="K6" s="16">
        <v>14</v>
      </c>
      <c r="L6" s="16">
        <v>8</v>
      </c>
      <c r="M6" s="82">
        <v>5.0960000000000001</v>
      </c>
      <c r="N6" s="73">
        <v>8</v>
      </c>
      <c r="O6" s="65">
        <v>7000</v>
      </c>
      <c r="P6" s="66">
        <f>Table2245789101123456789101112[[#This Row],[PEMBULATAN]]*O6</f>
        <v>56000</v>
      </c>
    </row>
    <row r="7" spans="1:16" ht="26.25" customHeight="1" x14ac:dyDescent="0.2">
      <c r="A7" s="100"/>
      <c r="B7" s="100"/>
      <c r="C7" s="16" t="s">
        <v>283</v>
      </c>
      <c r="D7" s="79" t="s">
        <v>90</v>
      </c>
      <c r="E7" s="13">
        <v>44448</v>
      </c>
      <c r="F7" s="77" t="s">
        <v>91</v>
      </c>
      <c r="G7" s="13">
        <v>44451</v>
      </c>
      <c r="H7" s="101" t="s">
        <v>325</v>
      </c>
      <c r="I7" s="16">
        <v>80</v>
      </c>
      <c r="J7" s="16">
        <v>29</v>
      </c>
      <c r="K7" s="16">
        <v>20</v>
      </c>
      <c r="L7" s="16">
        <v>6</v>
      </c>
      <c r="M7" s="82">
        <v>11.6</v>
      </c>
      <c r="N7" s="73">
        <v>12</v>
      </c>
      <c r="O7" s="65">
        <v>7000</v>
      </c>
      <c r="P7" s="66">
        <f>Table2245789101123456789101112[[#This Row],[PEMBULATAN]]*O7</f>
        <v>84000</v>
      </c>
    </row>
    <row r="8" spans="1:16" ht="26.25" customHeight="1" x14ac:dyDescent="0.2">
      <c r="A8" s="100"/>
      <c r="B8" s="100"/>
      <c r="C8" s="16" t="s">
        <v>284</v>
      </c>
      <c r="D8" s="79" t="s">
        <v>90</v>
      </c>
      <c r="E8" s="13">
        <v>44448</v>
      </c>
      <c r="F8" s="77" t="s">
        <v>91</v>
      </c>
      <c r="G8" s="13">
        <v>44451</v>
      </c>
      <c r="H8" s="101" t="s">
        <v>325</v>
      </c>
      <c r="I8" s="16">
        <v>44</v>
      </c>
      <c r="J8" s="16">
        <v>44</v>
      </c>
      <c r="K8" s="16">
        <v>27</v>
      </c>
      <c r="L8" s="16">
        <v>7</v>
      </c>
      <c r="M8" s="82">
        <v>13.068</v>
      </c>
      <c r="N8" s="73">
        <v>13</v>
      </c>
      <c r="O8" s="65">
        <v>7000</v>
      </c>
      <c r="P8" s="66">
        <f>Table2245789101123456789101112[[#This Row],[PEMBULATAN]]*O8</f>
        <v>91000</v>
      </c>
    </row>
    <row r="9" spans="1:16" ht="26.25" customHeight="1" x14ac:dyDescent="0.2">
      <c r="A9" s="100"/>
      <c r="B9" s="100"/>
      <c r="C9" s="16" t="s">
        <v>285</v>
      </c>
      <c r="D9" s="79" t="s">
        <v>90</v>
      </c>
      <c r="E9" s="13">
        <v>44448</v>
      </c>
      <c r="F9" s="77" t="s">
        <v>91</v>
      </c>
      <c r="G9" s="13">
        <v>44451</v>
      </c>
      <c r="H9" s="101" t="s">
        <v>325</v>
      </c>
      <c r="I9" s="16">
        <v>49</v>
      </c>
      <c r="J9" s="16">
        <v>35</v>
      </c>
      <c r="K9" s="16">
        <v>30</v>
      </c>
      <c r="L9" s="16">
        <v>7</v>
      </c>
      <c r="M9" s="82">
        <v>12.862500000000001</v>
      </c>
      <c r="N9" s="73">
        <v>13</v>
      </c>
      <c r="O9" s="65">
        <v>7000</v>
      </c>
      <c r="P9" s="66">
        <f>Table2245789101123456789101112[[#This Row],[PEMBULATAN]]*O9</f>
        <v>91000</v>
      </c>
    </row>
    <row r="10" spans="1:16" ht="26.25" customHeight="1" x14ac:dyDescent="0.2">
      <c r="A10" s="100"/>
      <c r="B10" s="100"/>
      <c r="C10" s="16" t="s">
        <v>286</v>
      </c>
      <c r="D10" s="79" t="s">
        <v>90</v>
      </c>
      <c r="E10" s="13">
        <v>44448</v>
      </c>
      <c r="F10" s="77" t="s">
        <v>91</v>
      </c>
      <c r="G10" s="13">
        <v>44451</v>
      </c>
      <c r="H10" s="101" t="s">
        <v>325</v>
      </c>
      <c r="I10" s="16">
        <v>40</v>
      </c>
      <c r="J10" s="16">
        <v>30</v>
      </c>
      <c r="K10" s="16">
        <v>20</v>
      </c>
      <c r="L10" s="16">
        <v>18</v>
      </c>
      <c r="M10" s="82">
        <v>6</v>
      </c>
      <c r="N10" s="73">
        <v>18</v>
      </c>
      <c r="O10" s="65">
        <v>7000</v>
      </c>
      <c r="P10" s="66">
        <f>Table2245789101123456789101112[[#This Row],[PEMBULATAN]]*O10</f>
        <v>126000</v>
      </c>
    </row>
    <row r="11" spans="1:16" ht="26.25" customHeight="1" x14ac:dyDescent="0.2">
      <c r="A11" s="100"/>
      <c r="B11" s="100"/>
      <c r="C11" s="16" t="s">
        <v>287</v>
      </c>
      <c r="D11" s="79" t="s">
        <v>90</v>
      </c>
      <c r="E11" s="13">
        <v>44448</v>
      </c>
      <c r="F11" s="77" t="s">
        <v>91</v>
      </c>
      <c r="G11" s="13">
        <v>44451</v>
      </c>
      <c r="H11" s="101" t="s">
        <v>325</v>
      </c>
      <c r="I11" s="16">
        <v>77</v>
      </c>
      <c r="J11" s="16">
        <v>38</v>
      </c>
      <c r="K11" s="16">
        <v>37</v>
      </c>
      <c r="L11" s="16">
        <v>40</v>
      </c>
      <c r="M11" s="82">
        <v>27.0655</v>
      </c>
      <c r="N11" s="73">
        <v>40</v>
      </c>
      <c r="O11" s="65">
        <v>7000</v>
      </c>
      <c r="P11" s="66">
        <f>Table2245789101123456789101112[[#This Row],[PEMBULATAN]]*O11</f>
        <v>280000</v>
      </c>
    </row>
    <row r="12" spans="1:16" ht="26.25" customHeight="1" x14ac:dyDescent="0.2">
      <c r="A12" s="100"/>
      <c r="B12" s="100"/>
      <c r="C12" s="16" t="s">
        <v>288</v>
      </c>
      <c r="D12" s="79" t="s">
        <v>90</v>
      </c>
      <c r="E12" s="13">
        <v>44448</v>
      </c>
      <c r="F12" s="77" t="s">
        <v>91</v>
      </c>
      <c r="G12" s="13">
        <v>44451</v>
      </c>
      <c r="H12" s="101" t="s">
        <v>325</v>
      </c>
      <c r="I12" s="16">
        <v>37</v>
      </c>
      <c r="J12" s="16">
        <v>32</v>
      </c>
      <c r="K12" s="16">
        <v>16</v>
      </c>
      <c r="L12" s="16">
        <v>14</v>
      </c>
      <c r="M12" s="82">
        <v>4.7359999999999998</v>
      </c>
      <c r="N12" s="73">
        <v>14</v>
      </c>
      <c r="O12" s="65">
        <v>7000</v>
      </c>
      <c r="P12" s="66">
        <f>Table2245789101123456789101112[[#This Row],[PEMBULATAN]]*O12</f>
        <v>98000</v>
      </c>
    </row>
    <row r="13" spans="1:16" ht="26.25" customHeight="1" x14ac:dyDescent="0.2">
      <c r="A13" s="100"/>
      <c r="B13" s="100"/>
      <c r="C13" s="16" t="s">
        <v>289</v>
      </c>
      <c r="D13" s="79" t="s">
        <v>90</v>
      </c>
      <c r="E13" s="13">
        <v>44448</v>
      </c>
      <c r="F13" s="77" t="s">
        <v>91</v>
      </c>
      <c r="G13" s="13">
        <v>44451</v>
      </c>
      <c r="H13" s="101" t="s">
        <v>325</v>
      </c>
      <c r="I13" s="16">
        <v>63</v>
      </c>
      <c r="J13" s="16">
        <v>47</v>
      </c>
      <c r="K13" s="16">
        <v>15</v>
      </c>
      <c r="L13" s="16">
        <v>5</v>
      </c>
      <c r="M13" s="82">
        <v>11.10375</v>
      </c>
      <c r="N13" s="73">
        <v>11</v>
      </c>
      <c r="O13" s="65">
        <v>7000</v>
      </c>
      <c r="P13" s="66">
        <f>Table2245789101123456789101112[[#This Row],[PEMBULATAN]]*O13</f>
        <v>77000</v>
      </c>
    </row>
    <row r="14" spans="1:16" ht="26.25" customHeight="1" x14ac:dyDescent="0.2">
      <c r="A14" s="100"/>
      <c r="B14" s="100"/>
      <c r="C14" s="16" t="s">
        <v>290</v>
      </c>
      <c r="D14" s="79" t="s">
        <v>90</v>
      </c>
      <c r="E14" s="13">
        <v>44448</v>
      </c>
      <c r="F14" s="77" t="s">
        <v>91</v>
      </c>
      <c r="G14" s="13">
        <v>44451</v>
      </c>
      <c r="H14" s="101" t="s">
        <v>325</v>
      </c>
      <c r="I14" s="16">
        <v>65</v>
      </c>
      <c r="J14" s="16">
        <v>47</v>
      </c>
      <c r="K14" s="16">
        <v>12</v>
      </c>
      <c r="L14" s="16">
        <v>14</v>
      </c>
      <c r="M14" s="82">
        <v>9.1649999999999991</v>
      </c>
      <c r="N14" s="73">
        <v>14</v>
      </c>
      <c r="O14" s="65">
        <v>7000</v>
      </c>
      <c r="P14" s="66">
        <f>Table2245789101123456789101112[[#This Row],[PEMBULATAN]]*O14</f>
        <v>98000</v>
      </c>
    </row>
    <row r="15" spans="1:16" ht="26.25" customHeight="1" x14ac:dyDescent="0.2">
      <c r="A15" s="100"/>
      <c r="B15" s="100"/>
      <c r="C15" s="16" t="s">
        <v>291</v>
      </c>
      <c r="D15" s="79" t="s">
        <v>90</v>
      </c>
      <c r="E15" s="13">
        <v>44448</v>
      </c>
      <c r="F15" s="77" t="s">
        <v>91</v>
      </c>
      <c r="G15" s="13">
        <v>44451</v>
      </c>
      <c r="H15" s="101" t="s">
        <v>325</v>
      </c>
      <c r="I15" s="16">
        <v>50</v>
      </c>
      <c r="J15" s="16">
        <v>40</v>
      </c>
      <c r="K15" s="16">
        <v>33</v>
      </c>
      <c r="L15" s="16">
        <v>6</v>
      </c>
      <c r="M15" s="82">
        <v>16.5</v>
      </c>
      <c r="N15" s="73">
        <v>17</v>
      </c>
      <c r="O15" s="65">
        <v>7000</v>
      </c>
      <c r="P15" s="66">
        <f>Table2245789101123456789101112[[#This Row],[PEMBULATAN]]*O15</f>
        <v>119000</v>
      </c>
    </row>
    <row r="16" spans="1:16" ht="26.25" customHeight="1" x14ac:dyDescent="0.2">
      <c r="A16" s="100"/>
      <c r="B16" s="100"/>
      <c r="C16" s="16" t="s">
        <v>292</v>
      </c>
      <c r="D16" s="79" t="s">
        <v>90</v>
      </c>
      <c r="E16" s="13">
        <v>44448</v>
      </c>
      <c r="F16" s="77" t="s">
        <v>91</v>
      </c>
      <c r="G16" s="13">
        <v>44451</v>
      </c>
      <c r="H16" s="101" t="s">
        <v>325</v>
      </c>
      <c r="I16" s="16">
        <v>88</v>
      </c>
      <c r="J16" s="16">
        <v>17</v>
      </c>
      <c r="K16" s="16">
        <v>11</v>
      </c>
      <c r="L16" s="16">
        <v>5</v>
      </c>
      <c r="M16" s="82">
        <v>4.1139999999999999</v>
      </c>
      <c r="N16" s="73">
        <v>5</v>
      </c>
      <c r="O16" s="65">
        <v>7000</v>
      </c>
      <c r="P16" s="66">
        <f>Table2245789101123456789101112[[#This Row],[PEMBULATAN]]*O16</f>
        <v>35000</v>
      </c>
    </row>
    <row r="17" spans="1:16" ht="26.25" customHeight="1" x14ac:dyDescent="0.2">
      <c r="A17" s="100"/>
      <c r="B17" s="100"/>
      <c r="C17" s="16" t="s">
        <v>293</v>
      </c>
      <c r="D17" s="79" t="s">
        <v>90</v>
      </c>
      <c r="E17" s="13">
        <v>44448</v>
      </c>
      <c r="F17" s="77" t="s">
        <v>91</v>
      </c>
      <c r="G17" s="13">
        <v>44451</v>
      </c>
      <c r="H17" s="101" t="s">
        <v>325</v>
      </c>
      <c r="I17" s="16">
        <v>80</v>
      </c>
      <c r="J17" s="16">
        <v>50</v>
      </c>
      <c r="K17" s="16">
        <v>33</v>
      </c>
      <c r="L17" s="16">
        <v>16</v>
      </c>
      <c r="M17" s="82">
        <v>33</v>
      </c>
      <c r="N17" s="73">
        <v>33</v>
      </c>
      <c r="O17" s="65">
        <v>7000</v>
      </c>
      <c r="P17" s="66">
        <f>Table2245789101123456789101112[[#This Row],[PEMBULATAN]]*O17</f>
        <v>231000</v>
      </c>
    </row>
    <row r="18" spans="1:16" ht="26.25" customHeight="1" x14ac:dyDescent="0.2">
      <c r="A18" s="100"/>
      <c r="B18" s="100"/>
      <c r="C18" s="16" t="s">
        <v>294</v>
      </c>
      <c r="D18" s="79" t="s">
        <v>90</v>
      </c>
      <c r="E18" s="13">
        <v>44448</v>
      </c>
      <c r="F18" s="77" t="s">
        <v>91</v>
      </c>
      <c r="G18" s="13">
        <v>44451</v>
      </c>
      <c r="H18" s="101" t="s">
        <v>325</v>
      </c>
      <c r="I18" s="16">
        <v>35</v>
      </c>
      <c r="J18" s="16">
        <v>28</v>
      </c>
      <c r="K18" s="16">
        <v>36</v>
      </c>
      <c r="L18" s="16">
        <v>5</v>
      </c>
      <c r="M18" s="82">
        <v>8.82</v>
      </c>
      <c r="N18" s="73">
        <v>9</v>
      </c>
      <c r="O18" s="65">
        <v>7000</v>
      </c>
      <c r="P18" s="66">
        <f>Table2245789101123456789101112[[#This Row],[PEMBULATAN]]*O18</f>
        <v>63000</v>
      </c>
    </row>
    <row r="19" spans="1:16" ht="26.25" customHeight="1" x14ac:dyDescent="0.2">
      <c r="A19" s="100"/>
      <c r="B19" s="100"/>
      <c r="C19" s="16" t="s">
        <v>295</v>
      </c>
      <c r="D19" s="79" t="s">
        <v>90</v>
      </c>
      <c r="E19" s="13">
        <v>44448</v>
      </c>
      <c r="F19" s="77" t="s">
        <v>91</v>
      </c>
      <c r="G19" s="13">
        <v>44451</v>
      </c>
      <c r="H19" s="101" t="s">
        <v>325</v>
      </c>
      <c r="I19" s="16">
        <v>37</v>
      </c>
      <c r="J19" s="16">
        <v>28</v>
      </c>
      <c r="K19" s="16">
        <v>40</v>
      </c>
      <c r="L19" s="16">
        <v>8</v>
      </c>
      <c r="M19" s="82">
        <v>10.36</v>
      </c>
      <c r="N19" s="73">
        <v>11</v>
      </c>
      <c r="O19" s="65">
        <v>7000</v>
      </c>
      <c r="P19" s="66">
        <f>Table2245789101123456789101112[[#This Row],[PEMBULATAN]]*O19</f>
        <v>77000</v>
      </c>
    </row>
    <row r="20" spans="1:16" ht="26.25" customHeight="1" x14ac:dyDescent="0.2">
      <c r="A20" s="100"/>
      <c r="B20" s="100"/>
      <c r="C20" s="16" t="s">
        <v>296</v>
      </c>
      <c r="D20" s="79" t="s">
        <v>90</v>
      </c>
      <c r="E20" s="13">
        <v>44448</v>
      </c>
      <c r="F20" s="77" t="s">
        <v>91</v>
      </c>
      <c r="G20" s="13">
        <v>44451</v>
      </c>
      <c r="H20" s="101" t="s">
        <v>325</v>
      </c>
      <c r="I20" s="16">
        <v>38</v>
      </c>
      <c r="J20" s="16">
        <v>30</v>
      </c>
      <c r="K20" s="16">
        <v>38</v>
      </c>
      <c r="L20" s="16">
        <v>7</v>
      </c>
      <c r="M20" s="82">
        <v>10.83</v>
      </c>
      <c r="N20" s="73">
        <v>11</v>
      </c>
      <c r="O20" s="65">
        <v>7000</v>
      </c>
      <c r="P20" s="66">
        <f>Table2245789101123456789101112[[#This Row],[PEMBULATAN]]*O20</f>
        <v>77000</v>
      </c>
    </row>
    <row r="21" spans="1:16" ht="26.25" customHeight="1" x14ac:dyDescent="0.2">
      <c r="A21" s="100"/>
      <c r="B21" s="100"/>
      <c r="C21" s="16" t="s">
        <v>297</v>
      </c>
      <c r="D21" s="79" t="s">
        <v>90</v>
      </c>
      <c r="E21" s="13">
        <v>44448</v>
      </c>
      <c r="F21" s="77" t="s">
        <v>91</v>
      </c>
      <c r="G21" s="13">
        <v>44451</v>
      </c>
      <c r="H21" s="101" t="s">
        <v>325</v>
      </c>
      <c r="I21" s="16">
        <v>63</v>
      </c>
      <c r="J21" s="16">
        <v>42</v>
      </c>
      <c r="K21" s="16">
        <v>22</v>
      </c>
      <c r="L21" s="16">
        <v>8</v>
      </c>
      <c r="M21" s="82">
        <v>14.553000000000001</v>
      </c>
      <c r="N21" s="73">
        <v>15</v>
      </c>
      <c r="O21" s="65">
        <v>7000</v>
      </c>
      <c r="P21" s="66">
        <f>Table2245789101123456789101112[[#This Row],[PEMBULATAN]]*O21</f>
        <v>105000</v>
      </c>
    </row>
    <row r="22" spans="1:16" ht="26.25" customHeight="1" x14ac:dyDescent="0.2">
      <c r="A22" s="100"/>
      <c r="B22" s="100"/>
      <c r="C22" s="16" t="s">
        <v>298</v>
      </c>
      <c r="D22" s="79" t="s">
        <v>90</v>
      </c>
      <c r="E22" s="13">
        <v>44448</v>
      </c>
      <c r="F22" s="77" t="s">
        <v>91</v>
      </c>
      <c r="G22" s="13">
        <v>44451</v>
      </c>
      <c r="H22" s="101" t="s">
        <v>325</v>
      </c>
      <c r="I22" s="16">
        <v>80</v>
      </c>
      <c r="J22" s="16">
        <v>40</v>
      </c>
      <c r="K22" s="16">
        <v>40</v>
      </c>
      <c r="L22" s="16">
        <v>10</v>
      </c>
      <c r="M22" s="82">
        <v>32</v>
      </c>
      <c r="N22" s="73">
        <v>32</v>
      </c>
      <c r="O22" s="65">
        <v>7000</v>
      </c>
      <c r="P22" s="66">
        <f>Table2245789101123456789101112[[#This Row],[PEMBULATAN]]*O22</f>
        <v>224000</v>
      </c>
    </row>
    <row r="23" spans="1:16" ht="26.25" customHeight="1" x14ac:dyDescent="0.2">
      <c r="A23" s="100"/>
      <c r="B23" s="100"/>
      <c r="C23" s="16" t="s">
        <v>299</v>
      </c>
      <c r="D23" s="79" t="s">
        <v>90</v>
      </c>
      <c r="E23" s="13">
        <v>44448</v>
      </c>
      <c r="F23" s="77" t="s">
        <v>91</v>
      </c>
      <c r="G23" s="13">
        <v>44451</v>
      </c>
      <c r="H23" s="101" t="s">
        <v>325</v>
      </c>
      <c r="I23" s="16">
        <v>152</v>
      </c>
      <c r="J23" s="16">
        <v>13</v>
      </c>
      <c r="K23" s="16">
        <v>8</v>
      </c>
      <c r="L23" s="16">
        <v>18</v>
      </c>
      <c r="M23" s="82">
        <v>3.952</v>
      </c>
      <c r="N23" s="73">
        <v>18</v>
      </c>
      <c r="O23" s="65">
        <v>7000</v>
      </c>
      <c r="P23" s="66">
        <f>Table2245789101123456789101112[[#This Row],[PEMBULATAN]]*O23</f>
        <v>126000</v>
      </c>
    </row>
    <row r="24" spans="1:16" ht="26.25" customHeight="1" x14ac:dyDescent="0.2">
      <c r="A24" s="100"/>
      <c r="B24" s="100"/>
      <c r="C24" s="16" t="s">
        <v>300</v>
      </c>
      <c r="D24" s="79" t="s">
        <v>90</v>
      </c>
      <c r="E24" s="13">
        <v>44448</v>
      </c>
      <c r="F24" s="77" t="s">
        <v>91</v>
      </c>
      <c r="G24" s="13">
        <v>44451</v>
      </c>
      <c r="H24" s="101" t="s">
        <v>325</v>
      </c>
      <c r="I24" s="16">
        <v>70</v>
      </c>
      <c r="J24" s="16">
        <v>55</v>
      </c>
      <c r="K24" s="16">
        <v>16</v>
      </c>
      <c r="L24" s="16">
        <v>20</v>
      </c>
      <c r="M24" s="82">
        <v>15.4</v>
      </c>
      <c r="N24" s="73">
        <v>20</v>
      </c>
      <c r="O24" s="65">
        <v>7000</v>
      </c>
      <c r="P24" s="66">
        <f>Table2245789101123456789101112[[#This Row],[PEMBULATAN]]*O24</f>
        <v>140000</v>
      </c>
    </row>
    <row r="25" spans="1:16" ht="26.25" customHeight="1" x14ac:dyDescent="0.2">
      <c r="A25" s="100"/>
      <c r="B25" s="100"/>
      <c r="C25" s="16" t="s">
        <v>301</v>
      </c>
      <c r="D25" s="79" t="s">
        <v>90</v>
      </c>
      <c r="E25" s="13">
        <v>44448</v>
      </c>
      <c r="F25" s="77" t="s">
        <v>91</v>
      </c>
      <c r="G25" s="13">
        <v>44451</v>
      </c>
      <c r="H25" s="101" t="s">
        <v>325</v>
      </c>
      <c r="I25" s="16">
        <v>25</v>
      </c>
      <c r="J25" s="16">
        <v>11</v>
      </c>
      <c r="K25" s="16">
        <v>17</v>
      </c>
      <c r="L25" s="16">
        <v>23</v>
      </c>
      <c r="M25" s="82">
        <v>1.16875</v>
      </c>
      <c r="N25" s="73">
        <v>23</v>
      </c>
      <c r="O25" s="65">
        <v>7000</v>
      </c>
      <c r="P25" s="66">
        <f>Table2245789101123456789101112[[#This Row],[PEMBULATAN]]*O25</f>
        <v>161000</v>
      </c>
    </row>
    <row r="26" spans="1:16" ht="26.25" customHeight="1" x14ac:dyDescent="0.2">
      <c r="A26" s="100"/>
      <c r="B26" s="100"/>
      <c r="C26" s="16" t="s">
        <v>302</v>
      </c>
      <c r="D26" s="79" t="s">
        <v>90</v>
      </c>
      <c r="E26" s="13">
        <v>44448</v>
      </c>
      <c r="F26" s="77" t="s">
        <v>91</v>
      </c>
      <c r="G26" s="13">
        <v>44451</v>
      </c>
      <c r="H26" s="101" t="s">
        <v>325</v>
      </c>
      <c r="I26" s="16">
        <v>24</v>
      </c>
      <c r="J26" s="16">
        <v>18</v>
      </c>
      <c r="K26" s="16">
        <v>18</v>
      </c>
      <c r="L26" s="16">
        <v>24</v>
      </c>
      <c r="M26" s="82">
        <v>1.944</v>
      </c>
      <c r="N26" s="73">
        <v>24</v>
      </c>
      <c r="O26" s="65">
        <v>7000</v>
      </c>
      <c r="P26" s="66">
        <f>Table2245789101123456789101112[[#This Row],[PEMBULATAN]]*O26</f>
        <v>168000</v>
      </c>
    </row>
    <row r="27" spans="1:16" ht="26.25" customHeight="1" x14ac:dyDescent="0.2">
      <c r="A27" s="100"/>
      <c r="B27" s="100"/>
      <c r="C27" s="16" t="s">
        <v>303</v>
      </c>
      <c r="D27" s="79" t="s">
        <v>90</v>
      </c>
      <c r="E27" s="13">
        <v>44448</v>
      </c>
      <c r="F27" s="77" t="s">
        <v>91</v>
      </c>
      <c r="G27" s="13">
        <v>44451</v>
      </c>
      <c r="H27" s="101" t="s">
        <v>325</v>
      </c>
      <c r="I27" s="16">
        <v>88</v>
      </c>
      <c r="J27" s="16">
        <v>55</v>
      </c>
      <c r="K27" s="16">
        <v>43</v>
      </c>
      <c r="L27" s="16">
        <v>24</v>
      </c>
      <c r="M27" s="82">
        <v>52.03</v>
      </c>
      <c r="N27" s="73">
        <v>52</v>
      </c>
      <c r="O27" s="65">
        <v>7000</v>
      </c>
      <c r="P27" s="66">
        <f>Table2245789101123456789101112[[#This Row],[PEMBULATAN]]*O27</f>
        <v>364000</v>
      </c>
    </row>
    <row r="28" spans="1:16" ht="26.25" customHeight="1" x14ac:dyDescent="0.2">
      <c r="A28" s="100"/>
      <c r="B28" s="100"/>
      <c r="C28" s="16" t="s">
        <v>304</v>
      </c>
      <c r="D28" s="79" t="s">
        <v>90</v>
      </c>
      <c r="E28" s="13">
        <v>44448</v>
      </c>
      <c r="F28" s="77" t="s">
        <v>91</v>
      </c>
      <c r="G28" s="13">
        <v>44451</v>
      </c>
      <c r="H28" s="101" t="s">
        <v>325</v>
      </c>
      <c r="I28" s="16">
        <v>96</v>
      </c>
      <c r="J28" s="16">
        <v>77</v>
      </c>
      <c r="K28" s="16">
        <v>53</v>
      </c>
      <c r="L28" s="16">
        <v>50</v>
      </c>
      <c r="M28" s="82">
        <v>97.944000000000003</v>
      </c>
      <c r="N28" s="73">
        <v>98</v>
      </c>
      <c r="O28" s="65">
        <v>7000</v>
      </c>
      <c r="P28" s="66">
        <f>Table2245789101123456789101112[[#This Row],[PEMBULATAN]]*O28</f>
        <v>686000</v>
      </c>
    </row>
    <row r="29" spans="1:16" ht="26.25" customHeight="1" x14ac:dyDescent="0.2">
      <c r="A29" s="100"/>
      <c r="B29" s="100"/>
      <c r="C29" s="16" t="s">
        <v>305</v>
      </c>
      <c r="D29" s="79" t="s">
        <v>90</v>
      </c>
      <c r="E29" s="13">
        <v>44448</v>
      </c>
      <c r="F29" s="77" t="s">
        <v>91</v>
      </c>
      <c r="G29" s="13">
        <v>44451</v>
      </c>
      <c r="H29" s="101" t="s">
        <v>325</v>
      </c>
      <c r="I29" s="16">
        <v>30</v>
      </c>
      <c r="J29" s="16">
        <v>17</v>
      </c>
      <c r="K29" s="16">
        <v>10</v>
      </c>
      <c r="L29" s="16">
        <v>27</v>
      </c>
      <c r="M29" s="82">
        <v>1.2749999999999999</v>
      </c>
      <c r="N29" s="73">
        <v>27</v>
      </c>
      <c r="O29" s="65">
        <v>7000</v>
      </c>
      <c r="P29" s="66">
        <f>Table2245789101123456789101112[[#This Row],[PEMBULATAN]]*O29</f>
        <v>189000</v>
      </c>
    </row>
    <row r="30" spans="1:16" ht="26.25" customHeight="1" x14ac:dyDescent="0.2">
      <c r="A30" s="100"/>
      <c r="B30" s="103"/>
      <c r="C30" s="16" t="s">
        <v>306</v>
      </c>
      <c r="D30" s="79" t="s">
        <v>90</v>
      </c>
      <c r="E30" s="13">
        <v>44448</v>
      </c>
      <c r="F30" s="77" t="s">
        <v>91</v>
      </c>
      <c r="G30" s="13">
        <v>44451</v>
      </c>
      <c r="H30" s="101" t="s">
        <v>325</v>
      </c>
      <c r="I30" s="16">
        <v>55</v>
      </c>
      <c r="J30" s="16">
        <v>36</v>
      </c>
      <c r="K30" s="16">
        <v>23</v>
      </c>
      <c r="L30" s="16">
        <v>8</v>
      </c>
      <c r="M30" s="82">
        <v>11.385</v>
      </c>
      <c r="N30" s="73">
        <v>12</v>
      </c>
      <c r="O30" s="65">
        <v>7000</v>
      </c>
      <c r="P30" s="66">
        <f>Table2245789101123456789101112[[#This Row],[PEMBULATAN]]*O30</f>
        <v>84000</v>
      </c>
    </row>
    <row r="31" spans="1:16" ht="26.25" customHeight="1" x14ac:dyDescent="0.2">
      <c r="A31" s="100"/>
      <c r="B31" s="100" t="s">
        <v>307</v>
      </c>
      <c r="C31" s="16" t="s">
        <v>308</v>
      </c>
      <c r="D31" s="79" t="s">
        <v>90</v>
      </c>
      <c r="E31" s="13">
        <v>44448</v>
      </c>
      <c r="F31" s="77" t="s">
        <v>91</v>
      </c>
      <c r="G31" s="13">
        <v>44451</v>
      </c>
      <c r="H31" s="101" t="s">
        <v>325</v>
      </c>
      <c r="I31" s="16">
        <v>66</v>
      </c>
      <c r="J31" s="16">
        <v>62</v>
      </c>
      <c r="K31" s="16">
        <v>27</v>
      </c>
      <c r="L31" s="16">
        <v>28</v>
      </c>
      <c r="M31" s="82">
        <v>27.620999999999999</v>
      </c>
      <c r="N31" s="73">
        <v>28</v>
      </c>
      <c r="O31" s="65">
        <v>7000</v>
      </c>
      <c r="P31" s="66">
        <f>Table2245789101123456789101112[[#This Row],[PEMBULATAN]]*O31</f>
        <v>196000</v>
      </c>
    </row>
    <row r="32" spans="1:16" ht="26.25" customHeight="1" x14ac:dyDescent="0.2">
      <c r="A32" s="100"/>
      <c r="B32" s="100"/>
      <c r="C32" s="16" t="s">
        <v>309</v>
      </c>
      <c r="D32" s="79" t="s">
        <v>90</v>
      </c>
      <c r="E32" s="13">
        <v>44448</v>
      </c>
      <c r="F32" s="77" t="s">
        <v>91</v>
      </c>
      <c r="G32" s="13">
        <v>44451</v>
      </c>
      <c r="H32" s="101" t="s">
        <v>325</v>
      </c>
      <c r="I32" s="16">
        <v>60</v>
      </c>
      <c r="J32" s="16">
        <v>43</v>
      </c>
      <c r="K32" s="16">
        <v>30</v>
      </c>
      <c r="L32" s="16">
        <v>7</v>
      </c>
      <c r="M32" s="82">
        <v>19.350000000000001</v>
      </c>
      <c r="N32" s="73">
        <v>20</v>
      </c>
      <c r="O32" s="65">
        <v>7000</v>
      </c>
      <c r="P32" s="66">
        <f>Table2245789101123456789101112[[#This Row],[PEMBULATAN]]*O32</f>
        <v>140000</v>
      </c>
    </row>
    <row r="33" spans="1:16" ht="26.25" customHeight="1" x14ac:dyDescent="0.2">
      <c r="A33" s="100"/>
      <c r="B33" s="100"/>
      <c r="C33" s="16" t="s">
        <v>310</v>
      </c>
      <c r="D33" s="79" t="s">
        <v>90</v>
      </c>
      <c r="E33" s="13">
        <v>44448</v>
      </c>
      <c r="F33" s="77" t="s">
        <v>91</v>
      </c>
      <c r="G33" s="13">
        <v>44451</v>
      </c>
      <c r="H33" s="101" t="s">
        <v>325</v>
      </c>
      <c r="I33" s="16">
        <v>30</v>
      </c>
      <c r="J33" s="16">
        <v>25</v>
      </c>
      <c r="K33" s="16">
        <v>15</v>
      </c>
      <c r="L33" s="16">
        <v>1</v>
      </c>
      <c r="M33" s="82">
        <v>2.8125</v>
      </c>
      <c r="N33" s="73">
        <v>3</v>
      </c>
      <c r="O33" s="65">
        <v>7000</v>
      </c>
      <c r="P33" s="66">
        <f>Table2245789101123456789101112[[#This Row],[PEMBULATAN]]*O33</f>
        <v>21000</v>
      </c>
    </row>
    <row r="34" spans="1:16" ht="26.25" customHeight="1" x14ac:dyDescent="0.2">
      <c r="A34" s="100"/>
      <c r="B34" s="103"/>
      <c r="C34" s="16" t="s">
        <v>311</v>
      </c>
      <c r="D34" s="79" t="s">
        <v>90</v>
      </c>
      <c r="E34" s="13">
        <v>44448</v>
      </c>
      <c r="F34" s="77" t="s">
        <v>91</v>
      </c>
      <c r="G34" s="13">
        <v>44451</v>
      </c>
      <c r="H34" s="101" t="s">
        <v>325</v>
      </c>
      <c r="I34" s="16">
        <v>100</v>
      </c>
      <c r="J34" s="16">
        <v>56</v>
      </c>
      <c r="K34" s="16">
        <v>45</v>
      </c>
      <c r="L34" s="16">
        <v>24</v>
      </c>
      <c r="M34" s="82">
        <v>63</v>
      </c>
      <c r="N34" s="73">
        <v>63</v>
      </c>
      <c r="O34" s="65">
        <v>7000</v>
      </c>
      <c r="P34" s="66">
        <f>Table2245789101123456789101112[[#This Row],[PEMBULATAN]]*O34</f>
        <v>441000</v>
      </c>
    </row>
    <row r="35" spans="1:16" ht="26.25" customHeight="1" x14ac:dyDescent="0.2">
      <c r="A35" s="100"/>
      <c r="B35" s="100" t="s">
        <v>312</v>
      </c>
      <c r="C35" s="16" t="s">
        <v>313</v>
      </c>
      <c r="D35" s="79" t="s">
        <v>90</v>
      </c>
      <c r="E35" s="13">
        <v>44448</v>
      </c>
      <c r="F35" s="77" t="s">
        <v>91</v>
      </c>
      <c r="G35" s="13">
        <v>44451</v>
      </c>
      <c r="H35" s="101" t="s">
        <v>325</v>
      </c>
      <c r="I35" s="16">
        <v>41</v>
      </c>
      <c r="J35" s="16">
        <v>30</v>
      </c>
      <c r="K35" s="16">
        <v>34</v>
      </c>
      <c r="L35" s="16">
        <v>9</v>
      </c>
      <c r="M35" s="82">
        <v>10.455</v>
      </c>
      <c r="N35" s="73">
        <v>11</v>
      </c>
      <c r="O35" s="65">
        <v>7000</v>
      </c>
      <c r="P35" s="66">
        <f>Table2245789101123456789101112[[#This Row],[PEMBULATAN]]*O35</f>
        <v>77000</v>
      </c>
    </row>
    <row r="36" spans="1:16" ht="26.25" customHeight="1" x14ac:dyDescent="0.2">
      <c r="A36" s="100"/>
      <c r="B36" s="100"/>
      <c r="C36" s="16" t="s">
        <v>314</v>
      </c>
      <c r="D36" s="79" t="s">
        <v>90</v>
      </c>
      <c r="E36" s="13">
        <v>44448</v>
      </c>
      <c r="F36" s="77" t="s">
        <v>91</v>
      </c>
      <c r="G36" s="13">
        <v>44451</v>
      </c>
      <c r="H36" s="101" t="s">
        <v>325</v>
      </c>
      <c r="I36" s="16">
        <v>35</v>
      </c>
      <c r="J36" s="16">
        <v>30</v>
      </c>
      <c r="K36" s="16">
        <v>18</v>
      </c>
      <c r="L36" s="16">
        <v>10</v>
      </c>
      <c r="M36" s="82">
        <v>4.7249999999999996</v>
      </c>
      <c r="N36" s="73">
        <v>10</v>
      </c>
      <c r="O36" s="65">
        <v>7000</v>
      </c>
      <c r="P36" s="66">
        <f>Table2245789101123456789101112[[#This Row],[PEMBULATAN]]*O36</f>
        <v>70000</v>
      </c>
    </row>
    <row r="37" spans="1:16" ht="26.25" customHeight="1" x14ac:dyDescent="0.2">
      <c r="A37" s="100"/>
      <c r="B37" s="100"/>
      <c r="C37" s="16" t="s">
        <v>315</v>
      </c>
      <c r="D37" s="79" t="s">
        <v>90</v>
      </c>
      <c r="E37" s="13">
        <v>44448</v>
      </c>
      <c r="F37" s="77" t="s">
        <v>91</v>
      </c>
      <c r="G37" s="13">
        <v>44451</v>
      </c>
      <c r="H37" s="101" t="s">
        <v>325</v>
      </c>
      <c r="I37" s="16">
        <v>36</v>
      </c>
      <c r="J37" s="16">
        <v>19</v>
      </c>
      <c r="K37" s="16">
        <v>35</v>
      </c>
      <c r="L37" s="16">
        <v>12</v>
      </c>
      <c r="M37" s="82">
        <v>5.9850000000000003</v>
      </c>
      <c r="N37" s="73">
        <v>12</v>
      </c>
      <c r="O37" s="65">
        <v>7000</v>
      </c>
      <c r="P37" s="66">
        <f>Table2245789101123456789101112[[#This Row],[PEMBULATAN]]*O37</f>
        <v>84000</v>
      </c>
    </row>
    <row r="38" spans="1:16" ht="26.25" customHeight="1" x14ac:dyDescent="0.2">
      <c r="A38" s="100"/>
      <c r="B38" s="100"/>
      <c r="C38" s="16" t="s">
        <v>316</v>
      </c>
      <c r="D38" s="79" t="s">
        <v>90</v>
      </c>
      <c r="E38" s="13">
        <v>44448</v>
      </c>
      <c r="F38" s="77" t="s">
        <v>91</v>
      </c>
      <c r="G38" s="13">
        <v>44451</v>
      </c>
      <c r="H38" s="101" t="s">
        <v>325</v>
      </c>
      <c r="I38" s="16">
        <v>44</v>
      </c>
      <c r="J38" s="16">
        <v>33</v>
      </c>
      <c r="K38" s="16">
        <v>30</v>
      </c>
      <c r="L38" s="16">
        <v>9</v>
      </c>
      <c r="M38" s="82">
        <v>10.89</v>
      </c>
      <c r="N38" s="73">
        <v>11</v>
      </c>
      <c r="O38" s="65">
        <v>7000</v>
      </c>
      <c r="P38" s="66">
        <f>Table2245789101123456789101112[[#This Row],[PEMBULATAN]]*O38</f>
        <v>77000</v>
      </c>
    </row>
    <row r="39" spans="1:16" ht="26.25" customHeight="1" x14ac:dyDescent="0.2">
      <c r="A39" s="100"/>
      <c r="B39" s="100"/>
      <c r="C39" s="16" t="s">
        <v>317</v>
      </c>
      <c r="D39" s="79" t="s">
        <v>90</v>
      </c>
      <c r="E39" s="13">
        <v>44448</v>
      </c>
      <c r="F39" s="77" t="s">
        <v>91</v>
      </c>
      <c r="G39" s="13">
        <v>44451</v>
      </c>
      <c r="H39" s="101" t="s">
        <v>325</v>
      </c>
      <c r="I39" s="16">
        <v>36</v>
      </c>
      <c r="J39" s="16">
        <v>20</v>
      </c>
      <c r="K39" s="16">
        <v>34</v>
      </c>
      <c r="L39" s="16">
        <v>12</v>
      </c>
      <c r="M39" s="82">
        <v>6.12</v>
      </c>
      <c r="N39" s="73">
        <v>12</v>
      </c>
      <c r="O39" s="65">
        <v>7000</v>
      </c>
      <c r="P39" s="66">
        <f>Table2245789101123456789101112[[#This Row],[PEMBULATAN]]*O39</f>
        <v>84000</v>
      </c>
    </row>
    <row r="40" spans="1:16" ht="26.25" customHeight="1" x14ac:dyDescent="0.2">
      <c r="A40" s="100"/>
      <c r="B40" s="100"/>
      <c r="C40" s="16" t="s">
        <v>318</v>
      </c>
      <c r="D40" s="79" t="s">
        <v>90</v>
      </c>
      <c r="E40" s="13">
        <v>44448</v>
      </c>
      <c r="F40" s="77" t="s">
        <v>91</v>
      </c>
      <c r="G40" s="13">
        <v>44451</v>
      </c>
      <c r="H40" s="101" t="s">
        <v>325</v>
      </c>
      <c r="I40" s="16">
        <v>36</v>
      </c>
      <c r="J40" s="16">
        <v>20</v>
      </c>
      <c r="K40" s="16">
        <v>34</v>
      </c>
      <c r="L40" s="16">
        <v>12</v>
      </c>
      <c r="M40" s="82">
        <v>6.12</v>
      </c>
      <c r="N40" s="73">
        <v>12</v>
      </c>
      <c r="O40" s="65">
        <v>7000</v>
      </c>
      <c r="P40" s="66">
        <f>Table2245789101123456789101112[[#This Row],[PEMBULATAN]]*O40</f>
        <v>84000</v>
      </c>
    </row>
    <row r="41" spans="1:16" ht="26.25" customHeight="1" x14ac:dyDescent="0.2">
      <c r="A41" s="100"/>
      <c r="B41" s="100"/>
      <c r="C41" s="16" t="s">
        <v>319</v>
      </c>
      <c r="D41" s="79" t="s">
        <v>90</v>
      </c>
      <c r="E41" s="13">
        <v>44448</v>
      </c>
      <c r="F41" s="77" t="s">
        <v>91</v>
      </c>
      <c r="G41" s="13">
        <v>44451</v>
      </c>
      <c r="H41" s="101" t="s">
        <v>325</v>
      </c>
      <c r="I41" s="16">
        <v>36</v>
      </c>
      <c r="J41" s="16">
        <v>20</v>
      </c>
      <c r="K41" s="16">
        <v>34</v>
      </c>
      <c r="L41" s="16">
        <v>12</v>
      </c>
      <c r="M41" s="82">
        <v>6.12</v>
      </c>
      <c r="N41" s="73">
        <v>12</v>
      </c>
      <c r="O41" s="65">
        <v>7000</v>
      </c>
      <c r="P41" s="66">
        <f>Table2245789101123456789101112[[#This Row],[PEMBULATAN]]*O41</f>
        <v>84000</v>
      </c>
    </row>
    <row r="42" spans="1:16" ht="26.25" customHeight="1" x14ac:dyDescent="0.2">
      <c r="A42" s="100"/>
      <c r="B42" s="100"/>
      <c r="C42" s="16" t="s">
        <v>320</v>
      </c>
      <c r="D42" s="79" t="s">
        <v>90</v>
      </c>
      <c r="E42" s="13">
        <v>44448</v>
      </c>
      <c r="F42" s="77" t="s">
        <v>91</v>
      </c>
      <c r="G42" s="13">
        <v>44451</v>
      </c>
      <c r="H42" s="101" t="s">
        <v>325</v>
      </c>
      <c r="I42" s="16">
        <v>36</v>
      </c>
      <c r="J42" s="16">
        <v>20</v>
      </c>
      <c r="K42" s="16">
        <v>34</v>
      </c>
      <c r="L42" s="16">
        <v>12</v>
      </c>
      <c r="M42" s="82">
        <v>6.12</v>
      </c>
      <c r="N42" s="73">
        <v>12</v>
      </c>
      <c r="O42" s="65">
        <v>7000</v>
      </c>
      <c r="P42" s="66">
        <f>Table2245789101123456789101112[[#This Row],[PEMBULATAN]]*O42</f>
        <v>84000</v>
      </c>
    </row>
    <row r="43" spans="1:16" ht="26.25" customHeight="1" x14ac:dyDescent="0.2">
      <c r="A43" s="100"/>
      <c r="B43" s="100"/>
      <c r="C43" s="16" t="s">
        <v>321</v>
      </c>
      <c r="D43" s="79" t="s">
        <v>90</v>
      </c>
      <c r="E43" s="13">
        <v>44448</v>
      </c>
      <c r="F43" s="77" t="s">
        <v>91</v>
      </c>
      <c r="G43" s="13">
        <v>44451</v>
      </c>
      <c r="H43" s="101" t="s">
        <v>325</v>
      </c>
      <c r="I43" s="16">
        <v>44</v>
      </c>
      <c r="J43" s="16">
        <v>33</v>
      </c>
      <c r="K43" s="16">
        <v>30</v>
      </c>
      <c r="L43" s="16">
        <v>9</v>
      </c>
      <c r="M43" s="82">
        <v>10.89</v>
      </c>
      <c r="N43" s="73">
        <v>11</v>
      </c>
      <c r="O43" s="65">
        <v>7000</v>
      </c>
      <c r="P43" s="66">
        <f>Table2245789101123456789101112[[#This Row],[PEMBULATAN]]*O43</f>
        <v>77000</v>
      </c>
    </row>
    <row r="44" spans="1:16" ht="26.25" customHeight="1" x14ac:dyDescent="0.2">
      <c r="A44" s="100"/>
      <c r="B44" s="100"/>
      <c r="C44" s="16" t="s">
        <v>322</v>
      </c>
      <c r="D44" s="79" t="s">
        <v>90</v>
      </c>
      <c r="E44" s="13">
        <v>44448</v>
      </c>
      <c r="F44" s="77" t="s">
        <v>91</v>
      </c>
      <c r="G44" s="13">
        <v>44451</v>
      </c>
      <c r="H44" s="101" t="s">
        <v>325</v>
      </c>
      <c r="I44" s="16">
        <v>49</v>
      </c>
      <c r="J44" s="16">
        <v>37</v>
      </c>
      <c r="K44" s="16">
        <v>31</v>
      </c>
      <c r="L44" s="16">
        <v>12</v>
      </c>
      <c r="M44" s="82">
        <v>14.050750000000001</v>
      </c>
      <c r="N44" s="73">
        <v>14</v>
      </c>
      <c r="O44" s="65">
        <v>7000</v>
      </c>
      <c r="P44" s="66">
        <f>Table2245789101123456789101112[[#This Row],[PEMBULATAN]]*O44</f>
        <v>98000</v>
      </c>
    </row>
    <row r="45" spans="1:16" ht="26.25" customHeight="1" x14ac:dyDescent="0.2">
      <c r="A45" s="100"/>
      <c r="B45" s="100"/>
      <c r="C45" s="16" t="s">
        <v>323</v>
      </c>
      <c r="D45" s="79" t="s">
        <v>90</v>
      </c>
      <c r="E45" s="13">
        <v>44448</v>
      </c>
      <c r="F45" s="77" t="s">
        <v>91</v>
      </c>
      <c r="G45" s="13">
        <v>44451</v>
      </c>
      <c r="H45" s="101" t="s">
        <v>325</v>
      </c>
      <c r="I45" s="16">
        <v>38</v>
      </c>
      <c r="J45" s="16">
        <v>18</v>
      </c>
      <c r="K45" s="16">
        <v>30</v>
      </c>
      <c r="L45" s="16">
        <v>10</v>
      </c>
      <c r="M45" s="82">
        <v>5.13</v>
      </c>
      <c r="N45" s="73">
        <v>10</v>
      </c>
      <c r="O45" s="65">
        <v>7000</v>
      </c>
      <c r="P45" s="66">
        <f>Table2245789101123456789101112[[#This Row],[PEMBULATAN]]*O45</f>
        <v>70000</v>
      </c>
    </row>
    <row r="46" spans="1:16" ht="26.25" customHeight="1" x14ac:dyDescent="0.2">
      <c r="A46" s="100"/>
      <c r="B46" s="100"/>
      <c r="C46" s="16" t="s">
        <v>324</v>
      </c>
      <c r="D46" s="79" t="s">
        <v>90</v>
      </c>
      <c r="E46" s="13">
        <v>44448</v>
      </c>
      <c r="F46" s="77" t="s">
        <v>91</v>
      </c>
      <c r="G46" s="13">
        <v>44451</v>
      </c>
      <c r="H46" s="101" t="s">
        <v>325</v>
      </c>
      <c r="I46" s="16">
        <v>40</v>
      </c>
      <c r="J46" s="16">
        <v>30</v>
      </c>
      <c r="K46" s="16">
        <v>17</v>
      </c>
      <c r="L46" s="16">
        <v>10</v>
      </c>
      <c r="M46" s="82">
        <v>5.0999999999999996</v>
      </c>
      <c r="N46" s="73">
        <v>10</v>
      </c>
      <c r="O46" s="65">
        <v>7000</v>
      </c>
      <c r="P46" s="66">
        <f>Table2245789101123456789101112[[#This Row],[PEMBULATAN]]*O46</f>
        <v>70000</v>
      </c>
    </row>
    <row r="47" spans="1:16" ht="22.5" customHeight="1" x14ac:dyDescent="0.2">
      <c r="A47" s="136" t="s">
        <v>30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8"/>
      <c r="M47" s="80">
        <f>SUBTOTAL(109,Table2245789101123456789101112[KG VOLUME])</f>
        <v>652.44174999999996</v>
      </c>
      <c r="N47" s="69">
        <f>SUM(N3:N46)</f>
        <v>846</v>
      </c>
      <c r="O47" s="139">
        <f>SUM(P3:P46)</f>
        <v>5922000</v>
      </c>
      <c r="P47" s="140"/>
    </row>
    <row r="48" spans="1:16" ht="18" customHeight="1" x14ac:dyDescent="0.2">
      <c r="A48" s="87"/>
      <c r="B48" s="57" t="s">
        <v>42</v>
      </c>
      <c r="C48" s="56"/>
      <c r="D48" s="58" t="s">
        <v>43</v>
      </c>
      <c r="E48" s="87"/>
      <c r="F48" s="87"/>
      <c r="G48" s="87"/>
      <c r="H48" s="87"/>
      <c r="I48" s="87"/>
      <c r="J48" s="87"/>
      <c r="K48" s="87"/>
      <c r="L48" s="87"/>
      <c r="M48" s="88"/>
      <c r="N48" s="89" t="s">
        <v>52</v>
      </c>
      <c r="O48" s="90"/>
      <c r="P48" s="90">
        <v>0</v>
      </c>
    </row>
    <row r="49" spans="1:16" ht="18" customHeight="1" thickBot="1" x14ac:dyDescent="0.25">
      <c r="A49" s="87"/>
      <c r="B49" s="57"/>
      <c r="C49" s="56"/>
      <c r="D49" s="58"/>
      <c r="E49" s="87"/>
      <c r="F49" s="87"/>
      <c r="G49" s="87"/>
      <c r="H49" s="87"/>
      <c r="I49" s="87"/>
      <c r="J49" s="87"/>
      <c r="K49" s="87"/>
      <c r="L49" s="87"/>
      <c r="M49" s="88"/>
      <c r="N49" s="91" t="s">
        <v>53</v>
      </c>
      <c r="O49" s="92"/>
      <c r="P49" s="92">
        <f>O47-P48</f>
        <v>5922000</v>
      </c>
    </row>
    <row r="50" spans="1:16" ht="18" customHeight="1" x14ac:dyDescent="0.2">
      <c r="A50" s="11"/>
      <c r="H50" s="64"/>
      <c r="N50" s="63" t="s">
        <v>31</v>
      </c>
      <c r="P50" s="70">
        <f>P49*1%</f>
        <v>59220</v>
      </c>
    </row>
    <row r="51" spans="1:16" ht="18" customHeight="1" thickBot="1" x14ac:dyDescent="0.25">
      <c r="A51" s="11"/>
      <c r="H51" s="64"/>
      <c r="N51" s="63" t="s">
        <v>54</v>
      </c>
      <c r="P51" s="72">
        <f>P49*2%</f>
        <v>118440</v>
      </c>
    </row>
    <row r="52" spans="1:16" ht="18" customHeight="1" x14ac:dyDescent="0.2">
      <c r="A52" s="11"/>
      <c r="H52" s="64"/>
      <c r="N52" s="67" t="s">
        <v>32</v>
      </c>
      <c r="O52" s="68"/>
      <c r="P52" s="71">
        <f>P49+P50-P51</f>
        <v>5862780</v>
      </c>
    </row>
    <row r="54" spans="1:16" x14ac:dyDescent="0.2">
      <c r="A54" s="11"/>
      <c r="H54" s="64"/>
      <c r="P54" s="72"/>
    </row>
    <row r="55" spans="1:16" x14ac:dyDescent="0.2">
      <c r="A55" s="11"/>
      <c r="H55" s="64"/>
      <c r="O55" s="59"/>
      <c r="P55" s="72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</sheetData>
  <mergeCells count="2">
    <mergeCell ref="A47:L47"/>
    <mergeCell ref="O47:P47"/>
  </mergeCells>
  <conditionalFormatting sqref="B3">
    <cfRule type="duplicateValues" dxfId="465" priority="2"/>
  </conditionalFormatting>
  <conditionalFormatting sqref="B4">
    <cfRule type="duplicateValues" dxfId="464" priority="1"/>
  </conditionalFormatting>
  <conditionalFormatting sqref="B5:B46">
    <cfRule type="duplicateValues" dxfId="463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s="102" customFormat="1" ht="26.25" customHeight="1" x14ac:dyDescent="0.2">
      <c r="A3" s="98" t="s">
        <v>910</v>
      </c>
      <c r="B3" s="98" t="s">
        <v>326</v>
      </c>
      <c r="C3" s="1" t="s">
        <v>327</v>
      </c>
      <c r="D3" s="77" t="s">
        <v>90</v>
      </c>
      <c r="E3" s="13">
        <v>44448</v>
      </c>
      <c r="F3" s="77" t="s">
        <v>91</v>
      </c>
      <c r="G3" s="13">
        <v>44451</v>
      </c>
      <c r="H3" s="99" t="s">
        <v>325</v>
      </c>
      <c r="I3" s="1">
        <v>50</v>
      </c>
      <c r="J3" s="1">
        <v>30</v>
      </c>
      <c r="K3" s="1">
        <v>47</v>
      </c>
      <c r="L3" s="1">
        <v>4</v>
      </c>
      <c r="M3" s="81">
        <v>17.625</v>
      </c>
      <c r="N3" s="8">
        <v>18</v>
      </c>
      <c r="O3" s="65">
        <v>7000</v>
      </c>
      <c r="P3" s="66">
        <f>Table224578910112345678910111213[[#This Row],[PEMBULATAN]]*O3</f>
        <v>126000</v>
      </c>
    </row>
    <row r="4" spans="1:16" s="102" customFormat="1" ht="26.25" customHeight="1" x14ac:dyDescent="0.2">
      <c r="A4" s="100"/>
      <c r="B4" s="100"/>
      <c r="C4" s="1" t="s">
        <v>328</v>
      </c>
      <c r="D4" s="77" t="s">
        <v>90</v>
      </c>
      <c r="E4" s="13">
        <v>44448</v>
      </c>
      <c r="F4" s="77" t="s">
        <v>91</v>
      </c>
      <c r="G4" s="13">
        <v>44451</v>
      </c>
      <c r="H4" s="99" t="s">
        <v>325</v>
      </c>
      <c r="I4" s="1">
        <v>70</v>
      </c>
      <c r="J4" s="1">
        <v>52</v>
      </c>
      <c r="K4" s="1">
        <v>35</v>
      </c>
      <c r="L4" s="1">
        <v>15</v>
      </c>
      <c r="M4" s="81">
        <v>31.85</v>
      </c>
      <c r="N4" s="8">
        <v>32</v>
      </c>
      <c r="O4" s="65">
        <v>7000</v>
      </c>
      <c r="P4" s="66">
        <f>Table224578910112345678910111213[[#This Row],[PEMBULATAN]]*O4</f>
        <v>224000</v>
      </c>
    </row>
    <row r="5" spans="1:16" ht="22.5" customHeight="1" x14ac:dyDescent="0.2">
      <c r="A5" s="136" t="s">
        <v>30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8"/>
      <c r="M5" s="80">
        <f>SUBTOTAL(109,Table224578910112345678910111213[KG VOLUME])</f>
        <v>49.475000000000001</v>
      </c>
      <c r="N5" s="69">
        <f>SUM(N3:N4)</f>
        <v>50</v>
      </c>
      <c r="O5" s="139">
        <f>SUM(P3:P4)</f>
        <v>350000</v>
      </c>
      <c r="P5" s="140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52</v>
      </c>
      <c r="O6" s="90"/>
      <c r="P6" s="90">
        <v>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53</v>
      </c>
      <c r="O7" s="92"/>
      <c r="P7" s="92">
        <f>O5-P6</f>
        <v>350000</v>
      </c>
    </row>
    <row r="8" spans="1:16" ht="18" customHeight="1" x14ac:dyDescent="0.2">
      <c r="A8" s="11"/>
      <c r="H8" s="64"/>
      <c r="N8" s="63" t="s">
        <v>31</v>
      </c>
      <c r="P8" s="70">
        <f>P7*1%</f>
        <v>3500</v>
      </c>
    </row>
    <row r="9" spans="1:16" ht="18" customHeight="1" thickBot="1" x14ac:dyDescent="0.25">
      <c r="A9" s="11"/>
      <c r="H9" s="64"/>
      <c r="N9" s="63" t="s">
        <v>54</v>
      </c>
      <c r="P9" s="72">
        <f>P7*2%</f>
        <v>7000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346500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447" priority="2"/>
  </conditionalFormatting>
  <conditionalFormatting sqref="B4">
    <cfRule type="duplicateValues" dxfId="44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D30" sqref="D30"/>
    </sheetView>
  </sheetViews>
  <sheetFormatPr defaultRowHeight="15" x14ac:dyDescent="0.2"/>
  <cols>
    <col min="1" max="1" width="8" style="4" customWidth="1"/>
    <col min="2" max="2" width="20" style="2" customWidth="1"/>
    <col min="3" max="3" width="15.8554687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2.5" customHeight="1" x14ac:dyDescent="0.2">
      <c r="A3" s="98" t="s">
        <v>911</v>
      </c>
      <c r="B3" s="118" t="s">
        <v>329</v>
      </c>
      <c r="C3" s="1" t="s">
        <v>330</v>
      </c>
      <c r="D3" s="77" t="s">
        <v>90</v>
      </c>
      <c r="E3" s="13">
        <v>44449</v>
      </c>
      <c r="F3" s="77" t="s">
        <v>355</v>
      </c>
      <c r="G3" s="13">
        <v>44454</v>
      </c>
      <c r="H3" s="101" t="s">
        <v>369</v>
      </c>
      <c r="I3" s="1">
        <v>50</v>
      </c>
      <c r="J3" s="1">
        <v>48</v>
      </c>
      <c r="K3" s="1">
        <v>52</v>
      </c>
      <c r="L3" s="1">
        <v>14</v>
      </c>
      <c r="M3" s="81">
        <v>31.2</v>
      </c>
      <c r="N3" s="8">
        <v>31</v>
      </c>
      <c r="O3" s="65">
        <v>7000</v>
      </c>
      <c r="P3" s="66">
        <f>Table22457891011234567891011121314[[#This Row],[PEMBULATAN]]*O3</f>
        <v>217000</v>
      </c>
    </row>
    <row r="4" spans="1:16" ht="22.5" customHeight="1" x14ac:dyDescent="0.2">
      <c r="A4" s="100"/>
      <c r="B4" s="100" t="s">
        <v>331</v>
      </c>
      <c r="C4" s="1" t="s">
        <v>332</v>
      </c>
      <c r="D4" s="77" t="s">
        <v>90</v>
      </c>
      <c r="E4" s="13">
        <v>44449</v>
      </c>
      <c r="F4" s="77" t="s">
        <v>355</v>
      </c>
      <c r="G4" s="13">
        <v>44454</v>
      </c>
      <c r="H4" s="101" t="s">
        <v>369</v>
      </c>
      <c r="I4" s="1">
        <v>52</v>
      </c>
      <c r="J4" s="1">
        <v>43</v>
      </c>
      <c r="K4" s="1">
        <v>28</v>
      </c>
      <c r="L4" s="1">
        <v>9</v>
      </c>
      <c r="M4" s="81">
        <v>15.651999999999999</v>
      </c>
      <c r="N4" s="8">
        <v>16</v>
      </c>
      <c r="O4" s="65">
        <v>7000</v>
      </c>
      <c r="P4" s="66">
        <f>Table22457891011234567891011121314[[#This Row],[PEMBULATAN]]*O4</f>
        <v>112000</v>
      </c>
    </row>
    <row r="5" spans="1:16" ht="22.5" customHeight="1" x14ac:dyDescent="0.2">
      <c r="A5" s="100"/>
      <c r="B5" s="100"/>
      <c r="C5" s="1" t="s">
        <v>333</v>
      </c>
      <c r="D5" s="77" t="s">
        <v>90</v>
      </c>
      <c r="E5" s="13">
        <v>44449</v>
      </c>
      <c r="F5" s="77" t="s">
        <v>355</v>
      </c>
      <c r="G5" s="13">
        <v>44454</v>
      </c>
      <c r="H5" s="101" t="s">
        <v>369</v>
      </c>
      <c r="I5" s="1">
        <v>17</v>
      </c>
      <c r="J5" s="1">
        <v>9</v>
      </c>
      <c r="K5" s="1">
        <v>15</v>
      </c>
      <c r="L5" s="1">
        <v>1</v>
      </c>
      <c r="M5" s="81">
        <v>0.57374999999999998</v>
      </c>
      <c r="N5" s="8">
        <v>1</v>
      </c>
      <c r="O5" s="65">
        <v>7000</v>
      </c>
      <c r="P5" s="66">
        <f>Table22457891011234567891011121314[[#This Row],[PEMBULATAN]]*O5</f>
        <v>7000</v>
      </c>
    </row>
    <row r="6" spans="1:16" ht="22.5" customHeight="1" x14ac:dyDescent="0.2">
      <c r="A6" s="100"/>
      <c r="B6" s="103"/>
      <c r="C6" s="16" t="s">
        <v>334</v>
      </c>
      <c r="D6" s="79" t="s">
        <v>90</v>
      </c>
      <c r="E6" s="13">
        <v>44449</v>
      </c>
      <c r="F6" s="77" t="s">
        <v>355</v>
      </c>
      <c r="G6" s="13">
        <v>44454</v>
      </c>
      <c r="H6" s="101" t="s">
        <v>369</v>
      </c>
      <c r="I6" s="16">
        <v>40</v>
      </c>
      <c r="J6" s="16">
        <v>37</v>
      </c>
      <c r="K6" s="16">
        <v>12</v>
      </c>
      <c r="L6" s="16">
        <v>4</v>
      </c>
      <c r="M6" s="82">
        <v>4.4400000000000004</v>
      </c>
      <c r="N6" s="73">
        <v>5</v>
      </c>
      <c r="O6" s="65">
        <v>7000</v>
      </c>
      <c r="P6" s="66">
        <f>Table22457891011234567891011121314[[#This Row],[PEMBULATAN]]*O6</f>
        <v>35000</v>
      </c>
    </row>
    <row r="7" spans="1:16" ht="22.5" customHeight="1" x14ac:dyDescent="0.2">
      <c r="A7" s="100"/>
      <c r="B7" s="100" t="s">
        <v>335</v>
      </c>
      <c r="C7" s="16" t="s">
        <v>336</v>
      </c>
      <c r="D7" s="79" t="s">
        <v>90</v>
      </c>
      <c r="E7" s="13">
        <v>44449</v>
      </c>
      <c r="F7" s="77" t="s">
        <v>355</v>
      </c>
      <c r="G7" s="13">
        <v>44454</v>
      </c>
      <c r="H7" s="101" t="s">
        <v>369</v>
      </c>
      <c r="I7" s="16">
        <v>40</v>
      </c>
      <c r="J7" s="16">
        <v>26</v>
      </c>
      <c r="K7" s="16">
        <v>20</v>
      </c>
      <c r="L7" s="16">
        <v>6</v>
      </c>
      <c r="M7" s="82">
        <v>5.2</v>
      </c>
      <c r="N7" s="73">
        <v>6</v>
      </c>
      <c r="O7" s="65">
        <v>7000</v>
      </c>
      <c r="P7" s="66">
        <f>Table22457891011234567891011121314[[#This Row],[PEMBULATAN]]*O7</f>
        <v>42000</v>
      </c>
    </row>
    <row r="8" spans="1:16" ht="22.5" customHeight="1" x14ac:dyDescent="0.2">
      <c r="A8" s="100"/>
      <c r="B8" s="100"/>
      <c r="C8" s="16" t="s">
        <v>337</v>
      </c>
      <c r="D8" s="79" t="s">
        <v>90</v>
      </c>
      <c r="E8" s="13">
        <v>44449</v>
      </c>
      <c r="F8" s="77" t="s">
        <v>355</v>
      </c>
      <c r="G8" s="13">
        <v>44454</v>
      </c>
      <c r="H8" s="101" t="s">
        <v>369</v>
      </c>
      <c r="I8" s="16">
        <v>77</v>
      </c>
      <c r="J8" s="16">
        <v>85</v>
      </c>
      <c r="K8" s="16">
        <v>19</v>
      </c>
      <c r="L8" s="16">
        <v>6</v>
      </c>
      <c r="M8" s="82">
        <v>31.088750000000001</v>
      </c>
      <c r="N8" s="73">
        <v>31</v>
      </c>
      <c r="O8" s="65">
        <v>7000</v>
      </c>
      <c r="P8" s="66">
        <f>Table22457891011234567891011121314[[#This Row],[PEMBULATAN]]*O8</f>
        <v>217000</v>
      </c>
    </row>
    <row r="9" spans="1:16" ht="22.5" customHeight="1" x14ac:dyDescent="0.2">
      <c r="A9" s="100"/>
      <c r="B9" s="100"/>
      <c r="C9" s="16" t="s">
        <v>338</v>
      </c>
      <c r="D9" s="79" t="s">
        <v>90</v>
      </c>
      <c r="E9" s="13">
        <v>44449</v>
      </c>
      <c r="F9" s="77" t="s">
        <v>355</v>
      </c>
      <c r="G9" s="13">
        <v>44454</v>
      </c>
      <c r="H9" s="101" t="s">
        <v>369</v>
      </c>
      <c r="I9" s="16">
        <v>72</v>
      </c>
      <c r="J9" s="16">
        <v>34</v>
      </c>
      <c r="K9" s="16">
        <v>24</v>
      </c>
      <c r="L9" s="16">
        <v>5</v>
      </c>
      <c r="M9" s="82">
        <v>14.688000000000001</v>
      </c>
      <c r="N9" s="73">
        <v>15</v>
      </c>
      <c r="O9" s="65">
        <v>7000</v>
      </c>
      <c r="P9" s="66">
        <f>Table22457891011234567891011121314[[#This Row],[PEMBULATAN]]*O9</f>
        <v>105000</v>
      </c>
    </row>
    <row r="10" spans="1:16" ht="22.5" customHeight="1" x14ac:dyDescent="0.2">
      <c r="A10" s="100"/>
      <c r="B10" s="100"/>
      <c r="C10" s="16" t="s">
        <v>339</v>
      </c>
      <c r="D10" s="79" t="s">
        <v>90</v>
      </c>
      <c r="E10" s="13">
        <v>44449</v>
      </c>
      <c r="F10" s="77" t="s">
        <v>355</v>
      </c>
      <c r="G10" s="13">
        <v>44454</v>
      </c>
      <c r="H10" s="101" t="s">
        <v>369</v>
      </c>
      <c r="I10" s="16">
        <v>26</v>
      </c>
      <c r="J10" s="16">
        <v>14</v>
      </c>
      <c r="K10" s="16">
        <v>15</v>
      </c>
      <c r="L10" s="16">
        <v>5</v>
      </c>
      <c r="M10" s="82">
        <v>1.365</v>
      </c>
      <c r="N10" s="73">
        <v>5</v>
      </c>
      <c r="O10" s="65">
        <v>7000</v>
      </c>
      <c r="P10" s="66">
        <f>Table22457891011234567891011121314[[#This Row],[PEMBULATAN]]*O10</f>
        <v>35000</v>
      </c>
    </row>
    <row r="11" spans="1:16" ht="22.5" customHeight="1" x14ac:dyDescent="0.2">
      <c r="A11" s="100"/>
      <c r="B11" s="100"/>
      <c r="C11" s="16" t="s">
        <v>340</v>
      </c>
      <c r="D11" s="79" t="s">
        <v>90</v>
      </c>
      <c r="E11" s="13">
        <v>44449</v>
      </c>
      <c r="F11" s="77" t="s">
        <v>355</v>
      </c>
      <c r="G11" s="13">
        <v>44454</v>
      </c>
      <c r="H11" s="101" t="s">
        <v>369</v>
      </c>
      <c r="I11" s="16">
        <v>72</v>
      </c>
      <c r="J11" s="16">
        <v>60</v>
      </c>
      <c r="K11" s="16">
        <v>30</v>
      </c>
      <c r="L11" s="16">
        <v>23</v>
      </c>
      <c r="M11" s="82">
        <v>32.4</v>
      </c>
      <c r="N11" s="73">
        <v>33</v>
      </c>
      <c r="O11" s="65">
        <v>7000</v>
      </c>
      <c r="P11" s="66">
        <f>Table22457891011234567891011121314[[#This Row],[PEMBULATAN]]*O11</f>
        <v>231000</v>
      </c>
    </row>
    <row r="12" spans="1:16" ht="22.5" customHeight="1" x14ac:dyDescent="0.2">
      <c r="A12" s="100"/>
      <c r="B12" s="100"/>
      <c r="C12" s="16" t="s">
        <v>341</v>
      </c>
      <c r="D12" s="79" t="s">
        <v>90</v>
      </c>
      <c r="E12" s="13">
        <v>44449</v>
      </c>
      <c r="F12" s="77" t="s">
        <v>355</v>
      </c>
      <c r="G12" s="13">
        <v>44454</v>
      </c>
      <c r="H12" s="101" t="s">
        <v>369</v>
      </c>
      <c r="I12" s="16">
        <v>48</v>
      </c>
      <c r="J12" s="16">
        <v>33</v>
      </c>
      <c r="K12" s="16">
        <v>19</v>
      </c>
      <c r="L12" s="16">
        <v>11</v>
      </c>
      <c r="M12" s="82">
        <v>7.524</v>
      </c>
      <c r="N12" s="73">
        <v>11</v>
      </c>
      <c r="O12" s="65">
        <v>7000</v>
      </c>
      <c r="P12" s="66">
        <f>Table22457891011234567891011121314[[#This Row],[PEMBULATAN]]*O12</f>
        <v>77000</v>
      </c>
    </row>
    <row r="13" spans="1:16" ht="22.5" customHeight="1" x14ac:dyDescent="0.2">
      <c r="A13" s="100"/>
      <c r="B13" s="100"/>
      <c r="C13" s="16" t="s">
        <v>342</v>
      </c>
      <c r="D13" s="79" t="s">
        <v>90</v>
      </c>
      <c r="E13" s="13">
        <v>44449</v>
      </c>
      <c r="F13" s="77" t="s">
        <v>355</v>
      </c>
      <c r="G13" s="13">
        <v>44454</v>
      </c>
      <c r="H13" s="101" t="s">
        <v>369</v>
      </c>
      <c r="I13" s="16">
        <v>70</v>
      </c>
      <c r="J13" s="16">
        <v>32</v>
      </c>
      <c r="K13" s="16">
        <v>23</v>
      </c>
      <c r="L13" s="16">
        <v>10</v>
      </c>
      <c r="M13" s="82">
        <v>12.88</v>
      </c>
      <c r="N13" s="73">
        <v>13</v>
      </c>
      <c r="O13" s="65">
        <v>7000</v>
      </c>
      <c r="P13" s="66">
        <f>Table22457891011234567891011121314[[#This Row],[PEMBULATAN]]*O13</f>
        <v>91000</v>
      </c>
    </row>
    <row r="14" spans="1:16" ht="22.5" customHeight="1" x14ac:dyDescent="0.2">
      <c r="A14" s="100"/>
      <c r="B14" s="100"/>
      <c r="C14" s="16" t="s">
        <v>343</v>
      </c>
      <c r="D14" s="79" t="s">
        <v>90</v>
      </c>
      <c r="E14" s="13">
        <v>44449</v>
      </c>
      <c r="F14" s="77" t="s">
        <v>355</v>
      </c>
      <c r="G14" s="13">
        <v>44454</v>
      </c>
      <c r="H14" s="101" t="s">
        <v>369</v>
      </c>
      <c r="I14" s="16">
        <v>42</v>
      </c>
      <c r="J14" s="16">
        <v>42</v>
      </c>
      <c r="K14" s="16">
        <v>34</v>
      </c>
      <c r="L14" s="16">
        <v>8</v>
      </c>
      <c r="M14" s="82">
        <v>14.994</v>
      </c>
      <c r="N14" s="73">
        <v>15</v>
      </c>
      <c r="O14" s="65">
        <v>7000</v>
      </c>
      <c r="P14" s="66">
        <f>Table22457891011234567891011121314[[#This Row],[PEMBULATAN]]*O14</f>
        <v>105000</v>
      </c>
    </row>
    <row r="15" spans="1:16" ht="22.5" customHeight="1" x14ac:dyDescent="0.2">
      <c r="A15" s="100"/>
      <c r="B15" s="100"/>
      <c r="C15" s="16" t="s">
        <v>344</v>
      </c>
      <c r="D15" s="79" t="s">
        <v>90</v>
      </c>
      <c r="E15" s="13">
        <v>44449</v>
      </c>
      <c r="F15" s="77" t="s">
        <v>355</v>
      </c>
      <c r="G15" s="13">
        <v>44454</v>
      </c>
      <c r="H15" s="101" t="s">
        <v>369</v>
      </c>
      <c r="I15" s="16">
        <v>67</v>
      </c>
      <c r="J15" s="16">
        <v>35</v>
      </c>
      <c r="K15" s="16">
        <v>19</v>
      </c>
      <c r="L15" s="16">
        <v>6</v>
      </c>
      <c r="M15" s="82">
        <v>11.13875</v>
      </c>
      <c r="N15" s="73">
        <v>11</v>
      </c>
      <c r="O15" s="65">
        <v>7000</v>
      </c>
      <c r="P15" s="66">
        <f>Table22457891011234567891011121314[[#This Row],[PEMBULATAN]]*O15</f>
        <v>77000</v>
      </c>
    </row>
    <row r="16" spans="1:16" ht="22.5" customHeight="1" x14ac:dyDescent="0.2">
      <c r="A16" s="100"/>
      <c r="B16" s="100"/>
      <c r="C16" s="16" t="s">
        <v>345</v>
      </c>
      <c r="D16" s="79" t="s">
        <v>90</v>
      </c>
      <c r="E16" s="13">
        <v>44449</v>
      </c>
      <c r="F16" s="77" t="s">
        <v>355</v>
      </c>
      <c r="G16" s="13">
        <v>44454</v>
      </c>
      <c r="H16" s="101" t="s">
        <v>369</v>
      </c>
      <c r="I16" s="16">
        <v>39</v>
      </c>
      <c r="J16" s="16">
        <v>35</v>
      </c>
      <c r="K16" s="16">
        <v>30</v>
      </c>
      <c r="L16" s="16">
        <v>8</v>
      </c>
      <c r="M16" s="82">
        <v>10.237500000000001</v>
      </c>
      <c r="N16" s="73">
        <v>10</v>
      </c>
      <c r="O16" s="65">
        <v>7000</v>
      </c>
      <c r="P16" s="66">
        <f>Table22457891011234567891011121314[[#This Row],[PEMBULATAN]]*O16</f>
        <v>70000</v>
      </c>
    </row>
    <row r="17" spans="1:16" ht="22.5" customHeight="1" x14ac:dyDescent="0.2">
      <c r="A17" s="100"/>
      <c r="B17" s="100"/>
      <c r="C17" s="16" t="s">
        <v>346</v>
      </c>
      <c r="D17" s="79" t="s">
        <v>90</v>
      </c>
      <c r="E17" s="13">
        <v>44449</v>
      </c>
      <c r="F17" s="77" t="s">
        <v>355</v>
      </c>
      <c r="G17" s="13">
        <v>44454</v>
      </c>
      <c r="H17" s="101" t="s">
        <v>369</v>
      </c>
      <c r="I17" s="16">
        <v>50</v>
      </c>
      <c r="J17" s="16">
        <v>36</v>
      </c>
      <c r="K17" s="16">
        <v>27</v>
      </c>
      <c r="L17" s="16">
        <v>9</v>
      </c>
      <c r="M17" s="82">
        <v>12.15</v>
      </c>
      <c r="N17" s="73">
        <v>12</v>
      </c>
      <c r="O17" s="65">
        <v>7000</v>
      </c>
      <c r="P17" s="66">
        <f>Table22457891011234567891011121314[[#This Row],[PEMBULATAN]]*O17</f>
        <v>84000</v>
      </c>
    </row>
    <row r="18" spans="1:16" ht="22.5" customHeight="1" x14ac:dyDescent="0.2">
      <c r="A18" s="100"/>
      <c r="B18" s="100"/>
      <c r="C18" s="16" t="s">
        <v>347</v>
      </c>
      <c r="D18" s="79" t="s">
        <v>90</v>
      </c>
      <c r="E18" s="13">
        <v>44449</v>
      </c>
      <c r="F18" s="77" t="s">
        <v>355</v>
      </c>
      <c r="G18" s="13">
        <v>44454</v>
      </c>
      <c r="H18" s="101" t="s">
        <v>369</v>
      </c>
      <c r="I18" s="16">
        <v>85</v>
      </c>
      <c r="J18" s="16">
        <v>45</v>
      </c>
      <c r="K18" s="16">
        <v>30</v>
      </c>
      <c r="L18" s="16">
        <v>14</v>
      </c>
      <c r="M18" s="82">
        <v>28.6875</v>
      </c>
      <c r="N18" s="73">
        <v>29</v>
      </c>
      <c r="O18" s="65">
        <v>7000</v>
      </c>
      <c r="P18" s="66">
        <f>Table22457891011234567891011121314[[#This Row],[PEMBULATAN]]*O18</f>
        <v>203000</v>
      </c>
    </row>
    <row r="19" spans="1:16" ht="22.5" customHeight="1" x14ac:dyDescent="0.2">
      <c r="A19" s="100"/>
      <c r="B19" s="100"/>
      <c r="C19" s="16" t="s">
        <v>348</v>
      </c>
      <c r="D19" s="79" t="s">
        <v>90</v>
      </c>
      <c r="E19" s="13">
        <v>44449</v>
      </c>
      <c r="F19" s="77" t="s">
        <v>355</v>
      </c>
      <c r="G19" s="13">
        <v>44454</v>
      </c>
      <c r="H19" s="101" t="s">
        <v>369</v>
      </c>
      <c r="I19" s="16">
        <v>33</v>
      </c>
      <c r="J19" s="16">
        <v>32</v>
      </c>
      <c r="K19" s="16">
        <v>59</v>
      </c>
      <c r="L19" s="16">
        <v>15</v>
      </c>
      <c r="M19" s="82">
        <v>15.576000000000001</v>
      </c>
      <c r="N19" s="73">
        <v>16</v>
      </c>
      <c r="O19" s="65">
        <v>7000</v>
      </c>
      <c r="P19" s="66">
        <f>Table22457891011234567891011121314[[#This Row],[PEMBULATAN]]*O19</f>
        <v>112000</v>
      </c>
    </row>
    <row r="20" spans="1:16" ht="22.5" customHeight="1" x14ac:dyDescent="0.2">
      <c r="A20" s="100"/>
      <c r="B20" s="100"/>
      <c r="C20" s="16" t="s">
        <v>349</v>
      </c>
      <c r="D20" s="79" t="s">
        <v>90</v>
      </c>
      <c r="E20" s="13">
        <v>44449</v>
      </c>
      <c r="F20" s="77" t="s">
        <v>355</v>
      </c>
      <c r="G20" s="13">
        <v>44454</v>
      </c>
      <c r="H20" s="101" t="s">
        <v>369</v>
      </c>
      <c r="I20" s="16">
        <v>77</v>
      </c>
      <c r="J20" s="16">
        <v>24</v>
      </c>
      <c r="K20" s="16">
        <v>14</v>
      </c>
      <c r="L20" s="16">
        <v>6</v>
      </c>
      <c r="M20" s="82">
        <v>6.468</v>
      </c>
      <c r="N20" s="73">
        <v>7</v>
      </c>
      <c r="O20" s="65">
        <v>7000</v>
      </c>
      <c r="P20" s="66">
        <f>Table22457891011234567891011121314[[#This Row],[PEMBULATAN]]*O20</f>
        <v>49000</v>
      </c>
    </row>
    <row r="21" spans="1:16" ht="22.5" customHeight="1" x14ac:dyDescent="0.2">
      <c r="A21" s="100"/>
      <c r="B21" s="100"/>
      <c r="C21" s="16" t="s">
        <v>350</v>
      </c>
      <c r="D21" s="79" t="s">
        <v>90</v>
      </c>
      <c r="E21" s="13">
        <v>44449</v>
      </c>
      <c r="F21" s="77" t="s">
        <v>355</v>
      </c>
      <c r="G21" s="13">
        <v>44454</v>
      </c>
      <c r="H21" s="101" t="s">
        <v>369</v>
      </c>
      <c r="I21" s="16">
        <v>75</v>
      </c>
      <c r="J21" s="16">
        <v>40</v>
      </c>
      <c r="K21" s="16">
        <v>50</v>
      </c>
      <c r="L21" s="16">
        <v>25</v>
      </c>
      <c r="M21" s="82">
        <v>37.5</v>
      </c>
      <c r="N21" s="73">
        <v>38</v>
      </c>
      <c r="O21" s="65">
        <v>7000</v>
      </c>
      <c r="P21" s="66">
        <f>Table22457891011234567891011121314[[#This Row],[PEMBULATAN]]*O21</f>
        <v>266000</v>
      </c>
    </row>
    <row r="22" spans="1:16" ht="22.5" customHeight="1" x14ac:dyDescent="0.2">
      <c r="A22" s="100"/>
      <c r="B22" s="100"/>
      <c r="C22" s="16" t="s">
        <v>351</v>
      </c>
      <c r="D22" s="79" t="s">
        <v>90</v>
      </c>
      <c r="E22" s="13">
        <v>44449</v>
      </c>
      <c r="F22" s="77" t="s">
        <v>355</v>
      </c>
      <c r="G22" s="13">
        <v>44454</v>
      </c>
      <c r="H22" s="101" t="s">
        <v>369</v>
      </c>
      <c r="I22" s="16">
        <v>60</v>
      </c>
      <c r="J22" s="16">
        <v>42</v>
      </c>
      <c r="K22" s="16">
        <v>40</v>
      </c>
      <c r="L22" s="16">
        <v>17</v>
      </c>
      <c r="M22" s="82">
        <v>25.2</v>
      </c>
      <c r="N22" s="73">
        <v>25</v>
      </c>
      <c r="O22" s="65">
        <v>7000</v>
      </c>
      <c r="P22" s="66">
        <f>Table22457891011234567891011121314[[#This Row],[PEMBULATAN]]*O22</f>
        <v>175000</v>
      </c>
    </row>
    <row r="23" spans="1:16" ht="22.5" customHeight="1" x14ac:dyDescent="0.2">
      <c r="A23" s="100"/>
      <c r="B23" s="100"/>
      <c r="C23" s="16" t="s">
        <v>352</v>
      </c>
      <c r="D23" s="79" t="s">
        <v>90</v>
      </c>
      <c r="E23" s="13">
        <v>44449</v>
      </c>
      <c r="F23" s="77" t="s">
        <v>355</v>
      </c>
      <c r="G23" s="13">
        <v>44454</v>
      </c>
      <c r="H23" s="101" t="s">
        <v>369</v>
      </c>
      <c r="I23" s="16">
        <v>88</v>
      </c>
      <c r="J23" s="16">
        <v>54</v>
      </c>
      <c r="K23" s="16">
        <v>40</v>
      </c>
      <c r="L23" s="16">
        <v>11</v>
      </c>
      <c r="M23" s="82">
        <v>47.52</v>
      </c>
      <c r="N23" s="73">
        <v>48</v>
      </c>
      <c r="O23" s="65">
        <v>7000</v>
      </c>
      <c r="P23" s="66">
        <f>Table22457891011234567891011121314[[#This Row],[PEMBULATAN]]*O23</f>
        <v>336000</v>
      </c>
    </row>
    <row r="24" spans="1:16" ht="22.5" customHeight="1" x14ac:dyDescent="0.2">
      <c r="A24" s="100"/>
      <c r="B24" s="100"/>
      <c r="C24" s="16" t="s">
        <v>353</v>
      </c>
      <c r="D24" s="79" t="s">
        <v>90</v>
      </c>
      <c r="E24" s="13">
        <v>44449</v>
      </c>
      <c r="F24" s="77" t="s">
        <v>355</v>
      </c>
      <c r="G24" s="13">
        <v>44454</v>
      </c>
      <c r="H24" s="101" t="s">
        <v>369</v>
      </c>
      <c r="I24" s="16">
        <v>54</v>
      </c>
      <c r="J24" s="16">
        <v>47</v>
      </c>
      <c r="K24" s="16">
        <v>40</v>
      </c>
      <c r="L24" s="16">
        <v>14</v>
      </c>
      <c r="M24" s="82">
        <v>25.38</v>
      </c>
      <c r="N24" s="73">
        <v>26</v>
      </c>
      <c r="O24" s="65">
        <v>7000</v>
      </c>
      <c r="P24" s="66">
        <f>Table22457891011234567891011121314[[#This Row],[PEMBULATAN]]*O24</f>
        <v>182000</v>
      </c>
    </row>
    <row r="25" spans="1:16" ht="22.5" customHeight="1" x14ac:dyDescent="0.2">
      <c r="A25" s="100"/>
      <c r="B25" s="100"/>
      <c r="C25" s="16" t="s">
        <v>354</v>
      </c>
      <c r="D25" s="79" t="s">
        <v>90</v>
      </c>
      <c r="E25" s="13">
        <v>44449</v>
      </c>
      <c r="F25" s="77" t="s">
        <v>355</v>
      </c>
      <c r="G25" s="13">
        <v>44454</v>
      </c>
      <c r="H25" s="101" t="s">
        <v>369</v>
      </c>
      <c r="I25" s="16">
        <v>40</v>
      </c>
      <c r="J25" s="16">
        <v>42</v>
      </c>
      <c r="K25" s="16">
        <v>15</v>
      </c>
      <c r="L25" s="16">
        <v>8</v>
      </c>
      <c r="M25" s="82">
        <v>6.3</v>
      </c>
      <c r="N25" s="73">
        <v>8</v>
      </c>
      <c r="O25" s="65">
        <v>7000</v>
      </c>
      <c r="P25" s="66">
        <f>Table22457891011234567891011121314[[#This Row],[PEMBULATAN]]*O25</f>
        <v>56000</v>
      </c>
    </row>
    <row r="26" spans="1:16" ht="22.5" customHeight="1" x14ac:dyDescent="0.2">
      <c r="A26" s="136" t="s">
        <v>30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8"/>
      <c r="M26" s="80">
        <f>SUBTOTAL(109,Table22457891011234567891011121314[KG VOLUME])</f>
        <v>398.16324999999995</v>
      </c>
      <c r="N26" s="69">
        <f>SUM(N3:N25)</f>
        <v>412</v>
      </c>
      <c r="O26" s="139">
        <f>SUM(P3:P25)</f>
        <v>2884000</v>
      </c>
      <c r="P26" s="140"/>
    </row>
    <row r="27" spans="1:16" ht="18" customHeight="1" x14ac:dyDescent="0.2">
      <c r="A27" s="87"/>
      <c r="B27" s="57" t="s">
        <v>42</v>
      </c>
      <c r="C27" s="56"/>
      <c r="D27" s="58" t="s">
        <v>43</v>
      </c>
      <c r="E27" s="87"/>
      <c r="F27" s="87"/>
      <c r="G27" s="87"/>
      <c r="H27" s="87"/>
      <c r="I27" s="87"/>
      <c r="J27" s="87"/>
      <c r="K27" s="87"/>
      <c r="L27" s="87"/>
      <c r="M27" s="88"/>
      <c r="N27" s="89" t="s">
        <v>52</v>
      </c>
      <c r="O27" s="90"/>
      <c r="P27" s="90">
        <v>0</v>
      </c>
    </row>
    <row r="28" spans="1:16" ht="18" customHeight="1" thickBot="1" x14ac:dyDescent="0.25">
      <c r="A28" s="87"/>
      <c r="B28" s="57"/>
      <c r="C28" s="56"/>
      <c r="D28" s="58"/>
      <c r="E28" s="87"/>
      <c r="F28" s="87"/>
      <c r="G28" s="87"/>
      <c r="H28" s="87"/>
      <c r="I28" s="87"/>
      <c r="J28" s="87"/>
      <c r="K28" s="87"/>
      <c r="L28" s="87"/>
      <c r="M28" s="88"/>
      <c r="N28" s="91" t="s">
        <v>53</v>
      </c>
      <c r="O28" s="92"/>
      <c r="P28" s="92">
        <f>O26-P27</f>
        <v>2884000</v>
      </c>
    </row>
    <row r="29" spans="1:16" ht="18" customHeight="1" x14ac:dyDescent="0.2">
      <c r="A29" s="11"/>
      <c r="H29" s="64"/>
      <c r="N29" s="63" t="s">
        <v>31</v>
      </c>
      <c r="P29" s="70">
        <f>P28*1%</f>
        <v>28840</v>
      </c>
    </row>
    <row r="30" spans="1:16" ht="18" customHeight="1" thickBot="1" x14ac:dyDescent="0.25">
      <c r="A30" s="11"/>
      <c r="H30" s="64"/>
      <c r="N30" s="63" t="s">
        <v>54</v>
      </c>
      <c r="P30" s="72">
        <f>P28*2%</f>
        <v>57680</v>
      </c>
    </row>
    <row r="31" spans="1:16" ht="18" customHeight="1" x14ac:dyDescent="0.2">
      <c r="A31" s="11"/>
      <c r="H31" s="64"/>
      <c r="N31" s="67" t="s">
        <v>32</v>
      </c>
      <c r="O31" s="68"/>
      <c r="P31" s="71">
        <f>P28+P29-P30</f>
        <v>2855160</v>
      </c>
    </row>
    <row r="33" spans="1:16" x14ac:dyDescent="0.2">
      <c r="A33" s="11"/>
      <c r="H33" s="64"/>
      <c r="P33" s="72"/>
    </row>
    <row r="34" spans="1:16" x14ac:dyDescent="0.2">
      <c r="A34" s="11"/>
      <c r="H34" s="64"/>
      <c r="O34" s="59"/>
      <c r="P34" s="72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</sheetData>
  <mergeCells count="2">
    <mergeCell ref="A26:L26"/>
    <mergeCell ref="O26:P26"/>
  </mergeCells>
  <conditionalFormatting sqref="B3">
    <cfRule type="duplicateValues" dxfId="430" priority="2"/>
  </conditionalFormatting>
  <conditionalFormatting sqref="B4">
    <cfRule type="duplicateValues" dxfId="429" priority="1"/>
  </conditionalFormatting>
  <conditionalFormatting sqref="B5:B25">
    <cfRule type="duplicateValues" dxfId="428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O16" sqref="O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912</v>
      </c>
      <c r="B3" s="98" t="s">
        <v>356</v>
      </c>
      <c r="C3" s="1" t="s">
        <v>357</v>
      </c>
      <c r="D3" s="77" t="s">
        <v>90</v>
      </c>
      <c r="E3" s="13">
        <v>44449</v>
      </c>
      <c r="F3" s="77" t="s">
        <v>355</v>
      </c>
      <c r="G3" s="13">
        <v>44454</v>
      </c>
      <c r="H3" s="101" t="s">
        <v>369</v>
      </c>
      <c r="I3" s="1">
        <v>95</v>
      </c>
      <c r="J3" s="1">
        <v>54</v>
      </c>
      <c r="K3" s="1">
        <v>35</v>
      </c>
      <c r="L3" s="1">
        <v>57</v>
      </c>
      <c r="M3" s="81">
        <v>44.887500000000003</v>
      </c>
      <c r="N3" s="8">
        <v>57</v>
      </c>
      <c r="O3" s="65">
        <v>7000</v>
      </c>
      <c r="P3" s="66">
        <f>Table2245789101123456789101112131415[[#This Row],[PEMBULATAN]]*O3</f>
        <v>399000</v>
      </c>
    </row>
    <row r="4" spans="1:16" ht="26.25" customHeight="1" x14ac:dyDescent="0.2">
      <c r="A4" s="100"/>
      <c r="B4" s="100"/>
      <c r="C4" s="1" t="s">
        <v>358</v>
      </c>
      <c r="D4" s="77" t="s">
        <v>90</v>
      </c>
      <c r="E4" s="13">
        <v>44449</v>
      </c>
      <c r="F4" s="77" t="s">
        <v>355</v>
      </c>
      <c r="G4" s="13">
        <v>44454</v>
      </c>
      <c r="H4" s="101" t="s">
        <v>369</v>
      </c>
      <c r="I4" s="1">
        <v>83</v>
      </c>
      <c r="J4" s="1">
        <v>47</v>
      </c>
      <c r="K4" s="1">
        <v>54</v>
      </c>
      <c r="L4" s="1">
        <v>37</v>
      </c>
      <c r="M4" s="81">
        <v>52.663499999999999</v>
      </c>
      <c r="N4" s="8">
        <v>53</v>
      </c>
      <c r="O4" s="65">
        <v>7000</v>
      </c>
      <c r="P4" s="66">
        <f>Table2245789101123456789101112131415[[#This Row],[PEMBULATAN]]*O4</f>
        <v>371000</v>
      </c>
    </row>
    <row r="5" spans="1:16" ht="26.25" customHeight="1" x14ac:dyDescent="0.2">
      <c r="A5" s="100"/>
      <c r="B5" s="100"/>
      <c r="C5" s="1" t="s">
        <v>359</v>
      </c>
      <c r="D5" s="77" t="s">
        <v>90</v>
      </c>
      <c r="E5" s="13">
        <v>44449</v>
      </c>
      <c r="F5" s="77" t="s">
        <v>355</v>
      </c>
      <c r="G5" s="13">
        <v>44454</v>
      </c>
      <c r="H5" s="101" t="s">
        <v>369</v>
      </c>
      <c r="I5" s="1">
        <v>68</v>
      </c>
      <c r="J5" s="1">
        <v>60</v>
      </c>
      <c r="K5" s="1">
        <v>20</v>
      </c>
      <c r="L5" s="1">
        <v>26</v>
      </c>
      <c r="M5" s="81">
        <v>20.399999999999999</v>
      </c>
      <c r="N5" s="8">
        <v>26</v>
      </c>
      <c r="O5" s="65">
        <v>7000</v>
      </c>
      <c r="P5" s="66">
        <f>Table2245789101123456789101112131415[[#This Row],[PEMBULATAN]]*O5</f>
        <v>182000</v>
      </c>
    </row>
    <row r="6" spans="1:16" ht="26.25" customHeight="1" x14ac:dyDescent="0.2">
      <c r="A6" s="100"/>
      <c r="B6" s="100"/>
      <c r="C6" s="16" t="s">
        <v>360</v>
      </c>
      <c r="D6" s="79" t="s">
        <v>90</v>
      </c>
      <c r="E6" s="13">
        <v>44449</v>
      </c>
      <c r="F6" s="77" t="s">
        <v>355</v>
      </c>
      <c r="G6" s="13">
        <v>44454</v>
      </c>
      <c r="H6" s="101" t="s">
        <v>369</v>
      </c>
      <c r="I6" s="16">
        <v>60</v>
      </c>
      <c r="J6" s="16">
        <v>46</v>
      </c>
      <c r="K6" s="16">
        <v>26</v>
      </c>
      <c r="L6" s="16">
        <v>9</v>
      </c>
      <c r="M6" s="82">
        <v>17.940000000000001</v>
      </c>
      <c r="N6" s="73">
        <v>18</v>
      </c>
      <c r="O6" s="65">
        <v>7000</v>
      </c>
      <c r="P6" s="66">
        <f>Table2245789101123456789101112131415[[#This Row],[PEMBULATAN]]*O6</f>
        <v>126000</v>
      </c>
    </row>
    <row r="7" spans="1:16" ht="26.25" customHeight="1" x14ac:dyDescent="0.2">
      <c r="A7" s="100"/>
      <c r="B7" s="100"/>
      <c r="C7" s="16" t="s">
        <v>361</v>
      </c>
      <c r="D7" s="79" t="s">
        <v>90</v>
      </c>
      <c r="E7" s="13">
        <v>44449</v>
      </c>
      <c r="F7" s="77" t="s">
        <v>355</v>
      </c>
      <c r="G7" s="13">
        <v>44454</v>
      </c>
      <c r="H7" s="101" t="s">
        <v>369</v>
      </c>
      <c r="I7" s="16">
        <v>42</v>
      </c>
      <c r="J7" s="16">
        <v>32</v>
      </c>
      <c r="K7" s="16">
        <v>46</v>
      </c>
      <c r="L7" s="16">
        <v>8</v>
      </c>
      <c r="M7" s="82">
        <v>15.456</v>
      </c>
      <c r="N7" s="73">
        <v>16</v>
      </c>
      <c r="O7" s="65">
        <v>7000</v>
      </c>
      <c r="P7" s="66">
        <f>Table2245789101123456789101112131415[[#This Row],[PEMBULATAN]]*O7</f>
        <v>112000</v>
      </c>
    </row>
    <row r="8" spans="1:16" ht="26.25" customHeight="1" x14ac:dyDescent="0.2">
      <c r="A8" s="100"/>
      <c r="B8" s="100"/>
      <c r="C8" s="16" t="s">
        <v>362</v>
      </c>
      <c r="D8" s="79" t="s">
        <v>90</v>
      </c>
      <c r="E8" s="13">
        <v>44449</v>
      </c>
      <c r="F8" s="77" t="s">
        <v>355</v>
      </c>
      <c r="G8" s="13">
        <v>44454</v>
      </c>
      <c r="H8" s="101" t="s">
        <v>369</v>
      </c>
      <c r="I8" s="16">
        <v>52</v>
      </c>
      <c r="J8" s="16">
        <v>41</v>
      </c>
      <c r="K8" s="16">
        <v>79</v>
      </c>
      <c r="L8" s="16">
        <v>30</v>
      </c>
      <c r="M8" s="82">
        <v>42.106999999999999</v>
      </c>
      <c r="N8" s="73">
        <v>42</v>
      </c>
      <c r="O8" s="65">
        <v>7000</v>
      </c>
      <c r="P8" s="66">
        <f>Table2245789101123456789101112131415[[#This Row],[PEMBULATAN]]*O8</f>
        <v>294000</v>
      </c>
    </row>
    <row r="9" spans="1:16" ht="26.25" customHeight="1" x14ac:dyDescent="0.2">
      <c r="A9" s="100"/>
      <c r="B9" s="100"/>
      <c r="C9" s="16" t="s">
        <v>363</v>
      </c>
      <c r="D9" s="79" t="s">
        <v>90</v>
      </c>
      <c r="E9" s="13">
        <v>44449</v>
      </c>
      <c r="F9" s="77" t="s">
        <v>355</v>
      </c>
      <c r="G9" s="13">
        <v>44454</v>
      </c>
      <c r="H9" s="101" t="s">
        <v>369</v>
      </c>
      <c r="I9" s="16">
        <v>70</v>
      </c>
      <c r="J9" s="16">
        <v>34</v>
      </c>
      <c r="K9" s="16">
        <v>37</v>
      </c>
      <c r="L9" s="16">
        <v>15</v>
      </c>
      <c r="M9" s="82">
        <v>22.015000000000001</v>
      </c>
      <c r="N9" s="73">
        <v>22</v>
      </c>
      <c r="O9" s="65">
        <v>7000</v>
      </c>
      <c r="P9" s="66">
        <f>Table2245789101123456789101112131415[[#This Row],[PEMBULATAN]]*O9</f>
        <v>154000</v>
      </c>
    </row>
    <row r="10" spans="1:16" ht="26.25" customHeight="1" x14ac:dyDescent="0.2">
      <c r="A10" s="100"/>
      <c r="B10" s="100"/>
      <c r="C10" s="16" t="s">
        <v>364</v>
      </c>
      <c r="D10" s="79" t="s">
        <v>90</v>
      </c>
      <c r="E10" s="13">
        <v>44449</v>
      </c>
      <c r="F10" s="77" t="s">
        <v>355</v>
      </c>
      <c r="G10" s="13">
        <v>44454</v>
      </c>
      <c r="H10" s="101" t="s">
        <v>369</v>
      </c>
      <c r="I10" s="16">
        <v>42</v>
      </c>
      <c r="J10" s="16">
        <v>31</v>
      </c>
      <c r="K10" s="16">
        <v>29</v>
      </c>
      <c r="L10" s="16">
        <v>9</v>
      </c>
      <c r="M10" s="82">
        <v>9.4395000000000007</v>
      </c>
      <c r="N10" s="73">
        <v>10</v>
      </c>
      <c r="O10" s="65">
        <v>7000</v>
      </c>
      <c r="P10" s="66">
        <f>Table2245789101123456789101112131415[[#This Row],[PEMBULATAN]]*O10</f>
        <v>70000</v>
      </c>
    </row>
    <row r="11" spans="1:16" ht="26.25" customHeight="1" x14ac:dyDescent="0.2">
      <c r="A11" s="100"/>
      <c r="B11" s="100"/>
      <c r="C11" s="16" t="s">
        <v>365</v>
      </c>
      <c r="D11" s="79" t="s">
        <v>90</v>
      </c>
      <c r="E11" s="13">
        <v>44449</v>
      </c>
      <c r="F11" s="77" t="s">
        <v>355</v>
      </c>
      <c r="G11" s="13">
        <v>44454</v>
      </c>
      <c r="H11" s="101" t="s">
        <v>369</v>
      </c>
      <c r="I11" s="16">
        <v>49</v>
      </c>
      <c r="J11" s="16">
        <v>35</v>
      </c>
      <c r="K11" s="16">
        <v>26</v>
      </c>
      <c r="L11" s="16">
        <v>6</v>
      </c>
      <c r="M11" s="82">
        <v>11.147500000000001</v>
      </c>
      <c r="N11" s="73">
        <v>11</v>
      </c>
      <c r="O11" s="65">
        <v>7000</v>
      </c>
      <c r="P11" s="66">
        <f>Table2245789101123456789101112131415[[#This Row],[PEMBULATAN]]*O11</f>
        <v>77000</v>
      </c>
    </row>
    <row r="12" spans="1:16" ht="26.25" customHeight="1" x14ac:dyDescent="0.2">
      <c r="A12" s="100"/>
      <c r="B12" s="100"/>
      <c r="C12" s="16" t="s">
        <v>366</v>
      </c>
      <c r="D12" s="79" t="s">
        <v>90</v>
      </c>
      <c r="E12" s="13">
        <v>44449</v>
      </c>
      <c r="F12" s="77" t="s">
        <v>355</v>
      </c>
      <c r="G12" s="13">
        <v>44454</v>
      </c>
      <c r="H12" s="101" t="s">
        <v>369</v>
      </c>
      <c r="I12" s="16">
        <v>58</v>
      </c>
      <c r="J12" s="16">
        <v>32</v>
      </c>
      <c r="K12" s="16">
        <v>18</v>
      </c>
      <c r="L12" s="16">
        <v>8</v>
      </c>
      <c r="M12" s="82">
        <v>8.3520000000000003</v>
      </c>
      <c r="N12" s="73">
        <v>9</v>
      </c>
      <c r="O12" s="65">
        <v>7000</v>
      </c>
      <c r="P12" s="66">
        <f>Table2245789101123456789101112131415[[#This Row],[PEMBULATAN]]*O12</f>
        <v>63000</v>
      </c>
    </row>
    <row r="13" spans="1:16" ht="26.25" customHeight="1" x14ac:dyDescent="0.2">
      <c r="A13" s="100"/>
      <c r="B13" s="100"/>
      <c r="C13" s="16" t="s">
        <v>367</v>
      </c>
      <c r="D13" s="79" t="s">
        <v>90</v>
      </c>
      <c r="E13" s="13">
        <v>44449</v>
      </c>
      <c r="F13" s="77" t="s">
        <v>355</v>
      </c>
      <c r="G13" s="13">
        <v>44454</v>
      </c>
      <c r="H13" s="101" t="s">
        <v>369</v>
      </c>
      <c r="I13" s="16">
        <v>76</v>
      </c>
      <c r="J13" s="16">
        <v>50</v>
      </c>
      <c r="K13" s="16">
        <v>10</v>
      </c>
      <c r="L13" s="16">
        <v>10</v>
      </c>
      <c r="M13" s="82">
        <v>9.5</v>
      </c>
      <c r="N13" s="73">
        <v>10</v>
      </c>
      <c r="O13" s="65">
        <v>7000</v>
      </c>
      <c r="P13" s="66">
        <f>Table2245789101123456789101112131415[[#This Row],[PEMBULATAN]]*O13</f>
        <v>70000</v>
      </c>
    </row>
    <row r="14" spans="1:16" ht="26.25" customHeight="1" x14ac:dyDescent="0.2">
      <c r="A14" s="100"/>
      <c r="B14" s="100"/>
      <c r="C14" s="16" t="s">
        <v>368</v>
      </c>
      <c r="D14" s="79" t="s">
        <v>90</v>
      </c>
      <c r="E14" s="13">
        <v>44449</v>
      </c>
      <c r="F14" s="77" t="s">
        <v>355</v>
      </c>
      <c r="G14" s="13">
        <v>44454</v>
      </c>
      <c r="H14" s="101" t="s">
        <v>369</v>
      </c>
      <c r="I14" s="16">
        <v>125</v>
      </c>
      <c r="J14" s="16">
        <v>63</v>
      </c>
      <c r="K14" s="16">
        <v>43</v>
      </c>
      <c r="L14" s="16">
        <v>40</v>
      </c>
      <c r="M14" s="82">
        <v>84.65625</v>
      </c>
      <c r="N14" s="73">
        <v>85</v>
      </c>
      <c r="O14" s="65">
        <v>7000</v>
      </c>
      <c r="P14" s="66">
        <f>Table2245789101123456789101112131415[[#This Row],[PEMBULATAN]]*O14</f>
        <v>595000</v>
      </c>
    </row>
    <row r="15" spans="1:16" ht="22.5" customHeight="1" x14ac:dyDescent="0.2">
      <c r="A15" s="136" t="s">
        <v>30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8"/>
      <c r="M15" s="80">
        <f>SUBTOTAL(109,Table2245789101123456789101112131415[KG VOLUME])</f>
        <v>338.56425000000002</v>
      </c>
      <c r="N15" s="69">
        <f>SUM(N3:N14)</f>
        <v>359</v>
      </c>
      <c r="O15" s="139">
        <f>SUM(P3:P14)</f>
        <v>2513000</v>
      </c>
      <c r="P15" s="140"/>
    </row>
    <row r="16" spans="1:16" ht="18" customHeight="1" x14ac:dyDescent="0.2">
      <c r="A16" s="87"/>
      <c r="B16" s="57" t="s">
        <v>42</v>
      </c>
      <c r="C16" s="56"/>
      <c r="D16" s="58" t="s">
        <v>43</v>
      </c>
      <c r="E16" s="87"/>
      <c r="F16" s="87"/>
      <c r="G16" s="87"/>
      <c r="H16" s="87"/>
      <c r="I16" s="87"/>
      <c r="J16" s="87"/>
      <c r="K16" s="87"/>
      <c r="L16" s="87"/>
      <c r="M16" s="88"/>
      <c r="N16" s="89" t="s">
        <v>52</v>
      </c>
      <c r="O16" s="90"/>
      <c r="P16" s="90">
        <v>0</v>
      </c>
    </row>
    <row r="17" spans="1:16" ht="18" customHeight="1" thickBot="1" x14ac:dyDescent="0.25">
      <c r="A17" s="87"/>
      <c r="B17" s="57"/>
      <c r="C17" s="56"/>
      <c r="D17" s="58"/>
      <c r="E17" s="87"/>
      <c r="F17" s="87"/>
      <c r="G17" s="87"/>
      <c r="H17" s="87"/>
      <c r="I17" s="87"/>
      <c r="J17" s="87"/>
      <c r="K17" s="87"/>
      <c r="L17" s="87"/>
      <c r="M17" s="88"/>
      <c r="N17" s="91" t="s">
        <v>53</v>
      </c>
      <c r="O17" s="92"/>
      <c r="P17" s="92">
        <f>O15-P16</f>
        <v>2513000</v>
      </c>
    </row>
    <row r="18" spans="1:16" ht="18" customHeight="1" x14ac:dyDescent="0.2">
      <c r="A18" s="11"/>
      <c r="H18" s="64"/>
      <c r="N18" s="63" t="s">
        <v>31</v>
      </c>
      <c r="P18" s="70">
        <f>P17*1%</f>
        <v>25130</v>
      </c>
    </row>
    <row r="19" spans="1:16" ht="18" customHeight="1" thickBot="1" x14ac:dyDescent="0.25">
      <c r="A19" s="11"/>
      <c r="H19" s="64"/>
      <c r="N19" s="63" t="s">
        <v>54</v>
      </c>
      <c r="P19" s="72">
        <f>P17*2%</f>
        <v>50260</v>
      </c>
    </row>
    <row r="20" spans="1:16" ht="18" customHeight="1" x14ac:dyDescent="0.2">
      <c r="A20" s="11"/>
      <c r="H20" s="64"/>
      <c r="N20" s="67" t="s">
        <v>32</v>
      </c>
      <c r="O20" s="68"/>
      <c r="P20" s="71">
        <f>P17+P18-P19</f>
        <v>2487870</v>
      </c>
    </row>
    <row r="22" spans="1:16" x14ac:dyDescent="0.2">
      <c r="A22" s="11"/>
      <c r="H22" s="64"/>
      <c r="P22" s="72"/>
    </row>
    <row r="23" spans="1:16" x14ac:dyDescent="0.2">
      <c r="A23" s="11"/>
      <c r="H23" s="64"/>
      <c r="O23" s="59"/>
      <c r="P23" s="72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412" priority="2"/>
  </conditionalFormatting>
  <conditionalFormatting sqref="B4">
    <cfRule type="duplicateValues" dxfId="411" priority="1"/>
  </conditionalFormatting>
  <conditionalFormatting sqref="B5:B14">
    <cfRule type="duplicateValues" dxfId="410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O23" sqref="O23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913</v>
      </c>
      <c r="B3" s="98" t="s">
        <v>370</v>
      </c>
      <c r="C3" s="1" t="s">
        <v>371</v>
      </c>
      <c r="D3" s="77" t="s">
        <v>90</v>
      </c>
      <c r="E3" s="13">
        <v>44450</v>
      </c>
      <c r="F3" s="77" t="s">
        <v>355</v>
      </c>
      <c r="G3" s="13">
        <v>44454</v>
      </c>
      <c r="H3" s="99" t="s">
        <v>369</v>
      </c>
      <c r="I3" s="1">
        <v>68</v>
      </c>
      <c r="J3" s="1">
        <v>38</v>
      </c>
      <c r="K3" s="1">
        <v>82</v>
      </c>
      <c r="L3" s="1">
        <v>38</v>
      </c>
      <c r="M3" s="81">
        <v>52.972000000000001</v>
      </c>
      <c r="N3" s="8">
        <v>53</v>
      </c>
      <c r="O3" s="65">
        <v>7000</v>
      </c>
      <c r="P3" s="66">
        <f>Table224578910112345678910111213141516[[#This Row],[PEMBULATAN]]*O3</f>
        <v>371000</v>
      </c>
    </row>
    <row r="4" spans="1:16" ht="26.25" customHeight="1" x14ac:dyDescent="0.2">
      <c r="A4" s="100"/>
      <c r="B4" s="100"/>
      <c r="C4" s="1" t="s">
        <v>372</v>
      </c>
      <c r="D4" s="77" t="s">
        <v>90</v>
      </c>
      <c r="E4" s="13">
        <v>44450</v>
      </c>
      <c r="F4" s="77" t="s">
        <v>355</v>
      </c>
      <c r="G4" s="13">
        <v>44454</v>
      </c>
      <c r="H4" s="99" t="s">
        <v>369</v>
      </c>
      <c r="I4" s="1">
        <v>31</v>
      </c>
      <c r="J4" s="1">
        <v>31</v>
      </c>
      <c r="K4" s="1">
        <v>41</v>
      </c>
      <c r="L4" s="1">
        <v>6</v>
      </c>
      <c r="M4" s="81">
        <v>9.8502500000000008</v>
      </c>
      <c r="N4" s="8">
        <v>10</v>
      </c>
      <c r="O4" s="65">
        <v>7000</v>
      </c>
      <c r="P4" s="66">
        <f>Table224578910112345678910111213141516[[#This Row],[PEMBULATAN]]*O4</f>
        <v>70000</v>
      </c>
    </row>
    <row r="5" spans="1:16" ht="26.25" customHeight="1" x14ac:dyDescent="0.2">
      <c r="A5" s="100"/>
      <c r="B5" s="100"/>
      <c r="C5" s="1" t="s">
        <v>373</v>
      </c>
      <c r="D5" s="77" t="s">
        <v>90</v>
      </c>
      <c r="E5" s="13">
        <v>44450</v>
      </c>
      <c r="F5" s="77" t="s">
        <v>355</v>
      </c>
      <c r="G5" s="13">
        <v>44454</v>
      </c>
      <c r="H5" s="99" t="s">
        <v>369</v>
      </c>
      <c r="I5" s="1">
        <v>34</v>
      </c>
      <c r="J5" s="1">
        <v>28</v>
      </c>
      <c r="K5" s="1">
        <v>27</v>
      </c>
      <c r="L5" s="1">
        <v>8</v>
      </c>
      <c r="M5" s="81">
        <v>6.4260000000000002</v>
      </c>
      <c r="N5" s="8">
        <v>8</v>
      </c>
      <c r="O5" s="65">
        <v>7000</v>
      </c>
      <c r="P5" s="66">
        <f>Table224578910112345678910111213141516[[#This Row],[PEMBULATAN]]*O5</f>
        <v>56000</v>
      </c>
    </row>
    <row r="6" spans="1:16" ht="26.25" customHeight="1" x14ac:dyDescent="0.2">
      <c r="A6" s="100"/>
      <c r="B6" s="100"/>
      <c r="C6" s="16" t="s">
        <v>374</v>
      </c>
      <c r="D6" s="79" t="s">
        <v>90</v>
      </c>
      <c r="E6" s="13">
        <v>44450</v>
      </c>
      <c r="F6" s="77" t="s">
        <v>355</v>
      </c>
      <c r="G6" s="13">
        <v>44454</v>
      </c>
      <c r="H6" s="101" t="s">
        <v>369</v>
      </c>
      <c r="I6" s="16">
        <v>73</v>
      </c>
      <c r="J6" s="16">
        <v>50</v>
      </c>
      <c r="K6" s="16">
        <v>35</v>
      </c>
      <c r="L6" s="16">
        <v>15</v>
      </c>
      <c r="M6" s="82">
        <v>31.9375</v>
      </c>
      <c r="N6" s="73">
        <v>32</v>
      </c>
      <c r="O6" s="65">
        <v>7000</v>
      </c>
      <c r="P6" s="66">
        <f>Table224578910112345678910111213141516[[#This Row],[PEMBULATAN]]*O6</f>
        <v>224000</v>
      </c>
    </row>
    <row r="7" spans="1:16" ht="26.25" customHeight="1" x14ac:dyDescent="0.2">
      <c r="A7" s="100"/>
      <c r="B7" s="103"/>
      <c r="C7" s="16" t="s">
        <v>375</v>
      </c>
      <c r="D7" s="79" t="s">
        <v>90</v>
      </c>
      <c r="E7" s="13">
        <v>44450</v>
      </c>
      <c r="F7" s="77" t="s">
        <v>355</v>
      </c>
      <c r="G7" s="13">
        <v>44454</v>
      </c>
      <c r="H7" s="101" t="s">
        <v>369</v>
      </c>
      <c r="I7" s="16">
        <v>50</v>
      </c>
      <c r="J7" s="16">
        <v>47</v>
      </c>
      <c r="K7" s="16">
        <v>31</v>
      </c>
      <c r="L7" s="16">
        <v>11</v>
      </c>
      <c r="M7" s="82">
        <v>18.212499999999999</v>
      </c>
      <c r="N7" s="73">
        <v>18</v>
      </c>
      <c r="O7" s="65">
        <v>7000</v>
      </c>
      <c r="P7" s="66">
        <f>Table224578910112345678910111213141516[[#This Row],[PEMBULATAN]]*O7</f>
        <v>126000</v>
      </c>
    </row>
    <row r="8" spans="1:16" ht="26.25" customHeight="1" x14ac:dyDescent="0.2">
      <c r="A8" s="100"/>
      <c r="B8" s="100" t="s">
        <v>376</v>
      </c>
      <c r="C8" s="16" t="s">
        <v>377</v>
      </c>
      <c r="D8" s="79" t="s">
        <v>90</v>
      </c>
      <c r="E8" s="13">
        <v>44450</v>
      </c>
      <c r="F8" s="77" t="s">
        <v>355</v>
      </c>
      <c r="G8" s="13">
        <v>44454</v>
      </c>
      <c r="H8" s="101" t="s">
        <v>369</v>
      </c>
      <c r="I8" s="16">
        <v>41</v>
      </c>
      <c r="J8" s="16">
        <v>47</v>
      </c>
      <c r="K8" s="16">
        <v>14</v>
      </c>
      <c r="L8" s="16">
        <v>6</v>
      </c>
      <c r="M8" s="82">
        <v>6.7445000000000004</v>
      </c>
      <c r="N8" s="73">
        <v>7</v>
      </c>
      <c r="O8" s="65">
        <v>7000</v>
      </c>
      <c r="P8" s="66">
        <f>Table224578910112345678910111213141516[[#This Row],[PEMBULATAN]]*O8</f>
        <v>49000</v>
      </c>
    </row>
    <row r="9" spans="1:16" ht="26.25" customHeight="1" x14ac:dyDescent="0.2">
      <c r="A9" s="100"/>
      <c r="B9" s="100"/>
      <c r="C9" s="16" t="s">
        <v>378</v>
      </c>
      <c r="D9" s="79" t="s">
        <v>90</v>
      </c>
      <c r="E9" s="13">
        <v>44450</v>
      </c>
      <c r="F9" s="77" t="s">
        <v>355</v>
      </c>
      <c r="G9" s="13">
        <v>44454</v>
      </c>
      <c r="H9" s="101" t="s">
        <v>369</v>
      </c>
      <c r="I9" s="16">
        <v>100</v>
      </c>
      <c r="J9" s="16">
        <v>60</v>
      </c>
      <c r="K9" s="16">
        <v>13</v>
      </c>
      <c r="L9" s="16">
        <v>9</v>
      </c>
      <c r="M9" s="82">
        <v>19.5</v>
      </c>
      <c r="N9" s="73">
        <v>20</v>
      </c>
      <c r="O9" s="65">
        <v>7000</v>
      </c>
      <c r="P9" s="66">
        <f>Table224578910112345678910111213141516[[#This Row],[PEMBULATAN]]*O9</f>
        <v>140000</v>
      </c>
    </row>
    <row r="10" spans="1:16" ht="26.25" customHeight="1" x14ac:dyDescent="0.2">
      <c r="A10" s="100"/>
      <c r="B10" s="100"/>
      <c r="C10" s="16" t="s">
        <v>379</v>
      </c>
      <c r="D10" s="79" t="s">
        <v>90</v>
      </c>
      <c r="E10" s="13">
        <v>44450</v>
      </c>
      <c r="F10" s="77" t="s">
        <v>355</v>
      </c>
      <c r="G10" s="13">
        <v>44454</v>
      </c>
      <c r="H10" s="101" t="s">
        <v>369</v>
      </c>
      <c r="I10" s="16">
        <v>56</v>
      </c>
      <c r="J10" s="16">
        <v>35</v>
      </c>
      <c r="K10" s="16">
        <v>17</v>
      </c>
      <c r="L10" s="16">
        <v>15</v>
      </c>
      <c r="M10" s="82">
        <v>8.33</v>
      </c>
      <c r="N10" s="73">
        <v>15</v>
      </c>
      <c r="O10" s="65">
        <v>7000</v>
      </c>
      <c r="P10" s="66">
        <f>Table224578910112345678910111213141516[[#This Row],[PEMBULATAN]]*O10</f>
        <v>105000</v>
      </c>
    </row>
    <row r="11" spans="1:16" ht="26.25" customHeight="1" x14ac:dyDescent="0.2">
      <c r="A11" s="100"/>
      <c r="B11" s="100"/>
      <c r="C11" s="16" t="s">
        <v>380</v>
      </c>
      <c r="D11" s="79" t="s">
        <v>90</v>
      </c>
      <c r="E11" s="13">
        <v>44450</v>
      </c>
      <c r="F11" s="77" t="s">
        <v>355</v>
      </c>
      <c r="G11" s="13">
        <v>44454</v>
      </c>
      <c r="H11" s="101" t="s">
        <v>369</v>
      </c>
      <c r="I11" s="16">
        <v>53</v>
      </c>
      <c r="J11" s="16">
        <v>34</v>
      </c>
      <c r="K11" s="16">
        <v>24</v>
      </c>
      <c r="L11" s="16">
        <v>9</v>
      </c>
      <c r="M11" s="82">
        <v>10.811999999999999</v>
      </c>
      <c r="N11" s="73">
        <v>11</v>
      </c>
      <c r="O11" s="65">
        <v>7000</v>
      </c>
      <c r="P11" s="66">
        <f>Table224578910112345678910111213141516[[#This Row],[PEMBULATAN]]*O11</f>
        <v>77000</v>
      </c>
    </row>
    <row r="12" spans="1:16" ht="26.25" customHeight="1" x14ac:dyDescent="0.2">
      <c r="A12" s="100"/>
      <c r="B12" s="100"/>
      <c r="C12" s="16" t="s">
        <v>381</v>
      </c>
      <c r="D12" s="79" t="s">
        <v>90</v>
      </c>
      <c r="E12" s="13">
        <v>44450</v>
      </c>
      <c r="F12" s="77" t="s">
        <v>355</v>
      </c>
      <c r="G12" s="13">
        <v>44454</v>
      </c>
      <c r="H12" s="101" t="s">
        <v>369</v>
      </c>
      <c r="I12" s="16">
        <v>53</v>
      </c>
      <c r="J12" s="16">
        <v>37</v>
      </c>
      <c r="K12" s="16">
        <v>20</v>
      </c>
      <c r="L12" s="16">
        <v>5</v>
      </c>
      <c r="M12" s="82">
        <v>9.8049999999999997</v>
      </c>
      <c r="N12" s="73">
        <v>10</v>
      </c>
      <c r="O12" s="65">
        <v>7000</v>
      </c>
      <c r="P12" s="66">
        <f>Table224578910112345678910111213141516[[#This Row],[PEMBULATAN]]*O12</f>
        <v>70000</v>
      </c>
    </row>
    <row r="13" spans="1:16" ht="26.25" customHeight="1" x14ac:dyDescent="0.2">
      <c r="A13" s="100"/>
      <c r="B13" s="100"/>
      <c r="C13" s="16" t="s">
        <v>382</v>
      </c>
      <c r="D13" s="79" t="s">
        <v>90</v>
      </c>
      <c r="E13" s="13">
        <v>44450</v>
      </c>
      <c r="F13" s="77" t="s">
        <v>355</v>
      </c>
      <c r="G13" s="13">
        <v>44454</v>
      </c>
      <c r="H13" s="101" t="s">
        <v>369</v>
      </c>
      <c r="I13" s="16">
        <v>58</v>
      </c>
      <c r="J13" s="16">
        <v>17</v>
      </c>
      <c r="K13" s="16">
        <v>17</v>
      </c>
      <c r="L13" s="16">
        <v>5</v>
      </c>
      <c r="M13" s="82">
        <v>4.1905000000000001</v>
      </c>
      <c r="N13" s="73">
        <v>5</v>
      </c>
      <c r="O13" s="65">
        <v>7000</v>
      </c>
      <c r="P13" s="66">
        <f>Table224578910112345678910111213141516[[#This Row],[PEMBULATAN]]*O13</f>
        <v>35000</v>
      </c>
    </row>
    <row r="14" spans="1:16" ht="26.25" customHeight="1" x14ac:dyDescent="0.2">
      <c r="A14" s="100"/>
      <c r="B14" s="100"/>
      <c r="C14" s="16" t="s">
        <v>383</v>
      </c>
      <c r="D14" s="79" t="s">
        <v>90</v>
      </c>
      <c r="E14" s="13">
        <v>44450</v>
      </c>
      <c r="F14" s="77" t="s">
        <v>355</v>
      </c>
      <c r="G14" s="13">
        <v>44454</v>
      </c>
      <c r="H14" s="101" t="s">
        <v>369</v>
      </c>
      <c r="I14" s="16">
        <v>57</v>
      </c>
      <c r="J14" s="16">
        <v>40</v>
      </c>
      <c r="K14" s="16">
        <v>13</v>
      </c>
      <c r="L14" s="16">
        <v>4</v>
      </c>
      <c r="M14" s="82">
        <v>7.41</v>
      </c>
      <c r="N14" s="73">
        <v>8</v>
      </c>
      <c r="O14" s="65">
        <v>7000</v>
      </c>
      <c r="P14" s="66">
        <f>Table224578910112345678910111213141516[[#This Row],[PEMBULATAN]]*O14</f>
        <v>56000</v>
      </c>
    </row>
    <row r="15" spans="1:16" ht="26.25" customHeight="1" x14ac:dyDescent="0.2">
      <c r="A15" s="100"/>
      <c r="B15" s="100"/>
      <c r="C15" s="16" t="s">
        <v>384</v>
      </c>
      <c r="D15" s="79" t="s">
        <v>90</v>
      </c>
      <c r="E15" s="13">
        <v>44450</v>
      </c>
      <c r="F15" s="77" t="s">
        <v>355</v>
      </c>
      <c r="G15" s="13">
        <v>44454</v>
      </c>
      <c r="H15" s="101" t="s">
        <v>369</v>
      </c>
      <c r="I15" s="16">
        <v>41</v>
      </c>
      <c r="J15" s="16">
        <v>32</v>
      </c>
      <c r="K15" s="16">
        <v>17</v>
      </c>
      <c r="L15" s="16">
        <v>6</v>
      </c>
      <c r="M15" s="82">
        <v>5.5759999999999996</v>
      </c>
      <c r="N15" s="73">
        <v>6</v>
      </c>
      <c r="O15" s="65">
        <v>7000</v>
      </c>
      <c r="P15" s="66">
        <f>Table224578910112345678910111213141516[[#This Row],[PEMBULATAN]]*O15</f>
        <v>42000</v>
      </c>
    </row>
    <row r="16" spans="1:16" ht="26.25" customHeight="1" x14ac:dyDescent="0.2">
      <c r="A16" s="100"/>
      <c r="B16" s="100"/>
      <c r="C16" s="16" t="s">
        <v>385</v>
      </c>
      <c r="D16" s="79" t="s">
        <v>90</v>
      </c>
      <c r="E16" s="13">
        <v>44450</v>
      </c>
      <c r="F16" s="77" t="s">
        <v>355</v>
      </c>
      <c r="G16" s="13">
        <v>44454</v>
      </c>
      <c r="H16" s="101" t="s">
        <v>369</v>
      </c>
      <c r="I16" s="16">
        <v>42</v>
      </c>
      <c r="J16" s="16">
        <v>18</v>
      </c>
      <c r="K16" s="16">
        <v>26</v>
      </c>
      <c r="L16" s="16">
        <v>8</v>
      </c>
      <c r="M16" s="82">
        <v>4.9139999999999997</v>
      </c>
      <c r="N16" s="73">
        <v>8</v>
      </c>
      <c r="O16" s="65">
        <v>7000</v>
      </c>
      <c r="P16" s="66">
        <f>Table224578910112345678910111213141516[[#This Row],[PEMBULATAN]]*O16</f>
        <v>56000</v>
      </c>
    </row>
    <row r="17" spans="1:16" ht="26.25" customHeight="1" x14ac:dyDescent="0.2">
      <c r="A17" s="100"/>
      <c r="B17" s="100"/>
      <c r="C17" s="16" t="s">
        <v>386</v>
      </c>
      <c r="D17" s="79" t="s">
        <v>90</v>
      </c>
      <c r="E17" s="13">
        <v>44450</v>
      </c>
      <c r="F17" s="77" t="s">
        <v>355</v>
      </c>
      <c r="G17" s="13">
        <v>44454</v>
      </c>
      <c r="H17" s="101" t="s">
        <v>369</v>
      </c>
      <c r="I17" s="16">
        <v>72</v>
      </c>
      <c r="J17" s="16">
        <v>42</v>
      </c>
      <c r="K17" s="16">
        <v>30</v>
      </c>
      <c r="L17" s="16">
        <v>7</v>
      </c>
      <c r="M17" s="82">
        <v>22.68</v>
      </c>
      <c r="N17" s="73">
        <v>23</v>
      </c>
      <c r="O17" s="65">
        <v>7000</v>
      </c>
      <c r="P17" s="66">
        <f>Table224578910112345678910111213141516[[#This Row],[PEMBULATAN]]*O17</f>
        <v>161000</v>
      </c>
    </row>
    <row r="18" spans="1:16" ht="26.25" customHeight="1" x14ac:dyDescent="0.2">
      <c r="A18" s="100"/>
      <c r="B18" s="100"/>
      <c r="C18" s="16" t="s">
        <v>387</v>
      </c>
      <c r="D18" s="79" t="s">
        <v>90</v>
      </c>
      <c r="E18" s="13">
        <v>44450</v>
      </c>
      <c r="F18" s="77" t="s">
        <v>355</v>
      </c>
      <c r="G18" s="13">
        <v>44454</v>
      </c>
      <c r="H18" s="101" t="s">
        <v>369</v>
      </c>
      <c r="I18" s="16">
        <v>51</v>
      </c>
      <c r="J18" s="16">
        <v>22</v>
      </c>
      <c r="K18" s="16">
        <v>12</v>
      </c>
      <c r="L18" s="16">
        <v>2</v>
      </c>
      <c r="M18" s="82">
        <v>3.3660000000000001</v>
      </c>
      <c r="N18" s="73">
        <v>4</v>
      </c>
      <c r="O18" s="65">
        <v>7000</v>
      </c>
      <c r="P18" s="66">
        <f>Table224578910112345678910111213141516[[#This Row],[PEMBULATAN]]*O18</f>
        <v>28000</v>
      </c>
    </row>
    <row r="19" spans="1:16" ht="26.25" customHeight="1" x14ac:dyDescent="0.2">
      <c r="A19" s="100"/>
      <c r="B19" s="100"/>
      <c r="C19" s="16" t="s">
        <v>388</v>
      </c>
      <c r="D19" s="79" t="s">
        <v>90</v>
      </c>
      <c r="E19" s="13">
        <v>44450</v>
      </c>
      <c r="F19" s="77" t="s">
        <v>355</v>
      </c>
      <c r="G19" s="13">
        <v>44454</v>
      </c>
      <c r="H19" s="101" t="s">
        <v>369</v>
      </c>
      <c r="I19" s="16">
        <v>84</v>
      </c>
      <c r="J19" s="16">
        <v>26</v>
      </c>
      <c r="K19" s="16">
        <v>32</v>
      </c>
      <c r="L19" s="16">
        <v>12</v>
      </c>
      <c r="M19" s="82">
        <v>17.472000000000001</v>
      </c>
      <c r="N19" s="73">
        <v>18</v>
      </c>
      <c r="O19" s="65">
        <v>7000</v>
      </c>
      <c r="P19" s="66">
        <f>Table224578910112345678910111213141516[[#This Row],[PEMBULATAN]]*O19</f>
        <v>126000</v>
      </c>
    </row>
    <row r="20" spans="1:16" ht="26.25" customHeight="1" x14ac:dyDescent="0.2">
      <c r="A20" s="100"/>
      <c r="B20" s="103"/>
      <c r="C20" s="16" t="s">
        <v>389</v>
      </c>
      <c r="D20" s="79" t="s">
        <v>90</v>
      </c>
      <c r="E20" s="13">
        <v>44450</v>
      </c>
      <c r="F20" s="77" t="s">
        <v>355</v>
      </c>
      <c r="G20" s="13">
        <v>44454</v>
      </c>
      <c r="H20" s="101" t="s">
        <v>369</v>
      </c>
      <c r="I20" s="16">
        <v>122</v>
      </c>
      <c r="J20" s="16">
        <v>66</v>
      </c>
      <c r="K20" s="16">
        <v>38</v>
      </c>
      <c r="L20" s="16">
        <v>36</v>
      </c>
      <c r="M20" s="82">
        <v>76.494</v>
      </c>
      <c r="N20" s="73">
        <v>77</v>
      </c>
      <c r="O20" s="65">
        <v>7000</v>
      </c>
      <c r="P20" s="66">
        <f>Table224578910112345678910111213141516[[#This Row],[PEMBULATAN]]*O20</f>
        <v>539000</v>
      </c>
    </row>
    <row r="21" spans="1:16" ht="26.25" customHeight="1" x14ac:dyDescent="0.2">
      <c r="A21" s="100"/>
      <c r="B21" s="100" t="s">
        <v>390</v>
      </c>
      <c r="C21" s="16" t="s">
        <v>391</v>
      </c>
      <c r="D21" s="79" t="s">
        <v>90</v>
      </c>
      <c r="E21" s="13">
        <v>44450</v>
      </c>
      <c r="F21" s="77" t="s">
        <v>355</v>
      </c>
      <c r="G21" s="13">
        <v>44454</v>
      </c>
      <c r="H21" s="101" t="s">
        <v>369</v>
      </c>
      <c r="I21" s="16">
        <v>82</v>
      </c>
      <c r="J21" s="16">
        <v>52</v>
      </c>
      <c r="K21" s="16">
        <v>20</v>
      </c>
      <c r="L21" s="16">
        <v>8</v>
      </c>
      <c r="M21" s="82">
        <v>21.32</v>
      </c>
      <c r="N21" s="73">
        <v>22</v>
      </c>
      <c r="O21" s="65">
        <v>7000</v>
      </c>
      <c r="P21" s="66">
        <f>Table224578910112345678910111213141516[[#This Row],[PEMBULATAN]]*O21</f>
        <v>154000</v>
      </c>
    </row>
    <row r="22" spans="1:16" ht="22.5" customHeight="1" x14ac:dyDescent="0.2">
      <c r="A22" s="136" t="s">
        <v>30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8"/>
      <c r="M22" s="80">
        <f>SUBTOTAL(109,Table224578910112345678910111213141516[KG VOLUME])</f>
        <v>338.01225000000005</v>
      </c>
      <c r="N22" s="69">
        <f>SUM(N3:N21)</f>
        <v>355</v>
      </c>
      <c r="O22" s="139">
        <f>SUM(P3:P21)</f>
        <v>2485000</v>
      </c>
      <c r="P22" s="140"/>
    </row>
    <row r="23" spans="1:16" ht="18" customHeight="1" x14ac:dyDescent="0.2">
      <c r="A23" s="87"/>
      <c r="B23" s="57" t="s">
        <v>42</v>
      </c>
      <c r="C23" s="56"/>
      <c r="D23" s="58" t="s">
        <v>43</v>
      </c>
      <c r="E23" s="87"/>
      <c r="F23" s="87"/>
      <c r="G23" s="87"/>
      <c r="H23" s="87"/>
      <c r="I23" s="87"/>
      <c r="J23" s="87"/>
      <c r="K23" s="87"/>
      <c r="L23" s="87"/>
      <c r="M23" s="88"/>
      <c r="N23" s="89" t="s">
        <v>52</v>
      </c>
      <c r="O23" s="90"/>
      <c r="P23" s="90">
        <v>0</v>
      </c>
    </row>
    <row r="24" spans="1:16" ht="18" customHeight="1" thickBot="1" x14ac:dyDescent="0.25">
      <c r="A24" s="87"/>
      <c r="B24" s="57"/>
      <c r="C24" s="56"/>
      <c r="D24" s="58"/>
      <c r="E24" s="87"/>
      <c r="F24" s="87"/>
      <c r="G24" s="87"/>
      <c r="H24" s="87"/>
      <c r="I24" s="87"/>
      <c r="J24" s="87"/>
      <c r="K24" s="87"/>
      <c r="L24" s="87"/>
      <c r="M24" s="88"/>
      <c r="N24" s="91" t="s">
        <v>53</v>
      </c>
      <c r="O24" s="92"/>
      <c r="P24" s="92">
        <f>O22-P23</f>
        <v>2485000</v>
      </c>
    </row>
    <row r="25" spans="1:16" ht="18" customHeight="1" x14ac:dyDescent="0.2">
      <c r="A25" s="11"/>
      <c r="H25" s="64"/>
      <c r="N25" s="63" t="s">
        <v>31</v>
      </c>
      <c r="P25" s="70">
        <f>P24*1%</f>
        <v>24850</v>
      </c>
    </row>
    <row r="26" spans="1:16" ht="18" customHeight="1" thickBot="1" x14ac:dyDescent="0.25">
      <c r="A26" s="11"/>
      <c r="H26" s="64"/>
      <c r="N26" s="63" t="s">
        <v>54</v>
      </c>
      <c r="P26" s="72">
        <f>P24*2%</f>
        <v>49700</v>
      </c>
    </row>
    <row r="27" spans="1:16" ht="18" customHeight="1" x14ac:dyDescent="0.2">
      <c r="A27" s="11"/>
      <c r="H27" s="64"/>
      <c r="N27" s="67" t="s">
        <v>32</v>
      </c>
      <c r="O27" s="68"/>
      <c r="P27" s="71">
        <f>P24+P25-P26</f>
        <v>2460150</v>
      </c>
    </row>
    <row r="29" spans="1:16" x14ac:dyDescent="0.2">
      <c r="A29" s="11"/>
      <c r="H29" s="64"/>
      <c r="P29" s="72"/>
    </row>
    <row r="30" spans="1:16" x14ac:dyDescent="0.2">
      <c r="A30" s="11"/>
      <c r="H30" s="64"/>
      <c r="O30" s="59"/>
      <c r="P30" s="72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</sheetData>
  <mergeCells count="2">
    <mergeCell ref="A22:L22"/>
    <mergeCell ref="O22:P22"/>
  </mergeCells>
  <conditionalFormatting sqref="B3">
    <cfRule type="duplicateValues" dxfId="394" priority="2"/>
  </conditionalFormatting>
  <conditionalFormatting sqref="B4">
    <cfRule type="duplicateValues" dxfId="393" priority="1"/>
  </conditionalFormatting>
  <conditionalFormatting sqref="B5:B21">
    <cfRule type="duplicateValues" dxfId="392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914</v>
      </c>
      <c r="B3" s="75" t="s">
        <v>392</v>
      </c>
      <c r="C3" s="9" t="s">
        <v>393</v>
      </c>
      <c r="D3" s="77" t="s">
        <v>90</v>
      </c>
      <c r="E3" s="13">
        <v>44451</v>
      </c>
      <c r="F3" s="77" t="s">
        <v>355</v>
      </c>
      <c r="G3" s="13">
        <v>44454</v>
      </c>
      <c r="H3" s="10" t="s">
        <v>369</v>
      </c>
      <c r="I3" s="1">
        <v>65</v>
      </c>
      <c r="J3" s="1">
        <v>47</v>
      </c>
      <c r="K3" s="1">
        <v>21</v>
      </c>
      <c r="L3" s="1">
        <v>15</v>
      </c>
      <c r="M3" s="81">
        <v>16.03875</v>
      </c>
      <c r="N3" s="8">
        <v>16</v>
      </c>
      <c r="O3" s="65">
        <v>7000</v>
      </c>
      <c r="P3" s="66">
        <f>Table22457891011234567891011121314151617[[#This Row],[PEMBULATAN]]*O3</f>
        <v>112000</v>
      </c>
    </row>
    <row r="4" spans="1:16" ht="26.25" customHeight="1" x14ac:dyDescent="0.2">
      <c r="A4" s="14"/>
      <c r="B4" s="76"/>
      <c r="C4" s="9" t="s">
        <v>394</v>
      </c>
      <c r="D4" s="77" t="s">
        <v>90</v>
      </c>
      <c r="E4" s="13">
        <v>44451</v>
      </c>
      <c r="F4" s="77" t="s">
        <v>355</v>
      </c>
      <c r="G4" s="13">
        <v>44454</v>
      </c>
      <c r="H4" s="10" t="s">
        <v>369</v>
      </c>
      <c r="I4" s="1">
        <v>60</v>
      </c>
      <c r="J4" s="1">
        <v>31</v>
      </c>
      <c r="K4" s="1">
        <v>38</v>
      </c>
      <c r="L4" s="1">
        <v>20</v>
      </c>
      <c r="M4" s="81">
        <v>17.670000000000002</v>
      </c>
      <c r="N4" s="8">
        <v>20</v>
      </c>
      <c r="O4" s="65">
        <v>7000</v>
      </c>
      <c r="P4" s="66">
        <f>Table22457891011234567891011121314151617[[#This Row],[PEMBULATAN]]*O4</f>
        <v>140000</v>
      </c>
    </row>
    <row r="5" spans="1:16" ht="26.25" customHeight="1" x14ac:dyDescent="0.2">
      <c r="A5" s="14"/>
      <c r="B5" s="14"/>
      <c r="C5" s="9" t="s">
        <v>395</v>
      </c>
      <c r="D5" s="77" t="s">
        <v>90</v>
      </c>
      <c r="E5" s="13">
        <v>44451</v>
      </c>
      <c r="F5" s="77" t="s">
        <v>355</v>
      </c>
      <c r="G5" s="13">
        <v>44454</v>
      </c>
      <c r="H5" s="10" t="s">
        <v>369</v>
      </c>
      <c r="I5" s="1">
        <v>37</v>
      </c>
      <c r="J5" s="1">
        <v>35</v>
      </c>
      <c r="K5" s="1">
        <v>26</v>
      </c>
      <c r="L5" s="1">
        <v>11</v>
      </c>
      <c r="M5" s="81">
        <v>8.4175000000000004</v>
      </c>
      <c r="N5" s="8">
        <v>11</v>
      </c>
      <c r="O5" s="65">
        <v>7000</v>
      </c>
      <c r="P5" s="66">
        <f>Table22457891011234567891011121314151617[[#This Row],[PEMBULATAN]]*O5</f>
        <v>77000</v>
      </c>
    </row>
    <row r="6" spans="1:16" ht="26.25" customHeight="1" x14ac:dyDescent="0.2">
      <c r="A6" s="14"/>
      <c r="B6" s="14"/>
      <c r="C6" s="74" t="s">
        <v>396</v>
      </c>
      <c r="D6" s="79" t="s">
        <v>90</v>
      </c>
      <c r="E6" s="13">
        <v>44451</v>
      </c>
      <c r="F6" s="77" t="s">
        <v>355</v>
      </c>
      <c r="G6" s="13">
        <v>44454</v>
      </c>
      <c r="H6" s="78" t="s">
        <v>369</v>
      </c>
      <c r="I6" s="16">
        <v>53</v>
      </c>
      <c r="J6" s="16">
        <v>46</v>
      </c>
      <c r="K6" s="16">
        <v>22</v>
      </c>
      <c r="L6" s="16">
        <v>15</v>
      </c>
      <c r="M6" s="82">
        <v>13.409000000000001</v>
      </c>
      <c r="N6" s="73">
        <v>15</v>
      </c>
      <c r="O6" s="65">
        <v>7000</v>
      </c>
      <c r="P6" s="66">
        <f>Table22457891011234567891011121314151617[[#This Row],[PEMBULATAN]]*O6</f>
        <v>105000</v>
      </c>
    </row>
    <row r="7" spans="1:16" ht="26.25" customHeight="1" x14ac:dyDescent="0.2">
      <c r="A7" s="14"/>
      <c r="B7" s="14"/>
      <c r="C7" s="74" t="s">
        <v>397</v>
      </c>
      <c r="D7" s="79" t="s">
        <v>90</v>
      </c>
      <c r="E7" s="13">
        <v>44451</v>
      </c>
      <c r="F7" s="77" t="s">
        <v>355</v>
      </c>
      <c r="G7" s="13">
        <v>44454</v>
      </c>
      <c r="H7" s="78" t="s">
        <v>369</v>
      </c>
      <c r="I7" s="16">
        <v>172</v>
      </c>
      <c r="J7" s="16">
        <v>10</v>
      </c>
      <c r="K7" s="16">
        <v>10</v>
      </c>
      <c r="L7" s="16">
        <v>16</v>
      </c>
      <c r="M7" s="82">
        <v>4.3</v>
      </c>
      <c r="N7" s="73">
        <v>16</v>
      </c>
      <c r="O7" s="65">
        <v>7000</v>
      </c>
      <c r="P7" s="66">
        <f>Table22457891011234567891011121314151617[[#This Row],[PEMBULATAN]]*O7</f>
        <v>112000</v>
      </c>
    </row>
    <row r="8" spans="1:16" ht="22.5" customHeight="1" x14ac:dyDescent="0.2">
      <c r="A8" s="136" t="s">
        <v>30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8"/>
      <c r="M8" s="80">
        <f>SUBTOTAL(109,Table22457891011234567891011121314151617[KG VOLUME])</f>
        <v>59.835249999999995</v>
      </c>
      <c r="N8" s="69">
        <f>SUM(N3:N7)</f>
        <v>78</v>
      </c>
      <c r="O8" s="139">
        <f>SUM(P3:P7)</f>
        <v>546000</v>
      </c>
      <c r="P8" s="140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52</v>
      </c>
      <c r="O9" s="90"/>
      <c r="P9" s="90">
        <v>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53</v>
      </c>
      <c r="O10" s="92"/>
      <c r="P10" s="92">
        <f>O8-P9</f>
        <v>546000</v>
      </c>
    </row>
    <row r="11" spans="1:16" ht="18" customHeight="1" x14ac:dyDescent="0.2">
      <c r="A11" s="11"/>
      <c r="H11" s="64"/>
      <c r="N11" s="63" t="s">
        <v>31</v>
      </c>
      <c r="P11" s="70">
        <f>P10*1%</f>
        <v>5460</v>
      </c>
    </row>
    <row r="12" spans="1:16" ht="18" customHeight="1" thickBot="1" x14ac:dyDescent="0.25">
      <c r="A12" s="11"/>
      <c r="H12" s="64"/>
      <c r="N12" s="63" t="s">
        <v>54</v>
      </c>
      <c r="P12" s="72">
        <f>P10*2%</f>
        <v>10920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540540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376" priority="2"/>
  </conditionalFormatting>
  <conditionalFormatting sqref="B4">
    <cfRule type="duplicateValues" dxfId="375" priority="1"/>
  </conditionalFormatting>
  <conditionalFormatting sqref="B5:B7">
    <cfRule type="duplicateValues" dxfId="374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2" sqref="Q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915</v>
      </c>
      <c r="B3" s="75" t="s">
        <v>398</v>
      </c>
      <c r="C3" s="9" t="s">
        <v>399</v>
      </c>
      <c r="D3" s="77" t="s">
        <v>90</v>
      </c>
      <c r="E3" s="13">
        <v>44451</v>
      </c>
      <c r="F3" s="77" t="s">
        <v>355</v>
      </c>
      <c r="G3" s="13">
        <v>44454</v>
      </c>
      <c r="H3" s="10" t="s">
        <v>369</v>
      </c>
      <c r="I3" s="1">
        <v>67</v>
      </c>
      <c r="J3" s="1">
        <v>57</v>
      </c>
      <c r="K3" s="1">
        <v>25</v>
      </c>
      <c r="L3" s="1">
        <v>10</v>
      </c>
      <c r="M3" s="81">
        <v>23.868749999999999</v>
      </c>
      <c r="N3" s="8">
        <v>24</v>
      </c>
      <c r="O3" s="65">
        <v>7000</v>
      </c>
      <c r="P3" s="66">
        <f>Table2245789101123456789101112131415161718[[#This Row],[PEMBULATAN]]*O3</f>
        <v>168000</v>
      </c>
    </row>
    <row r="4" spans="1:16" ht="26.25" customHeight="1" x14ac:dyDescent="0.2">
      <c r="A4" s="14"/>
      <c r="B4" s="76"/>
      <c r="C4" s="9" t="s">
        <v>400</v>
      </c>
      <c r="D4" s="77" t="s">
        <v>90</v>
      </c>
      <c r="E4" s="13">
        <v>44451</v>
      </c>
      <c r="F4" s="77" t="s">
        <v>355</v>
      </c>
      <c r="G4" s="13">
        <v>44454</v>
      </c>
      <c r="H4" s="10" t="s">
        <v>369</v>
      </c>
      <c r="I4" s="1">
        <v>58</v>
      </c>
      <c r="J4" s="1">
        <v>37</v>
      </c>
      <c r="K4" s="1">
        <v>20</v>
      </c>
      <c r="L4" s="1">
        <v>6</v>
      </c>
      <c r="M4" s="81">
        <v>10.73</v>
      </c>
      <c r="N4" s="8">
        <v>11</v>
      </c>
      <c r="O4" s="65">
        <v>7000</v>
      </c>
      <c r="P4" s="66">
        <f>Table2245789101123456789101112131415161718[[#This Row],[PEMBULATAN]]*O4</f>
        <v>77000</v>
      </c>
    </row>
    <row r="5" spans="1:16" ht="26.25" customHeight="1" x14ac:dyDescent="0.2">
      <c r="A5" s="14"/>
      <c r="B5" s="14"/>
      <c r="C5" s="9" t="s">
        <v>401</v>
      </c>
      <c r="D5" s="77" t="s">
        <v>90</v>
      </c>
      <c r="E5" s="13">
        <v>44451</v>
      </c>
      <c r="F5" s="77" t="s">
        <v>355</v>
      </c>
      <c r="G5" s="13">
        <v>44454</v>
      </c>
      <c r="H5" s="10" t="s">
        <v>369</v>
      </c>
      <c r="I5" s="1">
        <v>44</v>
      </c>
      <c r="J5" s="1">
        <v>35</v>
      </c>
      <c r="K5" s="1">
        <v>35</v>
      </c>
      <c r="L5" s="1">
        <v>15</v>
      </c>
      <c r="M5" s="81">
        <v>13.475</v>
      </c>
      <c r="N5" s="8">
        <v>15</v>
      </c>
      <c r="O5" s="65">
        <v>7000</v>
      </c>
      <c r="P5" s="66">
        <f>Table2245789101123456789101112131415161718[[#This Row],[PEMBULATAN]]*O5</f>
        <v>105000</v>
      </c>
    </row>
    <row r="6" spans="1:16" ht="26.25" customHeight="1" x14ac:dyDescent="0.2">
      <c r="A6" s="14"/>
      <c r="B6" s="104"/>
      <c r="C6" s="74" t="s">
        <v>402</v>
      </c>
      <c r="D6" s="79" t="s">
        <v>90</v>
      </c>
      <c r="E6" s="13">
        <v>44451</v>
      </c>
      <c r="F6" s="77" t="s">
        <v>355</v>
      </c>
      <c r="G6" s="13">
        <v>44454</v>
      </c>
      <c r="H6" s="78" t="s">
        <v>369</v>
      </c>
      <c r="I6" s="16">
        <v>40</v>
      </c>
      <c r="J6" s="16">
        <v>24</v>
      </c>
      <c r="K6" s="16">
        <v>34</v>
      </c>
      <c r="L6" s="16">
        <v>7</v>
      </c>
      <c r="M6" s="82">
        <v>8.16</v>
      </c>
      <c r="N6" s="73">
        <v>8</v>
      </c>
      <c r="O6" s="65">
        <v>7000</v>
      </c>
      <c r="P6" s="66">
        <f>Table2245789101123456789101112131415161718[[#This Row],[PEMBULATAN]]*O6</f>
        <v>56000</v>
      </c>
    </row>
    <row r="7" spans="1:16" ht="26.25" customHeight="1" x14ac:dyDescent="0.2">
      <c r="A7" s="14"/>
      <c r="B7" s="14" t="s">
        <v>403</v>
      </c>
      <c r="C7" s="74" t="s">
        <v>404</v>
      </c>
      <c r="D7" s="79" t="s">
        <v>90</v>
      </c>
      <c r="E7" s="13">
        <v>44451</v>
      </c>
      <c r="F7" s="77" t="s">
        <v>355</v>
      </c>
      <c r="G7" s="13">
        <v>44454</v>
      </c>
      <c r="H7" s="78" t="s">
        <v>369</v>
      </c>
      <c r="I7" s="16">
        <v>128</v>
      </c>
      <c r="J7" s="16">
        <v>65</v>
      </c>
      <c r="K7" s="16">
        <v>23</v>
      </c>
      <c r="L7" s="16">
        <v>45</v>
      </c>
      <c r="M7" s="82">
        <v>47.84</v>
      </c>
      <c r="N7" s="73">
        <v>48</v>
      </c>
      <c r="O7" s="65">
        <v>7000</v>
      </c>
      <c r="P7" s="66">
        <f>Table2245789101123456789101112131415161718[[#This Row],[PEMBULATAN]]*O7</f>
        <v>336000</v>
      </c>
    </row>
    <row r="8" spans="1:16" ht="22.5" customHeight="1" x14ac:dyDescent="0.2">
      <c r="A8" s="136" t="s">
        <v>30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8"/>
      <c r="M8" s="80">
        <f>SUBTOTAL(109,Table2245789101123456789101112131415161718[KG VOLUME])</f>
        <v>104.07375</v>
      </c>
      <c r="N8" s="69">
        <f>SUM(N3:N7)</f>
        <v>106</v>
      </c>
      <c r="O8" s="139">
        <f>SUM(P3:P7)</f>
        <v>742000</v>
      </c>
      <c r="P8" s="140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52</v>
      </c>
      <c r="O9" s="90"/>
      <c r="P9" s="90">
        <v>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53</v>
      </c>
      <c r="O10" s="92"/>
      <c r="P10" s="92">
        <f>O8-P9</f>
        <v>742000</v>
      </c>
    </row>
    <row r="11" spans="1:16" ht="18" customHeight="1" x14ac:dyDescent="0.2">
      <c r="A11" s="11"/>
      <c r="H11" s="64"/>
      <c r="N11" s="63" t="s">
        <v>31</v>
      </c>
      <c r="P11" s="70">
        <f>P10*1%</f>
        <v>7420</v>
      </c>
    </row>
    <row r="12" spans="1:16" ht="18" customHeight="1" thickBot="1" x14ac:dyDescent="0.25">
      <c r="A12" s="11"/>
      <c r="H12" s="64"/>
      <c r="N12" s="63" t="s">
        <v>54</v>
      </c>
      <c r="P12" s="72">
        <f>P10*2%</f>
        <v>14840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734580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358" priority="2"/>
  </conditionalFormatting>
  <conditionalFormatting sqref="B4">
    <cfRule type="duplicateValues" dxfId="357" priority="1"/>
  </conditionalFormatting>
  <conditionalFormatting sqref="B5:B7">
    <cfRule type="duplicateValues" dxfId="356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916</v>
      </c>
      <c r="B3" s="75" t="s">
        <v>405</v>
      </c>
      <c r="C3" s="9" t="s">
        <v>406</v>
      </c>
      <c r="D3" s="77" t="s">
        <v>90</v>
      </c>
      <c r="E3" s="13">
        <v>44452</v>
      </c>
      <c r="F3" s="77" t="s">
        <v>355</v>
      </c>
      <c r="G3" s="13">
        <v>44454</v>
      </c>
      <c r="H3" s="10" t="s">
        <v>369</v>
      </c>
      <c r="I3" s="1">
        <v>46</v>
      </c>
      <c r="J3" s="1">
        <v>37</v>
      </c>
      <c r="K3" s="1">
        <v>24</v>
      </c>
      <c r="L3" s="1">
        <v>9</v>
      </c>
      <c r="M3" s="81">
        <v>10.212</v>
      </c>
      <c r="N3" s="8">
        <v>10</v>
      </c>
      <c r="O3" s="65">
        <v>7000</v>
      </c>
      <c r="P3" s="66">
        <f>Table224578910112345678910111213141516171819[[#This Row],[PEMBULATAN]]*O3</f>
        <v>70000</v>
      </c>
    </row>
    <row r="4" spans="1:16" ht="26.25" customHeight="1" x14ac:dyDescent="0.2">
      <c r="A4" s="14"/>
      <c r="B4" s="76"/>
      <c r="C4" s="9" t="s">
        <v>407</v>
      </c>
      <c r="D4" s="77" t="s">
        <v>90</v>
      </c>
      <c r="E4" s="13">
        <v>44452</v>
      </c>
      <c r="F4" s="77" t="s">
        <v>355</v>
      </c>
      <c r="G4" s="13">
        <v>44454</v>
      </c>
      <c r="H4" s="10" t="s">
        <v>369</v>
      </c>
      <c r="I4" s="1">
        <v>77</v>
      </c>
      <c r="J4" s="1">
        <v>41</v>
      </c>
      <c r="K4" s="1">
        <v>22</v>
      </c>
      <c r="L4" s="1">
        <v>10</v>
      </c>
      <c r="M4" s="81">
        <v>17.363499999999998</v>
      </c>
      <c r="N4" s="8">
        <v>18</v>
      </c>
      <c r="O4" s="65">
        <v>7000</v>
      </c>
      <c r="P4" s="66">
        <f>Table224578910112345678910111213141516171819[[#This Row],[PEMBULATAN]]*O4</f>
        <v>126000</v>
      </c>
    </row>
    <row r="5" spans="1:16" ht="26.25" customHeight="1" x14ac:dyDescent="0.2">
      <c r="A5" s="14"/>
      <c r="B5" s="14"/>
      <c r="C5" s="9" t="s">
        <v>408</v>
      </c>
      <c r="D5" s="77" t="s">
        <v>90</v>
      </c>
      <c r="E5" s="13">
        <v>44452</v>
      </c>
      <c r="F5" s="77" t="s">
        <v>355</v>
      </c>
      <c r="G5" s="13">
        <v>44454</v>
      </c>
      <c r="H5" s="10" t="s">
        <v>369</v>
      </c>
      <c r="I5" s="1">
        <v>53</v>
      </c>
      <c r="J5" s="1">
        <v>42</v>
      </c>
      <c r="K5" s="1">
        <v>25</v>
      </c>
      <c r="L5" s="1">
        <v>7</v>
      </c>
      <c r="M5" s="81">
        <v>13.9125</v>
      </c>
      <c r="N5" s="8">
        <v>14</v>
      </c>
      <c r="O5" s="65">
        <v>7000</v>
      </c>
      <c r="P5" s="66">
        <f>Table224578910112345678910111213141516171819[[#This Row],[PEMBULATAN]]*O5</f>
        <v>98000</v>
      </c>
    </row>
    <row r="6" spans="1:16" ht="26.25" customHeight="1" x14ac:dyDescent="0.2">
      <c r="A6" s="14"/>
      <c r="B6" s="14"/>
      <c r="C6" s="74" t="s">
        <v>409</v>
      </c>
      <c r="D6" s="79" t="s">
        <v>90</v>
      </c>
      <c r="E6" s="13">
        <v>44452</v>
      </c>
      <c r="F6" s="77" t="s">
        <v>355</v>
      </c>
      <c r="G6" s="13">
        <v>44454</v>
      </c>
      <c r="H6" s="78" t="s">
        <v>369</v>
      </c>
      <c r="I6" s="16">
        <v>98</v>
      </c>
      <c r="J6" s="16">
        <v>43</v>
      </c>
      <c r="K6" s="16">
        <v>28</v>
      </c>
      <c r="L6" s="16">
        <v>13</v>
      </c>
      <c r="M6" s="82">
        <v>29.498000000000001</v>
      </c>
      <c r="N6" s="73">
        <v>30</v>
      </c>
      <c r="O6" s="65">
        <v>7000</v>
      </c>
      <c r="P6" s="66">
        <f>Table224578910112345678910111213141516171819[[#This Row],[PEMBULATAN]]*O6</f>
        <v>210000</v>
      </c>
    </row>
    <row r="7" spans="1:16" ht="26.25" customHeight="1" x14ac:dyDescent="0.2">
      <c r="A7" s="14"/>
      <c r="B7" s="14"/>
      <c r="C7" s="74" t="s">
        <v>410</v>
      </c>
      <c r="D7" s="79" t="s">
        <v>90</v>
      </c>
      <c r="E7" s="13">
        <v>44452</v>
      </c>
      <c r="F7" s="77" t="s">
        <v>355</v>
      </c>
      <c r="G7" s="13">
        <v>44454</v>
      </c>
      <c r="H7" s="78" t="s">
        <v>369</v>
      </c>
      <c r="I7" s="16">
        <v>40</v>
      </c>
      <c r="J7" s="16">
        <v>34</v>
      </c>
      <c r="K7" s="16">
        <v>30</v>
      </c>
      <c r="L7" s="16">
        <v>11</v>
      </c>
      <c r="M7" s="82">
        <v>10.199999999999999</v>
      </c>
      <c r="N7" s="73">
        <v>11</v>
      </c>
      <c r="O7" s="65">
        <v>7000</v>
      </c>
      <c r="P7" s="66">
        <f>Table224578910112345678910111213141516171819[[#This Row],[PEMBULATAN]]*O7</f>
        <v>77000</v>
      </c>
    </row>
    <row r="8" spans="1:16" ht="26.25" customHeight="1" x14ac:dyDescent="0.2">
      <c r="A8" s="14"/>
      <c r="B8" s="14"/>
      <c r="C8" s="74" t="s">
        <v>411</v>
      </c>
      <c r="D8" s="79" t="s">
        <v>90</v>
      </c>
      <c r="E8" s="13">
        <v>44452</v>
      </c>
      <c r="F8" s="77" t="s">
        <v>355</v>
      </c>
      <c r="G8" s="13">
        <v>44454</v>
      </c>
      <c r="H8" s="78" t="s">
        <v>369</v>
      </c>
      <c r="I8" s="16">
        <v>48</v>
      </c>
      <c r="J8" s="16">
        <v>35</v>
      </c>
      <c r="K8" s="16">
        <v>25</v>
      </c>
      <c r="L8" s="16">
        <v>6</v>
      </c>
      <c r="M8" s="82">
        <v>10.5</v>
      </c>
      <c r="N8" s="73">
        <v>11</v>
      </c>
      <c r="O8" s="65">
        <v>7000</v>
      </c>
      <c r="P8" s="66">
        <f>Table224578910112345678910111213141516171819[[#This Row],[PEMBULATAN]]*O8</f>
        <v>77000</v>
      </c>
    </row>
    <row r="9" spans="1:16" ht="26.25" customHeight="1" x14ac:dyDescent="0.2">
      <c r="A9" s="14"/>
      <c r="B9" s="14"/>
      <c r="C9" s="74" t="s">
        <v>412</v>
      </c>
      <c r="D9" s="79" t="s">
        <v>90</v>
      </c>
      <c r="E9" s="13">
        <v>44452</v>
      </c>
      <c r="F9" s="77" t="s">
        <v>355</v>
      </c>
      <c r="G9" s="13">
        <v>44454</v>
      </c>
      <c r="H9" s="78" t="s">
        <v>369</v>
      </c>
      <c r="I9" s="16">
        <v>86</v>
      </c>
      <c r="J9" s="16">
        <v>70</v>
      </c>
      <c r="K9" s="16">
        <v>20</v>
      </c>
      <c r="L9" s="16">
        <v>9</v>
      </c>
      <c r="M9" s="82">
        <v>30.1</v>
      </c>
      <c r="N9" s="73">
        <v>30</v>
      </c>
      <c r="O9" s="65">
        <v>7000</v>
      </c>
      <c r="P9" s="66">
        <f>Table224578910112345678910111213141516171819[[#This Row],[PEMBULATAN]]*O9</f>
        <v>210000</v>
      </c>
    </row>
    <row r="10" spans="1:16" ht="26.25" customHeight="1" x14ac:dyDescent="0.2">
      <c r="A10" s="14"/>
      <c r="B10" s="14"/>
      <c r="C10" s="74" t="s">
        <v>413</v>
      </c>
      <c r="D10" s="79" t="s">
        <v>90</v>
      </c>
      <c r="E10" s="13">
        <v>44452</v>
      </c>
      <c r="F10" s="77" t="s">
        <v>355</v>
      </c>
      <c r="G10" s="13">
        <v>44454</v>
      </c>
      <c r="H10" s="78" t="s">
        <v>369</v>
      </c>
      <c r="I10" s="16">
        <v>57</v>
      </c>
      <c r="J10" s="16">
        <v>43</v>
      </c>
      <c r="K10" s="16">
        <v>43</v>
      </c>
      <c r="L10" s="16">
        <v>9</v>
      </c>
      <c r="M10" s="82">
        <v>26.34825</v>
      </c>
      <c r="N10" s="73">
        <v>27</v>
      </c>
      <c r="O10" s="65">
        <v>7000</v>
      </c>
      <c r="P10" s="66">
        <f>Table224578910112345678910111213141516171819[[#This Row],[PEMBULATAN]]*O10</f>
        <v>189000</v>
      </c>
    </row>
    <row r="11" spans="1:16" ht="26.25" customHeight="1" x14ac:dyDescent="0.2">
      <c r="A11" s="14"/>
      <c r="B11" s="14"/>
      <c r="C11" s="74" t="s">
        <v>414</v>
      </c>
      <c r="D11" s="79" t="s">
        <v>90</v>
      </c>
      <c r="E11" s="13">
        <v>44452</v>
      </c>
      <c r="F11" s="77" t="s">
        <v>355</v>
      </c>
      <c r="G11" s="13">
        <v>44454</v>
      </c>
      <c r="H11" s="78" t="s">
        <v>369</v>
      </c>
      <c r="I11" s="16">
        <v>92</v>
      </c>
      <c r="J11" s="16">
        <v>55</v>
      </c>
      <c r="K11" s="16">
        <v>54</v>
      </c>
      <c r="L11" s="16">
        <v>18</v>
      </c>
      <c r="M11" s="82">
        <v>68.31</v>
      </c>
      <c r="N11" s="73">
        <v>69</v>
      </c>
      <c r="O11" s="65">
        <v>7000</v>
      </c>
      <c r="P11" s="66">
        <f>Table224578910112345678910111213141516171819[[#This Row],[PEMBULATAN]]*O11</f>
        <v>483000</v>
      </c>
    </row>
    <row r="12" spans="1:16" ht="22.5" customHeight="1" x14ac:dyDescent="0.2">
      <c r="A12" s="136" t="s">
        <v>30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8"/>
      <c r="M12" s="80">
        <f>SUBTOTAL(109,Table224578910112345678910111213141516171819[KG VOLUME])</f>
        <v>216.44425000000001</v>
      </c>
      <c r="N12" s="69">
        <f>SUM(N3:N11)</f>
        <v>220</v>
      </c>
      <c r="O12" s="139">
        <f>SUM(P3:P11)</f>
        <v>1540000</v>
      </c>
      <c r="P12" s="140"/>
    </row>
    <row r="13" spans="1:16" ht="18" customHeight="1" x14ac:dyDescent="0.2">
      <c r="A13" s="87"/>
      <c r="B13" s="57" t="s">
        <v>42</v>
      </c>
      <c r="C13" s="56"/>
      <c r="D13" s="58" t="s">
        <v>43</v>
      </c>
      <c r="E13" s="87"/>
      <c r="F13" s="87"/>
      <c r="G13" s="87"/>
      <c r="H13" s="87"/>
      <c r="I13" s="87"/>
      <c r="J13" s="87"/>
      <c r="K13" s="87"/>
      <c r="L13" s="87"/>
      <c r="M13" s="88"/>
      <c r="N13" s="89" t="s">
        <v>52</v>
      </c>
      <c r="O13" s="90"/>
      <c r="P13" s="90">
        <v>0</v>
      </c>
    </row>
    <row r="14" spans="1:16" ht="18" customHeight="1" thickBot="1" x14ac:dyDescent="0.25">
      <c r="A14" s="87"/>
      <c r="B14" s="57"/>
      <c r="C14" s="56"/>
      <c r="D14" s="58"/>
      <c r="E14" s="87"/>
      <c r="F14" s="87"/>
      <c r="G14" s="87"/>
      <c r="H14" s="87"/>
      <c r="I14" s="87"/>
      <c r="J14" s="87"/>
      <c r="K14" s="87"/>
      <c r="L14" s="87"/>
      <c r="M14" s="88"/>
      <c r="N14" s="91" t="s">
        <v>53</v>
      </c>
      <c r="O14" s="92"/>
      <c r="P14" s="92">
        <f>O12-P13</f>
        <v>1540000</v>
      </c>
    </row>
    <row r="15" spans="1:16" ht="18" customHeight="1" x14ac:dyDescent="0.2">
      <c r="A15" s="11"/>
      <c r="H15" s="64"/>
      <c r="N15" s="63" t="s">
        <v>31</v>
      </c>
      <c r="P15" s="70">
        <f>P14*1%</f>
        <v>15400</v>
      </c>
    </row>
    <row r="16" spans="1:16" ht="18" customHeight="1" thickBot="1" x14ac:dyDescent="0.25">
      <c r="A16" s="11"/>
      <c r="H16" s="64"/>
      <c r="N16" s="63" t="s">
        <v>54</v>
      </c>
      <c r="P16" s="72">
        <f>P14*2%</f>
        <v>30800</v>
      </c>
    </row>
    <row r="17" spans="1:16" ht="18" customHeight="1" x14ac:dyDescent="0.2">
      <c r="A17" s="11"/>
      <c r="H17" s="64"/>
      <c r="N17" s="67" t="s">
        <v>32</v>
      </c>
      <c r="O17" s="68"/>
      <c r="P17" s="71">
        <f>P14+P15-P16</f>
        <v>1524600</v>
      </c>
    </row>
    <row r="19" spans="1:16" x14ac:dyDescent="0.2">
      <c r="A19" s="11"/>
      <c r="H19" s="64"/>
      <c r="P19" s="72"/>
    </row>
    <row r="20" spans="1:16" x14ac:dyDescent="0.2">
      <c r="A20" s="11"/>
      <c r="H20" s="64"/>
      <c r="O20" s="59"/>
      <c r="P20" s="72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340" priority="2"/>
  </conditionalFormatting>
  <conditionalFormatting sqref="B4">
    <cfRule type="duplicateValues" dxfId="339" priority="1"/>
  </conditionalFormatting>
  <conditionalFormatting sqref="B5:B11">
    <cfRule type="duplicateValues" dxfId="338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900</v>
      </c>
      <c r="B3" s="75" t="s">
        <v>58</v>
      </c>
      <c r="C3" s="9" t="s">
        <v>59</v>
      </c>
      <c r="D3" s="77" t="s">
        <v>90</v>
      </c>
      <c r="E3" s="13">
        <v>44440</v>
      </c>
      <c r="F3" s="77" t="s">
        <v>91</v>
      </c>
      <c r="G3" s="13">
        <v>44446</v>
      </c>
      <c r="H3" s="10" t="s">
        <v>101</v>
      </c>
      <c r="I3" s="1">
        <v>49</v>
      </c>
      <c r="J3" s="1">
        <v>40</v>
      </c>
      <c r="K3" s="1">
        <v>27</v>
      </c>
      <c r="L3" s="1">
        <v>8</v>
      </c>
      <c r="M3" s="81">
        <v>13.23</v>
      </c>
      <c r="N3" s="8">
        <v>13</v>
      </c>
      <c r="O3" s="65">
        <v>7000</v>
      </c>
      <c r="P3" s="66">
        <f>Table224578910112[[#This Row],[PEMBULATAN]]*O3</f>
        <v>91000</v>
      </c>
    </row>
    <row r="4" spans="1:16" ht="26.25" customHeight="1" x14ac:dyDescent="0.2">
      <c r="A4" s="14"/>
      <c r="B4" s="97"/>
      <c r="C4" s="9" t="s">
        <v>60</v>
      </c>
      <c r="D4" s="77" t="s">
        <v>90</v>
      </c>
      <c r="E4" s="13">
        <v>44440</v>
      </c>
      <c r="F4" s="77" t="s">
        <v>91</v>
      </c>
      <c r="G4" s="13">
        <v>44446</v>
      </c>
      <c r="H4" s="10" t="s">
        <v>101</v>
      </c>
      <c r="I4" s="1">
        <v>40</v>
      </c>
      <c r="J4" s="1">
        <v>30</v>
      </c>
      <c r="K4" s="1">
        <v>24</v>
      </c>
      <c r="L4" s="1">
        <v>12</v>
      </c>
      <c r="M4" s="81">
        <v>7.2</v>
      </c>
      <c r="N4" s="8">
        <v>12</v>
      </c>
      <c r="O4" s="65">
        <v>7000</v>
      </c>
      <c r="P4" s="66">
        <f>Table224578910112[[#This Row],[PEMBULATAN]]*O4</f>
        <v>84000</v>
      </c>
    </row>
    <row r="5" spans="1:16" ht="26.25" customHeight="1" x14ac:dyDescent="0.2">
      <c r="A5" s="14"/>
      <c r="B5" s="14" t="s">
        <v>61</v>
      </c>
      <c r="C5" s="9" t="s">
        <v>62</v>
      </c>
      <c r="D5" s="77" t="s">
        <v>90</v>
      </c>
      <c r="E5" s="13">
        <v>44440</v>
      </c>
      <c r="F5" s="77" t="s">
        <v>91</v>
      </c>
      <c r="G5" s="13">
        <v>44446</v>
      </c>
      <c r="H5" s="10" t="s">
        <v>101</v>
      </c>
      <c r="I5" s="1">
        <v>40</v>
      </c>
      <c r="J5" s="1">
        <v>40</v>
      </c>
      <c r="K5" s="1">
        <v>21</v>
      </c>
      <c r="L5" s="1">
        <v>6</v>
      </c>
      <c r="M5" s="81">
        <v>8.4</v>
      </c>
      <c r="N5" s="8">
        <v>9</v>
      </c>
      <c r="O5" s="65">
        <v>7000</v>
      </c>
      <c r="P5" s="66">
        <f>Table224578910112[[#This Row],[PEMBULATAN]]*O5</f>
        <v>63000</v>
      </c>
    </row>
    <row r="6" spans="1:16" ht="26.25" customHeight="1" x14ac:dyDescent="0.2">
      <c r="A6" s="14"/>
      <c r="B6" s="14"/>
      <c r="C6" s="74" t="s">
        <v>63</v>
      </c>
      <c r="D6" s="79" t="s">
        <v>90</v>
      </c>
      <c r="E6" s="13">
        <v>44440</v>
      </c>
      <c r="F6" s="77" t="s">
        <v>91</v>
      </c>
      <c r="G6" s="13">
        <v>44446</v>
      </c>
      <c r="H6" s="78" t="s">
        <v>101</v>
      </c>
      <c r="I6" s="16">
        <v>87</v>
      </c>
      <c r="J6" s="16">
        <v>70</v>
      </c>
      <c r="K6" s="16">
        <v>44</v>
      </c>
      <c r="L6" s="16">
        <v>20</v>
      </c>
      <c r="M6" s="82">
        <v>66.989999999999995</v>
      </c>
      <c r="N6" s="73">
        <v>67</v>
      </c>
      <c r="O6" s="65">
        <v>7000</v>
      </c>
      <c r="P6" s="66">
        <f>Table224578910112[[#This Row],[PEMBULATAN]]*O6</f>
        <v>469000</v>
      </c>
    </row>
    <row r="7" spans="1:16" ht="26.25" customHeight="1" x14ac:dyDescent="0.2">
      <c r="A7" s="14"/>
      <c r="B7" s="14"/>
      <c r="C7" s="74" t="s">
        <v>64</v>
      </c>
      <c r="D7" s="79" t="s">
        <v>90</v>
      </c>
      <c r="E7" s="13">
        <v>44440</v>
      </c>
      <c r="F7" s="77" t="s">
        <v>91</v>
      </c>
      <c r="G7" s="13">
        <v>44446</v>
      </c>
      <c r="H7" s="78" t="s">
        <v>101</v>
      </c>
      <c r="I7" s="16">
        <v>88</v>
      </c>
      <c r="J7" s="16">
        <v>44</v>
      </c>
      <c r="K7" s="16">
        <v>32</v>
      </c>
      <c r="L7" s="16">
        <v>18</v>
      </c>
      <c r="M7" s="82">
        <v>30.975999999999999</v>
      </c>
      <c r="N7" s="73">
        <v>31</v>
      </c>
      <c r="O7" s="65">
        <v>7000</v>
      </c>
      <c r="P7" s="66">
        <f>Table224578910112[[#This Row],[PEMBULATAN]]*O7</f>
        <v>217000</v>
      </c>
    </row>
    <row r="8" spans="1:16" ht="26.25" customHeight="1" x14ac:dyDescent="0.2">
      <c r="A8" s="14"/>
      <c r="B8" s="14"/>
      <c r="C8" s="74" t="s">
        <v>65</v>
      </c>
      <c r="D8" s="79" t="s">
        <v>90</v>
      </c>
      <c r="E8" s="13">
        <v>44440</v>
      </c>
      <c r="F8" s="77" t="s">
        <v>91</v>
      </c>
      <c r="G8" s="13">
        <v>44446</v>
      </c>
      <c r="H8" s="78" t="s">
        <v>101</v>
      </c>
      <c r="I8" s="16">
        <v>38</v>
      </c>
      <c r="J8" s="16">
        <v>30</v>
      </c>
      <c r="K8" s="16">
        <v>13</v>
      </c>
      <c r="L8" s="16">
        <v>7</v>
      </c>
      <c r="M8" s="82">
        <v>3.7050000000000001</v>
      </c>
      <c r="N8" s="73">
        <v>7</v>
      </c>
      <c r="O8" s="65">
        <v>7000</v>
      </c>
      <c r="P8" s="66">
        <f>Table224578910112[[#This Row],[PEMBULATAN]]*O8</f>
        <v>49000</v>
      </c>
    </row>
    <row r="9" spans="1:16" ht="26.25" customHeight="1" x14ac:dyDescent="0.2">
      <c r="A9" s="14"/>
      <c r="B9" s="14"/>
      <c r="C9" s="74" t="s">
        <v>66</v>
      </c>
      <c r="D9" s="79" t="s">
        <v>90</v>
      </c>
      <c r="E9" s="13">
        <v>44440</v>
      </c>
      <c r="F9" s="77" t="s">
        <v>91</v>
      </c>
      <c r="G9" s="13">
        <v>44446</v>
      </c>
      <c r="H9" s="78" t="s">
        <v>101</v>
      </c>
      <c r="I9" s="16">
        <v>51</v>
      </c>
      <c r="J9" s="16">
        <v>39</v>
      </c>
      <c r="K9" s="16">
        <v>30</v>
      </c>
      <c r="L9" s="16">
        <v>10</v>
      </c>
      <c r="M9" s="82">
        <v>14.9175</v>
      </c>
      <c r="N9" s="73">
        <v>15</v>
      </c>
      <c r="O9" s="65">
        <v>7000</v>
      </c>
      <c r="P9" s="66">
        <f>Table224578910112[[#This Row],[PEMBULATAN]]*O9</f>
        <v>105000</v>
      </c>
    </row>
    <row r="10" spans="1:16" ht="26.25" customHeight="1" x14ac:dyDescent="0.2">
      <c r="A10" s="14"/>
      <c r="B10" s="14"/>
      <c r="C10" s="74" t="s">
        <v>67</v>
      </c>
      <c r="D10" s="79" t="s">
        <v>90</v>
      </c>
      <c r="E10" s="13">
        <v>44440</v>
      </c>
      <c r="F10" s="77" t="s">
        <v>91</v>
      </c>
      <c r="G10" s="13">
        <v>44446</v>
      </c>
      <c r="H10" s="78" t="s">
        <v>101</v>
      </c>
      <c r="I10" s="16">
        <v>40</v>
      </c>
      <c r="J10" s="16">
        <v>33</v>
      </c>
      <c r="K10" s="16">
        <v>15</v>
      </c>
      <c r="L10" s="16">
        <v>7</v>
      </c>
      <c r="M10" s="82">
        <v>4.95</v>
      </c>
      <c r="N10" s="73">
        <v>7</v>
      </c>
      <c r="O10" s="65">
        <v>7000</v>
      </c>
      <c r="P10" s="66">
        <f>Table224578910112[[#This Row],[PEMBULATAN]]*O10</f>
        <v>49000</v>
      </c>
    </row>
    <row r="11" spans="1:16" ht="26.25" customHeight="1" x14ac:dyDescent="0.2">
      <c r="A11" s="14"/>
      <c r="B11" s="14"/>
      <c r="C11" s="74" t="s">
        <v>68</v>
      </c>
      <c r="D11" s="79" t="s">
        <v>90</v>
      </c>
      <c r="E11" s="13">
        <v>44440</v>
      </c>
      <c r="F11" s="77" t="s">
        <v>91</v>
      </c>
      <c r="G11" s="13">
        <v>44446</v>
      </c>
      <c r="H11" s="78" t="s">
        <v>101</v>
      </c>
      <c r="I11" s="16">
        <v>72</v>
      </c>
      <c r="J11" s="16">
        <v>47</v>
      </c>
      <c r="K11" s="16">
        <v>10</v>
      </c>
      <c r="L11" s="16">
        <v>8</v>
      </c>
      <c r="M11" s="82">
        <v>8.4600000000000009</v>
      </c>
      <c r="N11" s="73">
        <v>9</v>
      </c>
      <c r="O11" s="65">
        <v>7000</v>
      </c>
      <c r="P11" s="66">
        <f>Table224578910112[[#This Row],[PEMBULATAN]]*O11</f>
        <v>63000</v>
      </c>
    </row>
    <row r="12" spans="1:16" ht="26.25" customHeight="1" x14ac:dyDescent="0.2">
      <c r="A12" s="14"/>
      <c r="B12" s="14"/>
      <c r="C12" s="74" t="s">
        <v>69</v>
      </c>
      <c r="D12" s="79" t="s">
        <v>90</v>
      </c>
      <c r="E12" s="13">
        <v>44440</v>
      </c>
      <c r="F12" s="77" t="s">
        <v>91</v>
      </c>
      <c r="G12" s="13">
        <v>44446</v>
      </c>
      <c r="H12" s="78" t="s">
        <v>101</v>
      </c>
      <c r="I12" s="16">
        <v>50</v>
      </c>
      <c r="J12" s="16">
        <v>38</v>
      </c>
      <c r="K12" s="16">
        <v>31</v>
      </c>
      <c r="L12" s="16">
        <v>11</v>
      </c>
      <c r="M12" s="82">
        <v>14.725</v>
      </c>
      <c r="N12" s="73">
        <v>15</v>
      </c>
      <c r="O12" s="65">
        <v>7000</v>
      </c>
      <c r="P12" s="66">
        <f>Table224578910112[[#This Row],[PEMBULATAN]]*O12</f>
        <v>105000</v>
      </c>
    </row>
    <row r="13" spans="1:16" ht="26.25" customHeight="1" x14ac:dyDescent="0.2">
      <c r="A13" s="14"/>
      <c r="B13" s="14"/>
      <c r="C13" s="74" t="s">
        <v>70</v>
      </c>
      <c r="D13" s="79" t="s">
        <v>90</v>
      </c>
      <c r="E13" s="13">
        <v>44440</v>
      </c>
      <c r="F13" s="77" t="s">
        <v>91</v>
      </c>
      <c r="G13" s="13">
        <v>44446</v>
      </c>
      <c r="H13" s="78" t="s">
        <v>101</v>
      </c>
      <c r="I13" s="16">
        <v>36</v>
      </c>
      <c r="J13" s="16">
        <v>33</v>
      </c>
      <c r="K13" s="16">
        <v>10</v>
      </c>
      <c r="L13" s="16">
        <v>5</v>
      </c>
      <c r="M13" s="82">
        <v>2.97</v>
      </c>
      <c r="N13" s="73">
        <v>5</v>
      </c>
      <c r="O13" s="65">
        <v>7000</v>
      </c>
      <c r="P13" s="66">
        <f>Table224578910112[[#This Row],[PEMBULATAN]]*O13</f>
        <v>35000</v>
      </c>
    </row>
    <row r="14" spans="1:16" ht="26.25" customHeight="1" x14ac:dyDescent="0.2">
      <c r="A14" s="14"/>
      <c r="B14" s="14"/>
      <c r="C14" s="74" t="s">
        <v>71</v>
      </c>
      <c r="D14" s="79" t="s">
        <v>90</v>
      </c>
      <c r="E14" s="13">
        <v>44440</v>
      </c>
      <c r="F14" s="77" t="s">
        <v>91</v>
      </c>
      <c r="G14" s="13">
        <v>44446</v>
      </c>
      <c r="H14" s="78" t="s">
        <v>101</v>
      </c>
      <c r="I14" s="16">
        <v>37</v>
      </c>
      <c r="J14" s="16">
        <v>32</v>
      </c>
      <c r="K14" s="16">
        <v>10</v>
      </c>
      <c r="L14" s="16">
        <v>5</v>
      </c>
      <c r="M14" s="82">
        <v>2.96</v>
      </c>
      <c r="N14" s="73">
        <v>5</v>
      </c>
      <c r="O14" s="65">
        <v>7000</v>
      </c>
      <c r="P14" s="66">
        <f>Table224578910112[[#This Row],[PEMBULATAN]]*O14</f>
        <v>35000</v>
      </c>
    </row>
    <row r="15" spans="1:16" ht="26.25" customHeight="1" x14ac:dyDescent="0.2">
      <c r="A15" s="14"/>
      <c r="B15" s="14"/>
      <c r="C15" s="74" t="s">
        <v>72</v>
      </c>
      <c r="D15" s="79" t="s">
        <v>90</v>
      </c>
      <c r="E15" s="13">
        <v>44440</v>
      </c>
      <c r="F15" s="77" t="s">
        <v>91</v>
      </c>
      <c r="G15" s="13">
        <v>44446</v>
      </c>
      <c r="H15" s="78" t="s">
        <v>101</v>
      </c>
      <c r="I15" s="16">
        <v>67</v>
      </c>
      <c r="J15" s="16">
        <v>32</v>
      </c>
      <c r="K15" s="16">
        <v>61</v>
      </c>
      <c r="L15" s="16">
        <v>25</v>
      </c>
      <c r="M15" s="82">
        <v>32.695999999999998</v>
      </c>
      <c r="N15" s="73">
        <v>33</v>
      </c>
      <c r="O15" s="65">
        <v>7000</v>
      </c>
      <c r="P15" s="66">
        <f>Table224578910112[[#This Row],[PEMBULATAN]]*O15</f>
        <v>231000</v>
      </c>
    </row>
    <row r="16" spans="1:16" ht="26.25" customHeight="1" x14ac:dyDescent="0.2">
      <c r="A16" s="14"/>
      <c r="B16" s="14"/>
      <c r="C16" s="74" t="s">
        <v>73</v>
      </c>
      <c r="D16" s="79" t="s">
        <v>90</v>
      </c>
      <c r="E16" s="13">
        <v>44440</v>
      </c>
      <c r="F16" s="77" t="s">
        <v>91</v>
      </c>
      <c r="G16" s="13">
        <v>44446</v>
      </c>
      <c r="H16" s="78" t="s">
        <v>101</v>
      </c>
      <c r="I16" s="16">
        <v>51</v>
      </c>
      <c r="J16" s="16">
        <v>28</v>
      </c>
      <c r="K16" s="16">
        <v>50</v>
      </c>
      <c r="L16" s="16">
        <v>15</v>
      </c>
      <c r="M16" s="82">
        <v>17.850000000000001</v>
      </c>
      <c r="N16" s="73">
        <v>18</v>
      </c>
      <c r="O16" s="65">
        <v>7000</v>
      </c>
      <c r="P16" s="66">
        <f>Table224578910112[[#This Row],[PEMBULATAN]]*O16</f>
        <v>126000</v>
      </c>
    </row>
    <row r="17" spans="1:16" ht="26.25" customHeight="1" x14ac:dyDescent="0.2">
      <c r="A17" s="14"/>
      <c r="B17" s="14"/>
      <c r="C17" s="74" t="s">
        <v>74</v>
      </c>
      <c r="D17" s="79" t="s">
        <v>90</v>
      </c>
      <c r="E17" s="13">
        <v>44440</v>
      </c>
      <c r="F17" s="77" t="s">
        <v>91</v>
      </c>
      <c r="G17" s="13">
        <v>44446</v>
      </c>
      <c r="H17" s="78" t="s">
        <v>101</v>
      </c>
      <c r="I17" s="16">
        <v>32</v>
      </c>
      <c r="J17" s="16">
        <v>28</v>
      </c>
      <c r="K17" s="16">
        <v>17</v>
      </c>
      <c r="L17" s="16">
        <v>5</v>
      </c>
      <c r="M17" s="82">
        <v>3.8079999999999998</v>
      </c>
      <c r="N17" s="73">
        <v>5</v>
      </c>
      <c r="O17" s="65">
        <v>7000</v>
      </c>
      <c r="P17" s="66">
        <f>Table224578910112[[#This Row],[PEMBULATAN]]*O17</f>
        <v>35000</v>
      </c>
    </row>
    <row r="18" spans="1:16" ht="26.25" customHeight="1" x14ac:dyDescent="0.2">
      <c r="A18" s="14"/>
      <c r="B18" s="14"/>
      <c r="C18" s="74" t="s">
        <v>75</v>
      </c>
      <c r="D18" s="79" t="s">
        <v>90</v>
      </c>
      <c r="E18" s="13">
        <v>44440</v>
      </c>
      <c r="F18" s="77" t="s">
        <v>91</v>
      </c>
      <c r="G18" s="13">
        <v>44446</v>
      </c>
      <c r="H18" s="78" t="s">
        <v>101</v>
      </c>
      <c r="I18" s="16">
        <v>137</v>
      </c>
      <c r="J18" s="16">
        <v>70</v>
      </c>
      <c r="K18" s="16">
        <v>20</v>
      </c>
      <c r="L18" s="16">
        <v>28</v>
      </c>
      <c r="M18" s="82">
        <v>47.95</v>
      </c>
      <c r="N18" s="73">
        <v>48</v>
      </c>
      <c r="O18" s="65">
        <v>7000</v>
      </c>
      <c r="P18" s="66">
        <f>Table224578910112[[#This Row],[PEMBULATAN]]*O18</f>
        <v>336000</v>
      </c>
    </row>
    <row r="19" spans="1:16" ht="26.25" customHeight="1" x14ac:dyDescent="0.2">
      <c r="A19" s="14"/>
      <c r="B19" s="14"/>
      <c r="C19" s="74" t="s">
        <v>76</v>
      </c>
      <c r="D19" s="79" t="s">
        <v>90</v>
      </c>
      <c r="E19" s="13">
        <v>44440</v>
      </c>
      <c r="F19" s="77" t="s">
        <v>91</v>
      </c>
      <c r="G19" s="13">
        <v>44446</v>
      </c>
      <c r="H19" s="78" t="s">
        <v>101</v>
      </c>
      <c r="I19" s="16">
        <v>46</v>
      </c>
      <c r="J19" s="16">
        <v>33</v>
      </c>
      <c r="K19" s="16">
        <v>29</v>
      </c>
      <c r="L19" s="16">
        <v>17</v>
      </c>
      <c r="M19" s="82">
        <v>11.0055</v>
      </c>
      <c r="N19" s="73">
        <v>17</v>
      </c>
      <c r="O19" s="65">
        <v>7000</v>
      </c>
      <c r="P19" s="66">
        <f>Table224578910112[[#This Row],[PEMBULATAN]]*O19</f>
        <v>119000</v>
      </c>
    </row>
    <row r="20" spans="1:16" ht="26.25" customHeight="1" x14ac:dyDescent="0.2">
      <c r="A20" s="14"/>
      <c r="B20" s="14"/>
      <c r="C20" s="74" t="s">
        <v>77</v>
      </c>
      <c r="D20" s="79" t="s">
        <v>90</v>
      </c>
      <c r="E20" s="13">
        <v>44440</v>
      </c>
      <c r="F20" s="77" t="s">
        <v>91</v>
      </c>
      <c r="G20" s="13">
        <v>44446</v>
      </c>
      <c r="H20" s="78" t="s">
        <v>101</v>
      </c>
      <c r="I20" s="16">
        <v>34</v>
      </c>
      <c r="J20" s="16">
        <v>36</v>
      </c>
      <c r="K20" s="16">
        <v>30</v>
      </c>
      <c r="L20" s="16">
        <v>12</v>
      </c>
      <c r="M20" s="82">
        <v>9.18</v>
      </c>
      <c r="N20" s="73">
        <v>12</v>
      </c>
      <c r="O20" s="65">
        <v>7000</v>
      </c>
      <c r="P20" s="66">
        <f>Table224578910112[[#This Row],[PEMBULATAN]]*O20</f>
        <v>84000</v>
      </c>
    </row>
    <row r="21" spans="1:16" ht="26.25" customHeight="1" x14ac:dyDescent="0.2">
      <c r="A21" s="14"/>
      <c r="B21" s="14"/>
      <c r="C21" s="74" t="s">
        <v>78</v>
      </c>
      <c r="D21" s="79" t="s">
        <v>90</v>
      </c>
      <c r="E21" s="13">
        <v>44440</v>
      </c>
      <c r="F21" s="77" t="s">
        <v>91</v>
      </c>
      <c r="G21" s="13">
        <v>44446</v>
      </c>
      <c r="H21" s="78" t="s">
        <v>101</v>
      </c>
      <c r="I21" s="16">
        <v>83</v>
      </c>
      <c r="J21" s="16">
        <v>26</v>
      </c>
      <c r="K21" s="16">
        <v>28</v>
      </c>
      <c r="L21" s="16">
        <v>16</v>
      </c>
      <c r="M21" s="82">
        <v>15.106</v>
      </c>
      <c r="N21" s="73">
        <v>16</v>
      </c>
      <c r="O21" s="65">
        <v>7000</v>
      </c>
      <c r="P21" s="66">
        <f>Table224578910112[[#This Row],[PEMBULATAN]]*O21</f>
        <v>112000</v>
      </c>
    </row>
    <row r="22" spans="1:16" ht="26.25" customHeight="1" x14ac:dyDescent="0.2">
      <c r="A22" s="14"/>
      <c r="B22" s="14"/>
      <c r="C22" s="74" t="s">
        <v>79</v>
      </c>
      <c r="D22" s="79" t="s">
        <v>90</v>
      </c>
      <c r="E22" s="13">
        <v>44440</v>
      </c>
      <c r="F22" s="77" t="s">
        <v>91</v>
      </c>
      <c r="G22" s="13">
        <v>44446</v>
      </c>
      <c r="H22" s="78" t="s">
        <v>101</v>
      </c>
      <c r="I22" s="16">
        <v>46</v>
      </c>
      <c r="J22" s="16">
        <v>41</v>
      </c>
      <c r="K22" s="16">
        <v>19</v>
      </c>
      <c r="L22" s="16">
        <v>8</v>
      </c>
      <c r="M22" s="82">
        <v>8.9585000000000008</v>
      </c>
      <c r="N22" s="73">
        <v>9</v>
      </c>
      <c r="O22" s="65">
        <v>7000</v>
      </c>
      <c r="P22" s="66">
        <f>Table224578910112[[#This Row],[PEMBULATAN]]*O22</f>
        <v>63000</v>
      </c>
    </row>
    <row r="23" spans="1:16" ht="26.25" customHeight="1" x14ac:dyDescent="0.2">
      <c r="A23" s="14"/>
      <c r="B23" s="14"/>
      <c r="C23" s="74" t="s">
        <v>80</v>
      </c>
      <c r="D23" s="79" t="s">
        <v>90</v>
      </c>
      <c r="E23" s="13">
        <v>44440</v>
      </c>
      <c r="F23" s="77" t="s">
        <v>91</v>
      </c>
      <c r="G23" s="13">
        <v>44446</v>
      </c>
      <c r="H23" s="78" t="s">
        <v>101</v>
      </c>
      <c r="I23" s="16">
        <v>54</v>
      </c>
      <c r="J23" s="16">
        <v>38</v>
      </c>
      <c r="K23" s="16">
        <v>28</v>
      </c>
      <c r="L23" s="16">
        <v>8</v>
      </c>
      <c r="M23" s="82">
        <v>14.364000000000001</v>
      </c>
      <c r="N23" s="73">
        <v>15</v>
      </c>
      <c r="O23" s="65">
        <v>7000</v>
      </c>
      <c r="P23" s="66">
        <f>Table224578910112[[#This Row],[PEMBULATAN]]*O23</f>
        <v>105000</v>
      </c>
    </row>
    <row r="24" spans="1:16" ht="26.25" customHeight="1" x14ac:dyDescent="0.2">
      <c r="A24" s="14"/>
      <c r="B24" s="14"/>
      <c r="C24" s="74" t="s">
        <v>81</v>
      </c>
      <c r="D24" s="79" t="s">
        <v>90</v>
      </c>
      <c r="E24" s="13">
        <v>44440</v>
      </c>
      <c r="F24" s="77" t="s">
        <v>91</v>
      </c>
      <c r="G24" s="13">
        <v>44446</v>
      </c>
      <c r="H24" s="78" t="s">
        <v>101</v>
      </c>
      <c r="I24" s="16">
        <v>25</v>
      </c>
      <c r="J24" s="16">
        <v>21</v>
      </c>
      <c r="K24" s="16">
        <v>20</v>
      </c>
      <c r="L24" s="16">
        <v>24</v>
      </c>
      <c r="M24" s="82">
        <v>2.625</v>
      </c>
      <c r="N24" s="73">
        <v>24</v>
      </c>
      <c r="O24" s="65">
        <v>7000</v>
      </c>
      <c r="P24" s="66">
        <f>Table224578910112[[#This Row],[PEMBULATAN]]*O24</f>
        <v>168000</v>
      </c>
    </row>
    <row r="25" spans="1:16" ht="26.25" customHeight="1" x14ac:dyDescent="0.2">
      <c r="A25" s="14"/>
      <c r="B25" s="14"/>
      <c r="C25" s="74" t="s">
        <v>82</v>
      </c>
      <c r="D25" s="79" t="s">
        <v>90</v>
      </c>
      <c r="E25" s="13">
        <v>44440</v>
      </c>
      <c r="F25" s="77" t="s">
        <v>91</v>
      </c>
      <c r="G25" s="13">
        <v>44446</v>
      </c>
      <c r="H25" s="78" t="s">
        <v>101</v>
      </c>
      <c r="I25" s="16">
        <v>46</v>
      </c>
      <c r="J25" s="16">
        <v>35</v>
      </c>
      <c r="K25" s="16">
        <v>14</v>
      </c>
      <c r="L25" s="16">
        <v>6</v>
      </c>
      <c r="M25" s="82">
        <v>5.6349999999999998</v>
      </c>
      <c r="N25" s="73">
        <v>6</v>
      </c>
      <c r="O25" s="65">
        <v>7000</v>
      </c>
      <c r="P25" s="66">
        <f>Table224578910112[[#This Row],[PEMBULATAN]]*O25</f>
        <v>42000</v>
      </c>
    </row>
    <row r="26" spans="1:16" ht="26.25" customHeight="1" x14ac:dyDescent="0.2">
      <c r="A26" s="14"/>
      <c r="B26" s="14"/>
      <c r="C26" s="74" t="s">
        <v>83</v>
      </c>
      <c r="D26" s="79" t="s">
        <v>90</v>
      </c>
      <c r="E26" s="13">
        <v>44440</v>
      </c>
      <c r="F26" s="77" t="s">
        <v>91</v>
      </c>
      <c r="G26" s="13">
        <v>44446</v>
      </c>
      <c r="H26" s="78" t="s">
        <v>101</v>
      </c>
      <c r="I26" s="16">
        <v>55</v>
      </c>
      <c r="J26" s="16">
        <v>56</v>
      </c>
      <c r="K26" s="16">
        <v>25</v>
      </c>
      <c r="L26" s="16">
        <v>21</v>
      </c>
      <c r="M26" s="82">
        <v>19.25</v>
      </c>
      <c r="N26" s="73">
        <v>21</v>
      </c>
      <c r="O26" s="65">
        <v>7000</v>
      </c>
      <c r="P26" s="66">
        <f>Table224578910112[[#This Row],[PEMBULATAN]]*O26</f>
        <v>147000</v>
      </c>
    </row>
    <row r="27" spans="1:16" ht="26.25" customHeight="1" x14ac:dyDescent="0.2">
      <c r="A27" s="14"/>
      <c r="B27" s="14"/>
      <c r="C27" s="74" t="s">
        <v>84</v>
      </c>
      <c r="D27" s="79" t="s">
        <v>90</v>
      </c>
      <c r="E27" s="13">
        <v>44440</v>
      </c>
      <c r="F27" s="77" t="s">
        <v>91</v>
      </c>
      <c r="G27" s="13">
        <v>44446</v>
      </c>
      <c r="H27" s="78" t="s">
        <v>101</v>
      </c>
      <c r="I27" s="16">
        <v>60</v>
      </c>
      <c r="J27" s="16">
        <v>38</v>
      </c>
      <c r="K27" s="16">
        <v>48</v>
      </c>
      <c r="L27" s="16">
        <v>10</v>
      </c>
      <c r="M27" s="82">
        <v>27.36</v>
      </c>
      <c r="N27" s="73">
        <v>28</v>
      </c>
      <c r="O27" s="65">
        <v>7000</v>
      </c>
      <c r="P27" s="66">
        <f>Table224578910112[[#This Row],[PEMBULATAN]]*O27</f>
        <v>196000</v>
      </c>
    </row>
    <row r="28" spans="1:16" ht="26.25" customHeight="1" x14ac:dyDescent="0.2">
      <c r="A28" s="14"/>
      <c r="B28" s="14"/>
      <c r="C28" s="74" t="s">
        <v>85</v>
      </c>
      <c r="D28" s="79" t="s">
        <v>90</v>
      </c>
      <c r="E28" s="13">
        <v>44440</v>
      </c>
      <c r="F28" s="77" t="s">
        <v>91</v>
      </c>
      <c r="G28" s="13">
        <v>44446</v>
      </c>
      <c r="H28" s="78" t="s">
        <v>101</v>
      </c>
      <c r="I28" s="16">
        <v>43</v>
      </c>
      <c r="J28" s="16">
        <v>38</v>
      </c>
      <c r="K28" s="16">
        <v>27</v>
      </c>
      <c r="L28" s="16">
        <v>16</v>
      </c>
      <c r="M28" s="82">
        <v>11.029500000000001</v>
      </c>
      <c r="N28" s="73">
        <v>16</v>
      </c>
      <c r="O28" s="65">
        <v>7000</v>
      </c>
      <c r="P28" s="66">
        <f>Table224578910112[[#This Row],[PEMBULATAN]]*O28</f>
        <v>112000</v>
      </c>
    </row>
    <row r="29" spans="1:16" ht="26.25" customHeight="1" x14ac:dyDescent="0.2">
      <c r="A29" s="14"/>
      <c r="B29" s="14"/>
      <c r="C29" s="74" t="s">
        <v>86</v>
      </c>
      <c r="D29" s="79" t="s">
        <v>90</v>
      </c>
      <c r="E29" s="13">
        <v>44440</v>
      </c>
      <c r="F29" s="77" t="s">
        <v>91</v>
      </c>
      <c r="G29" s="13">
        <v>44446</v>
      </c>
      <c r="H29" s="78" t="s">
        <v>101</v>
      </c>
      <c r="I29" s="16">
        <v>61</v>
      </c>
      <c r="J29" s="16">
        <v>40</v>
      </c>
      <c r="K29" s="16">
        <v>50</v>
      </c>
      <c r="L29" s="16">
        <v>20</v>
      </c>
      <c r="M29" s="82">
        <v>30.5</v>
      </c>
      <c r="N29" s="73">
        <v>31</v>
      </c>
      <c r="O29" s="65">
        <v>7000</v>
      </c>
      <c r="P29" s="66">
        <f>Table224578910112[[#This Row],[PEMBULATAN]]*O29</f>
        <v>217000</v>
      </c>
    </row>
    <row r="30" spans="1:16" ht="26.25" customHeight="1" x14ac:dyDescent="0.2">
      <c r="A30" s="14"/>
      <c r="B30" s="14"/>
      <c r="C30" s="74" t="s">
        <v>87</v>
      </c>
      <c r="D30" s="79" t="s">
        <v>90</v>
      </c>
      <c r="E30" s="13">
        <v>44440</v>
      </c>
      <c r="F30" s="77" t="s">
        <v>91</v>
      </c>
      <c r="G30" s="13">
        <v>44446</v>
      </c>
      <c r="H30" s="78" t="s">
        <v>101</v>
      </c>
      <c r="I30" s="16">
        <v>89</v>
      </c>
      <c r="J30" s="16">
        <v>38</v>
      </c>
      <c r="K30" s="16">
        <v>30</v>
      </c>
      <c r="L30" s="16">
        <v>11</v>
      </c>
      <c r="M30" s="82">
        <v>25.364999999999998</v>
      </c>
      <c r="N30" s="73">
        <v>26</v>
      </c>
      <c r="O30" s="65">
        <v>7000</v>
      </c>
      <c r="P30" s="66">
        <f>Table224578910112[[#This Row],[PEMBULATAN]]*O30</f>
        <v>182000</v>
      </c>
    </row>
    <row r="31" spans="1:16" ht="26.25" customHeight="1" x14ac:dyDescent="0.2">
      <c r="A31" s="14"/>
      <c r="B31" s="14"/>
      <c r="C31" s="74" t="s">
        <v>88</v>
      </c>
      <c r="D31" s="79" t="s">
        <v>90</v>
      </c>
      <c r="E31" s="13">
        <v>44440</v>
      </c>
      <c r="F31" s="77" t="s">
        <v>91</v>
      </c>
      <c r="G31" s="13">
        <v>44446</v>
      </c>
      <c r="H31" s="78" t="s">
        <v>101</v>
      </c>
      <c r="I31" s="16">
        <v>52</v>
      </c>
      <c r="J31" s="16">
        <v>42</v>
      </c>
      <c r="K31" s="16">
        <v>28</v>
      </c>
      <c r="L31" s="16">
        <v>12</v>
      </c>
      <c r="M31" s="82">
        <v>15.288</v>
      </c>
      <c r="N31" s="73">
        <v>15</v>
      </c>
      <c r="O31" s="65">
        <v>7000</v>
      </c>
      <c r="P31" s="66">
        <f>Table224578910112[[#This Row],[PEMBULATAN]]*O31</f>
        <v>105000</v>
      </c>
    </row>
    <row r="32" spans="1:16" ht="26.25" customHeight="1" x14ac:dyDescent="0.2">
      <c r="A32" s="14"/>
      <c r="B32" s="14"/>
      <c r="C32" s="74" t="s">
        <v>89</v>
      </c>
      <c r="D32" s="79" t="s">
        <v>90</v>
      </c>
      <c r="E32" s="13">
        <v>44440</v>
      </c>
      <c r="F32" s="77" t="s">
        <v>91</v>
      </c>
      <c r="G32" s="13">
        <v>44446</v>
      </c>
      <c r="H32" s="78" t="s">
        <v>101</v>
      </c>
      <c r="I32" s="16">
        <v>60</v>
      </c>
      <c r="J32" s="16">
        <v>50</v>
      </c>
      <c r="K32" s="16">
        <v>30</v>
      </c>
      <c r="L32" s="16">
        <v>14</v>
      </c>
      <c r="M32" s="82">
        <v>22.5</v>
      </c>
      <c r="N32" s="73">
        <v>23</v>
      </c>
      <c r="O32" s="65">
        <v>7000</v>
      </c>
      <c r="P32" s="66">
        <f>Table224578910112[[#This Row],[PEMBULATAN]]*O32</f>
        <v>161000</v>
      </c>
    </row>
    <row r="33" spans="1:16" ht="22.5" customHeight="1" x14ac:dyDescent="0.2">
      <c r="A33" s="136" t="s">
        <v>30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8"/>
      <c r="M33" s="80">
        <f>SUBTOTAL(109,Table224578910112[KG VOLUME])</f>
        <v>499.95399999999995</v>
      </c>
      <c r="N33" s="69">
        <f>SUM(N3:N32)</f>
        <v>558</v>
      </c>
      <c r="O33" s="139">
        <f>SUM(P3:P32)</f>
        <v>3906000</v>
      </c>
      <c r="P33" s="140"/>
    </row>
    <row r="34" spans="1:16" ht="18" customHeight="1" x14ac:dyDescent="0.2">
      <c r="A34" s="87"/>
      <c r="B34" s="57" t="s">
        <v>42</v>
      </c>
      <c r="C34" s="56"/>
      <c r="D34" s="58" t="s">
        <v>43</v>
      </c>
      <c r="E34" s="87"/>
      <c r="F34" s="87"/>
      <c r="G34" s="87"/>
      <c r="H34" s="87"/>
      <c r="I34" s="87"/>
      <c r="J34" s="87"/>
      <c r="K34" s="87"/>
      <c r="L34" s="87"/>
      <c r="M34" s="88"/>
      <c r="N34" s="89" t="s">
        <v>52</v>
      </c>
      <c r="O34" s="90"/>
      <c r="P34" s="90">
        <v>0</v>
      </c>
    </row>
    <row r="35" spans="1:16" ht="18" customHeight="1" thickBot="1" x14ac:dyDescent="0.25">
      <c r="A35" s="87"/>
      <c r="B35" s="57"/>
      <c r="C35" s="56"/>
      <c r="D35" s="58"/>
      <c r="E35" s="87"/>
      <c r="F35" s="87"/>
      <c r="G35" s="87"/>
      <c r="H35" s="87"/>
      <c r="I35" s="87"/>
      <c r="J35" s="87"/>
      <c r="K35" s="87"/>
      <c r="L35" s="87"/>
      <c r="M35" s="88"/>
      <c r="N35" s="91" t="s">
        <v>53</v>
      </c>
      <c r="O35" s="92"/>
      <c r="P35" s="92">
        <f>O33-P34</f>
        <v>3906000</v>
      </c>
    </row>
    <row r="36" spans="1:16" ht="18" customHeight="1" x14ac:dyDescent="0.2">
      <c r="A36" s="11"/>
      <c r="H36" s="64"/>
      <c r="N36" s="63" t="s">
        <v>31</v>
      </c>
      <c r="P36" s="70">
        <f>P35*1%</f>
        <v>39060</v>
      </c>
    </row>
    <row r="37" spans="1:16" ht="18" customHeight="1" thickBot="1" x14ac:dyDescent="0.25">
      <c r="A37" s="11"/>
      <c r="H37" s="64"/>
      <c r="N37" s="63" t="s">
        <v>54</v>
      </c>
      <c r="P37" s="72">
        <f>P35*2%</f>
        <v>78120</v>
      </c>
    </row>
    <row r="38" spans="1:16" ht="18" customHeight="1" x14ac:dyDescent="0.2">
      <c r="A38" s="11"/>
      <c r="H38" s="64"/>
      <c r="N38" s="67" t="s">
        <v>32</v>
      </c>
      <c r="O38" s="68"/>
      <c r="P38" s="71">
        <f>P35+P36-P37</f>
        <v>3866940</v>
      </c>
    </row>
    <row r="40" spans="1:16" x14ac:dyDescent="0.2">
      <c r="A40" s="11"/>
      <c r="H40" s="64"/>
      <c r="P40" s="72"/>
    </row>
    <row r="41" spans="1:16" x14ac:dyDescent="0.2">
      <c r="A41" s="11"/>
      <c r="H41" s="64"/>
      <c r="O41" s="59"/>
      <c r="P41" s="72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</sheetData>
  <mergeCells count="2">
    <mergeCell ref="A33:L33"/>
    <mergeCell ref="O33:P33"/>
  </mergeCells>
  <conditionalFormatting sqref="B3">
    <cfRule type="duplicateValues" dxfId="645" priority="2"/>
  </conditionalFormatting>
  <conditionalFormatting sqref="B4">
    <cfRule type="duplicateValues" dxfId="644" priority="1"/>
  </conditionalFormatting>
  <conditionalFormatting sqref="B5:B32">
    <cfRule type="duplicateValues" dxfId="64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25" activePane="bottomRight" state="frozen"/>
      <selection pane="topRight" activeCell="B1" sqref="B1"/>
      <selection pane="bottomLeft" activeCell="A3" sqref="A3"/>
      <selection pane="bottomRight" activeCell="N30" sqref="N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917</v>
      </c>
      <c r="B3" s="75" t="s">
        <v>451</v>
      </c>
      <c r="C3" s="9" t="s">
        <v>452</v>
      </c>
      <c r="D3" s="77" t="s">
        <v>90</v>
      </c>
      <c r="E3" s="13">
        <v>44453</v>
      </c>
      <c r="F3" s="77" t="s">
        <v>434</v>
      </c>
      <c r="G3" s="13">
        <v>44456.625</v>
      </c>
      <c r="H3" s="10" t="s">
        <v>435</v>
      </c>
      <c r="I3" s="1">
        <v>34</v>
      </c>
      <c r="J3" s="1">
        <v>27</v>
      </c>
      <c r="K3" s="1">
        <v>22</v>
      </c>
      <c r="L3" s="1">
        <v>4</v>
      </c>
      <c r="M3" s="81">
        <v>5.0490000000000004</v>
      </c>
      <c r="N3" s="8">
        <v>5</v>
      </c>
      <c r="O3" s="65">
        <v>7000</v>
      </c>
      <c r="P3" s="66">
        <f>Table2245789101123456789101112131415161718192021[[#This Row],[PEMBULATAN]]*O3</f>
        <v>35000</v>
      </c>
    </row>
    <row r="4" spans="1:16" ht="26.25" customHeight="1" x14ac:dyDescent="0.2">
      <c r="A4" s="14"/>
      <c r="B4" s="76"/>
      <c r="C4" s="9" t="s">
        <v>453</v>
      </c>
      <c r="D4" s="77" t="s">
        <v>90</v>
      </c>
      <c r="E4" s="13">
        <v>44453</v>
      </c>
      <c r="F4" s="77" t="s">
        <v>434</v>
      </c>
      <c r="G4" s="13">
        <v>44456.625</v>
      </c>
      <c r="H4" s="10" t="s">
        <v>435</v>
      </c>
      <c r="I4" s="1">
        <v>30</v>
      </c>
      <c r="J4" s="1">
        <v>20</v>
      </c>
      <c r="K4" s="1">
        <v>16</v>
      </c>
      <c r="L4" s="1">
        <v>7</v>
      </c>
      <c r="M4" s="81">
        <v>2.4</v>
      </c>
      <c r="N4" s="8">
        <v>7</v>
      </c>
      <c r="O4" s="65">
        <v>7000</v>
      </c>
      <c r="P4" s="66">
        <f>Table2245789101123456789101112131415161718192021[[#This Row],[PEMBULATAN]]*O4</f>
        <v>49000</v>
      </c>
    </row>
    <row r="5" spans="1:16" ht="26.25" customHeight="1" x14ac:dyDescent="0.2">
      <c r="A5" s="14"/>
      <c r="B5" s="104"/>
      <c r="C5" s="9" t="s">
        <v>454</v>
      </c>
      <c r="D5" s="77" t="s">
        <v>90</v>
      </c>
      <c r="E5" s="13">
        <v>44453</v>
      </c>
      <c r="F5" s="77" t="s">
        <v>434</v>
      </c>
      <c r="G5" s="13">
        <v>44456.625</v>
      </c>
      <c r="H5" s="10" t="s">
        <v>435</v>
      </c>
      <c r="I5" s="1">
        <v>33</v>
      </c>
      <c r="J5" s="1">
        <v>20</v>
      </c>
      <c r="K5" s="1">
        <v>8</v>
      </c>
      <c r="L5" s="1">
        <v>4</v>
      </c>
      <c r="M5" s="81">
        <v>1.32</v>
      </c>
      <c r="N5" s="8">
        <v>4</v>
      </c>
      <c r="O5" s="65">
        <v>7000</v>
      </c>
      <c r="P5" s="66">
        <f>Table2245789101123456789101112131415161718192021[[#This Row],[PEMBULATAN]]*O5</f>
        <v>28000</v>
      </c>
    </row>
    <row r="6" spans="1:16" ht="26.25" customHeight="1" x14ac:dyDescent="0.2">
      <c r="A6" s="14"/>
      <c r="B6" s="14" t="s">
        <v>455</v>
      </c>
      <c r="C6" s="74" t="s">
        <v>456</v>
      </c>
      <c r="D6" s="79" t="s">
        <v>90</v>
      </c>
      <c r="E6" s="13">
        <v>44453</v>
      </c>
      <c r="F6" s="77" t="s">
        <v>434</v>
      </c>
      <c r="G6" s="13">
        <v>44456.625</v>
      </c>
      <c r="H6" s="78" t="s">
        <v>435</v>
      </c>
      <c r="I6" s="16">
        <v>52</v>
      </c>
      <c r="J6" s="16">
        <v>47</v>
      </c>
      <c r="K6" s="16">
        <v>12</v>
      </c>
      <c r="L6" s="16">
        <v>7</v>
      </c>
      <c r="M6" s="82">
        <v>7.3319999999999999</v>
      </c>
      <c r="N6" s="73">
        <v>8</v>
      </c>
      <c r="O6" s="65">
        <v>7000</v>
      </c>
      <c r="P6" s="66">
        <f>Table2245789101123456789101112131415161718192021[[#This Row],[PEMBULATAN]]*O6</f>
        <v>56000</v>
      </c>
    </row>
    <row r="7" spans="1:16" ht="26.25" customHeight="1" x14ac:dyDescent="0.2">
      <c r="A7" s="14"/>
      <c r="B7" s="104"/>
      <c r="C7" s="74" t="s">
        <v>457</v>
      </c>
      <c r="D7" s="79" t="s">
        <v>90</v>
      </c>
      <c r="E7" s="13">
        <v>44453</v>
      </c>
      <c r="F7" s="77" t="s">
        <v>434</v>
      </c>
      <c r="G7" s="13">
        <v>44456.625</v>
      </c>
      <c r="H7" s="78" t="s">
        <v>435</v>
      </c>
      <c r="I7" s="16">
        <v>36</v>
      </c>
      <c r="J7" s="16">
        <v>36</v>
      </c>
      <c r="K7" s="16">
        <v>23</v>
      </c>
      <c r="L7" s="16">
        <v>5</v>
      </c>
      <c r="M7" s="82">
        <v>7.452</v>
      </c>
      <c r="N7" s="73">
        <v>8</v>
      </c>
      <c r="O7" s="65">
        <v>7000</v>
      </c>
      <c r="P7" s="66">
        <f>Table2245789101123456789101112131415161718192021[[#This Row],[PEMBULATAN]]*O7</f>
        <v>56000</v>
      </c>
    </row>
    <row r="8" spans="1:16" ht="26.25" customHeight="1" x14ac:dyDescent="0.2">
      <c r="A8" s="14"/>
      <c r="B8" s="14" t="s">
        <v>458</v>
      </c>
      <c r="C8" s="74" t="s">
        <v>459</v>
      </c>
      <c r="D8" s="79" t="s">
        <v>90</v>
      </c>
      <c r="E8" s="13">
        <v>44453</v>
      </c>
      <c r="F8" s="77" t="s">
        <v>434</v>
      </c>
      <c r="G8" s="13">
        <v>44456.625</v>
      </c>
      <c r="H8" s="78" t="s">
        <v>435</v>
      </c>
      <c r="I8" s="16">
        <v>127</v>
      </c>
      <c r="J8" s="16">
        <v>26</v>
      </c>
      <c r="K8" s="16">
        <v>26</v>
      </c>
      <c r="L8" s="16">
        <v>25</v>
      </c>
      <c r="M8" s="82">
        <v>21.463000000000001</v>
      </c>
      <c r="N8" s="73">
        <v>25</v>
      </c>
      <c r="O8" s="65">
        <v>7000</v>
      </c>
      <c r="P8" s="66">
        <f>Table2245789101123456789101112131415161718192021[[#This Row],[PEMBULATAN]]*O8</f>
        <v>175000</v>
      </c>
    </row>
    <row r="9" spans="1:16" ht="26.25" customHeight="1" x14ac:dyDescent="0.2">
      <c r="A9" s="14"/>
      <c r="B9" s="14"/>
      <c r="C9" s="74" t="s">
        <v>460</v>
      </c>
      <c r="D9" s="79" t="s">
        <v>90</v>
      </c>
      <c r="E9" s="13">
        <v>44453</v>
      </c>
      <c r="F9" s="77" t="s">
        <v>434</v>
      </c>
      <c r="G9" s="13">
        <v>44456.625</v>
      </c>
      <c r="H9" s="78" t="s">
        <v>435</v>
      </c>
      <c r="I9" s="16">
        <v>36</v>
      </c>
      <c r="J9" s="16">
        <v>24</v>
      </c>
      <c r="K9" s="16">
        <v>17</v>
      </c>
      <c r="L9" s="16">
        <v>6</v>
      </c>
      <c r="M9" s="82">
        <v>3.6720000000000002</v>
      </c>
      <c r="N9" s="73">
        <v>6</v>
      </c>
      <c r="O9" s="65">
        <v>7000</v>
      </c>
      <c r="P9" s="66">
        <f>Table2245789101123456789101112131415161718192021[[#This Row],[PEMBULATAN]]*O9</f>
        <v>42000</v>
      </c>
    </row>
    <row r="10" spans="1:16" ht="26.25" customHeight="1" x14ac:dyDescent="0.2">
      <c r="A10" s="14"/>
      <c r="B10" s="14"/>
      <c r="C10" s="74" t="s">
        <v>461</v>
      </c>
      <c r="D10" s="79" t="s">
        <v>90</v>
      </c>
      <c r="E10" s="13">
        <v>44453</v>
      </c>
      <c r="F10" s="77" t="s">
        <v>434</v>
      </c>
      <c r="G10" s="13">
        <v>44456.625</v>
      </c>
      <c r="H10" s="78" t="s">
        <v>435</v>
      </c>
      <c r="I10" s="16">
        <v>75</v>
      </c>
      <c r="J10" s="16">
        <v>34</v>
      </c>
      <c r="K10" s="16">
        <v>34</v>
      </c>
      <c r="L10" s="16">
        <v>25</v>
      </c>
      <c r="M10" s="82">
        <v>21.675000000000001</v>
      </c>
      <c r="N10" s="73">
        <v>25</v>
      </c>
      <c r="O10" s="65">
        <v>7000</v>
      </c>
      <c r="P10" s="66">
        <f>Table2245789101123456789101112131415161718192021[[#This Row],[PEMBULATAN]]*O10</f>
        <v>175000</v>
      </c>
    </row>
    <row r="11" spans="1:16" ht="26.25" customHeight="1" x14ac:dyDescent="0.2">
      <c r="A11" s="14"/>
      <c r="B11" s="14"/>
      <c r="C11" s="74" t="s">
        <v>462</v>
      </c>
      <c r="D11" s="79" t="s">
        <v>90</v>
      </c>
      <c r="E11" s="13">
        <v>44453</v>
      </c>
      <c r="F11" s="77" t="s">
        <v>434</v>
      </c>
      <c r="G11" s="13">
        <v>44456.625</v>
      </c>
      <c r="H11" s="78" t="s">
        <v>435</v>
      </c>
      <c r="I11" s="16">
        <v>78</v>
      </c>
      <c r="J11" s="16">
        <v>47</v>
      </c>
      <c r="K11" s="16">
        <v>10</v>
      </c>
      <c r="L11" s="16">
        <v>9</v>
      </c>
      <c r="M11" s="82">
        <v>9.1649999999999991</v>
      </c>
      <c r="N11" s="73">
        <v>9</v>
      </c>
      <c r="O11" s="65">
        <v>7000</v>
      </c>
      <c r="P11" s="66">
        <f>Table2245789101123456789101112131415161718192021[[#This Row],[PEMBULATAN]]*O11</f>
        <v>63000</v>
      </c>
    </row>
    <row r="12" spans="1:16" ht="26.25" customHeight="1" x14ac:dyDescent="0.2">
      <c r="A12" s="14"/>
      <c r="B12" s="14"/>
      <c r="C12" s="74" t="s">
        <v>463</v>
      </c>
      <c r="D12" s="79" t="s">
        <v>90</v>
      </c>
      <c r="E12" s="13">
        <v>44453</v>
      </c>
      <c r="F12" s="77" t="s">
        <v>434</v>
      </c>
      <c r="G12" s="13">
        <v>44456.625</v>
      </c>
      <c r="H12" s="78" t="s">
        <v>435</v>
      </c>
      <c r="I12" s="16">
        <v>58</v>
      </c>
      <c r="J12" s="16">
        <v>34</v>
      </c>
      <c r="K12" s="16">
        <v>36</v>
      </c>
      <c r="L12" s="16">
        <v>29</v>
      </c>
      <c r="M12" s="82">
        <v>17.748000000000001</v>
      </c>
      <c r="N12" s="73">
        <v>29</v>
      </c>
      <c r="O12" s="65">
        <v>7000</v>
      </c>
      <c r="P12" s="66">
        <f>Table2245789101123456789101112131415161718192021[[#This Row],[PEMBULATAN]]*O12</f>
        <v>203000</v>
      </c>
    </row>
    <row r="13" spans="1:16" ht="26.25" customHeight="1" x14ac:dyDescent="0.2">
      <c r="A13" s="14"/>
      <c r="B13" s="14"/>
      <c r="C13" s="74" t="s">
        <v>464</v>
      </c>
      <c r="D13" s="79" t="s">
        <v>90</v>
      </c>
      <c r="E13" s="13">
        <v>44453</v>
      </c>
      <c r="F13" s="77" t="s">
        <v>434</v>
      </c>
      <c r="G13" s="13">
        <v>44456.625</v>
      </c>
      <c r="H13" s="78" t="s">
        <v>435</v>
      </c>
      <c r="I13" s="16">
        <v>58</v>
      </c>
      <c r="J13" s="16">
        <v>34</v>
      </c>
      <c r="K13" s="16">
        <v>36</v>
      </c>
      <c r="L13" s="16">
        <v>29</v>
      </c>
      <c r="M13" s="82">
        <v>17.748000000000001</v>
      </c>
      <c r="N13" s="73">
        <v>29</v>
      </c>
      <c r="O13" s="65">
        <v>7000</v>
      </c>
      <c r="P13" s="66">
        <f>Table2245789101123456789101112131415161718192021[[#This Row],[PEMBULATAN]]*O13</f>
        <v>203000</v>
      </c>
    </row>
    <row r="14" spans="1:16" ht="26.25" customHeight="1" x14ac:dyDescent="0.2">
      <c r="A14" s="14"/>
      <c r="B14" s="14"/>
      <c r="C14" s="74" t="s">
        <v>465</v>
      </c>
      <c r="D14" s="79" t="s">
        <v>90</v>
      </c>
      <c r="E14" s="13">
        <v>44453</v>
      </c>
      <c r="F14" s="77" t="s">
        <v>434</v>
      </c>
      <c r="G14" s="13">
        <v>44456.625</v>
      </c>
      <c r="H14" s="78" t="s">
        <v>435</v>
      </c>
      <c r="I14" s="16">
        <v>50</v>
      </c>
      <c r="J14" s="16">
        <v>60</v>
      </c>
      <c r="K14" s="16">
        <v>15</v>
      </c>
      <c r="L14" s="16">
        <v>15</v>
      </c>
      <c r="M14" s="82">
        <v>11.25</v>
      </c>
      <c r="N14" s="73">
        <v>15</v>
      </c>
      <c r="O14" s="65">
        <v>7000</v>
      </c>
      <c r="P14" s="66">
        <f>Table2245789101123456789101112131415161718192021[[#This Row],[PEMBULATAN]]*O14</f>
        <v>105000</v>
      </c>
    </row>
    <row r="15" spans="1:16" ht="26.25" customHeight="1" x14ac:dyDescent="0.2">
      <c r="A15" s="14"/>
      <c r="B15" s="14"/>
      <c r="C15" s="74" t="s">
        <v>466</v>
      </c>
      <c r="D15" s="79" t="s">
        <v>90</v>
      </c>
      <c r="E15" s="13">
        <v>44453</v>
      </c>
      <c r="F15" s="77" t="s">
        <v>434</v>
      </c>
      <c r="G15" s="13">
        <v>44456.625</v>
      </c>
      <c r="H15" s="78" t="s">
        <v>435</v>
      </c>
      <c r="I15" s="16">
        <v>42</v>
      </c>
      <c r="J15" s="16">
        <v>39</v>
      </c>
      <c r="K15" s="16">
        <v>25</v>
      </c>
      <c r="L15" s="16">
        <v>7</v>
      </c>
      <c r="M15" s="82">
        <v>10.237500000000001</v>
      </c>
      <c r="N15" s="73">
        <v>10</v>
      </c>
      <c r="O15" s="65">
        <v>7000</v>
      </c>
      <c r="P15" s="66">
        <f>Table2245789101123456789101112131415161718192021[[#This Row],[PEMBULATAN]]*O15</f>
        <v>70000</v>
      </c>
    </row>
    <row r="16" spans="1:16" ht="26.25" customHeight="1" x14ac:dyDescent="0.2">
      <c r="A16" s="14"/>
      <c r="B16" s="14"/>
      <c r="C16" s="74" t="s">
        <v>467</v>
      </c>
      <c r="D16" s="79" t="s">
        <v>90</v>
      </c>
      <c r="E16" s="13">
        <v>44453</v>
      </c>
      <c r="F16" s="77" t="s">
        <v>434</v>
      </c>
      <c r="G16" s="13">
        <v>44456.625</v>
      </c>
      <c r="H16" s="78" t="s">
        <v>435</v>
      </c>
      <c r="I16" s="16">
        <v>53</v>
      </c>
      <c r="J16" s="16">
        <v>50</v>
      </c>
      <c r="K16" s="16">
        <v>49</v>
      </c>
      <c r="L16" s="16">
        <v>10</v>
      </c>
      <c r="M16" s="82">
        <v>32.462499999999999</v>
      </c>
      <c r="N16" s="73">
        <v>33</v>
      </c>
      <c r="O16" s="65">
        <v>7000</v>
      </c>
      <c r="P16" s="66">
        <f>Table2245789101123456789101112131415161718192021[[#This Row],[PEMBULATAN]]*O16</f>
        <v>231000</v>
      </c>
    </row>
    <row r="17" spans="1:16" ht="26.25" customHeight="1" x14ac:dyDescent="0.2">
      <c r="A17" s="14"/>
      <c r="B17" s="14"/>
      <c r="C17" s="74" t="s">
        <v>468</v>
      </c>
      <c r="D17" s="79" t="s">
        <v>90</v>
      </c>
      <c r="E17" s="13">
        <v>44453</v>
      </c>
      <c r="F17" s="77" t="s">
        <v>434</v>
      </c>
      <c r="G17" s="13">
        <v>44456.625</v>
      </c>
      <c r="H17" s="78" t="s">
        <v>435</v>
      </c>
      <c r="I17" s="16">
        <v>39</v>
      </c>
      <c r="J17" s="16">
        <v>29</v>
      </c>
      <c r="K17" s="16">
        <v>23</v>
      </c>
      <c r="L17" s="16">
        <v>10</v>
      </c>
      <c r="M17" s="82">
        <v>6.5032500000000004</v>
      </c>
      <c r="N17" s="73">
        <v>10</v>
      </c>
      <c r="O17" s="65">
        <v>7000</v>
      </c>
      <c r="P17" s="66">
        <f>Table2245789101123456789101112131415161718192021[[#This Row],[PEMBULATAN]]*O17</f>
        <v>70000</v>
      </c>
    </row>
    <row r="18" spans="1:16" ht="26.25" customHeight="1" x14ac:dyDescent="0.2">
      <c r="A18" s="14"/>
      <c r="B18" s="14"/>
      <c r="C18" s="74" t="s">
        <v>469</v>
      </c>
      <c r="D18" s="79" t="s">
        <v>90</v>
      </c>
      <c r="E18" s="13">
        <v>44453</v>
      </c>
      <c r="F18" s="77" t="s">
        <v>434</v>
      </c>
      <c r="G18" s="13">
        <v>44456.625</v>
      </c>
      <c r="H18" s="78" t="s">
        <v>435</v>
      </c>
      <c r="I18" s="16">
        <v>27</v>
      </c>
      <c r="J18" s="16">
        <v>22</v>
      </c>
      <c r="K18" s="16">
        <v>38</v>
      </c>
      <c r="L18" s="16">
        <v>10</v>
      </c>
      <c r="M18" s="82">
        <v>5.6429999999999998</v>
      </c>
      <c r="N18" s="73">
        <v>10</v>
      </c>
      <c r="O18" s="65">
        <v>7000</v>
      </c>
      <c r="P18" s="66">
        <f>Table2245789101123456789101112131415161718192021[[#This Row],[PEMBULATAN]]*O18</f>
        <v>70000</v>
      </c>
    </row>
    <row r="19" spans="1:16" ht="26.25" customHeight="1" x14ac:dyDescent="0.2">
      <c r="A19" s="14"/>
      <c r="B19" s="14"/>
      <c r="C19" s="74" t="s">
        <v>470</v>
      </c>
      <c r="D19" s="79" t="s">
        <v>90</v>
      </c>
      <c r="E19" s="13">
        <v>44453</v>
      </c>
      <c r="F19" s="77" t="s">
        <v>434</v>
      </c>
      <c r="G19" s="13">
        <v>44456.625</v>
      </c>
      <c r="H19" s="78" t="s">
        <v>435</v>
      </c>
      <c r="I19" s="16">
        <v>50</v>
      </c>
      <c r="J19" s="16">
        <v>40</v>
      </c>
      <c r="K19" s="16">
        <v>27</v>
      </c>
      <c r="L19" s="16">
        <v>14</v>
      </c>
      <c r="M19" s="82">
        <v>13.5</v>
      </c>
      <c r="N19" s="73">
        <v>14</v>
      </c>
      <c r="O19" s="65">
        <v>7000</v>
      </c>
      <c r="P19" s="66">
        <f>Table2245789101123456789101112131415161718192021[[#This Row],[PEMBULATAN]]*O19</f>
        <v>98000</v>
      </c>
    </row>
    <row r="20" spans="1:16" ht="26.25" customHeight="1" x14ac:dyDescent="0.2">
      <c r="A20" s="14"/>
      <c r="B20" s="14"/>
      <c r="C20" s="74" t="s">
        <v>471</v>
      </c>
      <c r="D20" s="79" t="s">
        <v>90</v>
      </c>
      <c r="E20" s="13">
        <v>44453</v>
      </c>
      <c r="F20" s="77" t="s">
        <v>434</v>
      </c>
      <c r="G20" s="13">
        <v>44456.625</v>
      </c>
      <c r="H20" s="78" t="s">
        <v>435</v>
      </c>
      <c r="I20" s="16">
        <v>35</v>
      </c>
      <c r="J20" s="16">
        <v>34</v>
      </c>
      <c r="K20" s="16">
        <v>42</v>
      </c>
      <c r="L20" s="16">
        <v>8</v>
      </c>
      <c r="M20" s="82">
        <v>12.494999999999999</v>
      </c>
      <c r="N20" s="73">
        <v>13</v>
      </c>
      <c r="O20" s="65">
        <v>7000</v>
      </c>
      <c r="P20" s="66">
        <f>Table2245789101123456789101112131415161718192021[[#This Row],[PEMBULATAN]]*O20</f>
        <v>91000</v>
      </c>
    </row>
    <row r="21" spans="1:16" ht="26.25" customHeight="1" x14ac:dyDescent="0.2">
      <c r="A21" s="14"/>
      <c r="B21" s="14"/>
      <c r="C21" s="74" t="s">
        <v>472</v>
      </c>
      <c r="D21" s="79" t="s">
        <v>90</v>
      </c>
      <c r="E21" s="13">
        <v>44453</v>
      </c>
      <c r="F21" s="77" t="s">
        <v>434</v>
      </c>
      <c r="G21" s="13">
        <v>44456.625</v>
      </c>
      <c r="H21" s="78" t="s">
        <v>435</v>
      </c>
      <c r="I21" s="16">
        <v>49</v>
      </c>
      <c r="J21" s="16">
        <v>44</v>
      </c>
      <c r="K21" s="16">
        <v>28</v>
      </c>
      <c r="L21" s="16">
        <v>11</v>
      </c>
      <c r="M21" s="82">
        <v>15.092000000000001</v>
      </c>
      <c r="N21" s="73">
        <v>15</v>
      </c>
      <c r="O21" s="65">
        <v>7000</v>
      </c>
      <c r="P21" s="66">
        <f>Table2245789101123456789101112131415161718192021[[#This Row],[PEMBULATAN]]*O21</f>
        <v>105000</v>
      </c>
    </row>
    <row r="22" spans="1:16" ht="26.25" customHeight="1" x14ac:dyDescent="0.2">
      <c r="A22" s="14"/>
      <c r="B22" s="14"/>
      <c r="C22" s="74" t="s">
        <v>473</v>
      </c>
      <c r="D22" s="79" t="s">
        <v>90</v>
      </c>
      <c r="E22" s="13">
        <v>44453</v>
      </c>
      <c r="F22" s="77" t="s">
        <v>434</v>
      </c>
      <c r="G22" s="13">
        <v>44456.625</v>
      </c>
      <c r="H22" s="78" t="s">
        <v>435</v>
      </c>
      <c r="I22" s="16">
        <v>48</v>
      </c>
      <c r="J22" s="16">
        <v>36</v>
      </c>
      <c r="K22" s="16">
        <v>39</v>
      </c>
      <c r="L22" s="16">
        <v>11</v>
      </c>
      <c r="M22" s="82">
        <v>16.847999999999999</v>
      </c>
      <c r="N22" s="73">
        <v>17</v>
      </c>
      <c r="O22" s="65">
        <v>7000</v>
      </c>
      <c r="P22" s="66">
        <f>Table2245789101123456789101112131415161718192021[[#This Row],[PEMBULATAN]]*O22</f>
        <v>119000</v>
      </c>
    </row>
    <row r="23" spans="1:16" ht="26.25" customHeight="1" x14ac:dyDescent="0.2">
      <c r="A23" s="14"/>
      <c r="B23" s="14"/>
      <c r="C23" s="74" t="s">
        <v>474</v>
      </c>
      <c r="D23" s="79" t="s">
        <v>90</v>
      </c>
      <c r="E23" s="13">
        <v>44453</v>
      </c>
      <c r="F23" s="77" t="s">
        <v>434</v>
      </c>
      <c r="G23" s="13">
        <v>44456.625</v>
      </c>
      <c r="H23" s="78" t="s">
        <v>435</v>
      </c>
      <c r="I23" s="16">
        <v>56</v>
      </c>
      <c r="J23" s="16">
        <v>32</v>
      </c>
      <c r="K23" s="16">
        <v>15</v>
      </c>
      <c r="L23" s="16">
        <v>5</v>
      </c>
      <c r="M23" s="82">
        <v>6.72</v>
      </c>
      <c r="N23" s="73">
        <v>7</v>
      </c>
      <c r="O23" s="65">
        <v>7000</v>
      </c>
      <c r="P23" s="66">
        <f>Table2245789101123456789101112131415161718192021[[#This Row],[PEMBULATAN]]*O23</f>
        <v>49000</v>
      </c>
    </row>
    <row r="24" spans="1:16" ht="26.25" customHeight="1" x14ac:dyDescent="0.2">
      <c r="A24" s="14"/>
      <c r="B24" s="14"/>
      <c r="C24" s="74" t="s">
        <v>475</v>
      </c>
      <c r="D24" s="79" t="s">
        <v>90</v>
      </c>
      <c r="E24" s="13">
        <v>44453</v>
      </c>
      <c r="F24" s="77" t="s">
        <v>434</v>
      </c>
      <c r="G24" s="13">
        <v>44456.625</v>
      </c>
      <c r="H24" s="78" t="s">
        <v>435</v>
      </c>
      <c r="I24" s="16">
        <v>103</v>
      </c>
      <c r="J24" s="16">
        <v>20</v>
      </c>
      <c r="K24" s="16">
        <v>10</v>
      </c>
      <c r="L24" s="16">
        <v>10</v>
      </c>
      <c r="M24" s="82">
        <v>5.15</v>
      </c>
      <c r="N24" s="73">
        <v>10</v>
      </c>
      <c r="O24" s="65">
        <v>7000</v>
      </c>
      <c r="P24" s="66">
        <f>Table2245789101123456789101112131415161718192021[[#This Row],[PEMBULATAN]]*O24</f>
        <v>70000</v>
      </c>
    </row>
    <row r="25" spans="1:16" ht="26.25" customHeight="1" x14ac:dyDescent="0.2">
      <c r="A25" s="14"/>
      <c r="B25" s="14"/>
      <c r="C25" s="74" t="s">
        <v>476</v>
      </c>
      <c r="D25" s="79" t="s">
        <v>90</v>
      </c>
      <c r="E25" s="13">
        <v>44453</v>
      </c>
      <c r="F25" s="77" t="s">
        <v>434</v>
      </c>
      <c r="G25" s="13">
        <v>44456.625</v>
      </c>
      <c r="H25" s="78" t="s">
        <v>435</v>
      </c>
      <c r="I25" s="16">
        <v>107</v>
      </c>
      <c r="J25" s="16">
        <v>43</v>
      </c>
      <c r="K25" s="16">
        <v>15</v>
      </c>
      <c r="L25" s="16">
        <v>12</v>
      </c>
      <c r="M25" s="82">
        <v>17.25375</v>
      </c>
      <c r="N25" s="73">
        <v>17</v>
      </c>
      <c r="O25" s="65">
        <v>7000</v>
      </c>
      <c r="P25" s="66">
        <f>Table2245789101123456789101112131415161718192021[[#This Row],[PEMBULATAN]]*O25</f>
        <v>119000</v>
      </c>
    </row>
    <row r="26" spans="1:16" ht="26.25" customHeight="1" x14ac:dyDescent="0.2">
      <c r="A26" s="14"/>
      <c r="B26" s="14"/>
      <c r="C26" s="74" t="s">
        <v>477</v>
      </c>
      <c r="D26" s="79" t="s">
        <v>90</v>
      </c>
      <c r="E26" s="13">
        <v>44453</v>
      </c>
      <c r="F26" s="77" t="s">
        <v>434</v>
      </c>
      <c r="G26" s="13">
        <v>44456.625</v>
      </c>
      <c r="H26" s="78" t="s">
        <v>435</v>
      </c>
      <c r="I26" s="16">
        <v>95</v>
      </c>
      <c r="J26" s="16">
        <v>21</v>
      </c>
      <c r="K26" s="16">
        <v>55</v>
      </c>
      <c r="L26" s="16">
        <v>15</v>
      </c>
      <c r="M26" s="82">
        <v>27.431249999999999</v>
      </c>
      <c r="N26" s="73">
        <v>28</v>
      </c>
      <c r="O26" s="65">
        <v>7000</v>
      </c>
      <c r="P26" s="66">
        <f>Table2245789101123456789101112131415161718192021[[#This Row],[PEMBULATAN]]*O26</f>
        <v>196000</v>
      </c>
    </row>
    <row r="27" spans="1:16" ht="26.25" customHeight="1" x14ac:dyDescent="0.2">
      <c r="A27" s="14"/>
      <c r="B27" s="14"/>
      <c r="C27" s="74" t="s">
        <v>478</v>
      </c>
      <c r="D27" s="79" t="s">
        <v>90</v>
      </c>
      <c r="E27" s="13">
        <v>44453</v>
      </c>
      <c r="F27" s="77" t="s">
        <v>434</v>
      </c>
      <c r="G27" s="13">
        <v>44456.625</v>
      </c>
      <c r="H27" s="78" t="s">
        <v>435</v>
      </c>
      <c r="I27" s="16">
        <v>51</v>
      </c>
      <c r="J27" s="16">
        <v>38</v>
      </c>
      <c r="K27" s="16">
        <v>28</v>
      </c>
      <c r="L27" s="16">
        <v>16</v>
      </c>
      <c r="M27" s="82">
        <v>13.566000000000001</v>
      </c>
      <c r="N27" s="73">
        <v>16</v>
      </c>
      <c r="O27" s="65">
        <v>7000</v>
      </c>
      <c r="P27" s="66">
        <f>Table2245789101123456789101112131415161718192021[[#This Row],[PEMBULATAN]]*O27</f>
        <v>112000</v>
      </c>
    </row>
    <row r="28" spans="1:16" ht="26.25" customHeight="1" x14ac:dyDescent="0.2">
      <c r="A28" s="14"/>
      <c r="B28" s="14"/>
      <c r="C28" s="74" t="s">
        <v>479</v>
      </c>
      <c r="D28" s="79" t="s">
        <v>90</v>
      </c>
      <c r="E28" s="13">
        <v>44453</v>
      </c>
      <c r="F28" s="77" t="s">
        <v>434</v>
      </c>
      <c r="G28" s="13">
        <v>44456.625</v>
      </c>
      <c r="H28" s="78" t="s">
        <v>435</v>
      </c>
      <c r="I28" s="16">
        <v>37</v>
      </c>
      <c r="J28" s="16">
        <v>27</v>
      </c>
      <c r="K28" s="16">
        <v>30</v>
      </c>
      <c r="L28" s="16">
        <v>6</v>
      </c>
      <c r="M28" s="82">
        <v>7.4924999999999997</v>
      </c>
      <c r="N28" s="73">
        <v>8</v>
      </c>
      <c r="O28" s="65">
        <v>7000</v>
      </c>
      <c r="P28" s="66">
        <f>Table2245789101123456789101112131415161718192021[[#This Row],[PEMBULATAN]]*O28</f>
        <v>56000</v>
      </c>
    </row>
    <row r="29" spans="1:16" ht="26.25" customHeight="1" x14ac:dyDescent="0.2">
      <c r="A29" s="14"/>
      <c r="B29" s="14"/>
      <c r="C29" s="74" t="s">
        <v>480</v>
      </c>
      <c r="D29" s="79" t="s">
        <v>90</v>
      </c>
      <c r="E29" s="13">
        <v>44453</v>
      </c>
      <c r="F29" s="77" t="s">
        <v>434</v>
      </c>
      <c r="G29" s="13">
        <v>44456.625</v>
      </c>
      <c r="H29" s="78" t="s">
        <v>435</v>
      </c>
      <c r="I29" s="16">
        <v>76</v>
      </c>
      <c r="J29" s="16">
        <v>55</v>
      </c>
      <c r="K29" s="16">
        <v>33</v>
      </c>
      <c r="L29" s="16">
        <v>11</v>
      </c>
      <c r="M29" s="82">
        <v>34.484999999999999</v>
      </c>
      <c r="N29" s="73">
        <v>35</v>
      </c>
      <c r="O29" s="65">
        <v>7000</v>
      </c>
      <c r="P29" s="66">
        <f>Table2245789101123456789101112131415161718192021[[#This Row],[PEMBULATAN]]*O29</f>
        <v>245000</v>
      </c>
    </row>
    <row r="30" spans="1:16" ht="26.25" customHeight="1" x14ac:dyDescent="0.2">
      <c r="A30" s="14"/>
      <c r="B30" s="14"/>
      <c r="C30" s="74" t="s">
        <v>481</v>
      </c>
      <c r="D30" s="79" t="s">
        <v>90</v>
      </c>
      <c r="E30" s="13">
        <v>44453</v>
      </c>
      <c r="F30" s="77" t="s">
        <v>434</v>
      </c>
      <c r="G30" s="13">
        <v>44456.625</v>
      </c>
      <c r="H30" s="78" t="s">
        <v>435</v>
      </c>
      <c r="I30" s="16">
        <v>35</v>
      </c>
      <c r="J30" s="16">
        <v>30</v>
      </c>
      <c r="K30" s="16">
        <v>101</v>
      </c>
      <c r="L30" s="16">
        <v>20</v>
      </c>
      <c r="M30" s="82">
        <v>26.512499999999999</v>
      </c>
      <c r="N30" s="73">
        <v>27</v>
      </c>
      <c r="O30" s="65">
        <v>7000</v>
      </c>
      <c r="P30" s="66">
        <f>Table2245789101123456789101112131415161718192021[[#This Row],[PEMBULATAN]]*O30</f>
        <v>189000</v>
      </c>
    </row>
    <row r="31" spans="1:16" ht="26.25" customHeight="1" x14ac:dyDescent="0.2">
      <c r="A31" s="14"/>
      <c r="B31" s="14" t="s">
        <v>482</v>
      </c>
      <c r="C31" s="74" t="s">
        <v>483</v>
      </c>
      <c r="D31" s="79" t="s">
        <v>90</v>
      </c>
      <c r="E31" s="13">
        <v>44453</v>
      </c>
      <c r="F31" s="77" t="s">
        <v>434</v>
      </c>
      <c r="G31" s="13">
        <v>44456.625</v>
      </c>
      <c r="H31" s="78" t="s">
        <v>435</v>
      </c>
      <c r="I31" s="16">
        <v>11</v>
      </c>
      <c r="J31" s="16">
        <v>40</v>
      </c>
      <c r="K31" s="16">
        <v>28</v>
      </c>
      <c r="L31" s="16">
        <v>27</v>
      </c>
      <c r="M31" s="82">
        <v>3.08</v>
      </c>
      <c r="N31" s="73">
        <v>27</v>
      </c>
      <c r="O31" s="65">
        <v>7000</v>
      </c>
      <c r="P31" s="66">
        <f>Table2245789101123456789101112131415161718192021[[#This Row],[PEMBULATAN]]*O31</f>
        <v>189000</v>
      </c>
    </row>
    <row r="32" spans="1:16" ht="22.5" customHeight="1" x14ac:dyDescent="0.2">
      <c r="A32" s="136" t="s">
        <v>30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8"/>
      <c r="M32" s="80">
        <f>SUBTOTAL(109,Table2245789101123456789101112131415161718192021[KG VOLUME])</f>
        <v>380.74625000000003</v>
      </c>
      <c r="N32" s="69">
        <f>SUM(N3:N31)</f>
        <v>467</v>
      </c>
      <c r="O32" s="139">
        <f>SUM(P3:P31)</f>
        <v>3269000</v>
      </c>
      <c r="P32" s="140"/>
    </row>
    <row r="33" spans="1:16" ht="18" customHeight="1" x14ac:dyDescent="0.2">
      <c r="A33" s="87"/>
      <c r="B33" s="57" t="s">
        <v>42</v>
      </c>
      <c r="C33" s="56"/>
      <c r="D33" s="58" t="s">
        <v>43</v>
      </c>
      <c r="E33" s="87"/>
      <c r="F33" s="87"/>
      <c r="G33" s="87"/>
      <c r="H33" s="87"/>
      <c r="I33" s="87"/>
      <c r="J33" s="87"/>
      <c r="K33" s="87"/>
      <c r="L33" s="87"/>
      <c r="M33" s="88"/>
      <c r="N33" s="89" t="s">
        <v>52</v>
      </c>
      <c r="O33" s="90"/>
      <c r="P33" s="90">
        <v>0</v>
      </c>
    </row>
    <row r="34" spans="1:16" ht="18" customHeight="1" thickBot="1" x14ac:dyDescent="0.25">
      <c r="A34" s="87"/>
      <c r="B34" s="57"/>
      <c r="C34" s="56"/>
      <c r="D34" s="58"/>
      <c r="E34" s="87"/>
      <c r="F34" s="87"/>
      <c r="G34" s="87"/>
      <c r="H34" s="87"/>
      <c r="I34" s="87"/>
      <c r="J34" s="87"/>
      <c r="K34" s="87"/>
      <c r="L34" s="87"/>
      <c r="M34" s="88"/>
      <c r="N34" s="91" t="s">
        <v>53</v>
      </c>
      <c r="O34" s="92"/>
      <c r="P34" s="92">
        <f>O32-P33</f>
        <v>3269000</v>
      </c>
    </row>
    <row r="35" spans="1:16" ht="18" customHeight="1" x14ac:dyDescent="0.2">
      <c r="A35" s="11"/>
      <c r="H35" s="64"/>
      <c r="N35" s="63" t="s">
        <v>31</v>
      </c>
      <c r="P35" s="70">
        <f>P34*1%</f>
        <v>32690</v>
      </c>
    </row>
    <row r="36" spans="1:16" ht="18" customHeight="1" thickBot="1" x14ac:dyDescent="0.25">
      <c r="A36" s="11"/>
      <c r="H36" s="64"/>
      <c r="N36" s="63" t="s">
        <v>54</v>
      </c>
      <c r="P36" s="72">
        <f>P34*2%</f>
        <v>65380</v>
      </c>
    </row>
    <row r="37" spans="1:16" ht="18" customHeight="1" x14ac:dyDescent="0.2">
      <c r="A37" s="11"/>
      <c r="H37" s="64"/>
      <c r="N37" s="67" t="s">
        <v>32</v>
      </c>
      <c r="O37" s="68"/>
      <c r="P37" s="71">
        <f>P34+P35-P36</f>
        <v>3236310</v>
      </c>
    </row>
    <row r="39" spans="1:16" x14ac:dyDescent="0.2">
      <c r="A39" s="11"/>
      <c r="H39" s="64"/>
      <c r="P39" s="72"/>
    </row>
    <row r="40" spans="1:16" x14ac:dyDescent="0.2">
      <c r="A40" s="11"/>
      <c r="H40" s="64"/>
      <c r="O40" s="59"/>
      <c r="P40" s="72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322" priority="2"/>
  </conditionalFormatting>
  <conditionalFormatting sqref="B4">
    <cfRule type="duplicateValues" dxfId="321" priority="1"/>
  </conditionalFormatting>
  <conditionalFormatting sqref="B5:B31">
    <cfRule type="duplicateValues" dxfId="320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zoomScale="110" zoomScaleNormal="110" workbookViewId="0">
      <pane xSplit="3" ySplit="2" topLeftCell="D53" activePane="bottomRight" state="frozen"/>
      <selection pane="topRight" activeCell="B1" sqref="B1"/>
      <selection pane="bottomLeft" activeCell="A3" sqref="A3"/>
      <selection pane="bottomRight" activeCell="A3" sqref="A3:XFD54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8554687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2.5" customHeight="1" x14ac:dyDescent="0.2">
      <c r="A3" s="84" t="s">
        <v>899</v>
      </c>
      <c r="B3" s="75" t="s">
        <v>484</v>
      </c>
      <c r="C3" s="9" t="s">
        <v>485</v>
      </c>
      <c r="D3" s="77" t="s">
        <v>90</v>
      </c>
      <c r="E3" s="13">
        <v>44454</v>
      </c>
      <c r="F3" s="77" t="s">
        <v>434</v>
      </c>
      <c r="G3" s="13">
        <v>44456.625</v>
      </c>
      <c r="H3" s="10" t="s">
        <v>435</v>
      </c>
      <c r="I3" s="1">
        <v>69</v>
      </c>
      <c r="J3" s="1">
        <v>50</v>
      </c>
      <c r="K3" s="1">
        <v>35</v>
      </c>
      <c r="L3" s="1">
        <v>63</v>
      </c>
      <c r="M3" s="81">
        <v>30.1875</v>
      </c>
      <c r="N3" s="8">
        <v>63</v>
      </c>
      <c r="O3" s="65">
        <v>7000</v>
      </c>
      <c r="P3" s="66">
        <f>Table224578910112345678910111213141516171819202135[[#This Row],[PEMBULATAN]]*O3</f>
        <v>441000</v>
      </c>
    </row>
    <row r="4" spans="1:16" ht="22.5" customHeight="1" x14ac:dyDescent="0.2">
      <c r="A4" s="14"/>
      <c r="B4" s="76"/>
      <c r="C4" s="9" t="s">
        <v>486</v>
      </c>
      <c r="D4" s="77" t="s">
        <v>90</v>
      </c>
      <c r="E4" s="13">
        <v>44454</v>
      </c>
      <c r="F4" s="77" t="s">
        <v>434</v>
      </c>
      <c r="G4" s="13">
        <v>44456.625</v>
      </c>
      <c r="H4" s="10" t="s">
        <v>435</v>
      </c>
      <c r="I4" s="1">
        <v>40</v>
      </c>
      <c r="J4" s="1">
        <v>33</v>
      </c>
      <c r="K4" s="1">
        <v>30</v>
      </c>
      <c r="L4" s="1">
        <v>10</v>
      </c>
      <c r="M4" s="81">
        <v>9.9</v>
      </c>
      <c r="N4" s="8">
        <v>10</v>
      </c>
      <c r="O4" s="65">
        <v>7000</v>
      </c>
      <c r="P4" s="66">
        <f>Table224578910112345678910111213141516171819202135[[#This Row],[PEMBULATAN]]*O4</f>
        <v>70000</v>
      </c>
    </row>
    <row r="5" spans="1:16" ht="22.5" customHeight="1" x14ac:dyDescent="0.2">
      <c r="A5" s="14"/>
      <c r="B5" s="104"/>
      <c r="C5" s="9" t="s">
        <v>487</v>
      </c>
      <c r="D5" s="77" t="s">
        <v>90</v>
      </c>
      <c r="E5" s="13">
        <v>44454</v>
      </c>
      <c r="F5" s="77" t="s">
        <v>434</v>
      </c>
      <c r="G5" s="13">
        <v>44456.625</v>
      </c>
      <c r="H5" s="10" t="s">
        <v>435</v>
      </c>
      <c r="I5" s="1">
        <v>54</v>
      </c>
      <c r="J5" s="1">
        <v>46</v>
      </c>
      <c r="K5" s="1">
        <v>25</v>
      </c>
      <c r="L5" s="1">
        <v>20</v>
      </c>
      <c r="M5" s="81">
        <v>15.525</v>
      </c>
      <c r="N5" s="8">
        <v>20</v>
      </c>
      <c r="O5" s="65">
        <v>7000</v>
      </c>
      <c r="P5" s="66">
        <f>Table224578910112345678910111213141516171819202135[[#This Row],[PEMBULATAN]]*O5</f>
        <v>140000</v>
      </c>
    </row>
    <row r="6" spans="1:16" ht="22.5" customHeight="1" x14ac:dyDescent="0.2">
      <c r="A6" s="14"/>
      <c r="B6" s="14" t="s">
        <v>488</v>
      </c>
      <c r="C6" s="74" t="s">
        <v>489</v>
      </c>
      <c r="D6" s="79" t="s">
        <v>90</v>
      </c>
      <c r="E6" s="13">
        <v>44454</v>
      </c>
      <c r="F6" s="77" t="s">
        <v>434</v>
      </c>
      <c r="G6" s="13">
        <v>44456.625</v>
      </c>
      <c r="H6" s="78" t="s">
        <v>435</v>
      </c>
      <c r="I6" s="16">
        <v>38</v>
      </c>
      <c r="J6" s="16">
        <v>38</v>
      </c>
      <c r="K6" s="16">
        <v>38</v>
      </c>
      <c r="L6" s="16">
        <v>9</v>
      </c>
      <c r="M6" s="82">
        <v>13.718</v>
      </c>
      <c r="N6" s="73">
        <v>14</v>
      </c>
      <c r="O6" s="65">
        <v>7000</v>
      </c>
      <c r="P6" s="66">
        <f>Table224578910112345678910111213141516171819202135[[#This Row],[PEMBULATAN]]*O6</f>
        <v>98000</v>
      </c>
    </row>
    <row r="7" spans="1:16" ht="22.5" customHeight="1" x14ac:dyDescent="0.2">
      <c r="A7" s="14"/>
      <c r="B7" s="14"/>
      <c r="C7" s="74" t="s">
        <v>490</v>
      </c>
      <c r="D7" s="79" t="s">
        <v>90</v>
      </c>
      <c r="E7" s="13">
        <v>44454</v>
      </c>
      <c r="F7" s="77" t="s">
        <v>434</v>
      </c>
      <c r="G7" s="13">
        <v>44456.625</v>
      </c>
      <c r="H7" s="78" t="s">
        <v>435</v>
      </c>
      <c r="I7" s="16">
        <v>37</v>
      </c>
      <c r="J7" s="16">
        <v>34</v>
      </c>
      <c r="K7" s="16">
        <v>28</v>
      </c>
      <c r="L7" s="16">
        <v>15</v>
      </c>
      <c r="M7" s="82">
        <v>8.8059999999999992</v>
      </c>
      <c r="N7" s="73">
        <v>15</v>
      </c>
      <c r="O7" s="65">
        <v>7000</v>
      </c>
      <c r="P7" s="66">
        <f>Table224578910112345678910111213141516171819202135[[#This Row],[PEMBULATAN]]*O7</f>
        <v>105000</v>
      </c>
    </row>
    <row r="8" spans="1:16" ht="22.5" customHeight="1" x14ac:dyDescent="0.2">
      <c r="A8" s="14"/>
      <c r="B8" s="14"/>
      <c r="C8" s="74" t="s">
        <v>491</v>
      </c>
      <c r="D8" s="79" t="s">
        <v>90</v>
      </c>
      <c r="E8" s="13">
        <v>44454</v>
      </c>
      <c r="F8" s="77" t="s">
        <v>434</v>
      </c>
      <c r="G8" s="13">
        <v>44456.625</v>
      </c>
      <c r="H8" s="78" t="s">
        <v>435</v>
      </c>
      <c r="I8" s="16">
        <v>45</v>
      </c>
      <c r="J8" s="16">
        <v>38</v>
      </c>
      <c r="K8" s="16">
        <v>28</v>
      </c>
      <c r="L8" s="16">
        <v>10</v>
      </c>
      <c r="M8" s="82">
        <v>11.97</v>
      </c>
      <c r="N8" s="73">
        <v>12</v>
      </c>
      <c r="O8" s="65">
        <v>7000</v>
      </c>
      <c r="P8" s="66">
        <f>Table224578910112345678910111213141516171819202135[[#This Row],[PEMBULATAN]]*O8</f>
        <v>84000</v>
      </c>
    </row>
    <row r="9" spans="1:16" ht="22.5" customHeight="1" x14ac:dyDescent="0.2">
      <c r="A9" s="14"/>
      <c r="B9" s="14"/>
      <c r="C9" s="74" t="s">
        <v>492</v>
      </c>
      <c r="D9" s="79" t="s">
        <v>90</v>
      </c>
      <c r="E9" s="13">
        <v>44454</v>
      </c>
      <c r="F9" s="77" t="s">
        <v>434</v>
      </c>
      <c r="G9" s="13">
        <v>44456.625</v>
      </c>
      <c r="H9" s="78" t="s">
        <v>435</v>
      </c>
      <c r="I9" s="16">
        <v>54</v>
      </c>
      <c r="J9" s="16">
        <v>36</v>
      </c>
      <c r="K9" s="16">
        <v>22</v>
      </c>
      <c r="L9" s="16">
        <v>9</v>
      </c>
      <c r="M9" s="82">
        <v>10.692</v>
      </c>
      <c r="N9" s="73">
        <v>11</v>
      </c>
      <c r="O9" s="65">
        <v>7000</v>
      </c>
      <c r="P9" s="66">
        <f>Table224578910112345678910111213141516171819202135[[#This Row],[PEMBULATAN]]*O9</f>
        <v>77000</v>
      </c>
    </row>
    <row r="10" spans="1:16" ht="22.5" customHeight="1" x14ac:dyDescent="0.2">
      <c r="A10" s="14"/>
      <c r="B10" s="14"/>
      <c r="C10" s="74" t="s">
        <v>493</v>
      </c>
      <c r="D10" s="79" t="s">
        <v>90</v>
      </c>
      <c r="E10" s="13">
        <v>44454</v>
      </c>
      <c r="F10" s="77" t="s">
        <v>434</v>
      </c>
      <c r="G10" s="13">
        <v>44456.625</v>
      </c>
      <c r="H10" s="78" t="s">
        <v>435</v>
      </c>
      <c r="I10" s="16">
        <v>200</v>
      </c>
      <c r="J10" s="16">
        <v>89</v>
      </c>
      <c r="K10" s="16">
        <v>12</v>
      </c>
      <c r="L10" s="16">
        <v>10</v>
      </c>
      <c r="M10" s="82">
        <v>53.4</v>
      </c>
      <c r="N10" s="73">
        <v>54</v>
      </c>
      <c r="O10" s="65">
        <v>7000</v>
      </c>
      <c r="P10" s="66">
        <f>Table224578910112345678910111213141516171819202135[[#This Row],[PEMBULATAN]]*O10</f>
        <v>378000</v>
      </c>
    </row>
    <row r="11" spans="1:16" ht="22.5" customHeight="1" x14ac:dyDescent="0.2">
      <c r="A11" s="14"/>
      <c r="B11" s="14"/>
      <c r="C11" s="74" t="s">
        <v>494</v>
      </c>
      <c r="D11" s="79" t="s">
        <v>90</v>
      </c>
      <c r="E11" s="13">
        <v>44454</v>
      </c>
      <c r="F11" s="77" t="s">
        <v>434</v>
      </c>
      <c r="G11" s="13">
        <v>44456.625</v>
      </c>
      <c r="H11" s="78" t="s">
        <v>435</v>
      </c>
      <c r="I11" s="16">
        <v>39</v>
      </c>
      <c r="J11" s="16">
        <v>29</v>
      </c>
      <c r="K11" s="16">
        <v>26</v>
      </c>
      <c r="L11" s="16">
        <v>15</v>
      </c>
      <c r="M11" s="82">
        <v>7.3514999999999997</v>
      </c>
      <c r="N11" s="73">
        <v>15</v>
      </c>
      <c r="O11" s="65">
        <v>7000</v>
      </c>
      <c r="P11" s="66">
        <f>Table224578910112345678910111213141516171819202135[[#This Row],[PEMBULATAN]]*O11</f>
        <v>105000</v>
      </c>
    </row>
    <row r="12" spans="1:16" ht="22.5" customHeight="1" x14ac:dyDescent="0.2">
      <c r="A12" s="14"/>
      <c r="B12" s="14"/>
      <c r="C12" s="74" t="s">
        <v>495</v>
      </c>
      <c r="D12" s="79" t="s">
        <v>90</v>
      </c>
      <c r="E12" s="13">
        <v>44454</v>
      </c>
      <c r="F12" s="77" t="s">
        <v>434</v>
      </c>
      <c r="G12" s="13">
        <v>44456.625</v>
      </c>
      <c r="H12" s="78" t="s">
        <v>435</v>
      </c>
      <c r="I12" s="16">
        <v>38</v>
      </c>
      <c r="J12" s="16">
        <v>35</v>
      </c>
      <c r="K12" s="16">
        <v>22</v>
      </c>
      <c r="L12" s="16">
        <v>2</v>
      </c>
      <c r="M12" s="82">
        <v>7.3150000000000004</v>
      </c>
      <c r="N12" s="73">
        <v>8</v>
      </c>
      <c r="O12" s="65">
        <v>7000</v>
      </c>
      <c r="P12" s="66">
        <f>Table224578910112345678910111213141516171819202135[[#This Row],[PEMBULATAN]]*O12</f>
        <v>56000</v>
      </c>
    </row>
    <row r="13" spans="1:16" ht="22.5" customHeight="1" x14ac:dyDescent="0.2">
      <c r="A13" s="14"/>
      <c r="B13" s="14"/>
      <c r="C13" s="74" t="s">
        <v>496</v>
      </c>
      <c r="D13" s="79" t="s">
        <v>90</v>
      </c>
      <c r="E13" s="13">
        <v>44454</v>
      </c>
      <c r="F13" s="77" t="s">
        <v>434</v>
      </c>
      <c r="G13" s="13">
        <v>44456.625</v>
      </c>
      <c r="H13" s="78" t="s">
        <v>435</v>
      </c>
      <c r="I13" s="16">
        <v>36</v>
      </c>
      <c r="J13" s="16">
        <v>36</v>
      </c>
      <c r="K13" s="16">
        <v>53</v>
      </c>
      <c r="L13" s="16">
        <v>26</v>
      </c>
      <c r="M13" s="82">
        <v>17.172000000000001</v>
      </c>
      <c r="N13" s="73">
        <v>26</v>
      </c>
      <c r="O13" s="65">
        <v>7000</v>
      </c>
      <c r="P13" s="66">
        <f>Table224578910112345678910111213141516171819202135[[#This Row],[PEMBULATAN]]*O13</f>
        <v>182000</v>
      </c>
    </row>
    <row r="14" spans="1:16" ht="22.5" customHeight="1" x14ac:dyDescent="0.2">
      <c r="A14" s="14"/>
      <c r="B14" s="14"/>
      <c r="C14" s="74" t="s">
        <v>497</v>
      </c>
      <c r="D14" s="79" t="s">
        <v>90</v>
      </c>
      <c r="E14" s="13">
        <v>44454</v>
      </c>
      <c r="F14" s="77" t="s">
        <v>434</v>
      </c>
      <c r="G14" s="13">
        <v>44456.625</v>
      </c>
      <c r="H14" s="78" t="s">
        <v>435</v>
      </c>
      <c r="I14" s="16">
        <v>36</v>
      </c>
      <c r="J14" s="16">
        <v>36</v>
      </c>
      <c r="K14" s="16">
        <v>53</v>
      </c>
      <c r="L14" s="16">
        <v>26</v>
      </c>
      <c r="M14" s="82">
        <v>17.172000000000001</v>
      </c>
      <c r="N14" s="73">
        <v>26</v>
      </c>
      <c r="O14" s="65">
        <v>7000</v>
      </c>
      <c r="P14" s="66">
        <f>Table224578910112345678910111213141516171819202135[[#This Row],[PEMBULATAN]]*O14</f>
        <v>182000</v>
      </c>
    </row>
    <row r="15" spans="1:16" ht="22.5" customHeight="1" x14ac:dyDescent="0.2">
      <c r="A15" s="14"/>
      <c r="B15" s="14"/>
      <c r="C15" s="74" t="s">
        <v>498</v>
      </c>
      <c r="D15" s="79" t="s">
        <v>90</v>
      </c>
      <c r="E15" s="13">
        <v>44454</v>
      </c>
      <c r="F15" s="77" t="s">
        <v>434</v>
      </c>
      <c r="G15" s="13">
        <v>44456.625</v>
      </c>
      <c r="H15" s="78" t="s">
        <v>435</v>
      </c>
      <c r="I15" s="16">
        <v>91</v>
      </c>
      <c r="J15" s="16">
        <v>28</v>
      </c>
      <c r="K15" s="16">
        <v>18</v>
      </c>
      <c r="L15" s="16">
        <v>12</v>
      </c>
      <c r="M15" s="82">
        <v>11.465999999999999</v>
      </c>
      <c r="N15" s="73">
        <v>12</v>
      </c>
      <c r="O15" s="65">
        <v>7000</v>
      </c>
      <c r="P15" s="66">
        <f>Table224578910112345678910111213141516171819202135[[#This Row],[PEMBULATAN]]*O15</f>
        <v>84000</v>
      </c>
    </row>
    <row r="16" spans="1:16" ht="22.5" customHeight="1" x14ac:dyDescent="0.2">
      <c r="A16" s="14"/>
      <c r="B16" s="14"/>
      <c r="C16" s="74" t="s">
        <v>499</v>
      </c>
      <c r="D16" s="79" t="s">
        <v>90</v>
      </c>
      <c r="E16" s="13">
        <v>44454</v>
      </c>
      <c r="F16" s="77" t="s">
        <v>434</v>
      </c>
      <c r="G16" s="13">
        <v>44456.625</v>
      </c>
      <c r="H16" s="78" t="s">
        <v>435</v>
      </c>
      <c r="I16" s="16">
        <v>75</v>
      </c>
      <c r="J16" s="16">
        <v>18</v>
      </c>
      <c r="K16" s="16">
        <v>13</v>
      </c>
      <c r="L16" s="16">
        <v>8</v>
      </c>
      <c r="M16" s="82">
        <v>4.3875000000000002</v>
      </c>
      <c r="N16" s="73">
        <v>8</v>
      </c>
      <c r="O16" s="65">
        <v>7000</v>
      </c>
      <c r="P16" s="66">
        <f>Table224578910112345678910111213141516171819202135[[#This Row],[PEMBULATAN]]*O16</f>
        <v>56000</v>
      </c>
    </row>
    <row r="17" spans="1:16" ht="22.5" customHeight="1" x14ac:dyDescent="0.2">
      <c r="A17" s="14"/>
      <c r="B17" s="14"/>
      <c r="C17" s="74" t="s">
        <v>500</v>
      </c>
      <c r="D17" s="79" t="s">
        <v>90</v>
      </c>
      <c r="E17" s="13">
        <v>44454</v>
      </c>
      <c r="F17" s="77" t="s">
        <v>434</v>
      </c>
      <c r="G17" s="13">
        <v>44456.625</v>
      </c>
      <c r="H17" s="78" t="s">
        <v>435</v>
      </c>
      <c r="I17" s="16">
        <v>20</v>
      </c>
      <c r="J17" s="16">
        <v>45</v>
      </c>
      <c r="K17" s="16">
        <v>20</v>
      </c>
      <c r="L17" s="16">
        <v>7</v>
      </c>
      <c r="M17" s="82">
        <v>4.5</v>
      </c>
      <c r="N17" s="73">
        <v>7</v>
      </c>
      <c r="O17" s="65">
        <v>7000</v>
      </c>
      <c r="P17" s="66">
        <f>Table224578910112345678910111213141516171819202135[[#This Row],[PEMBULATAN]]*O17</f>
        <v>49000</v>
      </c>
    </row>
    <row r="18" spans="1:16" ht="22.5" customHeight="1" x14ac:dyDescent="0.2">
      <c r="A18" s="14"/>
      <c r="B18" s="14"/>
      <c r="C18" s="74" t="s">
        <v>501</v>
      </c>
      <c r="D18" s="79" t="s">
        <v>90</v>
      </c>
      <c r="E18" s="13">
        <v>44454</v>
      </c>
      <c r="F18" s="77" t="s">
        <v>434</v>
      </c>
      <c r="G18" s="13">
        <v>44456.625</v>
      </c>
      <c r="H18" s="78" t="s">
        <v>435</v>
      </c>
      <c r="I18" s="16">
        <v>46</v>
      </c>
      <c r="J18" s="16">
        <v>20</v>
      </c>
      <c r="K18" s="16">
        <v>48</v>
      </c>
      <c r="L18" s="16">
        <v>13</v>
      </c>
      <c r="M18" s="82">
        <v>11.04</v>
      </c>
      <c r="N18" s="73">
        <v>13</v>
      </c>
      <c r="O18" s="65">
        <v>7000</v>
      </c>
      <c r="P18" s="66">
        <f>Table224578910112345678910111213141516171819202135[[#This Row],[PEMBULATAN]]*O18</f>
        <v>91000</v>
      </c>
    </row>
    <row r="19" spans="1:16" ht="22.5" customHeight="1" x14ac:dyDescent="0.2">
      <c r="A19" s="14"/>
      <c r="B19" s="14"/>
      <c r="C19" s="74" t="s">
        <v>502</v>
      </c>
      <c r="D19" s="79" t="s">
        <v>90</v>
      </c>
      <c r="E19" s="13">
        <v>44454</v>
      </c>
      <c r="F19" s="77" t="s">
        <v>434</v>
      </c>
      <c r="G19" s="13">
        <v>44456.625</v>
      </c>
      <c r="H19" s="78" t="s">
        <v>435</v>
      </c>
      <c r="I19" s="16">
        <v>42</v>
      </c>
      <c r="J19" s="16">
        <v>32</v>
      </c>
      <c r="K19" s="16">
        <v>22</v>
      </c>
      <c r="L19" s="16">
        <v>5</v>
      </c>
      <c r="M19" s="82">
        <v>7.3920000000000003</v>
      </c>
      <c r="N19" s="73">
        <v>8</v>
      </c>
      <c r="O19" s="65">
        <v>7000</v>
      </c>
      <c r="P19" s="66">
        <f>Table224578910112345678910111213141516171819202135[[#This Row],[PEMBULATAN]]*O19</f>
        <v>56000</v>
      </c>
    </row>
    <row r="20" spans="1:16" ht="22.5" customHeight="1" x14ac:dyDescent="0.2">
      <c r="A20" s="14"/>
      <c r="B20" s="14"/>
      <c r="C20" s="74" t="s">
        <v>503</v>
      </c>
      <c r="D20" s="79" t="s">
        <v>90</v>
      </c>
      <c r="E20" s="13">
        <v>44454</v>
      </c>
      <c r="F20" s="77" t="s">
        <v>434</v>
      </c>
      <c r="G20" s="13">
        <v>44456.625</v>
      </c>
      <c r="H20" s="78" t="s">
        <v>435</v>
      </c>
      <c r="I20" s="16">
        <v>42</v>
      </c>
      <c r="J20" s="16">
        <v>30</v>
      </c>
      <c r="K20" s="16">
        <v>18</v>
      </c>
      <c r="L20" s="16">
        <v>5</v>
      </c>
      <c r="M20" s="82">
        <v>5.67</v>
      </c>
      <c r="N20" s="73">
        <v>6</v>
      </c>
      <c r="O20" s="65">
        <v>7000</v>
      </c>
      <c r="P20" s="66">
        <f>Table224578910112345678910111213141516171819202135[[#This Row],[PEMBULATAN]]*O20</f>
        <v>42000</v>
      </c>
    </row>
    <row r="21" spans="1:16" ht="22.5" customHeight="1" x14ac:dyDescent="0.2">
      <c r="A21" s="14"/>
      <c r="B21" s="14"/>
      <c r="C21" s="74" t="s">
        <v>504</v>
      </c>
      <c r="D21" s="79" t="s">
        <v>90</v>
      </c>
      <c r="E21" s="13">
        <v>44454</v>
      </c>
      <c r="F21" s="77" t="s">
        <v>434</v>
      </c>
      <c r="G21" s="13">
        <v>44456.625</v>
      </c>
      <c r="H21" s="78" t="s">
        <v>435</v>
      </c>
      <c r="I21" s="16">
        <v>67</v>
      </c>
      <c r="J21" s="16">
        <v>70</v>
      </c>
      <c r="K21" s="16">
        <v>9</v>
      </c>
      <c r="L21" s="16">
        <v>10</v>
      </c>
      <c r="M21" s="82">
        <v>10.5525</v>
      </c>
      <c r="N21" s="73">
        <v>11</v>
      </c>
      <c r="O21" s="65">
        <v>7000</v>
      </c>
      <c r="P21" s="66">
        <f>Table224578910112345678910111213141516171819202135[[#This Row],[PEMBULATAN]]*O21</f>
        <v>77000</v>
      </c>
    </row>
    <row r="22" spans="1:16" ht="22.5" customHeight="1" x14ac:dyDescent="0.2">
      <c r="A22" s="14"/>
      <c r="B22" s="14"/>
      <c r="C22" s="74" t="s">
        <v>505</v>
      </c>
      <c r="D22" s="79" t="s">
        <v>90</v>
      </c>
      <c r="E22" s="13">
        <v>44454</v>
      </c>
      <c r="F22" s="77" t="s">
        <v>434</v>
      </c>
      <c r="G22" s="13">
        <v>44456.625</v>
      </c>
      <c r="H22" s="78" t="s">
        <v>435</v>
      </c>
      <c r="I22" s="16">
        <v>30</v>
      </c>
      <c r="J22" s="16">
        <v>20</v>
      </c>
      <c r="K22" s="16">
        <v>20</v>
      </c>
      <c r="L22" s="16">
        <v>5</v>
      </c>
      <c r="M22" s="82">
        <v>3</v>
      </c>
      <c r="N22" s="73">
        <v>5</v>
      </c>
      <c r="O22" s="65">
        <v>7000</v>
      </c>
      <c r="P22" s="66">
        <f>Table224578910112345678910111213141516171819202135[[#This Row],[PEMBULATAN]]*O22</f>
        <v>35000</v>
      </c>
    </row>
    <row r="23" spans="1:16" ht="22.5" customHeight="1" x14ac:dyDescent="0.2">
      <c r="A23" s="14"/>
      <c r="B23" s="14" t="s">
        <v>506</v>
      </c>
      <c r="C23" s="74" t="s">
        <v>507</v>
      </c>
      <c r="D23" s="79" t="s">
        <v>90</v>
      </c>
      <c r="E23" s="13">
        <v>44454</v>
      </c>
      <c r="F23" s="77" t="s">
        <v>434</v>
      </c>
      <c r="G23" s="13">
        <v>44456.625</v>
      </c>
      <c r="H23" s="78" t="s">
        <v>435</v>
      </c>
      <c r="I23" s="16">
        <v>87</v>
      </c>
      <c r="J23" s="16">
        <v>27</v>
      </c>
      <c r="K23" s="16">
        <v>35</v>
      </c>
      <c r="L23" s="16">
        <v>21</v>
      </c>
      <c r="M23" s="82">
        <v>20.553750000000001</v>
      </c>
      <c r="N23" s="73">
        <v>21</v>
      </c>
      <c r="O23" s="65">
        <v>7000</v>
      </c>
      <c r="P23" s="66">
        <f>Table224578910112345678910111213141516171819202135[[#This Row],[PEMBULATAN]]*O23</f>
        <v>147000</v>
      </c>
    </row>
    <row r="24" spans="1:16" ht="22.5" customHeight="1" x14ac:dyDescent="0.2">
      <c r="A24" s="14"/>
      <c r="B24" s="14"/>
      <c r="C24" s="74" t="s">
        <v>508</v>
      </c>
      <c r="D24" s="79" t="s">
        <v>90</v>
      </c>
      <c r="E24" s="13">
        <v>44454</v>
      </c>
      <c r="F24" s="77" t="s">
        <v>434</v>
      </c>
      <c r="G24" s="13">
        <v>44456.625</v>
      </c>
      <c r="H24" s="78" t="s">
        <v>435</v>
      </c>
      <c r="I24" s="16">
        <v>44</v>
      </c>
      <c r="J24" s="16">
        <v>34</v>
      </c>
      <c r="K24" s="16">
        <v>30</v>
      </c>
      <c r="L24" s="16">
        <v>9</v>
      </c>
      <c r="M24" s="82">
        <v>11.22</v>
      </c>
      <c r="N24" s="73">
        <v>11</v>
      </c>
      <c r="O24" s="65">
        <v>7000</v>
      </c>
      <c r="P24" s="66">
        <f>Table224578910112345678910111213141516171819202135[[#This Row],[PEMBULATAN]]*O24</f>
        <v>77000</v>
      </c>
    </row>
    <row r="25" spans="1:16" ht="22.5" customHeight="1" x14ac:dyDescent="0.2">
      <c r="A25" s="14"/>
      <c r="B25" s="14"/>
      <c r="C25" s="74" t="s">
        <v>509</v>
      </c>
      <c r="D25" s="79" t="s">
        <v>90</v>
      </c>
      <c r="E25" s="13">
        <v>44454</v>
      </c>
      <c r="F25" s="77" t="s">
        <v>434</v>
      </c>
      <c r="G25" s="13">
        <v>44456.625</v>
      </c>
      <c r="H25" s="78" t="s">
        <v>435</v>
      </c>
      <c r="I25" s="16">
        <v>35</v>
      </c>
      <c r="J25" s="16">
        <v>35</v>
      </c>
      <c r="K25" s="16">
        <v>20</v>
      </c>
      <c r="L25" s="16">
        <v>12</v>
      </c>
      <c r="M25" s="82">
        <v>6.125</v>
      </c>
      <c r="N25" s="73">
        <v>12</v>
      </c>
      <c r="O25" s="65">
        <v>7000</v>
      </c>
      <c r="P25" s="66">
        <f>Table224578910112345678910111213141516171819202135[[#This Row],[PEMBULATAN]]*O25</f>
        <v>84000</v>
      </c>
    </row>
    <row r="26" spans="1:16" ht="22.5" customHeight="1" x14ac:dyDescent="0.2">
      <c r="A26" s="14"/>
      <c r="B26" s="14"/>
      <c r="C26" s="74" t="s">
        <v>510</v>
      </c>
      <c r="D26" s="79" t="s">
        <v>90</v>
      </c>
      <c r="E26" s="13">
        <v>44454</v>
      </c>
      <c r="F26" s="77" t="s">
        <v>434</v>
      </c>
      <c r="G26" s="13">
        <v>44456.625</v>
      </c>
      <c r="H26" s="78" t="s">
        <v>435</v>
      </c>
      <c r="I26" s="16">
        <v>35</v>
      </c>
      <c r="J26" s="16">
        <v>35</v>
      </c>
      <c r="K26" s="16">
        <v>20</v>
      </c>
      <c r="L26" s="16">
        <v>12</v>
      </c>
      <c r="M26" s="82">
        <v>6.125</v>
      </c>
      <c r="N26" s="73">
        <v>12</v>
      </c>
      <c r="O26" s="65">
        <v>7000</v>
      </c>
      <c r="P26" s="66">
        <f>Table224578910112345678910111213141516171819202135[[#This Row],[PEMBULATAN]]*O26</f>
        <v>84000</v>
      </c>
    </row>
    <row r="27" spans="1:16" ht="22.5" customHeight="1" x14ac:dyDescent="0.2">
      <c r="A27" s="14"/>
      <c r="B27" s="14"/>
      <c r="C27" s="74" t="s">
        <v>511</v>
      </c>
      <c r="D27" s="79" t="s">
        <v>90</v>
      </c>
      <c r="E27" s="13">
        <v>44454</v>
      </c>
      <c r="F27" s="77" t="s">
        <v>434</v>
      </c>
      <c r="G27" s="13">
        <v>44456.625</v>
      </c>
      <c r="H27" s="78" t="s">
        <v>435</v>
      </c>
      <c r="I27" s="16">
        <v>33</v>
      </c>
      <c r="J27" s="16">
        <v>22</v>
      </c>
      <c r="K27" s="16">
        <v>18</v>
      </c>
      <c r="L27" s="16">
        <v>8</v>
      </c>
      <c r="M27" s="82">
        <v>3.2669999999999999</v>
      </c>
      <c r="N27" s="73">
        <v>8</v>
      </c>
      <c r="O27" s="65">
        <v>7000</v>
      </c>
      <c r="P27" s="66">
        <f>Table224578910112345678910111213141516171819202135[[#This Row],[PEMBULATAN]]*O27</f>
        <v>56000</v>
      </c>
    </row>
    <row r="28" spans="1:16" ht="22.5" customHeight="1" x14ac:dyDescent="0.2">
      <c r="A28" s="14"/>
      <c r="B28" s="14"/>
      <c r="C28" s="74" t="s">
        <v>512</v>
      </c>
      <c r="D28" s="79" t="s">
        <v>90</v>
      </c>
      <c r="E28" s="13">
        <v>44454</v>
      </c>
      <c r="F28" s="77" t="s">
        <v>434</v>
      </c>
      <c r="G28" s="13">
        <v>44456.625</v>
      </c>
      <c r="H28" s="78" t="s">
        <v>435</v>
      </c>
      <c r="I28" s="16">
        <v>27</v>
      </c>
      <c r="J28" s="16">
        <v>22</v>
      </c>
      <c r="K28" s="16">
        <v>20</v>
      </c>
      <c r="L28" s="16">
        <v>4</v>
      </c>
      <c r="M28" s="82">
        <v>2.97</v>
      </c>
      <c r="N28" s="73">
        <v>4</v>
      </c>
      <c r="O28" s="65">
        <v>7000</v>
      </c>
      <c r="P28" s="66">
        <f>Table224578910112345678910111213141516171819202135[[#This Row],[PEMBULATAN]]*O28</f>
        <v>28000</v>
      </c>
    </row>
    <row r="29" spans="1:16" ht="22.5" customHeight="1" x14ac:dyDescent="0.2">
      <c r="A29" s="14"/>
      <c r="B29" s="14"/>
      <c r="C29" s="74" t="s">
        <v>513</v>
      </c>
      <c r="D29" s="79" t="s">
        <v>90</v>
      </c>
      <c r="E29" s="13">
        <v>44454</v>
      </c>
      <c r="F29" s="77" t="s">
        <v>434</v>
      </c>
      <c r="G29" s="13">
        <v>44456.625</v>
      </c>
      <c r="H29" s="78" t="s">
        <v>435</v>
      </c>
      <c r="I29" s="16">
        <v>33</v>
      </c>
      <c r="J29" s="16">
        <v>23</v>
      </c>
      <c r="K29" s="16">
        <v>18</v>
      </c>
      <c r="L29" s="16">
        <v>7</v>
      </c>
      <c r="M29" s="82">
        <v>3.4155000000000002</v>
      </c>
      <c r="N29" s="73">
        <v>7</v>
      </c>
      <c r="O29" s="65">
        <v>7000</v>
      </c>
      <c r="P29" s="66">
        <f>Table224578910112345678910111213141516171819202135[[#This Row],[PEMBULATAN]]*O29</f>
        <v>49000</v>
      </c>
    </row>
    <row r="30" spans="1:16" ht="22.5" customHeight="1" x14ac:dyDescent="0.2">
      <c r="A30" s="14"/>
      <c r="B30" s="14"/>
      <c r="C30" s="74" t="s">
        <v>514</v>
      </c>
      <c r="D30" s="79" t="s">
        <v>90</v>
      </c>
      <c r="E30" s="13">
        <v>44454</v>
      </c>
      <c r="F30" s="77" t="s">
        <v>434</v>
      </c>
      <c r="G30" s="13">
        <v>44456.625</v>
      </c>
      <c r="H30" s="78" t="s">
        <v>435</v>
      </c>
      <c r="I30" s="16">
        <v>38</v>
      </c>
      <c r="J30" s="16">
        <v>24</v>
      </c>
      <c r="K30" s="16">
        <v>17</v>
      </c>
      <c r="L30" s="16">
        <v>10</v>
      </c>
      <c r="M30" s="82">
        <v>3.8759999999999999</v>
      </c>
      <c r="N30" s="73">
        <v>10</v>
      </c>
      <c r="O30" s="65">
        <v>7000</v>
      </c>
      <c r="P30" s="66">
        <f>Table224578910112345678910111213141516171819202135[[#This Row],[PEMBULATAN]]*O30</f>
        <v>70000</v>
      </c>
    </row>
    <row r="31" spans="1:16" ht="22.5" customHeight="1" x14ac:dyDescent="0.2">
      <c r="A31" s="14"/>
      <c r="B31" s="14"/>
      <c r="C31" s="74" t="s">
        <v>515</v>
      </c>
      <c r="D31" s="79" t="s">
        <v>90</v>
      </c>
      <c r="E31" s="13">
        <v>44454</v>
      </c>
      <c r="F31" s="77" t="s">
        <v>434</v>
      </c>
      <c r="G31" s="13">
        <v>44456.625</v>
      </c>
      <c r="H31" s="78" t="s">
        <v>435</v>
      </c>
      <c r="I31" s="16">
        <v>46</v>
      </c>
      <c r="J31" s="16">
        <v>8</v>
      </c>
      <c r="K31" s="16">
        <v>5</v>
      </c>
      <c r="L31" s="16">
        <v>21</v>
      </c>
      <c r="M31" s="82">
        <v>0.46</v>
      </c>
      <c r="N31" s="73">
        <v>21</v>
      </c>
      <c r="O31" s="65">
        <v>7000</v>
      </c>
      <c r="P31" s="66">
        <f>Table224578910112345678910111213141516171819202135[[#This Row],[PEMBULATAN]]*O31</f>
        <v>147000</v>
      </c>
    </row>
    <row r="32" spans="1:16" ht="22.5" customHeight="1" x14ac:dyDescent="0.2">
      <c r="A32" s="14"/>
      <c r="B32" s="14"/>
      <c r="C32" s="74" t="s">
        <v>516</v>
      </c>
      <c r="D32" s="79" t="s">
        <v>90</v>
      </c>
      <c r="E32" s="13">
        <v>44454</v>
      </c>
      <c r="F32" s="77" t="s">
        <v>434</v>
      </c>
      <c r="G32" s="13">
        <v>44456.625</v>
      </c>
      <c r="H32" s="78" t="s">
        <v>435</v>
      </c>
      <c r="I32" s="16">
        <v>43</v>
      </c>
      <c r="J32" s="16">
        <v>34</v>
      </c>
      <c r="K32" s="16">
        <v>28</v>
      </c>
      <c r="L32" s="16">
        <v>9</v>
      </c>
      <c r="M32" s="82">
        <v>10.234</v>
      </c>
      <c r="N32" s="73">
        <v>10</v>
      </c>
      <c r="O32" s="65">
        <v>7000</v>
      </c>
      <c r="P32" s="66">
        <f>Table224578910112345678910111213141516171819202135[[#This Row],[PEMBULATAN]]*O32</f>
        <v>70000</v>
      </c>
    </row>
    <row r="33" spans="1:16" ht="22.5" customHeight="1" x14ac:dyDescent="0.2">
      <c r="A33" s="14"/>
      <c r="B33" s="14"/>
      <c r="C33" s="74" t="s">
        <v>517</v>
      </c>
      <c r="D33" s="79" t="s">
        <v>90</v>
      </c>
      <c r="E33" s="13">
        <v>44454</v>
      </c>
      <c r="F33" s="77" t="s">
        <v>434</v>
      </c>
      <c r="G33" s="13">
        <v>44456.625</v>
      </c>
      <c r="H33" s="78" t="s">
        <v>435</v>
      </c>
      <c r="I33" s="16">
        <v>33</v>
      </c>
      <c r="J33" s="16">
        <v>23</v>
      </c>
      <c r="K33" s="16">
        <v>19</v>
      </c>
      <c r="L33" s="16">
        <v>7</v>
      </c>
      <c r="M33" s="82">
        <v>3.6052499999999998</v>
      </c>
      <c r="N33" s="73">
        <v>7</v>
      </c>
      <c r="O33" s="65">
        <v>7000</v>
      </c>
      <c r="P33" s="66">
        <f>Table224578910112345678910111213141516171819202135[[#This Row],[PEMBULATAN]]*O33</f>
        <v>49000</v>
      </c>
    </row>
    <row r="34" spans="1:16" ht="22.5" customHeight="1" x14ac:dyDescent="0.2">
      <c r="A34" s="14"/>
      <c r="B34" s="14"/>
      <c r="C34" s="74" t="s">
        <v>518</v>
      </c>
      <c r="D34" s="79" t="s">
        <v>90</v>
      </c>
      <c r="E34" s="13">
        <v>44454</v>
      </c>
      <c r="F34" s="77" t="s">
        <v>434</v>
      </c>
      <c r="G34" s="13">
        <v>44456.625</v>
      </c>
      <c r="H34" s="78" t="s">
        <v>435</v>
      </c>
      <c r="I34" s="16">
        <v>35</v>
      </c>
      <c r="J34" s="16">
        <v>35</v>
      </c>
      <c r="K34" s="16">
        <v>18</v>
      </c>
      <c r="L34" s="16">
        <v>12</v>
      </c>
      <c r="M34" s="82">
        <v>5.5125000000000002</v>
      </c>
      <c r="N34" s="73">
        <v>12</v>
      </c>
      <c r="O34" s="65">
        <v>7000</v>
      </c>
      <c r="P34" s="66">
        <f>Table224578910112345678910111213141516171819202135[[#This Row],[PEMBULATAN]]*O34</f>
        <v>84000</v>
      </c>
    </row>
    <row r="35" spans="1:16" ht="22.5" customHeight="1" x14ac:dyDescent="0.2">
      <c r="A35" s="14"/>
      <c r="B35" s="14"/>
      <c r="C35" s="74" t="s">
        <v>519</v>
      </c>
      <c r="D35" s="79" t="s">
        <v>90</v>
      </c>
      <c r="E35" s="13">
        <v>44454</v>
      </c>
      <c r="F35" s="77" t="s">
        <v>434</v>
      </c>
      <c r="G35" s="13">
        <v>44456.625</v>
      </c>
      <c r="H35" s="78" t="s">
        <v>435</v>
      </c>
      <c r="I35" s="16">
        <v>43</v>
      </c>
      <c r="J35" s="16">
        <v>33</v>
      </c>
      <c r="K35" s="16">
        <v>28</v>
      </c>
      <c r="L35" s="16">
        <v>9</v>
      </c>
      <c r="M35" s="82">
        <v>9.9329999999999998</v>
      </c>
      <c r="N35" s="73">
        <v>10</v>
      </c>
      <c r="O35" s="65">
        <v>7000</v>
      </c>
      <c r="P35" s="66">
        <f>Table224578910112345678910111213141516171819202135[[#This Row],[PEMBULATAN]]*O35</f>
        <v>70000</v>
      </c>
    </row>
    <row r="36" spans="1:16" ht="22.5" customHeight="1" x14ac:dyDescent="0.2">
      <c r="A36" s="14"/>
      <c r="B36" s="14"/>
      <c r="C36" s="74" t="s">
        <v>520</v>
      </c>
      <c r="D36" s="79" t="s">
        <v>90</v>
      </c>
      <c r="E36" s="13">
        <v>44454</v>
      </c>
      <c r="F36" s="77" t="s">
        <v>434</v>
      </c>
      <c r="G36" s="13">
        <v>44456.625</v>
      </c>
      <c r="H36" s="78" t="s">
        <v>435</v>
      </c>
      <c r="I36" s="16">
        <v>33</v>
      </c>
      <c r="J36" s="16">
        <v>23</v>
      </c>
      <c r="K36" s="16">
        <v>18</v>
      </c>
      <c r="L36" s="16">
        <v>7</v>
      </c>
      <c r="M36" s="82">
        <v>3.4155000000000002</v>
      </c>
      <c r="N36" s="73">
        <v>7</v>
      </c>
      <c r="O36" s="65">
        <v>7000</v>
      </c>
      <c r="P36" s="66">
        <f>Table224578910112345678910111213141516171819202135[[#This Row],[PEMBULATAN]]*O36</f>
        <v>49000</v>
      </c>
    </row>
    <row r="37" spans="1:16" ht="22.5" customHeight="1" x14ac:dyDescent="0.2">
      <c r="A37" s="14"/>
      <c r="B37" s="14"/>
      <c r="C37" s="74" t="s">
        <v>521</v>
      </c>
      <c r="D37" s="79" t="s">
        <v>90</v>
      </c>
      <c r="E37" s="13">
        <v>44454</v>
      </c>
      <c r="F37" s="77" t="s">
        <v>434</v>
      </c>
      <c r="G37" s="13">
        <v>44456.625</v>
      </c>
      <c r="H37" s="78" t="s">
        <v>435</v>
      </c>
      <c r="I37" s="16">
        <v>33</v>
      </c>
      <c r="J37" s="16">
        <v>22</v>
      </c>
      <c r="K37" s="16">
        <v>18</v>
      </c>
      <c r="L37" s="16">
        <v>8</v>
      </c>
      <c r="M37" s="82">
        <v>3.2669999999999999</v>
      </c>
      <c r="N37" s="73">
        <v>8</v>
      </c>
      <c r="O37" s="65">
        <v>7000</v>
      </c>
      <c r="P37" s="66">
        <f>Table224578910112345678910111213141516171819202135[[#This Row],[PEMBULATAN]]*O37</f>
        <v>56000</v>
      </c>
    </row>
    <row r="38" spans="1:16" ht="22.5" customHeight="1" x14ac:dyDescent="0.2">
      <c r="A38" s="14"/>
      <c r="B38" s="14"/>
      <c r="C38" s="74" t="s">
        <v>522</v>
      </c>
      <c r="D38" s="79" t="s">
        <v>90</v>
      </c>
      <c r="E38" s="13">
        <v>44454</v>
      </c>
      <c r="F38" s="77" t="s">
        <v>434</v>
      </c>
      <c r="G38" s="13">
        <v>44456.625</v>
      </c>
      <c r="H38" s="78" t="s">
        <v>435</v>
      </c>
      <c r="I38" s="16">
        <v>33</v>
      </c>
      <c r="J38" s="16">
        <v>22</v>
      </c>
      <c r="K38" s="16">
        <v>18</v>
      </c>
      <c r="L38" s="16">
        <v>8</v>
      </c>
      <c r="M38" s="82">
        <v>3.2669999999999999</v>
      </c>
      <c r="N38" s="73">
        <v>8</v>
      </c>
      <c r="O38" s="65">
        <v>7000</v>
      </c>
      <c r="P38" s="66">
        <f>Table224578910112345678910111213141516171819202135[[#This Row],[PEMBULATAN]]*O38</f>
        <v>56000</v>
      </c>
    </row>
    <row r="39" spans="1:16" ht="22.5" customHeight="1" x14ac:dyDescent="0.2">
      <c r="A39" s="14"/>
      <c r="B39" s="14"/>
      <c r="C39" s="74" t="s">
        <v>523</v>
      </c>
      <c r="D39" s="79" t="s">
        <v>90</v>
      </c>
      <c r="E39" s="13">
        <v>44454</v>
      </c>
      <c r="F39" s="77" t="s">
        <v>434</v>
      </c>
      <c r="G39" s="13">
        <v>44456.625</v>
      </c>
      <c r="H39" s="78" t="s">
        <v>435</v>
      </c>
      <c r="I39" s="16">
        <v>43</v>
      </c>
      <c r="J39" s="16">
        <v>23</v>
      </c>
      <c r="K39" s="16">
        <v>29</v>
      </c>
      <c r="L39" s="16">
        <v>9</v>
      </c>
      <c r="M39" s="82">
        <v>7.1702500000000002</v>
      </c>
      <c r="N39" s="73">
        <v>9</v>
      </c>
      <c r="O39" s="65">
        <v>7000</v>
      </c>
      <c r="P39" s="66">
        <f>Table224578910112345678910111213141516171819202135[[#This Row],[PEMBULATAN]]*O39</f>
        <v>63000</v>
      </c>
    </row>
    <row r="40" spans="1:16" ht="22.5" customHeight="1" x14ac:dyDescent="0.2">
      <c r="A40" s="14"/>
      <c r="B40" s="14"/>
      <c r="C40" s="74" t="s">
        <v>524</v>
      </c>
      <c r="D40" s="79" t="s">
        <v>90</v>
      </c>
      <c r="E40" s="13">
        <v>44454</v>
      </c>
      <c r="F40" s="77" t="s">
        <v>434</v>
      </c>
      <c r="G40" s="13">
        <v>44456.625</v>
      </c>
      <c r="H40" s="78" t="s">
        <v>435</v>
      </c>
      <c r="I40" s="16">
        <v>34</v>
      </c>
      <c r="J40" s="16">
        <v>22</v>
      </c>
      <c r="K40" s="16">
        <v>18</v>
      </c>
      <c r="L40" s="16">
        <v>7</v>
      </c>
      <c r="M40" s="82">
        <v>3.3660000000000001</v>
      </c>
      <c r="N40" s="73">
        <v>7</v>
      </c>
      <c r="O40" s="65">
        <v>7000</v>
      </c>
      <c r="P40" s="66">
        <f>Table224578910112345678910111213141516171819202135[[#This Row],[PEMBULATAN]]*O40</f>
        <v>49000</v>
      </c>
    </row>
    <row r="41" spans="1:16" ht="22.5" customHeight="1" x14ac:dyDescent="0.2">
      <c r="A41" s="14"/>
      <c r="B41" s="14"/>
      <c r="C41" s="74" t="s">
        <v>525</v>
      </c>
      <c r="D41" s="79" t="s">
        <v>90</v>
      </c>
      <c r="E41" s="13">
        <v>44454</v>
      </c>
      <c r="F41" s="77" t="s">
        <v>434</v>
      </c>
      <c r="G41" s="13">
        <v>44456.625</v>
      </c>
      <c r="H41" s="78" t="s">
        <v>435</v>
      </c>
      <c r="I41" s="16">
        <v>33</v>
      </c>
      <c r="J41" s="16">
        <v>23</v>
      </c>
      <c r="K41" s="16">
        <v>18</v>
      </c>
      <c r="L41" s="16">
        <v>7</v>
      </c>
      <c r="M41" s="82">
        <v>3.4155000000000002</v>
      </c>
      <c r="N41" s="73">
        <v>7</v>
      </c>
      <c r="O41" s="65">
        <v>7000</v>
      </c>
      <c r="P41" s="66">
        <f>Table224578910112345678910111213141516171819202135[[#This Row],[PEMBULATAN]]*O41</f>
        <v>49000</v>
      </c>
    </row>
    <row r="42" spans="1:16" ht="22.5" customHeight="1" x14ac:dyDescent="0.2">
      <c r="A42" s="14"/>
      <c r="B42" s="14"/>
      <c r="C42" s="74" t="s">
        <v>526</v>
      </c>
      <c r="D42" s="79" t="s">
        <v>90</v>
      </c>
      <c r="E42" s="13">
        <v>44454</v>
      </c>
      <c r="F42" s="77" t="s">
        <v>434</v>
      </c>
      <c r="G42" s="13">
        <v>44456.625</v>
      </c>
      <c r="H42" s="78" t="s">
        <v>435</v>
      </c>
      <c r="I42" s="16">
        <v>36</v>
      </c>
      <c r="J42" s="16">
        <v>35</v>
      </c>
      <c r="K42" s="16">
        <v>18</v>
      </c>
      <c r="L42" s="16">
        <v>12</v>
      </c>
      <c r="M42" s="82">
        <v>5.67</v>
      </c>
      <c r="N42" s="73">
        <v>12</v>
      </c>
      <c r="O42" s="65">
        <v>7000</v>
      </c>
      <c r="P42" s="66">
        <f>Table224578910112345678910111213141516171819202135[[#This Row],[PEMBULATAN]]*O42</f>
        <v>84000</v>
      </c>
    </row>
    <row r="43" spans="1:16" ht="22.5" customHeight="1" x14ac:dyDescent="0.2">
      <c r="A43" s="14"/>
      <c r="B43" s="14"/>
      <c r="C43" s="74" t="s">
        <v>527</v>
      </c>
      <c r="D43" s="79" t="s">
        <v>90</v>
      </c>
      <c r="E43" s="13">
        <v>44454</v>
      </c>
      <c r="F43" s="77" t="s">
        <v>434</v>
      </c>
      <c r="G43" s="13">
        <v>44456.625</v>
      </c>
      <c r="H43" s="78" t="s">
        <v>435</v>
      </c>
      <c r="I43" s="16">
        <v>33</v>
      </c>
      <c r="J43" s="16">
        <v>23</v>
      </c>
      <c r="K43" s="16">
        <v>18</v>
      </c>
      <c r="L43" s="16">
        <v>8</v>
      </c>
      <c r="M43" s="82">
        <v>3.4155000000000002</v>
      </c>
      <c r="N43" s="73">
        <v>8</v>
      </c>
      <c r="O43" s="65">
        <v>7000</v>
      </c>
      <c r="P43" s="66">
        <f>Table224578910112345678910111213141516171819202135[[#This Row],[PEMBULATAN]]*O43</f>
        <v>56000</v>
      </c>
    </row>
    <row r="44" spans="1:16" ht="22.5" customHeight="1" x14ac:dyDescent="0.2">
      <c r="A44" s="14"/>
      <c r="B44" s="14"/>
      <c r="C44" s="74" t="s">
        <v>528</v>
      </c>
      <c r="D44" s="79" t="s">
        <v>90</v>
      </c>
      <c r="E44" s="13">
        <v>44454</v>
      </c>
      <c r="F44" s="77" t="s">
        <v>434</v>
      </c>
      <c r="G44" s="13">
        <v>44456.625</v>
      </c>
      <c r="H44" s="78" t="s">
        <v>435</v>
      </c>
      <c r="I44" s="16">
        <v>43</v>
      </c>
      <c r="J44" s="16">
        <v>33</v>
      </c>
      <c r="K44" s="16">
        <v>28</v>
      </c>
      <c r="L44" s="16">
        <v>9</v>
      </c>
      <c r="M44" s="82">
        <v>9.9329999999999998</v>
      </c>
      <c r="N44" s="73">
        <v>10</v>
      </c>
      <c r="O44" s="65">
        <v>7000</v>
      </c>
      <c r="P44" s="66">
        <f>Table224578910112345678910111213141516171819202135[[#This Row],[PEMBULATAN]]*O44</f>
        <v>70000</v>
      </c>
    </row>
    <row r="45" spans="1:16" ht="22.5" customHeight="1" x14ac:dyDescent="0.2">
      <c r="A45" s="14"/>
      <c r="B45" s="14"/>
      <c r="C45" s="74" t="s">
        <v>529</v>
      </c>
      <c r="D45" s="79" t="s">
        <v>90</v>
      </c>
      <c r="E45" s="13">
        <v>44454</v>
      </c>
      <c r="F45" s="77" t="s">
        <v>434</v>
      </c>
      <c r="G45" s="13">
        <v>44456.625</v>
      </c>
      <c r="H45" s="78" t="s">
        <v>435</v>
      </c>
      <c r="I45" s="16">
        <v>38</v>
      </c>
      <c r="J45" s="16">
        <v>30</v>
      </c>
      <c r="K45" s="16">
        <v>14</v>
      </c>
      <c r="L45" s="16">
        <v>10</v>
      </c>
      <c r="M45" s="82">
        <v>3.99</v>
      </c>
      <c r="N45" s="73">
        <v>10</v>
      </c>
      <c r="O45" s="65">
        <v>7000</v>
      </c>
      <c r="P45" s="66">
        <f>Table224578910112345678910111213141516171819202135[[#This Row],[PEMBULATAN]]*O45</f>
        <v>70000</v>
      </c>
    </row>
    <row r="46" spans="1:16" ht="22.5" customHeight="1" x14ac:dyDescent="0.2">
      <c r="A46" s="14"/>
      <c r="B46" s="14"/>
      <c r="C46" s="74" t="s">
        <v>530</v>
      </c>
      <c r="D46" s="79" t="s">
        <v>90</v>
      </c>
      <c r="E46" s="13">
        <v>44454</v>
      </c>
      <c r="F46" s="77" t="s">
        <v>434</v>
      </c>
      <c r="G46" s="13">
        <v>44456.625</v>
      </c>
      <c r="H46" s="78" t="s">
        <v>435</v>
      </c>
      <c r="I46" s="16">
        <v>50</v>
      </c>
      <c r="J46" s="16">
        <v>26</v>
      </c>
      <c r="K46" s="16">
        <v>24</v>
      </c>
      <c r="L46" s="16">
        <v>13</v>
      </c>
      <c r="M46" s="82">
        <v>7.8</v>
      </c>
      <c r="N46" s="73">
        <v>13</v>
      </c>
      <c r="O46" s="65">
        <v>7000</v>
      </c>
      <c r="P46" s="66">
        <f>Table224578910112345678910111213141516171819202135[[#This Row],[PEMBULATAN]]*O46</f>
        <v>91000</v>
      </c>
    </row>
    <row r="47" spans="1:16" ht="22.5" customHeight="1" x14ac:dyDescent="0.2">
      <c r="A47" s="14"/>
      <c r="B47" s="14"/>
      <c r="C47" s="74" t="s">
        <v>531</v>
      </c>
      <c r="D47" s="79" t="s">
        <v>90</v>
      </c>
      <c r="E47" s="13">
        <v>44454</v>
      </c>
      <c r="F47" s="77" t="s">
        <v>434</v>
      </c>
      <c r="G47" s="13">
        <v>44456.625</v>
      </c>
      <c r="H47" s="78" t="s">
        <v>435</v>
      </c>
      <c r="I47" s="16">
        <v>36</v>
      </c>
      <c r="J47" s="16">
        <v>35</v>
      </c>
      <c r="K47" s="16">
        <v>18</v>
      </c>
      <c r="L47" s="16">
        <v>12</v>
      </c>
      <c r="M47" s="82">
        <v>5.67</v>
      </c>
      <c r="N47" s="73">
        <v>12</v>
      </c>
      <c r="O47" s="65">
        <v>7000</v>
      </c>
      <c r="P47" s="66">
        <f>Table224578910112345678910111213141516171819202135[[#This Row],[PEMBULATAN]]*O47</f>
        <v>84000</v>
      </c>
    </row>
    <row r="48" spans="1:16" ht="22.5" customHeight="1" x14ac:dyDescent="0.2">
      <c r="A48" s="14"/>
      <c r="B48" s="14"/>
      <c r="C48" s="74" t="s">
        <v>532</v>
      </c>
      <c r="D48" s="79" t="s">
        <v>90</v>
      </c>
      <c r="E48" s="13">
        <v>44454</v>
      </c>
      <c r="F48" s="77" t="s">
        <v>434</v>
      </c>
      <c r="G48" s="13">
        <v>44456.625</v>
      </c>
      <c r="H48" s="78" t="s">
        <v>435</v>
      </c>
      <c r="I48" s="16">
        <v>44</v>
      </c>
      <c r="J48" s="16">
        <v>33</v>
      </c>
      <c r="K48" s="16">
        <v>28</v>
      </c>
      <c r="L48" s="16">
        <v>9</v>
      </c>
      <c r="M48" s="82">
        <v>10.164</v>
      </c>
      <c r="N48" s="73">
        <v>10</v>
      </c>
      <c r="O48" s="65">
        <v>7000</v>
      </c>
      <c r="P48" s="66">
        <f>Table224578910112345678910111213141516171819202135[[#This Row],[PEMBULATAN]]*O48</f>
        <v>70000</v>
      </c>
    </row>
    <row r="49" spans="1:16" ht="22.5" customHeight="1" x14ac:dyDescent="0.2">
      <c r="A49" s="14"/>
      <c r="B49" s="14"/>
      <c r="C49" s="74" t="s">
        <v>533</v>
      </c>
      <c r="D49" s="79" t="s">
        <v>90</v>
      </c>
      <c r="E49" s="13">
        <v>44454</v>
      </c>
      <c r="F49" s="77" t="s">
        <v>434</v>
      </c>
      <c r="G49" s="13">
        <v>44456.625</v>
      </c>
      <c r="H49" s="78" t="s">
        <v>435</v>
      </c>
      <c r="I49" s="16">
        <v>44</v>
      </c>
      <c r="J49" s="16">
        <v>34</v>
      </c>
      <c r="K49" s="16">
        <v>28</v>
      </c>
      <c r="L49" s="16">
        <v>9</v>
      </c>
      <c r="M49" s="82">
        <v>10.472</v>
      </c>
      <c r="N49" s="73">
        <v>11</v>
      </c>
      <c r="O49" s="65">
        <v>7000</v>
      </c>
      <c r="P49" s="66">
        <f>Table224578910112345678910111213141516171819202135[[#This Row],[PEMBULATAN]]*O49</f>
        <v>77000</v>
      </c>
    </row>
    <row r="50" spans="1:16" ht="22.5" customHeight="1" x14ac:dyDescent="0.2">
      <c r="A50" s="14"/>
      <c r="B50" s="14"/>
      <c r="C50" s="74" t="s">
        <v>534</v>
      </c>
      <c r="D50" s="79" t="s">
        <v>90</v>
      </c>
      <c r="E50" s="13">
        <v>44454</v>
      </c>
      <c r="F50" s="77" t="s">
        <v>434</v>
      </c>
      <c r="G50" s="13">
        <v>44456.625</v>
      </c>
      <c r="H50" s="78" t="s">
        <v>435</v>
      </c>
      <c r="I50" s="16">
        <v>35</v>
      </c>
      <c r="J50" s="16">
        <v>35</v>
      </c>
      <c r="K50" s="16">
        <v>18</v>
      </c>
      <c r="L50" s="16">
        <v>12</v>
      </c>
      <c r="M50" s="82">
        <v>5.5125000000000002</v>
      </c>
      <c r="N50" s="73">
        <v>12</v>
      </c>
      <c r="O50" s="65">
        <v>7000</v>
      </c>
      <c r="P50" s="66">
        <f>Table224578910112345678910111213141516171819202135[[#This Row],[PEMBULATAN]]*O50</f>
        <v>84000</v>
      </c>
    </row>
    <row r="51" spans="1:16" ht="22.5" customHeight="1" x14ac:dyDescent="0.2">
      <c r="A51" s="14"/>
      <c r="B51" s="14"/>
      <c r="C51" s="74" t="s">
        <v>535</v>
      </c>
      <c r="D51" s="79" t="s">
        <v>90</v>
      </c>
      <c r="E51" s="13">
        <v>44454</v>
      </c>
      <c r="F51" s="77" t="s">
        <v>434</v>
      </c>
      <c r="G51" s="13">
        <v>44456.625</v>
      </c>
      <c r="H51" s="78" t="s">
        <v>435</v>
      </c>
      <c r="I51" s="16">
        <v>35</v>
      </c>
      <c r="J51" s="16">
        <v>35</v>
      </c>
      <c r="K51" s="16">
        <v>18</v>
      </c>
      <c r="L51" s="16">
        <v>12</v>
      </c>
      <c r="M51" s="82">
        <v>5.5125000000000002</v>
      </c>
      <c r="N51" s="73">
        <v>12</v>
      </c>
      <c r="O51" s="65">
        <v>7000</v>
      </c>
      <c r="P51" s="66">
        <f>Table224578910112345678910111213141516171819202135[[#This Row],[PEMBULATAN]]*O51</f>
        <v>84000</v>
      </c>
    </row>
    <row r="52" spans="1:16" ht="22.5" customHeight="1" x14ac:dyDescent="0.2">
      <c r="A52" s="14"/>
      <c r="B52" s="14"/>
      <c r="C52" s="74" t="s">
        <v>536</v>
      </c>
      <c r="D52" s="79" t="s">
        <v>90</v>
      </c>
      <c r="E52" s="13">
        <v>44454</v>
      </c>
      <c r="F52" s="77" t="s">
        <v>434</v>
      </c>
      <c r="G52" s="13">
        <v>44456.625</v>
      </c>
      <c r="H52" s="78" t="s">
        <v>435</v>
      </c>
      <c r="I52" s="16">
        <v>43</v>
      </c>
      <c r="J52" s="16">
        <v>33</v>
      </c>
      <c r="K52" s="16">
        <v>29</v>
      </c>
      <c r="L52" s="16">
        <v>9</v>
      </c>
      <c r="M52" s="82">
        <v>10.287750000000001</v>
      </c>
      <c r="N52" s="73">
        <v>10</v>
      </c>
      <c r="O52" s="65">
        <v>7000</v>
      </c>
      <c r="P52" s="66">
        <f>Table224578910112345678910111213141516171819202135[[#This Row],[PEMBULATAN]]*O52</f>
        <v>70000</v>
      </c>
    </row>
    <row r="53" spans="1:16" ht="22.5" customHeight="1" x14ac:dyDescent="0.2">
      <c r="A53" s="14"/>
      <c r="B53" s="14"/>
      <c r="C53" s="74" t="s">
        <v>537</v>
      </c>
      <c r="D53" s="79" t="s">
        <v>90</v>
      </c>
      <c r="E53" s="13">
        <v>44454</v>
      </c>
      <c r="F53" s="77" t="s">
        <v>434</v>
      </c>
      <c r="G53" s="13">
        <v>44456.625</v>
      </c>
      <c r="H53" s="78" t="s">
        <v>435</v>
      </c>
      <c r="I53" s="16">
        <v>43</v>
      </c>
      <c r="J53" s="16">
        <v>33</v>
      </c>
      <c r="K53" s="16">
        <v>29</v>
      </c>
      <c r="L53" s="16">
        <v>9</v>
      </c>
      <c r="M53" s="82">
        <v>10.287750000000001</v>
      </c>
      <c r="N53" s="73">
        <v>10</v>
      </c>
      <c r="O53" s="65">
        <v>7000</v>
      </c>
      <c r="P53" s="66">
        <f>Table224578910112345678910111213141516171819202135[[#This Row],[PEMBULATAN]]*O53</f>
        <v>70000</v>
      </c>
    </row>
    <row r="54" spans="1:16" ht="22.5" customHeight="1" x14ac:dyDescent="0.2">
      <c r="A54" s="14"/>
      <c r="B54" s="14"/>
      <c r="C54" s="74" t="s">
        <v>538</v>
      </c>
      <c r="D54" s="79" t="s">
        <v>90</v>
      </c>
      <c r="E54" s="13">
        <v>44454</v>
      </c>
      <c r="F54" s="77" t="s">
        <v>434</v>
      </c>
      <c r="G54" s="13">
        <v>44456.625</v>
      </c>
      <c r="H54" s="78" t="s">
        <v>435</v>
      </c>
      <c r="I54" s="16">
        <v>46</v>
      </c>
      <c r="J54" s="16">
        <v>45</v>
      </c>
      <c r="K54" s="16">
        <v>45</v>
      </c>
      <c r="L54" s="16">
        <v>12</v>
      </c>
      <c r="M54" s="82">
        <v>23.287500000000001</v>
      </c>
      <c r="N54" s="73">
        <v>23</v>
      </c>
      <c r="O54" s="65">
        <v>7000</v>
      </c>
      <c r="P54" s="66">
        <f>Table224578910112345678910111213141516171819202135[[#This Row],[PEMBULATAN]]*O54</f>
        <v>161000</v>
      </c>
    </row>
    <row r="55" spans="1:16" ht="22.5" customHeight="1" x14ac:dyDescent="0.2">
      <c r="A55" s="136" t="s">
        <v>30</v>
      </c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8"/>
      <c r="M55" s="80">
        <f>SUBTOTAL(109,Table224578910112345678910111213141516171819202135[KG VOLUME])</f>
        <v>484.41774999999996</v>
      </c>
      <c r="N55" s="69">
        <f>SUM(N3:N54)</f>
        <v>688</v>
      </c>
      <c r="O55" s="139">
        <f>SUM(P3:P54)</f>
        <v>4816000</v>
      </c>
      <c r="P55" s="140"/>
    </row>
    <row r="56" spans="1:16" ht="18" customHeight="1" x14ac:dyDescent="0.2">
      <c r="A56" s="87"/>
      <c r="B56" s="57" t="s">
        <v>42</v>
      </c>
      <c r="C56" s="56"/>
      <c r="D56" s="58" t="s">
        <v>43</v>
      </c>
      <c r="E56" s="87"/>
      <c r="F56" s="87"/>
      <c r="G56" s="87"/>
      <c r="H56" s="87"/>
      <c r="I56" s="87"/>
      <c r="J56" s="87"/>
      <c r="K56" s="87"/>
      <c r="L56" s="87"/>
      <c r="M56" s="88"/>
      <c r="N56" s="89" t="s">
        <v>52</v>
      </c>
      <c r="O56" s="90"/>
      <c r="P56" s="90">
        <v>0</v>
      </c>
    </row>
    <row r="57" spans="1:16" ht="18" customHeight="1" thickBot="1" x14ac:dyDescent="0.25">
      <c r="A57" s="87"/>
      <c r="B57" s="57"/>
      <c r="C57" s="56"/>
      <c r="D57" s="58"/>
      <c r="E57" s="87"/>
      <c r="F57" s="87"/>
      <c r="G57" s="87"/>
      <c r="H57" s="87"/>
      <c r="I57" s="87"/>
      <c r="J57" s="87"/>
      <c r="K57" s="87"/>
      <c r="L57" s="87"/>
      <c r="M57" s="88"/>
      <c r="N57" s="91" t="s">
        <v>53</v>
      </c>
      <c r="O57" s="92"/>
      <c r="P57" s="92">
        <f>O55-P56</f>
        <v>4816000</v>
      </c>
    </row>
    <row r="58" spans="1:16" ht="18" customHeight="1" x14ac:dyDescent="0.2">
      <c r="A58" s="11"/>
      <c r="H58" s="64"/>
      <c r="N58" s="63" t="s">
        <v>31</v>
      </c>
      <c r="P58" s="70">
        <f>P57*1%</f>
        <v>48160</v>
      </c>
    </row>
    <row r="59" spans="1:16" ht="18" customHeight="1" thickBot="1" x14ac:dyDescent="0.25">
      <c r="A59" s="11"/>
      <c r="H59" s="64"/>
      <c r="N59" s="63" t="s">
        <v>54</v>
      </c>
      <c r="P59" s="72">
        <f>P57*2%</f>
        <v>96320</v>
      </c>
    </row>
    <row r="60" spans="1:16" ht="18" customHeight="1" x14ac:dyDescent="0.2">
      <c r="A60" s="11"/>
      <c r="H60" s="64"/>
      <c r="N60" s="67" t="s">
        <v>32</v>
      </c>
      <c r="O60" s="68"/>
      <c r="P60" s="71">
        <f>P57+P58-P59</f>
        <v>4767840</v>
      </c>
    </row>
    <row r="62" spans="1:16" x14ac:dyDescent="0.2">
      <c r="A62" s="11"/>
      <c r="H62" s="64"/>
      <c r="P62" s="72"/>
    </row>
    <row r="63" spans="1:16" x14ac:dyDescent="0.2">
      <c r="A63" s="11"/>
      <c r="H63" s="64"/>
      <c r="O63" s="59"/>
      <c r="P63" s="72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4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4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4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4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4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4"/>
      <c r="N75" s="15"/>
      <c r="O75" s="15"/>
      <c r="P75" s="15"/>
    </row>
  </sheetData>
  <mergeCells count="2">
    <mergeCell ref="A55:L55"/>
    <mergeCell ref="O55:P55"/>
  </mergeCells>
  <conditionalFormatting sqref="B3">
    <cfRule type="duplicateValues" dxfId="304" priority="2"/>
  </conditionalFormatting>
  <conditionalFormatting sqref="B4">
    <cfRule type="duplicateValues" dxfId="303" priority="1"/>
  </conditionalFormatting>
  <conditionalFormatting sqref="B5:B54">
    <cfRule type="duplicateValues" dxfId="302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140625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918</v>
      </c>
      <c r="B3" s="75" t="s">
        <v>415</v>
      </c>
      <c r="C3" s="9" t="s">
        <v>416</v>
      </c>
      <c r="D3" s="77" t="s">
        <v>90</v>
      </c>
      <c r="E3" s="13">
        <v>44455</v>
      </c>
      <c r="F3" s="77" t="s">
        <v>434</v>
      </c>
      <c r="G3" s="13">
        <v>44456.625</v>
      </c>
      <c r="H3" s="10" t="s">
        <v>435</v>
      </c>
      <c r="I3" s="1">
        <v>42</v>
      </c>
      <c r="J3" s="1">
        <v>31</v>
      </c>
      <c r="K3" s="1">
        <v>27</v>
      </c>
      <c r="L3" s="1">
        <v>7</v>
      </c>
      <c r="M3" s="81">
        <v>8.7885000000000009</v>
      </c>
      <c r="N3" s="8">
        <v>9</v>
      </c>
      <c r="O3" s="65">
        <v>7000</v>
      </c>
      <c r="P3" s="66">
        <f>Table22457891011234567891011121314151617181920[[#This Row],[PEMBULATAN]]*O3</f>
        <v>63000</v>
      </c>
    </row>
    <row r="4" spans="1:16" ht="26.25" customHeight="1" x14ac:dyDescent="0.2">
      <c r="A4" s="14"/>
      <c r="B4" s="76"/>
      <c r="C4" s="9" t="s">
        <v>417</v>
      </c>
      <c r="D4" s="77" t="s">
        <v>90</v>
      </c>
      <c r="E4" s="13">
        <v>44455</v>
      </c>
      <c r="F4" s="77" t="s">
        <v>434</v>
      </c>
      <c r="G4" s="13">
        <v>44456.625</v>
      </c>
      <c r="H4" s="10" t="s">
        <v>435</v>
      </c>
      <c r="I4" s="1">
        <v>6</v>
      </c>
      <c r="J4" s="1">
        <v>10</v>
      </c>
      <c r="K4" s="1">
        <v>7</v>
      </c>
      <c r="L4" s="1">
        <v>1</v>
      </c>
      <c r="M4" s="81">
        <v>0.105</v>
      </c>
      <c r="N4" s="8">
        <v>1</v>
      </c>
      <c r="O4" s="65">
        <v>7000</v>
      </c>
      <c r="P4" s="66">
        <f>Table22457891011234567891011121314151617181920[[#This Row],[PEMBULATAN]]*O4</f>
        <v>7000</v>
      </c>
    </row>
    <row r="5" spans="1:16" ht="26.25" customHeight="1" x14ac:dyDescent="0.2">
      <c r="A5" s="14"/>
      <c r="B5" s="104"/>
      <c r="C5" s="9" t="s">
        <v>418</v>
      </c>
      <c r="D5" s="77" t="s">
        <v>90</v>
      </c>
      <c r="E5" s="13">
        <v>44455</v>
      </c>
      <c r="F5" s="77" t="s">
        <v>434</v>
      </c>
      <c r="G5" s="13">
        <v>44456.625</v>
      </c>
      <c r="H5" s="10" t="s">
        <v>435</v>
      </c>
      <c r="I5" s="1">
        <v>57</v>
      </c>
      <c r="J5" s="1">
        <v>40</v>
      </c>
      <c r="K5" s="1">
        <v>17</v>
      </c>
      <c r="L5" s="1">
        <v>3</v>
      </c>
      <c r="M5" s="81">
        <v>9.69</v>
      </c>
      <c r="N5" s="8">
        <v>10</v>
      </c>
      <c r="O5" s="65">
        <v>7000</v>
      </c>
      <c r="P5" s="66">
        <f>Table22457891011234567891011121314151617181920[[#This Row],[PEMBULATAN]]*O5</f>
        <v>70000</v>
      </c>
    </row>
    <row r="6" spans="1:16" ht="26.25" customHeight="1" x14ac:dyDescent="0.2">
      <c r="A6" s="14"/>
      <c r="B6" s="14" t="s">
        <v>419</v>
      </c>
      <c r="C6" s="74" t="s">
        <v>420</v>
      </c>
      <c r="D6" s="79" t="s">
        <v>90</v>
      </c>
      <c r="E6" s="13">
        <v>44455</v>
      </c>
      <c r="F6" s="77" t="s">
        <v>434</v>
      </c>
      <c r="G6" s="13">
        <v>44456.625</v>
      </c>
      <c r="H6" s="78" t="s">
        <v>435</v>
      </c>
      <c r="I6" s="16">
        <v>36</v>
      </c>
      <c r="J6" s="16">
        <v>33</v>
      </c>
      <c r="K6" s="16">
        <v>18</v>
      </c>
      <c r="L6" s="16">
        <v>12</v>
      </c>
      <c r="M6" s="82">
        <v>5.3460000000000001</v>
      </c>
      <c r="N6" s="73">
        <v>12</v>
      </c>
      <c r="O6" s="65">
        <v>7000</v>
      </c>
      <c r="P6" s="66">
        <f>Table22457891011234567891011121314151617181920[[#This Row],[PEMBULATAN]]*O6</f>
        <v>84000</v>
      </c>
    </row>
    <row r="7" spans="1:16" ht="26.25" customHeight="1" x14ac:dyDescent="0.2">
      <c r="A7" s="14"/>
      <c r="B7" s="14"/>
      <c r="C7" s="74" t="s">
        <v>421</v>
      </c>
      <c r="D7" s="79" t="s">
        <v>90</v>
      </c>
      <c r="E7" s="13">
        <v>44455</v>
      </c>
      <c r="F7" s="77" t="s">
        <v>434</v>
      </c>
      <c r="G7" s="13">
        <v>44456.625</v>
      </c>
      <c r="H7" s="78" t="s">
        <v>435</v>
      </c>
      <c r="I7" s="16">
        <v>33</v>
      </c>
      <c r="J7" s="16">
        <v>22</v>
      </c>
      <c r="K7" s="16">
        <v>18</v>
      </c>
      <c r="L7" s="16">
        <v>8</v>
      </c>
      <c r="M7" s="82">
        <v>3.2669999999999999</v>
      </c>
      <c r="N7" s="73">
        <v>8</v>
      </c>
      <c r="O7" s="65">
        <v>7000</v>
      </c>
      <c r="P7" s="66">
        <f>Table22457891011234567891011121314151617181920[[#This Row],[PEMBULATAN]]*O7</f>
        <v>56000</v>
      </c>
    </row>
    <row r="8" spans="1:16" ht="26.25" customHeight="1" x14ac:dyDescent="0.2">
      <c r="A8" s="14"/>
      <c r="B8" s="14"/>
      <c r="C8" s="74" t="s">
        <v>422</v>
      </c>
      <c r="D8" s="79" t="s">
        <v>90</v>
      </c>
      <c r="E8" s="13">
        <v>44455</v>
      </c>
      <c r="F8" s="77" t="s">
        <v>434</v>
      </c>
      <c r="G8" s="13">
        <v>44456.625</v>
      </c>
      <c r="H8" s="78" t="s">
        <v>435</v>
      </c>
      <c r="I8" s="16">
        <v>33</v>
      </c>
      <c r="J8" s="16">
        <v>22</v>
      </c>
      <c r="K8" s="16">
        <v>18</v>
      </c>
      <c r="L8" s="16">
        <v>8</v>
      </c>
      <c r="M8" s="82">
        <v>3.2669999999999999</v>
      </c>
      <c r="N8" s="73">
        <v>8</v>
      </c>
      <c r="O8" s="65">
        <v>7000</v>
      </c>
      <c r="P8" s="66">
        <f>Table22457891011234567891011121314151617181920[[#This Row],[PEMBULATAN]]*O8</f>
        <v>56000</v>
      </c>
    </row>
    <row r="9" spans="1:16" ht="26.25" customHeight="1" x14ac:dyDescent="0.2">
      <c r="A9" s="14"/>
      <c r="B9" s="14"/>
      <c r="C9" s="74" t="s">
        <v>423</v>
      </c>
      <c r="D9" s="79" t="s">
        <v>90</v>
      </c>
      <c r="E9" s="13">
        <v>44455</v>
      </c>
      <c r="F9" s="77" t="s">
        <v>434</v>
      </c>
      <c r="G9" s="13">
        <v>44456.625</v>
      </c>
      <c r="H9" s="78" t="s">
        <v>435</v>
      </c>
      <c r="I9" s="16">
        <v>48</v>
      </c>
      <c r="J9" s="16">
        <v>48</v>
      </c>
      <c r="K9" s="16">
        <v>30</v>
      </c>
      <c r="L9" s="16">
        <v>12</v>
      </c>
      <c r="M9" s="82">
        <v>17.28</v>
      </c>
      <c r="N9" s="73">
        <v>17</v>
      </c>
      <c r="O9" s="65">
        <v>7000</v>
      </c>
      <c r="P9" s="66">
        <f>Table22457891011234567891011121314151617181920[[#This Row],[PEMBULATAN]]*O9</f>
        <v>119000</v>
      </c>
    </row>
    <row r="10" spans="1:16" ht="26.25" customHeight="1" x14ac:dyDescent="0.2">
      <c r="A10" s="14"/>
      <c r="B10" s="14"/>
      <c r="C10" s="74" t="s">
        <v>424</v>
      </c>
      <c r="D10" s="79" t="s">
        <v>90</v>
      </c>
      <c r="E10" s="13">
        <v>44455</v>
      </c>
      <c r="F10" s="77" t="s">
        <v>434</v>
      </c>
      <c r="G10" s="13">
        <v>44456.625</v>
      </c>
      <c r="H10" s="78" t="s">
        <v>435</v>
      </c>
      <c r="I10" s="16">
        <v>31</v>
      </c>
      <c r="J10" s="16">
        <v>22</v>
      </c>
      <c r="K10" s="16">
        <v>18</v>
      </c>
      <c r="L10" s="16">
        <v>8</v>
      </c>
      <c r="M10" s="82">
        <v>3.069</v>
      </c>
      <c r="N10" s="73">
        <v>8</v>
      </c>
      <c r="O10" s="65">
        <v>7000</v>
      </c>
      <c r="P10" s="66">
        <f>Table22457891011234567891011121314151617181920[[#This Row],[PEMBULATAN]]*O10</f>
        <v>56000</v>
      </c>
    </row>
    <row r="11" spans="1:16" ht="26.25" customHeight="1" x14ac:dyDescent="0.2">
      <c r="A11" s="14"/>
      <c r="B11" s="14"/>
      <c r="C11" s="74" t="s">
        <v>425</v>
      </c>
      <c r="D11" s="79" t="s">
        <v>90</v>
      </c>
      <c r="E11" s="13">
        <v>44455</v>
      </c>
      <c r="F11" s="77" t="s">
        <v>434</v>
      </c>
      <c r="G11" s="13">
        <v>44456.625</v>
      </c>
      <c r="H11" s="78" t="s">
        <v>435</v>
      </c>
      <c r="I11" s="16">
        <v>31</v>
      </c>
      <c r="J11" s="16">
        <v>22</v>
      </c>
      <c r="K11" s="16">
        <v>18</v>
      </c>
      <c r="L11" s="16">
        <v>8</v>
      </c>
      <c r="M11" s="82">
        <v>3.069</v>
      </c>
      <c r="N11" s="73">
        <v>8</v>
      </c>
      <c r="O11" s="65">
        <v>7000</v>
      </c>
      <c r="P11" s="66">
        <f>Table22457891011234567891011121314151617181920[[#This Row],[PEMBULATAN]]*O11</f>
        <v>56000</v>
      </c>
    </row>
    <row r="12" spans="1:16" ht="26.25" customHeight="1" x14ac:dyDescent="0.2">
      <c r="A12" s="14"/>
      <c r="B12" s="14"/>
      <c r="C12" s="74" t="s">
        <v>426</v>
      </c>
      <c r="D12" s="79" t="s">
        <v>90</v>
      </c>
      <c r="E12" s="13">
        <v>44455</v>
      </c>
      <c r="F12" s="77" t="s">
        <v>434</v>
      </c>
      <c r="G12" s="13">
        <v>44456.625</v>
      </c>
      <c r="H12" s="78" t="s">
        <v>435</v>
      </c>
      <c r="I12" s="16">
        <v>31</v>
      </c>
      <c r="J12" s="16">
        <v>22</v>
      </c>
      <c r="K12" s="16">
        <v>18</v>
      </c>
      <c r="L12" s="16">
        <v>8</v>
      </c>
      <c r="M12" s="82">
        <v>3.069</v>
      </c>
      <c r="N12" s="73">
        <v>8</v>
      </c>
      <c r="O12" s="65">
        <v>7000</v>
      </c>
      <c r="P12" s="66">
        <f>Table22457891011234567891011121314151617181920[[#This Row],[PEMBULATAN]]*O12</f>
        <v>56000</v>
      </c>
    </row>
    <row r="13" spans="1:16" ht="26.25" customHeight="1" x14ac:dyDescent="0.2">
      <c r="A13" s="14"/>
      <c r="B13" s="14"/>
      <c r="C13" s="74" t="s">
        <v>427</v>
      </c>
      <c r="D13" s="79" t="s">
        <v>90</v>
      </c>
      <c r="E13" s="13">
        <v>44455</v>
      </c>
      <c r="F13" s="77" t="s">
        <v>434</v>
      </c>
      <c r="G13" s="13">
        <v>44456.625</v>
      </c>
      <c r="H13" s="78" t="s">
        <v>435</v>
      </c>
      <c r="I13" s="16">
        <v>82</v>
      </c>
      <c r="J13" s="16">
        <v>36</v>
      </c>
      <c r="K13" s="16">
        <v>60</v>
      </c>
      <c r="L13" s="16">
        <v>21</v>
      </c>
      <c r="M13" s="82">
        <v>44.28</v>
      </c>
      <c r="N13" s="73">
        <v>44</v>
      </c>
      <c r="O13" s="65">
        <v>7000</v>
      </c>
      <c r="P13" s="66">
        <f>Table22457891011234567891011121314151617181920[[#This Row],[PEMBULATAN]]*O13</f>
        <v>308000</v>
      </c>
    </row>
    <row r="14" spans="1:16" ht="26.25" customHeight="1" x14ac:dyDescent="0.2">
      <c r="A14" s="14"/>
      <c r="B14" s="14"/>
      <c r="C14" s="74" t="s">
        <v>428</v>
      </c>
      <c r="D14" s="79" t="s">
        <v>90</v>
      </c>
      <c r="E14" s="13">
        <v>44455</v>
      </c>
      <c r="F14" s="77" t="s">
        <v>434</v>
      </c>
      <c r="G14" s="13">
        <v>44456.625</v>
      </c>
      <c r="H14" s="78" t="s">
        <v>435</v>
      </c>
      <c r="I14" s="16">
        <v>50</v>
      </c>
      <c r="J14" s="16">
        <v>34</v>
      </c>
      <c r="K14" s="16">
        <v>25</v>
      </c>
      <c r="L14" s="16">
        <v>13</v>
      </c>
      <c r="M14" s="82">
        <v>10.625</v>
      </c>
      <c r="N14" s="73">
        <v>13</v>
      </c>
      <c r="O14" s="65">
        <v>7000</v>
      </c>
      <c r="P14" s="66">
        <f>Table22457891011234567891011121314151617181920[[#This Row],[PEMBULATAN]]*O14</f>
        <v>91000</v>
      </c>
    </row>
    <row r="15" spans="1:16" ht="26.25" customHeight="1" x14ac:dyDescent="0.2">
      <c r="A15" s="14"/>
      <c r="B15" s="14"/>
      <c r="C15" s="74" t="s">
        <v>429</v>
      </c>
      <c r="D15" s="79" t="s">
        <v>90</v>
      </c>
      <c r="E15" s="13">
        <v>44455</v>
      </c>
      <c r="F15" s="77" t="s">
        <v>434</v>
      </c>
      <c r="G15" s="13">
        <v>44456.625</v>
      </c>
      <c r="H15" s="78" t="s">
        <v>435</v>
      </c>
      <c r="I15" s="16">
        <v>35</v>
      </c>
      <c r="J15" s="16">
        <v>34</v>
      </c>
      <c r="K15" s="16">
        <v>18</v>
      </c>
      <c r="L15" s="16">
        <v>12</v>
      </c>
      <c r="M15" s="82">
        <v>5.3550000000000004</v>
      </c>
      <c r="N15" s="73">
        <v>12</v>
      </c>
      <c r="O15" s="65">
        <v>7000</v>
      </c>
      <c r="P15" s="66">
        <f>Table22457891011234567891011121314151617181920[[#This Row],[PEMBULATAN]]*O15</f>
        <v>84000</v>
      </c>
    </row>
    <row r="16" spans="1:16" ht="26.25" customHeight="1" x14ac:dyDescent="0.2">
      <c r="A16" s="14"/>
      <c r="B16" s="14"/>
      <c r="C16" s="74" t="s">
        <v>430</v>
      </c>
      <c r="D16" s="79" t="s">
        <v>90</v>
      </c>
      <c r="E16" s="13">
        <v>44455</v>
      </c>
      <c r="F16" s="77" t="s">
        <v>434</v>
      </c>
      <c r="G16" s="13">
        <v>44456.625</v>
      </c>
      <c r="H16" s="78" t="s">
        <v>435</v>
      </c>
      <c r="I16" s="16">
        <v>35</v>
      </c>
      <c r="J16" s="16">
        <v>34</v>
      </c>
      <c r="K16" s="16">
        <v>18</v>
      </c>
      <c r="L16" s="16">
        <v>12</v>
      </c>
      <c r="M16" s="82">
        <v>5.3550000000000004</v>
      </c>
      <c r="N16" s="73">
        <v>12</v>
      </c>
      <c r="O16" s="65">
        <v>7000</v>
      </c>
      <c r="P16" s="66">
        <f>Table22457891011234567891011121314151617181920[[#This Row],[PEMBULATAN]]*O16</f>
        <v>84000</v>
      </c>
    </row>
    <row r="17" spans="1:16" ht="26.25" customHeight="1" x14ac:dyDescent="0.2">
      <c r="A17" s="14"/>
      <c r="B17" s="14"/>
      <c r="C17" s="74" t="s">
        <v>431</v>
      </c>
      <c r="D17" s="79" t="s">
        <v>90</v>
      </c>
      <c r="E17" s="13">
        <v>44455</v>
      </c>
      <c r="F17" s="77" t="s">
        <v>434</v>
      </c>
      <c r="G17" s="13">
        <v>44456.625</v>
      </c>
      <c r="H17" s="78" t="s">
        <v>435</v>
      </c>
      <c r="I17" s="16">
        <v>56</v>
      </c>
      <c r="J17" s="16">
        <v>43</v>
      </c>
      <c r="K17" s="16">
        <v>27</v>
      </c>
      <c r="L17" s="16">
        <v>12</v>
      </c>
      <c r="M17" s="82">
        <v>16.254000000000001</v>
      </c>
      <c r="N17" s="73">
        <v>16</v>
      </c>
      <c r="O17" s="65">
        <v>7000</v>
      </c>
      <c r="P17" s="66">
        <f>Table22457891011234567891011121314151617181920[[#This Row],[PEMBULATAN]]*O17</f>
        <v>112000</v>
      </c>
    </row>
    <row r="18" spans="1:16" ht="26.25" customHeight="1" x14ac:dyDescent="0.2">
      <c r="A18" s="14"/>
      <c r="B18" s="14"/>
      <c r="C18" s="74" t="s">
        <v>432</v>
      </c>
      <c r="D18" s="79" t="s">
        <v>90</v>
      </c>
      <c r="E18" s="13">
        <v>44455</v>
      </c>
      <c r="F18" s="77" t="s">
        <v>434</v>
      </c>
      <c r="G18" s="13">
        <v>44456.625</v>
      </c>
      <c r="H18" s="78" t="s">
        <v>435</v>
      </c>
      <c r="I18" s="16">
        <v>56</v>
      </c>
      <c r="J18" s="16">
        <v>43</v>
      </c>
      <c r="K18" s="16">
        <v>27</v>
      </c>
      <c r="L18" s="16">
        <v>12</v>
      </c>
      <c r="M18" s="82">
        <v>16.254000000000001</v>
      </c>
      <c r="N18" s="73">
        <v>16</v>
      </c>
      <c r="O18" s="65">
        <v>7000</v>
      </c>
      <c r="P18" s="66">
        <f>Table22457891011234567891011121314151617181920[[#This Row],[PEMBULATAN]]*O18</f>
        <v>112000</v>
      </c>
    </row>
    <row r="19" spans="1:16" ht="26.25" customHeight="1" x14ac:dyDescent="0.2">
      <c r="A19" s="14"/>
      <c r="B19" s="104"/>
      <c r="C19" s="74" t="s">
        <v>433</v>
      </c>
      <c r="D19" s="79" t="s">
        <v>90</v>
      </c>
      <c r="E19" s="13">
        <v>44455</v>
      </c>
      <c r="F19" s="77" t="s">
        <v>434</v>
      </c>
      <c r="G19" s="13">
        <v>44456.625</v>
      </c>
      <c r="H19" s="78" t="s">
        <v>435</v>
      </c>
      <c r="I19" s="16">
        <v>42</v>
      </c>
      <c r="J19" s="16">
        <v>49</v>
      </c>
      <c r="K19" s="16">
        <v>35</v>
      </c>
      <c r="L19" s="16">
        <v>12</v>
      </c>
      <c r="M19" s="82">
        <v>18.0075</v>
      </c>
      <c r="N19" s="73">
        <v>18</v>
      </c>
      <c r="O19" s="65">
        <v>7000</v>
      </c>
      <c r="P19" s="66">
        <f>Table22457891011234567891011121314151617181920[[#This Row],[PEMBULATAN]]*O19</f>
        <v>126000</v>
      </c>
    </row>
    <row r="20" spans="1:16" ht="26.25" customHeight="1" x14ac:dyDescent="0.2">
      <c r="A20" s="14"/>
      <c r="B20" s="14" t="s">
        <v>436</v>
      </c>
      <c r="C20" s="74" t="s">
        <v>437</v>
      </c>
      <c r="D20" s="79" t="s">
        <v>90</v>
      </c>
      <c r="E20" s="13">
        <v>44455</v>
      </c>
      <c r="F20" s="77" t="s">
        <v>434</v>
      </c>
      <c r="G20" s="13">
        <v>44456.625</v>
      </c>
      <c r="H20" s="78" t="s">
        <v>435</v>
      </c>
      <c r="I20" s="16">
        <v>42</v>
      </c>
      <c r="J20" s="16">
        <v>32</v>
      </c>
      <c r="K20" s="16">
        <v>29</v>
      </c>
      <c r="L20" s="16">
        <v>5</v>
      </c>
      <c r="M20" s="82">
        <v>9.7439999999999998</v>
      </c>
      <c r="N20" s="73">
        <v>10</v>
      </c>
      <c r="O20" s="65">
        <v>7000</v>
      </c>
      <c r="P20" s="66">
        <f>Table22457891011234567891011121314151617181920[[#This Row],[PEMBULATAN]]*O20</f>
        <v>70000</v>
      </c>
    </row>
    <row r="21" spans="1:16" ht="26.25" customHeight="1" x14ac:dyDescent="0.2">
      <c r="A21" s="14"/>
      <c r="B21" s="14"/>
      <c r="C21" s="74" t="s">
        <v>438</v>
      </c>
      <c r="D21" s="79" t="s">
        <v>90</v>
      </c>
      <c r="E21" s="13">
        <v>44455</v>
      </c>
      <c r="F21" s="77" t="s">
        <v>434</v>
      </c>
      <c r="G21" s="13">
        <v>44456.625</v>
      </c>
      <c r="H21" s="78" t="s">
        <v>435</v>
      </c>
      <c r="I21" s="16">
        <v>85</v>
      </c>
      <c r="J21" s="16">
        <v>25</v>
      </c>
      <c r="K21" s="16">
        <v>10</v>
      </c>
      <c r="L21" s="16">
        <v>7</v>
      </c>
      <c r="M21" s="82">
        <v>5.3125</v>
      </c>
      <c r="N21" s="73">
        <v>7</v>
      </c>
      <c r="O21" s="65">
        <v>7000</v>
      </c>
      <c r="P21" s="66">
        <f>Table22457891011234567891011121314151617181920[[#This Row],[PEMBULATAN]]*O21</f>
        <v>49000</v>
      </c>
    </row>
    <row r="22" spans="1:16" ht="26.25" customHeight="1" x14ac:dyDescent="0.2">
      <c r="A22" s="14"/>
      <c r="B22" s="14"/>
      <c r="C22" s="74" t="s">
        <v>439</v>
      </c>
      <c r="D22" s="79" t="s">
        <v>90</v>
      </c>
      <c r="E22" s="13">
        <v>44455</v>
      </c>
      <c r="F22" s="77" t="s">
        <v>434</v>
      </c>
      <c r="G22" s="13">
        <v>44456.625</v>
      </c>
      <c r="H22" s="78" t="s">
        <v>435</v>
      </c>
      <c r="I22" s="16">
        <v>35</v>
      </c>
      <c r="J22" s="16">
        <v>23</v>
      </c>
      <c r="K22" s="16">
        <v>16</v>
      </c>
      <c r="L22" s="16">
        <v>9</v>
      </c>
      <c r="M22" s="82">
        <v>3.22</v>
      </c>
      <c r="N22" s="73">
        <v>9</v>
      </c>
      <c r="O22" s="65">
        <v>7000</v>
      </c>
      <c r="P22" s="66">
        <f>Table22457891011234567891011121314151617181920[[#This Row],[PEMBULATAN]]*O22</f>
        <v>63000</v>
      </c>
    </row>
    <row r="23" spans="1:16" ht="26.25" customHeight="1" x14ac:dyDescent="0.2">
      <c r="A23" s="14"/>
      <c r="B23" s="14"/>
      <c r="C23" s="74" t="s">
        <v>440</v>
      </c>
      <c r="D23" s="79" t="s">
        <v>90</v>
      </c>
      <c r="E23" s="13">
        <v>44455</v>
      </c>
      <c r="F23" s="77" t="s">
        <v>434</v>
      </c>
      <c r="G23" s="13">
        <v>44456.625</v>
      </c>
      <c r="H23" s="78" t="s">
        <v>435</v>
      </c>
      <c r="I23" s="16">
        <v>27</v>
      </c>
      <c r="J23" s="16">
        <v>24</v>
      </c>
      <c r="K23" s="16">
        <v>24</v>
      </c>
      <c r="L23" s="16">
        <v>9</v>
      </c>
      <c r="M23" s="82">
        <v>3.8879999999999999</v>
      </c>
      <c r="N23" s="73">
        <v>9</v>
      </c>
      <c r="O23" s="65">
        <v>7000</v>
      </c>
      <c r="P23" s="66">
        <f>Table22457891011234567891011121314151617181920[[#This Row],[PEMBULATAN]]*O23</f>
        <v>63000</v>
      </c>
    </row>
    <row r="24" spans="1:16" ht="26.25" customHeight="1" x14ac:dyDescent="0.2">
      <c r="A24" s="14"/>
      <c r="B24" s="14"/>
      <c r="C24" s="74" t="s">
        <v>441</v>
      </c>
      <c r="D24" s="79" t="s">
        <v>90</v>
      </c>
      <c r="E24" s="13">
        <v>44455</v>
      </c>
      <c r="F24" s="77" t="s">
        <v>434</v>
      </c>
      <c r="G24" s="13">
        <v>44456.625</v>
      </c>
      <c r="H24" s="78" t="s">
        <v>435</v>
      </c>
      <c r="I24" s="16">
        <v>50</v>
      </c>
      <c r="J24" s="16">
        <v>37</v>
      </c>
      <c r="K24" s="16">
        <v>57</v>
      </c>
      <c r="L24" s="16">
        <v>18</v>
      </c>
      <c r="M24" s="82">
        <v>26.362500000000001</v>
      </c>
      <c r="N24" s="73">
        <v>27</v>
      </c>
      <c r="O24" s="65">
        <v>7000</v>
      </c>
      <c r="P24" s="66">
        <f>Table22457891011234567891011121314151617181920[[#This Row],[PEMBULATAN]]*O24</f>
        <v>189000</v>
      </c>
    </row>
    <row r="25" spans="1:16" ht="26.25" customHeight="1" x14ac:dyDescent="0.2">
      <c r="A25" s="14"/>
      <c r="B25" s="14"/>
      <c r="C25" s="74" t="s">
        <v>442</v>
      </c>
      <c r="D25" s="79" t="s">
        <v>90</v>
      </c>
      <c r="E25" s="13">
        <v>44455</v>
      </c>
      <c r="F25" s="77" t="s">
        <v>434</v>
      </c>
      <c r="G25" s="13">
        <v>44456.625</v>
      </c>
      <c r="H25" s="78" t="s">
        <v>435</v>
      </c>
      <c r="I25" s="16">
        <v>73</v>
      </c>
      <c r="J25" s="16">
        <v>36</v>
      </c>
      <c r="K25" s="16">
        <v>32</v>
      </c>
      <c r="L25" s="16">
        <v>37</v>
      </c>
      <c r="M25" s="82">
        <v>21.024000000000001</v>
      </c>
      <c r="N25" s="73">
        <v>37</v>
      </c>
      <c r="O25" s="65">
        <v>7000</v>
      </c>
      <c r="P25" s="66">
        <f>Table22457891011234567891011121314151617181920[[#This Row],[PEMBULATAN]]*O25</f>
        <v>259000</v>
      </c>
    </row>
    <row r="26" spans="1:16" ht="26.25" customHeight="1" x14ac:dyDescent="0.2">
      <c r="A26" s="14"/>
      <c r="B26" s="14"/>
      <c r="C26" s="74" t="s">
        <v>443</v>
      </c>
      <c r="D26" s="79" t="s">
        <v>90</v>
      </c>
      <c r="E26" s="13">
        <v>44455</v>
      </c>
      <c r="F26" s="77" t="s">
        <v>434</v>
      </c>
      <c r="G26" s="13">
        <v>44456.625</v>
      </c>
      <c r="H26" s="78" t="s">
        <v>435</v>
      </c>
      <c r="I26" s="16">
        <v>80</v>
      </c>
      <c r="J26" s="16">
        <v>65</v>
      </c>
      <c r="K26" s="16">
        <v>22</v>
      </c>
      <c r="L26" s="16">
        <v>12</v>
      </c>
      <c r="M26" s="82">
        <v>28.6</v>
      </c>
      <c r="N26" s="73">
        <v>29</v>
      </c>
      <c r="O26" s="65">
        <v>7000</v>
      </c>
      <c r="P26" s="66">
        <f>Table22457891011234567891011121314151617181920[[#This Row],[PEMBULATAN]]*O26</f>
        <v>203000</v>
      </c>
    </row>
    <row r="27" spans="1:16" ht="26.25" customHeight="1" x14ac:dyDescent="0.2">
      <c r="A27" s="14"/>
      <c r="B27" s="14"/>
      <c r="C27" s="74" t="s">
        <v>444</v>
      </c>
      <c r="D27" s="79" t="s">
        <v>90</v>
      </c>
      <c r="E27" s="13">
        <v>44455</v>
      </c>
      <c r="F27" s="77" t="s">
        <v>434</v>
      </c>
      <c r="G27" s="13">
        <v>44456.625</v>
      </c>
      <c r="H27" s="78" t="s">
        <v>435</v>
      </c>
      <c r="I27" s="16">
        <v>51</v>
      </c>
      <c r="J27" s="16">
        <v>51</v>
      </c>
      <c r="K27" s="16">
        <v>30</v>
      </c>
      <c r="L27" s="16">
        <v>15</v>
      </c>
      <c r="M27" s="82">
        <v>19.5075</v>
      </c>
      <c r="N27" s="73">
        <v>20</v>
      </c>
      <c r="O27" s="65">
        <v>7000</v>
      </c>
      <c r="P27" s="66">
        <f>Table22457891011234567891011121314151617181920[[#This Row],[PEMBULATAN]]*O27</f>
        <v>140000</v>
      </c>
    </row>
    <row r="28" spans="1:16" ht="26.25" customHeight="1" x14ac:dyDescent="0.2">
      <c r="A28" s="14"/>
      <c r="B28" s="14"/>
      <c r="C28" s="74" t="s">
        <v>445</v>
      </c>
      <c r="D28" s="79" t="s">
        <v>90</v>
      </c>
      <c r="E28" s="13">
        <v>44455</v>
      </c>
      <c r="F28" s="77" t="s">
        <v>434</v>
      </c>
      <c r="G28" s="13">
        <v>44456.625</v>
      </c>
      <c r="H28" s="78" t="s">
        <v>435</v>
      </c>
      <c r="I28" s="16">
        <v>75</v>
      </c>
      <c r="J28" s="16">
        <v>51</v>
      </c>
      <c r="K28" s="16">
        <v>80</v>
      </c>
      <c r="L28" s="16">
        <v>48</v>
      </c>
      <c r="M28" s="82">
        <v>76.5</v>
      </c>
      <c r="N28" s="73">
        <v>77</v>
      </c>
      <c r="O28" s="65">
        <v>7000</v>
      </c>
      <c r="P28" s="66">
        <f>Table22457891011234567891011121314151617181920[[#This Row],[PEMBULATAN]]*O28</f>
        <v>539000</v>
      </c>
    </row>
    <row r="29" spans="1:16" ht="26.25" customHeight="1" x14ac:dyDescent="0.2">
      <c r="A29" s="14"/>
      <c r="B29" s="14"/>
      <c r="C29" s="74" t="s">
        <v>446</v>
      </c>
      <c r="D29" s="79" t="s">
        <v>90</v>
      </c>
      <c r="E29" s="13">
        <v>44455</v>
      </c>
      <c r="F29" s="77" t="s">
        <v>434</v>
      </c>
      <c r="G29" s="13">
        <v>44456.625</v>
      </c>
      <c r="H29" s="78" t="s">
        <v>435</v>
      </c>
      <c r="I29" s="16">
        <v>40</v>
      </c>
      <c r="J29" s="16">
        <v>30</v>
      </c>
      <c r="K29" s="16">
        <v>20</v>
      </c>
      <c r="L29" s="16">
        <v>8</v>
      </c>
      <c r="M29" s="82">
        <v>6</v>
      </c>
      <c r="N29" s="73">
        <v>8</v>
      </c>
      <c r="O29" s="65">
        <v>7000</v>
      </c>
      <c r="P29" s="66">
        <f>Table22457891011234567891011121314151617181920[[#This Row],[PEMBULATAN]]*O29</f>
        <v>56000</v>
      </c>
    </row>
    <row r="30" spans="1:16" ht="26.25" customHeight="1" x14ac:dyDescent="0.2">
      <c r="A30" s="14"/>
      <c r="B30" s="14"/>
      <c r="C30" s="74" t="s">
        <v>447</v>
      </c>
      <c r="D30" s="79" t="s">
        <v>90</v>
      </c>
      <c r="E30" s="13">
        <v>44455</v>
      </c>
      <c r="F30" s="77" t="s">
        <v>434</v>
      </c>
      <c r="G30" s="13">
        <v>44456.625</v>
      </c>
      <c r="H30" s="78" t="s">
        <v>435</v>
      </c>
      <c r="I30" s="16">
        <v>128</v>
      </c>
      <c r="J30" s="16">
        <v>54</v>
      </c>
      <c r="K30" s="16">
        <v>27</v>
      </c>
      <c r="L30" s="16">
        <v>19</v>
      </c>
      <c r="M30" s="82">
        <v>46.655999999999999</v>
      </c>
      <c r="N30" s="73">
        <v>47</v>
      </c>
      <c r="O30" s="65">
        <v>7000</v>
      </c>
      <c r="P30" s="66">
        <f>Table22457891011234567891011121314151617181920[[#This Row],[PEMBULATAN]]*O30</f>
        <v>329000</v>
      </c>
    </row>
    <row r="31" spans="1:16" ht="26.25" customHeight="1" x14ac:dyDescent="0.2">
      <c r="A31" s="14"/>
      <c r="B31" s="14"/>
      <c r="C31" s="74" t="s">
        <v>448</v>
      </c>
      <c r="D31" s="79" t="s">
        <v>90</v>
      </c>
      <c r="E31" s="13">
        <v>44455</v>
      </c>
      <c r="F31" s="77" t="s">
        <v>434</v>
      </c>
      <c r="G31" s="13">
        <v>44456.625</v>
      </c>
      <c r="H31" s="78" t="s">
        <v>435</v>
      </c>
      <c r="I31" s="16">
        <v>40</v>
      </c>
      <c r="J31" s="16">
        <v>38</v>
      </c>
      <c r="K31" s="16">
        <v>20</v>
      </c>
      <c r="L31" s="16">
        <v>9</v>
      </c>
      <c r="M31" s="82">
        <v>7.6</v>
      </c>
      <c r="N31" s="73">
        <v>9</v>
      </c>
      <c r="O31" s="65">
        <v>7000</v>
      </c>
      <c r="P31" s="66">
        <f>Table22457891011234567891011121314151617181920[[#This Row],[PEMBULATAN]]*O31</f>
        <v>63000</v>
      </c>
    </row>
    <row r="32" spans="1:16" ht="26.25" customHeight="1" x14ac:dyDescent="0.2">
      <c r="A32" s="14"/>
      <c r="B32" s="14"/>
      <c r="C32" s="74" t="s">
        <v>449</v>
      </c>
      <c r="D32" s="79" t="s">
        <v>90</v>
      </c>
      <c r="E32" s="13">
        <v>44455</v>
      </c>
      <c r="F32" s="77" t="s">
        <v>434</v>
      </c>
      <c r="G32" s="13">
        <v>44456.625</v>
      </c>
      <c r="H32" s="78" t="s">
        <v>435</v>
      </c>
      <c r="I32" s="16">
        <v>60</v>
      </c>
      <c r="J32" s="16">
        <v>42</v>
      </c>
      <c r="K32" s="16">
        <v>35</v>
      </c>
      <c r="L32" s="16">
        <v>14</v>
      </c>
      <c r="M32" s="82">
        <v>22.05</v>
      </c>
      <c r="N32" s="73">
        <v>22</v>
      </c>
      <c r="O32" s="65">
        <v>7000</v>
      </c>
      <c r="P32" s="66">
        <f>Table22457891011234567891011121314151617181920[[#This Row],[PEMBULATAN]]*O32</f>
        <v>154000</v>
      </c>
    </row>
    <row r="33" spans="1:16" ht="26.25" customHeight="1" x14ac:dyDescent="0.2">
      <c r="A33" s="14"/>
      <c r="B33" s="14"/>
      <c r="C33" s="74" t="s">
        <v>450</v>
      </c>
      <c r="D33" s="79" t="s">
        <v>90</v>
      </c>
      <c r="E33" s="13">
        <v>44455</v>
      </c>
      <c r="F33" s="77" t="s">
        <v>434</v>
      </c>
      <c r="G33" s="13">
        <v>44456.625</v>
      </c>
      <c r="H33" s="78" t="s">
        <v>435</v>
      </c>
      <c r="I33" s="16">
        <v>42</v>
      </c>
      <c r="J33" s="16">
        <v>35</v>
      </c>
      <c r="K33" s="16">
        <v>13</v>
      </c>
      <c r="L33" s="16">
        <v>10</v>
      </c>
      <c r="M33" s="82">
        <v>4.7774999999999999</v>
      </c>
      <c r="N33" s="73">
        <v>10</v>
      </c>
      <c r="O33" s="65">
        <v>7000</v>
      </c>
      <c r="P33" s="66">
        <f>Table22457891011234567891011121314151617181920[[#This Row],[PEMBULATAN]]*O33</f>
        <v>70000</v>
      </c>
    </row>
    <row r="34" spans="1:16" ht="22.5" customHeight="1" x14ac:dyDescent="0.2">
      <c r="A34" s="136" t="s">
        <v>30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8"/>
      <c r="M34" s="80">
        <f>SUBTOTAL(109,Table22457891011234567891011121314151617181920[KG VOLUME])</f>
        <v>454.32300000000004</v>
      </c>
      <c r="N34" s="69">
        <f>SUM(N3:N33)</f>
        <v>541</v>
      </c>
      <c r="O34" s="139">
        <f>SUM(P3:P33)</f>
        <v>3787000</v>
      </c>
      <c r="P34" s="140"/>
    </row>
    <row r="35" spans="1:16" ht="18" customHeight="1" x14ac:dyDescent="0.2">
      <c r="A35" s="87"/>
      <c r="B35" s="57" t="s">
        <v>42</v>
      </c>
      <c r="C35" s="56"/>
      <c r="D35" s="58" t="s">
        <v>43</v>
      </c>
      <c r="E35" s="87"/>
      <c r="F35" s="87"/>
      <c r="G35" s="87"/>
      <c r="H35" s="87"/>
      <c r="I35" s="87"/>
      <c r="J35" s="87"/>
      <c r="K35" s="87"/>
      <c r="L35" s="87"/>
      <c r="M35" s="88"/>
      <c r="N35" s="89" t="s">
        <v>52</v>
      </c>
      <c r="O35" s="90"/>
      <c r="P35" s="90">
        <v>0</v>
      </c>
    </row>
    <row r="36" spans="1:16" ht="18" customHeight="1" thickBot="1" x14ac:dyDescent="0.25">
      <c r="A36" s="87"/>
      <c r="B36" s="57"/>
      <c r="C36" s="56"/>
      <c r="D36" s="58"/>
      <c r="E36" s="87"/>
      <c r="F36" s="87"/>
      <c r="G36" s="87"/>
      <c r="H36" s="87"/>
      <c r="I36" s="87"/>
      <c r="J36" s="87"/>
      <c r="K36" s="87"/>
      <c r="L36" s="87"/>
      <c r="M36" s="88"/>
      <c r="N36" s="91" t="s">
        <v>53</v>
      </c>
      <c r="O36" s="92"/>
      <c r="P36" s="92">
        <f>O34-P35</f>
        <v>3787000</v>
      </c>
    </row>
    <row r="37" spans="1:16" ht="18" customHeight="1" x14ac:dyDescent="0.2">
      <c r="A37" s="11"/>
      <c r="H37" s="64"/>
      <c r="N37" s="63" t="s">
        <v>31</v>
      </c>
      <c r="P37" s="70">
        <f>P36*1%</f>
        <v>37870</v>
      </c>
    </row>
    <row r="38" spans="1:16" ht="18" customHeight="1" thickBot="1" x14ac:dyDescent="0.25">
      <c r="A38" s="11"/>
      <c r="H38" s="64"/>
      <c r="N38" s="63" t="s">
        <v>54</v>
      </c>
      <c r="P38" s="72">
        <f>P36*2%</f>
        <v>75740</v>
      </c>
    </row>
    <row r="39" spans="1:16" ht="18" customHeight="1" x14ac:dyDescent="0.2">
      <c r="A39" s="11"/>
      <c r="H39" s="64"/>
      <c r="N39" s="67" t="s">
        <v>32</v>
      </c>
      <c r="O39" s="68"/>
      <c r="P39" s="71">
        <f>P36+P37-P38</f>
        <v>3749130</v>
      </c>
    </row>
    <row r="41" spans="1:16" x14ac:dyDescent="0.2">
      <c r="A41" s="11"/>
      <c r="H41" s="64"/>
      <c r="P41" s="72"/>
    </row>
    <row r="42" spans="1:16" x14ac:dyDescent="0.2">
      <c r="A42" s="11"/>
      <c r="H42" s="64"/>
      <c r="O42" s="59"/>
      <c r="P42" s="72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286" priority="2"/>
  </conditionalFormatting>
  <conditionalFormatting sqref="B4">
    <cfRule type="duplicateValues" dxfId="285" priority="1"/>
  </conditionalFormatting>
  <conditionalFormatting sqref="B5:B33">
    <cfRule type="duplicateValues" dxfId="284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M32" sqref="M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919</v>
      </c>
      <c r="B3" s="75" t="s">
        <v>539</v>
      </c>
      <c r="C3" s="9" t="s">
        <v>540</v>
      </c>
      <c r="D3" s="77" t="s">
        <v>90</v>
      </c>
      <c r="E3" s="13">
        <v>44456</v>
      </c>
      <c r="F3" s="77" t="s">
        <v>91</v>
      </c>
      <c r="G3" s="13">
        <v>44460.548611111109</v>
      </c>
      <c r="H3" s="10" t="s">
        <v>573</v>
      </c>
      <c r="I3" s="1">
        <v>62</v>
      </c>
      <c r="J3" s="1">
        <v>76</v>
      </c>
      <c r="K3" s="1">
        <v>43</v>
      </c>
      <c r="L3" s="1">
        <v>31</v>
      </c>
      <c r="M3" s="81">
        <v>50.654000000000003</v>
      </c>
      <c r="N3" s="8">
        <v>51</v>
      </c>
      <c r="O3" s="65">
        <v>7000</v>
      </c>
      <c r="P3" s="66">
        <f>Table224578910112345678910111213141516171819202122[[#This Row],[PEMBULATAN]]*O3</f>
        <v>357000</v>
      </c>
    </row>
    <row r="4" spans="1:16" ht="26.25" customHeight="1" x14ac:dyDescent="0.2">
      <c r="A4" s="14"/>
      <c r="B4" s="76"/>
      <c r="C4" s="9" t="s">
        <v>541</v>
      </c>
      <c r="D4" s="77" t="s">
        <v>90</v>
      </c>
      <c r="E4" s="13">
        <v>44456</v>
      </c>
      <c r="F4" s="77" t="s">
        <v>91</v>
      </c>
      <c r="G4" s="13">
        <v>44460.548611111109</v>
      </c>
      <c r="H4" s="10" t="s">
        <v>573</v>
      </c>
      <c r="I4" s="1">
        <v>66</v>
      </c>
      <c r="J4" s="1">
        <v>35</v>
      </c>
      <c r="K4" s="1">
        <v>41</v>
      </c>
      <c r="L4" s="1">
        <v>15</v>
      </c>
      <c r="M4" s="81">
        <v>23.677499999999998</v>
      </c>
      <c r="N4" s="8">
        <v>24</v>
      </c>
      <c r="O4" s="65">
        <v>7000</v>
      </c>
      <c r="P4" s="66">
        <f>Table224578910112345678910111213141516171819202122[[#This Row],[PEMBULATAN]]*O4</f>
        <v>168000</v>
      </c>
    </row>
    <row r="5" spans="1:16" ht="26.25" customHeight="1" x14ac:dyDescent="0.2">
      <c r="A5" s="14"/>
      <c r="B5" s="14"/>
      <c r="C5" s="9" t="s">
        <v>542</v>
      </c>
      <c r="D5" s="77" t="s">
        <v>90</v>
      </c>
      <c r="E5" s="13">
        <v>44456</v>
      </c>
      <c r="F5" s="77" t="s">
        <v>91</v>
      </c>
      <c r="G5" s="13">
        <v>44460.548611111109</v>
      </c>
      <c r="H5" s="10" t="s">
        <v>573</v>
      </c>
      <c r="I5" s="1">
        <v>51</v>
      </c>
      <c r="J5" s="1">
        <v>45</v>
      </c>
      <c r="K5" s="1">
        <v>42</v>
      </c>
      <c r="L5" s="1">
        <v>12</v>
      </c>
      <c r="M5" s="81">
        <v>24.0975</v>
      </c>
      <c r="N5" s="8">
        <v>24</v>
      </c>
      <c r="O5" s="65">
        <v>7000</v>
      </c>
      <c r="P5" s="66">
        <f>Table224578910112345678910111213141516171819202122[[#This Row],[PEMBULATAN]]*O5</f>
        <v>168000</v>
      </c>
    </row>
    <row r="6" spans="1:16" ht="26.25" customHeight="1" x14ac:dyDescent="0.2">
      <c r="A6" s="14"/>
      <c r="B6" s="14"/>
      <c r="C6" s="74" t="s">
        <v>543</v>
      </c>
      <c r="D6" s="79" t="s">
        <v>90</v>
      </c>
      <c r="E6" s="13">
        <v>44456</v>
      </c>
      <c r="F6" s="77" t="s">
        <v>91</v>
      </c>
      <c r="G6" s="13">
        <v>44460.548611111109</v>
      </c>
      <c r="H6" s="78" t="s">
        <v>573</v>
      </c>
      <c r="I6" s="16">
        <v>62</v>
      </c>
      <c r="J6" s="16">
        <v>76</v>
      </c>
      <c r="K6" s="16">
        <v>43</v>
      </c>
      <c r="L6" s="16">
        <v>31</v>
      </c>
      <c r="M6" s="82">
        <v>50.654000000000003</v>
      </c>
      <c r="N6" s="73">
        <v>51</v>
      </c>
      <c r="O6" s="65">
        <v>7000</v>
      </c>
      <c r="P6" s="66">
        <f>Table224578910112345678910111213141516171819202122[[#This Row],[PEMBULATAN]]*O6</f>
        <v>357000</v>
      </c>
    </row>
    <row r="7" spans="1:16" ht="26.25" customHeight="1" x14ac:dyDescent="0.2">
      <c r="A7" s="14"/>
      <c r="B7" s="14"/>
      <c r="C7" s="74" t="s">
        <v>544</v>
      </c>
      <c r="D7" s="79" t="s">
        <v>90</v>
      </c>
      <c r="E7" s="13">
        <v>44456</v>
      </c>
      <c r="F7" s="77" t="s">
        <v>91</v>
      </c>
      <c r="G7" s="13">
        <v>44460.548611111109</v>
      </c>
      <c r="H7" s="78" t="s">
        <v>573</v>
      </c>
      <c r="I7" s="16">
        <v>62</v>
      </c>
      <c r="J7" s="16">
        <v>76</v>
      </c>
      <c r="K7" s="16">
        <v>43</v>
      </c>
      <c r="L7" s="16">
        <v>31</v>
      </c>
      <c r="M7" s="82">
        <v>50.654000000000003</v>
      </c>
      <c r="N7" s="73">
        <v>51</v>
      </c>
      <c r="O7" s="65">
        <v>7000</v>
      </c>
      <c r="P7" s="66">
        <f>Table224578910112345678910111213141516171819202122[[#This Row],[PEMBULATAN]]*O7</f>
        <v>357000</v>
      </c>
    </row>
    <row r="8" spans="1:16" ht="26.25" customHeight="1" x14ac:dyDescent="0.2">
      <c r="A8" s="14"/>
      <c r="B8" s="14"/>
      <c r="C8" s="74" t="s">
        <v>545</v>
      </c>
      <c r="D8" s="79" t="s">
        <v>90</v>
      </c>
      <c r="E8" s="13">
        <v>44456</v>
      </c>
      <c r="F8" s="77" t="s">
        <v>91</v>
      </c>
      <c r="G8" s="13">
        <v>44460.548611111109</v>
      </c>
      <c r="H8" s="78" t="s">
        <v>573</v>
      </c>
      <c r="I8" s="16">
        <v>62</v>
      </c>
      <c r="J8" s="16">
        <v>76</v>
      </c>
      <c r="K8" s="16">
        <v>43</v>
      </c>
      <c r="L8" s="16">
        <v>31</v>
      </c>
      <c r="M8" s="82">
        <v>50.654000000000003</v>
      </c>
      <c r="N8" s="73">
        <v>51</v>
      </c>
      <c r="O8" s="65">
        <v>7000</v>
      </c>
      <c r="P8" s="66">
        <f>Table224578910112345678910111213141516171819202122[[#This Row],[PEMBULATAN]]*O8</f>
        <v>357000</v>
      </c>
    </row>
    <row r="9" spans="1:16" ht="26.25" customHeight="1" x14ac:dyDescent="0.2">
      <c r="A9" s="14"/>
      <c r="B9" s="14"/>
      <c r="C9" s="74" t="s">
        <v>546</v>
      </c>
      <c r="D9" s="79" t="s">
        <v>90</v>
      </c>
      <c r="E9" s="13">
        <v>44456</v>
      </c>
      <c r="F9" s="77" t="s">
        <v>91</v>
      </c>
      <c r="G9" s="13">
        <v>44460.548611111109</v>
      </c>
      <c r="H9" s="78" t="s">
        <v>573</v>
      </c>
      <c r="I9" s="16">
        <v>62</v>
      </c>
      <c r="J9" s="16">
        <v>76</v>
      </c>
      <c r="K9" s="16">
        <v>43</v>
      </c>
      <c r="L9" s="16">
        <v>31</v>
      </c>
      <c r="M9" s="82">
        <v>50.654000000000003</v>
      </c>
      <c r="N9" s="73">
        <v>51</v>
      </c>
      <c r="O9" s="65">
        <v>7000</v>
      </c>
      <c r="P9" s="66">
        <f>Table224578910112345678910111213141516171819202122[[#This Row],[PEMBULATAN]]*O9</f>
        <v>357000</v>
      </c>
    </row>
    <row r="10" spans="1:16" ht="26.25" customHeight="1" x14ac:dyDescent="0.2">
      <c r="A10" s="14"/>
      <c r="B10" s="14"/>
      <c r="C10" s="74" t="s">
        <v>547</v>
      </c>
      <c r="D10" s="79" t="s">
        <v>90</v>
      </c>
      <c r="E10" s="13">
        <v>44456</v>
      </c>
      <c r="F10" s="77" t="s">
        <v>91</v>
      </c>
      <c r="G10" s="13">
        <v>44460.548611111109</v>
      </c>
      <c r="H10" s="78" t="s">
        <v>573</v>
      </c>
      <c r="I10" s="16">
        <v>62</v>
      </c>
      <c r="J10" s="16">
        <v>76</v>
      </c>
      <c r="K10" s="16">
        <v>43</v>
      </c>
      <c r="L10" s="16">
        <v>31</v>
      </c>
      <c r="M10" s="82">
        <v>50.654000000000003</v>
      </c>
      <c r="N10" s="73">
        <v>51</v>
      </c>
      <c r="O10" s="65">
        <v>7000</v>
      </c>
      <c r="P10" s="66">
        <f>Table224578910112345678910111213141516171819202122[[#This Row],[PEMBULATAN]]*O10</f>
        <v>357000</v>
      </c>
    </row>
    <row r="11" spans="1:16" ht="26.25" customHeight="1" x14ac:dyDescent="0.2">
      <c r="A11" s="14"/>
      <c r="B11" s="14"/>
      <c r="C11" s="74" t="s">
        <v>548</v>
      </c>
      <c r="D11" s="79" t="s">
        <v>90</v>
      </c>
      <c r="E11" s="13">
        <v>44456</v>
      </c>
      <c r="F11" s="77" t="s">
        <v>91</v>
      </c>
      <c r="G11" s="13">
        <v>44460.548611111109</v>
      </c>
      <c r="H11" s="78" t="s">
        <v>573</v>
      </c>
      <c r="I11" s="16">
        <v>40</v>
      </c>
      <c r="J11" s="16">
        <v>40</v>
      </c>
      <c r="K11" s="16">
        <v>19</v>
      </c>
      <c r="L11" s="16">
        <v>12</v>
      </c>
      <c r="M11" s="82">
        <v>7.6</v>
      </c>
      <c r="N11" s="73">
        <v>12</v>
      </c>
      <c r="O11" s="65">
        <v>7000</v>
      </c>
      <c r="P11" s="66">
        <f>Table224578910112345678910111213141516171819202122[[#This Row],[PEMBULATAN]]*O11</f>
        <v>84000</v>
      </c>
    </row>
    <row r="12" spans="1:16" ht="26.25" customHeight="1" x14ac:dyDescent="0.2">
      <c r="A12" s="14"/>
      <c r="B12" s="14"/>
      <c r="C12" s="74" t="s">
        <v>549</v>
      </c>
      <c r="D12" s="79" t="s">
        <v>90</v>
      </c>
      <c r="E12" s="13">
        <v>44456</v>
      </c>
      <c r="F12" s="77" t="s">
        <v>91</v>
      </c>
      <c r="G12" s="13">
        <v>44460.548611111109</v>
      </c>
      <c r="H12" s="78" t="s">
        <v>573</v>
      </c>
      <c r="I12" s="16">
        <v>62</v>
      </c>
      <c r="J12" s="16">
        <v>76</v>
      </c>
      <c r="K12" s="16">
        <v>43</v>
      </c>
      <c r="L12" s="16">
        <v>31</v>
      </c>
      <c r="M12" s="82">
        <v>50.654000000000003</v>
      </c>
      <c r="N12" s="73">
        <v>51</v>
      </c>
      <c r="O12" s="65">
        <v>7000</v>
      </c>
      <c r="P12" s="66">
        <f>Table224578910112345678910111213141516171819202122[[#This Row],[PEMBULATAN]]*O12</f>
        <v>357000</v>
      </c>
    </row>
    <row r="13" spans="1:16" ht="26.25" customHeight="1" x14ac:dyDescent="0.2">
      <c r="A13" s="14"/>
      <c r="B13" s="104"/>
      <c r="C13" s="74" t="s">
        <v>550</v>
      </c>
      <c r="D13" s="79" t="s">
        <v>90</v>
      </c>
      <c r="E13" s="13">
        <v>44456</v>
      </c>
      <c r="F13" s="77" t="s">
        <v>91</v>
      </c>
      <c r="G13" s="13">
        <v>44460.548611111109</v>
      </c>
      <c r="H13" s="78" t="s">
        <v>573</v>
      </c>
      <c r="I13" s="16">
        <v>35</v>
      </c>
      <c r="J13" s="16">
        <v>25</v>
      </c>
      <c r="K13" s="16">
        <v>14</v>
      </c>
      <c r="L13" s="16">
        <v>8</v>
      </c>
      <c r="M13" s="82">
        <v>3.0625</v>
      </c>
      <c r="N13" s="73">
        <v>8</v>
      </c>
      <c r="O13" s="65">
        <v>7000</v>
      </c>
      <c r="P13" s="66">
        <f>Table224578910112345678910111213141516171819202122[[#This Row],[PEMBULATAN]]*O13</f>
        <v>56000</v>
      </c>
    </row>
    <row r="14" spans="1:16" ht="26.25" customHeight="1" x14ac:dyDescent="0.2">
      <c r="A14" s="14"/>
      <c r="B14" s="14" t="s">
        <v>551</v>
      </c>
      <c r="C14" s="74" t="s">
        <v>552</v>
      </c>
      <c r="D14" s="79" t="s">
        <v>90</v>
      </c>
      <c r="E14" s="13">
        <v>44456</v>
      </c>
      <c r="F14" s="77" t="s">
        <v>91</v>
      </c>
      <c r="G14" s="13">
        <v>44460.548611111109</v>
      </c>
      <c r="H14" s="78" t="s">
        <v>573</v>
      </c>
      <c r="I14" s="16">
        <v>35</v>
      </c>
      <c r="J14" s="16">
        <v>35</v>
      </c>
      <c r="K14" s="16">
        <v>21</v>
      </c>
      <c r="L14" s="16">
        <v>12</v>
      </c>
      <c r="M14" s="82">
        <v>6.4312500000000004</v>
      </c>
      <c r="N14" s="73">
        <v>12</v>
      </c>
      <c r="O14" s="65">
        <v>7000</v>
      </c>
      <c r="P14" s="66">
        <f>Table224578910112345678910111213141516171819202122[[#This Row],[PEMBULATAN]]*O14</f>
        <v>84000</v>
      </c>
    </row>
    <row r="15" spans="1:16" ht="26.25" customHeight="1" x14ac:dyDescent="0.2">
      <c r="A15" s="14"/>
      <c r="B15" s="14"/>
      <c r="C15" s="74" t="s">
        <v>553</v>
      </c>
      <c r="D15" s="79" t="s">
        <v>90</v>
      </c>
      <c r="E15" s="13">
        <v>44456</v>
      </c>
      <c r="F15" s="77" t="s">
        <v>91</v>
      </c>
      <c r="G15" s="13">
        <v>44460.548611111109</v>
      </c>
      <c r="H15" s="78" t="s">
        <v>573</v>
      </c>
      <c r="I15" s="16">
        <v>43</v>
      </c>
      <c r="J15" s="16">
        <v>38</v>
      </c>
      <c r="K15" s="16">
        <v>20</v>
      </c>
      <c r="L15" s="16">
        <v>6</v>
      </c>
      <c r="M15" s="82">
        <v>8.17</v>
      </c>
      <c r="N15" s="73">
        <v>8</v>
      </c>
      <c r="O15" s="65">
        <v>7000</v>
      </c>
      <c r="P15" s="66">
        <f>Table224578910112345678910111213141516171819202122[[#This Row],[PEMBULATAN]]*O15</f>
        <v>56000</v>
      </c>
    </row>
    <row r="16" spans="1:16" ht="26.25" customHeight="1" x14ac:dyDescent="0.2">
      <c r="A16" s="14"/>
      <c r="B16" s="14"/>
      <c r="C16" s="74" t="s">
        <v>554</v>
      </c>
      <c r="D16" s="79" t="s">
        <v>90</v>
      </c>
      <c r="E16" s="13">
        <v>44456</v>
      </c>
      <c r="F16" s="77" t="s">
        <v>91</v>
      </c>
      <c r="G16" s="13">
        <v>44460.548611111109</v>
      </c>
      <c r="H16" s="78" t="s">
        <v>573</v>
      </c>
      <c r="I16" s="16">
        <v>55</v>
      </c>
      <c r="J16" s="16">
        <v>47</v>
      </c>
      <c r="K16" s="16">
        <v>30</v>
      </c>
      <c r="L16" s="16">
        <v>28</v>
      </c>
      <c r="M16" s="82">
        <v>19.387499999999999</v>
      </c>
      <c r="N16" s="73">
        <v>28</v>
      </c>
      <c r="O16" s="65">
        <v>7000</v>
      </c>
      <c r="P16" s="66">
        <f>Table224578910112345678910111213141516171819202122[[#This Row],[PEMBULATAN]]*O16</f>
        <v>196000</v>
      </c>
    </row>
    <row r="17" spans="1:16" ht="26.25" customHeight="1" x14ac:dyDescent="0.2">
      <c r="A17" s="14"/>
      <c r="B17" s="104"/>
      <c r="C17" s="74" t="s">
        <v>555</v>
      </c>
      <c r="D17" s="79" t="s">
        <v>90</v>
      </c>
      <c r="E17" s="13">
        <v>44456</v>
      </c>
      <c r="F17" s="77" t="s">
        <v>91</v>
      </c>
      <c r="G17" s="13">
        <v>44460.548611111109</v>
      </c>
      <c r="H17" s="78" t="s">
        <v>573</v>
      </c>
      <c r="I17" s="16">
        <v>67</v>
      </c>
      <c r="J17" s="16">
        <v>25</v>
      </c>
      <c r="K17" s="16">
        <v>47</v>
      </c>
      <c r="L17" s="16">
        <v>16</v>
      </c>
      <c r="M17" s="82">
        <v>19.681249999999999</v>
      </c>
      <c r="N17" s="73">
        <v>20</v>
      </c>
      <c r="O17" s="65">
        <v>7000</v>
      </c>
      <c r="P17" s="66">
        <f>Table224578910112345678910111213141516171819202122[[#This Row],[PEMBULATAN]]*O17</f>
        <v>140000</v>
      </c>
    </row>
    <row r="18" spans="1:16" ht="26.25" customHeight="1" x14ac:dyDescent="0.2">
      <c r="A18" s="14"/>
      <c r="B18" s="14" t="s">
        <v>556</v>
      </c>
      <c r="C18" s="74" t="s">
        <v>557</v>
      </c>
      <c r="D18" s="79" t="s">
        <v>90</v>
      </c>
      <c r="E18" s="13">
        <v>44456</v>
      </c>
      <c r="F18" s="77" t="s">
        <v>91</v>
      </c>
      <c r="G18" s="13">
        <v>44460.548611111109</v>
      </c>
      <c r="H18" s="78" t="s">
        <v>573</v>
      </c>
      <c r="I18" s="16">
        <v>160</v>
      </c>
      <c r="J18" s="16">
        <v>55</v>
      </c>
      <c r="K18" s="16">
        <v>55</v>
      </c>
      <c r="L18" s="16">
        <v>11</v>
      </c>
      <c r="M18" s="82">
        <v>121</v>
      </c>
      <c r="N18" s="73">
        <v>121</v>
      </c>
      <c r="O18" s="65">
        <v>7000</v>
      </c>
      <c r="P18" s="66">
        <f>Table224578910112345678910111213141516171819202122[[#This Row],[PEMBULATAN]]*O18</f>
        <v>847000</v>
      </c>
    </row>
    <row r="19" spans="1:16" ht="26.25" customHeight="1" x14ac:dyDescent="0.2">
      <c r="A19" s="14"/>
      <c r="B19" s="14"/>
      <c r="C19" s="74" t="s">
        <v>558</v>
      </c>
      <c r="D19" s="79" t="s">
        <v>90</v>
      </c>
      <c r="E19" s="13">
        <v>44456</v>
      </c>
      <c r="F19" s="77" t="s">
        <v>91</v>
      </c>
      <c r="G19" s="13">
        <v>44460.548611111109</v>
      </c>
      <c r="H19" s="78" t="s">
        <v>573</v>
      </c>
      <c r="I19" s="16">
        <v>70</v>
      </c>
      <c r="J19" s="16">
        <v>35</v>
      </c>
      <c r="K19" s="16">
        <v>83</v>
      </c>
      <c r="L19" s="16">
        <v>30</v>
      </c>
      <c r="M19" s="82">
        <v>50.837499999999999</v>
      </c>
      <c r="N19" s="73">
        <v>51</v>
      </c>
      <c r="O19" s="65">
        <v>7000</v>
      </c>
      <c r="P19" s="66">
        <f>Table224578910112345678910111213141516171819202122[[#This Row],[PEMBULATAN]]*O19</f>
        <v>357000</v>
      </c>
    </row>
    <row r="20" spans="1:16" ht="26.25" customHeight="1" x14ac:dyDescent="0.2">
      <c r="A20" s="14"/>
      <c r="B20" s="14"/>
      <c r="C20" s="74" t="s">
        <v>559</v>
      </c>
      <c r="D20" s="79" t="s">
        <v>90</v>
      </c>
      <c r="E20" s="13">
        <v>44456</v>
      </c>
      <c r="F20" s="77" t="s">
        <v>91</v>
      </c>
      <c r="G20" s="13">
        <v>44460.548611111109</v>
      </c>
      <c r="H20" s="78" t="s">
        <v>573</v>
      </c>
      <c r="I20" s="16">
        <v>140</v>
      </c>
      <c r="J20" s="16">
        <v>20</v>
      </c>
      <c r="K20" s="16">
        <v>20</v>
      </c>
      <c r="L20" s="16">
        <v>13</v>
      </c>
      <c r="M20" s="82">
        <v>14</v>
      </c>
      <c r="N20" s="73">
        <v>14</v>
      </c>
      <c r="O20" s="65">
        <v>7000</v>
      </c>
      <c r="P20" s="66">
        <f>Table224578910112345678910111213141516171819202122[[#This Row],[PEMBULATAN]]*O20</f>
        <v>98000</v>
      </c>
    </row>
    <row r="21" spans="1:16" ht="26.25" customHeight="1" x14ac:dyDescent="0.2">
      <c r="A21" s="14"/>
      <c r="B21" s="14"/>
      <c r="C21" s="74" t="s">
        <v>560</v>
      </c>
      <c r="D21" s="79" t="s">
        <v>90</v>
      </c>
      <c r="E21" s="13">
        <v>44456</v>
      </c>
      <c r="F21" s="77" t="s">
        <v>91</v>
      </c>
      <c r="G21" s="13">
        <v>44460.548611111109</v>
      </c>
      <c r="H21" s="78" t="s">
        <v>573</v>
      </c>
      <c r="I21" s="16">
        <v>104</v>
      </c>
      <c r="J21" s="16">
        <v>50</v>
      </c>
      <c r="K21" s="16">
        <v>50</v>
      </c>
      <c r="L21" s="16">
        <v>36</v>
      </c>
      <c r="M21" s="82">
        <v>65</v>
      </c>
      <c r="N21" s="73">
        <v>65</v>
      </c>
      <c r="O21" s="65">
        <v>7000</v>
      </c>
      <c r="P21" s="66">
        <f>Table224578910112345678910111213141516171819202122[[#This Row],[PEMBULATAN]]*O21</f>
        <v>455000</v>
      </c>
    </row>
    <row r="22" spans="1:16" ht="26.25" customHeight="1" x14ac:dyDescent="0.2">
      <c r="A22" s="14"/>
      <c r="B22" s="14"/>
      <c r="C22" s="74" t="s">
        <v>561</v>
      </c>
      <c r="D22" s="79" t="s">
        <v>90</v>
      </c>
      <c r="E22" s="13">
        <v>44456</v>
      </c>
      <c r="F22" s="77" t="s">
        <v>91</v>
      </c>
      <c r="G22" s="13">
        <v>44460.548611111109</v>
      </c>
      <c r="H22" s="78" t="s">
        <v>573</v>
      </c>
      <c r="I22" s="16">
        <v>50</v>
      </c>
      <c r="J22" s="16">
        <v>39</v>
      </c>
      <c r="K22" s="16">
        <v>22</v>
      </c>
      <c r="L22" s="16">
        <v>8</v>
      </c>
      <c r="M22" s="82">
        <v>10.725</v>
      </c>
      <c r="N22" s="73">
        <v>11</v>
      </c>
      <c r="O22" s="65">
        <v>7000</v>
      </c>
      <c r="P22" s="66">
        <f>Table224578910112345678910111213141516171819202122[[#This Row],[PEMBULATAN]]*O22</f>
        <v>77000</v>
      </c>
    </row>
    <row r="23" spans="1:16" ht="26.25" customHeight="1" x14ac:dyDescent="0.2">
      <c r="A23" s="14"/>
      <c r="B23" s="14"/>
      <c r="C23" s="74" t="s">
        <v>562</v>
      </c>
      <c r="D23" s="79" t="s">
        <v>90</v>
      </c>
      <c r="E23" s="13">
        <v>44456</v>
      </c>
      <c r="F23" s="77" t="s">
        <v>91</v>
      </c>
      <c r="G23" s="13">
        <v>44460.548611111109</v>
      </c>
      <c r="H23" s="78" t="s">
        <v>573</v>
      </c>
      <c r="I23" s="16">
        <v>50</v>
      </c>
      <c r="J23" s="16">
        <v>40</v>
      </c>
      <c r="K23" s="16">
        <v>40</v>
      </c>
      <c r="L23" s="16">
        <v>11</v>
      </c>
      <c r="M23" s="82">
        <v>20</v>
      </c>
      <c r="N23" s="73">
        <v>20</v>
      </c>
      <c r="O23" s="65">
        <v>7000</v>
      </c>
      <c r="P23" s="66">
        <f>Table224578910112345678910111213141516171819202122[[#This Row],[PEMBULATAN]]*O23</f>
        <v>140000</v>
      </c>
    </row>
    <row r="24" spans="1:16" ht="26.25" customHeight="1" x14ac:dyDescent="0.2">
      <c r="A24" s="14"/>
      <c r="B24" s="14"/>
      <c r="C24" s="74" t="s">
        <v>563</v>
      </c>
      <c r="D24" s="79" t="s">
        <v>90</v>
      </c>
      <c r="E24" s="13">
        <v>44456</v>
      </c>
      <c r="F24" s="77" t="s">
        <v>91</v>
      </c>
      <c r="G24" s="13">
        <v>44460.548611111109</v>
      </c>
      <c r="H24" s="78" t="s">
        <v>573</v>
      </c>
      <c r="I24" s="16">
        <v>38</v>
      </c>
      <c r="J24" s="16">
        <v>33</v>
      </c>
      <c r="K24" s="16">
        <v>28</v>
      </c>
      <c r="L24" s="16">
        <v>5</v>
      </c>
      <c r="M24" s="82">
        <v>8.7780000000000005</v>
      </c>
      <c r="N24" s="73">
        <v>9</v>
      </c>
      <c r="O24" s="65">
        <v>7000</v>
      </c>
      <c r="P24" s="66">
        <f>Table224578910112345678910111213141516171819202122[[#This Row],[PEMBULATAN]]*O24</f>
        <v>63000</v>
      </c>
    </row>
    <row r="25" spans="1:16" ht="26.25" customHeight="1" x14ac:dyDescent="0.2">
      <c r="A25" s="14"/>
      <c r="B25" s="14"/>
      <c r="C25" s="74" t="s">
        <v>564</v>
      </c>
      <c r="D25" s="79" t="s">
        <v>90</v>
      </c>
      <c r="E25" s="13">
        <v>44456</v>
      </c>
      <c r="F25" s="77" t="s">
        <v>91</v>
      </c>
      <c r="G25" s="13">
        <v>44460.548611111109</v>
      </c>
      <c r="H25" s="78" t="s">
        <v>573</v>
      </c>
      <c r="I25" s="16">
        <v>110</v>
      </c>
      <c r="J25" s="16">
        <v>53</v>
      </c>
      <c r="K25" s="16">
        <v>26</v>
      </c>
      <c r="L25" s="16">
        <v>10</v>
      </c>
      <c r="M25" s="82">
        <v>37.895000000000003</v>
      </c>
      <c r="N25" s="73">
        <v>38</v>
      </c>
      <c r="O25" s="65">
        <v>7000</v>
      </c>
      <c r="P25" s="66">
        <f>Table224578910112345678910111213141516171819202122[[#This Row],[PEMBULATAN]]*O25</f>
        <v>266000</v>
      </c>
    </row>
    <row r="26" spans="1:16" ht="26.25" customHeight="1" x14ac:dyDescent="0.2">
      <c r="A26" s="14"/>
      <c r="B26" s="14"/>
      <c r="C26" s="74" t="s">
        <v>565</v>
      </c>
      <c r="D26" s="79" t="s">
        <v>90</v>
      </c>
      <c r="E26" s="13">
        <v>44456</v>
      </c>
      <c r="F26" s="77" t="s">
        <v>91</v>
      </c>
      <c r="G26" s="13">
        <v>44460.548611111109</v>
      </c>
      <c r="H26" s="78" t="s">
        <v>573</v>
      </c>
      <c r="I26" s="16">
        <v>58</v>
      </c>
      <c r="J26" s="16">
        <v>38</v>
      </c>
      <c r="K26" s="16">
        <v>33</v>
      </c>
      <c r="L26" s="16">
        <v>12</v>
      </c>
      <c r="M26" s="82">
        <v>18.183</v>
      </c>
      <c r="N26" s="73">
        <v>18</v>
      </c>
      <c r="O26" s="65">
        <v>7000</v>
      </c>
      <c r="P26" s="66">
        <f>Table224578910112345678910111213141516171819202122[[#This Row],[PEMBULATAN]]*O26</f>
        <v>126000</v>
      </c>
    </row>
    <row r="27" spans="1:16" ht="26.25" customHeight="1" x14ac:dyDescent="0.2">
      <c r="A27" s="14"/>
      <c r="B27" s="14"/>
      <c r="C27" s="74" t="s">
        <v>566</v>
      </c>
      <c r="D27" s="79" t="s">
        <v>90</v>
      </c>
      <c r="E27" s="13">
        <v>44456</v>
      </c>
      <c r="F27" s="77" t="s">
        <v>91</v>
      </c>
      <c r="G27" s="13">
        <v>44460.548611111109</v>
      </c>
      <c r="H27" s="78" t="s">
        <v>573</v>
      </c>
      <c r="I27" s="16">
        <v>37</v>
      </c>
      <c r="J27" s="16">
        <v>33</v>
      </c>
      <c r="K27" s="16">
        <v>20</v>
      </c>
      <c r="L27" s="16">
        <v>15</v>
      </c>
      <c r="M27" s="82">
        <v>6.1050000000000004</v>
      </c>
      <c r="N27" s="73">
        <v>15</v>
      </c>
      <c r="O27" s="65">
        <v>7000</v>
      </c>
      <c r="P27" s="66">
        <f>Table224578910112345678910111213141516171819202122[[#This Row],[PEMBULATAN]]*O27</f>
        <v>105000</v>
      </c>
    </row>
    <row r="28" spans="1:16" ht="26.25" customHeight="1" x14ac:dyDescent="0.2">
      <c r="A28" s="14"/>
      <c r="B28" s="14"/>
      <c r="C28" s="74" t="s">
        <v>567</v>
      </c>
      <c r="D28" s="79" t="s">
        <v>90</v>
      </c>
      <c r="E28" s="13">
        <v>44456</v>
      </c>
      <c r="F28" s="77" t="s">
        <v>91</v>
      </c>
      <c r="G28" s="13">
        <v>44460.548611111109</v>
      </c>
      <c r="H28" s="78" t="s">
        <v>573</v>
      </c>
      <c r="I28" s="16">
        <v>35</v>
      </c>
      <c r="J28" s="16">
        <v>30</v>
      </c>
      <c r="K28" s="16">
        <v>40</v>
      </c>
      <c r="L28" s="16">
        <v>31</v>
      </c>
      <c r="M28" s="82">
        <v>10.5</v>
      </c>
      <c r="N28" s="73">
        <v>31</v>
      </c>
      <c r="O28" s="65">
        <v>7000</v>
      </c>
      <c r="P28" s="66">
        <f>Table224578910112345678910111213141516171819202122[[#This Row],[PEMBULATAN]]*O28</f>
        <v>217000</v>
      </c>
    </row>
    <row r="29" spans="1:16" ht="26.25" customHeight="1" x14ac:dyDescent="0.2">
      <c r="A29" s="14"/>
      <c r="B29" s="14"/>
      <c r="C29" s="74" t="s">
        <v>568</v>
      </c>
      <c r="D29" s="79" t="s">
        <v>90</v>
      </c>
      <c r="E29" s="13">
        <v>44456</v>
      </c>
      <c r="F29" s="77" t="s">
        <v>91</v>
      </c>
      <c r="G29" s="13">
        <v>44460.548611111109</v>
      </c>
      <c r="H29" s="78" t="s">
        <v>573</v>
      </c>
      <c r="I29" s="16">
        <v>28</v>
      </c>
      <c r="J29" s="16">
        <v>53</v>
      </c>
      <c r="K29" s="16">
        <v>41</v>
      </c>
      <c r="L29" s="16">
        <v>12</v>
      </c>
      <c r="M29" s="82">
        <v>15.211</v>
      </c>
      <c r="N29" s="73">
        <v>15</v>
      </c>
      <c r="O29" s="65">
        <v>7000</v>
      </c>
      <c r="P29" s="66">
        <f>Table224578910112345678910111213141516171819202122[[#This Row],[PEMBULATAN]]*O29</f>
        <v>105000</v>
      </c>
    </row>
    <row r="30" spans="1:16" ht="26.25" customHeight="1" x14ac:dyDescent="0.2">
      <c r="A30" s="14"/>
      <c r="B30" s="14"/>
      <c r="C30" s="74" t="s">
        <v>569</v>
      </c>
      <c r="D30" s="79" t="s">
        <v>90</v>
      </c>
      <c r="E30" s="13">
        <v>44456</v>
      </c>
      <c r="F30" s="77" t="s">
        <v>91</v>
      </c>
      <c r="G30" s="13">
        <v>44460.548611111109</v>
      </c>
      <c r="H30" s="78" t="s">
        <v>573</v>
      </c>
      <c r="I30" s="16">
        <v>68</v>
      </c>
      <c r="J30" s="16">
        <v>28</v>
      </c>
      <c r="K30" s="16">
        <v>46</v>
      </c>
      <c r="L30" s="16">
        <v>20</v>
      </c>
      <c r="M30" s="82">
        <v>21.896000000000001</v>
      </c>
      <c r="N30" s="73">
        <v>22</v>
      </c>
      <c r="O30" s="65">
        <v>7000</v>
      </c>
      <c r="P30" s="66">
        <f>Table224578910112345678910111213141516171819202122[[#This Row],[PEMBULATAN]]*O30</f>
        <v>154000</v>
      </c>
    </row>
    <row r="31" spans="1:16" ht="26.25" customHeight="1" x14ac:dyDescent="0.2">
      <c r="A31" s="14"/>
      <c r="B31" s="14"/>
      <c r="C31" s="74" t="s">
        <v>570</v>
      </c>
      <c r="D31" s="79" t="s">
        <v>90</v>
      </c>
      <c r="E31" s="13">
        <v>44456</v>
      </c>
      <c r="F31" s="77" t="s">
        <v>91</v>
      </c>
      <c r="G31" s="13">
        <v>44460.548611111109</v>
      </c>
      <c r="H31" s="78" t="s">
        <v>573</v>
      </c>
      <c r="I31" s="16">
        <v>50</v>
      </c>
      <c r="J31" s="16">
        <v>50</v>
      </c>
      <c r="K31" s="16">
        <v>13</v>
      </c>
      <c r="L31" s="16">
        <v>21</v>
      </c>
      <c r="M31" s="82">
        <v>8.125</v>
      </c>
      <c r="N31" s="73">
        <v>21</v>
      </c>
      <c r="O31" s="65">
        <v>7000</v>
      </c>
      <c r="P31" s="66">
        <f>Table224578910112345678910111213141516171819202122[[#This Row],[PEMBULATAN]]*O31</f>
        <v>147000</v>
      </c>
    </row>
    <row r="32" spans="1:16" ht="26.25" customHeight="1" x14ac:dyDescent="0.2">
      <c r="A32" s="14"/>
      <c r="B32" s="14"/>
      <c r="C32" s="74" t="s">
        <v>571</v>
      </c>
      <c r="D32" s="79" t="s">
        <v>90</v>
      </c>
      <c r="E32" s="13">
        <v>44456</v>
      </c>
      <c r="F32" s="77" t="s">
        <v>91</v>
      </c>
      <c r="G32" s="13">
        <v>44460.548611111109</v>
      </c>
      <c r="H32" s="78" t="s">
        <v>573</v>
      </c>
      <c r="I32" s="16">
        <v>59</v>
      </c>
      <c r="J32" s="16">
        <v>38</v>
      </c>
      <c r="K32" s="16">
        <v>32</v>
      </c>
      <c r="L32" s="16">
        <v>12</v>
      </c>
      <c r="M32" s="82">
        <v>17.936</v>
      </c>
      <c r="N32" s="73">
        <v>18</v>
      </c>
      <c r="O32" s="65">
        <v>7000</v>
      </c>
      <c r="P32" s="66">
        <f>Table224578910112345678910111213141516171819202122[[#This Row],[PEMBULATAN]]*O32</f>
        <v>126000</v>
      </c>
    </row>
    <row r="33" spans="1:16" ht="26.25" customHeight="1" x14ac:dyDescent="0.2">
      <c r="A33" s="14"/>
      <c r="B33" s="14"/>
      <c r="C33" s="74" t="s">
        <v>572</v>
      </c>
      <c r="D33" s="79" t="s">
        <v>90</v>
      </c>
      <c r="E33" s="13">
        <v>44456</v>
      </c>
      <c r="F33" s="77" t="s">
        <v>91</v>
      </c>
      <c r="G33" s="13">
        <v>44460.548611111109</v>
      </c>
      <c r="H33" s="78" t="s">
        <v>573</v>
      </c>
      <c r="I33" s="16">
        <v>63</v>
      </c>
      <c r="J33" s="16">
        <v>36</v>
      </c>
      <c r="K33" s="16">
        <v>36</v>
      </c>
      <c r="L33" s="16">
        <v>9</v>
      </c>
      <c r="M33" s="82">
        <v>20.411999999999999</v>
      </c>
      <c r="N33" s="73">
        <v>21</v>
      </c>
      <c r="O33" s="65">
        <v>7000</v>
      </c>
      <c r="P33" s="66">
        <f>Table224578910112345678910111213141516171819202122[[#This Row],[PEMBULATAN]]*O33</f>
        <v>147000</v>
      </c>
    </row>
    <row r="34" spans="1:16" ht="22.5" customHeight="1" x14ac:dyDescent="0.2">
      <c r="A34" s="136" t="s">
        <v>30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8"/>
      <c r="M34" s="80">
        <f>SUBTOTAL(109,Table224578910112345678910111213141516171819202122[KG VOLUME])</f>
        <v>913.2890000000001</v>
      </c>
      <c r="N34" s="69">
        <f>SUM(N3:N33)</f>
        <v>983</v>
      </c>
      <c r="O34" s="139">
        <f>SUM(P3:P33)</f>
        <v>6881000</v>
      </c>
      <c r="P34" s="140"/>
    </row>
    <row r="35" spans="1:16" ht="18" customHeight="1" x14ac:dyDescent="0.2">
      <c r="A35" s="87"/>
      <c r="B35" s="57" t="s">
        <v>42</v>
      </c>
      <c r="C35" s="56"/>
      <c r="D35" s="58" t="s">
        <v>43</v>
      </c>
      <c r="E35" s="87"/>
      <c r="F35" s="87"/>
      <c r="G35" s="87"/>
      <c r="H35" s="87"/>
      <c r="I35" s="87"/>
      <c r="J35" s="87"/>
      <c r="K35" s="87"/>
      <c r="L35" s="87"/>
      <c r="M35" s="88"/>
      <c r="N35" s="89" t="s">
        <v>52</v>
      </c>
      <c r="O35" s="90"/>
      <c r="P35" s="90">
        <v>0</v>
      </c>
    </row>
    <row r="36" spans="1:16" ht="18" customHeight="1" thickBot="1" x14ac:dyDescent="0.25">
      <c r="A36" s="87"/>
      <c r="B36" s="57"/>
      <c r="C36" s="56"/>
      <c r="D36" s="58"/>
      <c r="E36" s="87"/>
      <c r="F36" s="87"/>
      <c r="G36" s="87"/>
      <c r="H36" s="87"/>
      <c r="I36" s="87"/>
      <c r="J36" s="87"/>
      <c r="K36" s="87"/>
      <c r="L36" s="87"/>
      <c r="M36" s="88"/>
      <c r="N36" s="91" t="s">
        <v>53</v>
      </c>
      <c r="O36" s="92"/>
      <c r="P36" s="92">
        <f>O34-P35</f>
        <v>6881000</v>
      </c>
    </row>
    <row r="37" spans="1:16" ht="18" customHeight="1" x14ac:dyDescent="0.2">
      <c r="A37" s="11"/>
      <c r="H37" s="64"/>
      <c r="N37" s="63" t="s">
        <v>31</v>
      </c>
      <c r="P37" s="70">
        <f>P36*1%</f>
        <v>68810</v>
      </c>
    </row>
    <row r="38" spans="1:16" ht="18" customHeight="1" thickBot="1" x14ac:dyDescent="0.25">
      <c r="A38" s="11"/>
      <c r="H38" s="64"/>
      <c r="N38" s="63" t="s">
        <v>54</v>
      </c>
      <c r="P38" s="72">
        <f>P36*2%</f>
        <v>137620</v>
      </c>
    </row>
    <row r="39" spans="1:16" ht="18" customHeight="1" x14ac:dyDescent="0.2">
      <c r="A39" s="11"/>
      <c r="H39" s="64"/>
      <c r="N39" s="67" t="s">
        <v>32</v>
      </c>
      <c r="O39" s="68"/>
      <c r="P39" s="71">
        <f>P36+P37-P38</f>
        <v>6812190</v>
      </c>
    </row>
    <row r="41" spans="1:16" x14ac:dyDescent="0.2">
      <c r="A41" s="11"/>
      <c r="H41" s="64"/>
      <c r="P41" s="72"/>
    </row>
    <row r="42" spans="1:16" x14ac:dyDescent="0.2">
      <c r="A42" s="11"/>
      <c r="H42" s="64"/>
      <c r="O42" s="59"/>
      <c r="P42" s="72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268" priority="2"/>
  </conditionalFormatting>
  <conditionalFormatting sqref="B4">
    <cfRule type="duplicateValues" dxfId="267" priority="1"/>
  </conditionalFormatting>
  <conditionalFormatting sqref="B5:B33">
    <cfRule type="duplicateValues" dxfId="266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4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920</v>
      </c>
      <c r="B3" s="75" t="s">
        <v>574</v>
      </c>
      <c r="C3" s="9" t="s">
        <v>575</v>
      </c>
      <c r="D3" s="77" t="s">
        <v>90</v>
      </c>
      <c r="E3" s="13">
        <v>44457</v>
      </c>
      <c r="F3" s="77" t="s">
        <v>91</v>
      </c>
      <c r="G3" s="13">
        <v>44460.548611111109</v>
      </c>
      <c r="H3" s="10" t="s">
        <v>573</v>
      </c>
      <c r="I3" s="1">
        <v>33</v>
      </c>
      <c r="J3" s="1">
        <v>33</v>
      </c>
      <c r="K3" s="1">
        <v>38</v>
      </c>
      <c r="L3" s="1">
        <v>5</v>
      </c>
      <c r="M3" s="81">
        <v>10.345499999999999</v>
      </c>
      <c r="N3" s="8">
        <v>11</v>
      </c>
      <c r="O3" s="65">
        <v>7000</v>
      </c>
      <c r="P3" s="66">
        <f>Table22457891011234567891011121314151617181920212223[[#This Row],[PEMBULATAN]]*O3</f>
        <v>77000</v>
      </c>
    </row>
    <row r="4" spans="1:16" ht="26.25" customHeight="1" x14ac:dyDescent="0.2">
      <c r="A4" s="14"/>
      <c r="B4" s="76"/>
      <c r="C4" s="9" t="s">
        <v>576</v>
      </c>
      <c r="D4" s="77" t="s">
        <v>90</v>
      </c>
      <c r="E4" s="13">
        <v>44457</v>
      </c>
      <c r="F4" s="77" t="s">
        <v>91</v>
      </c>
      <c r="G4" s="13">
        <v>44460.548611111109</v>
      </c>
      <c r="H4" s="10" t="s">
        <v>573</v>
      </c>
      <c r="I4" s="1">
        <v>47</v>
      </c>
      <c r="J4" s="1">
        <v>15</v>
      </c>
      <c r="K4" s="1">
        <v>44</v>
      </c>
      <c r="L4" s="1">
        <v>6</v>
      </c>
      <c r="M4" s="81">
        <v>7.7549999999999999</v>
      </c>
      <c r="N4" s="8">
        <v>8</v>
      </c>
      <c r="O4" s="65">
        <v>7000</v>
      </c>
      <c r="P4" s="66">
        <f>Table22457891011234567891011121314151617181920212223[[#This Row],[PEMBULATAN]]*O4</f>
        <v>56000</v>
      </c>
    </row>
    <row r="5" spans="1:16" ht="26.25" customHeight="1" x14ac:dyDescent="0.2">
      <c r="A5" s="14"/>
      <c r="B5" s="14"/>
      <c r="C5" s="9" t="s">
        <v>577</v>
      </c>
      <c r="D5" s="77" t="s">
        <v>90</v>
      </c>
      <c r="E5" s="13">
        <v>44457</v>
      </c>
      <c r="F5" s="77" t="s">
        <v>91</v>
      </c>
      <c r="G5" s="13">
        <v>44460.548611111109</v>
      </c>
      <c r="H5" s="10" t="s">
        <v>573</v>
      </c>
      <c r="I5" s="1">
        <v>55</v>
      </c>
      <c r="J5" s="1">
        <v>16</v>
      </c>
      <c r="K5" s="1">
        <v>34</v>
      </c>
      <c r="L5" s="1">
        <v>7</v>
      </c>
      <c r="M5" s="81">
        <v>7.48</v>
      </c>
      <c r="N5" s="8">
        <v>8</v>
      </c>
      <c r="O5" s="65">
        <v>7000</v>
      </c>
      <c r="P5" s="66">
        <f>Table22457891011234567891011121314151617181920212223[[#This Row],[PEMBULATAN]]*O5</f>
        <v>56000</v>
      </c>
    </row>
    <row r="6" spans="1:16" ht="26.25" customHeight="1" x14ac:dyDescent="0.2">
      <c r="A6" s="14"/>
      <c r="B6" s="104"/>
      <c r="C6" s="74" t="s">
        <v>578</v>
      </c>
      <c r="D6" s="79" t="s">
        <v>90</v>
      </c>
      <c r="E6" s="13">
        <v>44457</v>
      </c>
      <c r="F6" s="77" t="s">
        <v>91</v>
      </c>
      <c r="G6" s="13">
        <v>44460.548611111109</v>
      </c>
      <c r="H6" s="78" t="s">
        <v>573</v>
      </c>
      <c r="I6" s="16">
        <v>34</v>
      </c>
      <c r="J6" s="16">
        <v>39</v>
      </c>
      <c r="K6" s="16">
        <v>34</v>
      </c>
      <c r="L6" s="16">
        <v>5</v>
      </c>
      <c r="M6" s="82">
        <v>11.271000000000001</v>
      </c>
      <c r="N6" s="73">
        <v>11</v>
      </c>
      <c r="O6" s="65">
        <v>7000</v>
      </c>
      <c r="P6" s="66">
        <f>Table22457891011234567891011121314151617181920212223[[#This Row],[PEMBULATAN]]*O6</f>
        <v>77000</v>
      </c>
    </row>
    <row r="7" spans="1:16" ht="26.25" customHeight="1" x14ac:dyDescent="0.2">
      <c r="A7" s="14"/>
      <c r="B7" s="14" t="s">
        <v>579</v>
      </c>
      <c r="C7" s="74" t="s">
        <v>580</v>
      </c>
      <c r="D7" s="79" t="s">
        <v>90</v>
      </c>
      <c r="E7" s="13">
        <v>44457</v>
      </c>
      <c r="F7" s="77" t="s">
        <v>91</v>
      </c>
      <c r="G7" s="13">
        <v>44460.548611111109</v>
      </c>
      <c r="H7" s="78" t="s">
        <v>573</v>
      </c>
      <c r="I7" s="16">
        <v>76</v>
      </c>
      <c r="J7" s="16">
        <v>76</v>
      </c>
      <c r="K7" s="16">
        <v>17</v>
      </c>
      <c r="L7" s="16">
        <v>6</v>
      </c>
      <c r="M7" s="82">
        <v>24.547999999999998</v>
      </c>
      <c r="N7" s="73">
        <v>25</v>
      </c>
      <c r="O7" s="65">
        <v>7000</v>
      </c>
      <c r="P7" s="66">
        <f>Table22457891011234567891011121314151617181920212223[[#This Row],[PEMBULATAN]]*O7</f>
        <v>175000</v>
      </c>
    </row>
    <row r="8" spans="1:16" ht="26.25" customHeight="1" x14ac:dyDescent="0.2">
      <c r="A8" s="14"/>
      <c r="B8" s="14"/>
      <c r="C8" s="74" t="s">
        <v>581</v>
      </c>
      <c r="D8" s="79" t="s">
        <v>90</v>
      </c>
      <c r="E8" s="13">
        <v>44457</v>
      </c>
      <c r="F8" s="77" t="s">
        <v>91</v>
      </c>
      <c r="G8" s="13">
        <v>44460.548611111109</v>
      </c>
      <c r="H8" s="78" t="s">
        <v>573</v>
      </c>
      <c r="I8" s="16">
        <v>75</v>
      </c>
      <c r="J8" s="16">
        <v>37</v>
      </c>
      <c r="K8" s="16">
        <v>53</v>
      </c>
      <c r="L8" s="16">
        <v>23</v>
      </c>
      <c r="M8" s="82">
        <v>36.768749999999997</v>
      </c>
      <c r="N8" s="73">
        <v>37</v>
      </c>
      <c r="O8" s="65">
        <v>7000</v>
      </c>
      <c r="P8" s="66">
        <f>Table22457891011234567891011121314151617181920212223[[#This Row],[PEMBULATAN]]*O8</f>
        <v>259000</v>
      </c>
    </row>
    <row r="9" spans="1:16" ht="26.25" customHeight="1" x14ac:dyDescent="0.2">
      <c r="A9" s="14"/>
      <c r="B9" s="14"/>
      <c r="C9" s="74" t="s">
        <v>582</v>
      </c>
      <c r="D9" s="79" t="s">
        <v>90</v>
      </c>
      <c r="E9" s="13">
        <v>44457</v>
      </c>
      <c r="F9" s="77" t="s">
        <v>91</v>
      </c>
      <c r="G9" s="13">
        <v>44460.548611111109</v>
      </c>
      <c r="H9" s="78" t="s">
        <v>573</v>
      </c>
      <c r="I9" s="16">
        <v>57</v>
      </c>
      <c r="J9" s="16">
        <v>29</v>
      </c>
      <c r="K9" s="16">
        <v>29</v>
      </c>
      <c r="L9" s="16">
        <v>17</v>
      </c>
      <c r="M9" s="82">
        <v>11.984249999999999</v>
      </c>
      <c r="N9" s="73">
        <v>17</v>
      </c>
      <c r="O9" s="65">
        <v>7000</v>
      </c>
      <c r="P9" s="66">
        <f>Table22457891011234567891011121314151617181920212223[[#This Row],[PEMBULATAN]]*O9</f>
        <v>119000</v>
      </c>
    </row>
    <row r="10" spans="1:16" ht="26.25" customHeight="1" x14ac:dyDescent="0.2">
      <c r="A10" s="14"/>
      <c r="B10" s="14"/>
      <c r="C10" s="74" t="s">
        <v>583</v>
      </c>
      <c r="D10" s="79" t="s">
        <v>90</v>
      </c>
      <c r="E10" s="13">
        <v>44457</v>
      </c>
      <c r="F10" s="77" t="s">
        <v>91</v>
      </c>
      <c r="G10" s="13">
        <v>44460.548611111109</v>
      </c>
      <c r="H10" s="78" t="s">
        <v>573</v>
      </c>
      <c r="I10" s="16">
        <v>44</v>
      </c>
      <c r="J10" s="16">
        <v>34</v>
      </c>
      <c r="K10" s="16">
        <v>23</v>
      </c>
      <c r="L10" s="16">
        <v>5</v>
      </c>
      <c r="M10" s="82">
        <v>8.6020000000000003</v>
      </c>
      <c r="N10" s="73">
        <v>9</v>
      </c>
      <c r="O10" s="65">
        <v>7000</v>
      </c>
      <c r="P10" s="66">
        <f>Table22457891011234567891011121314151617181920212223[[#This Row],[PEMBULATAN]]*O10</f>
        <v>63000</v>
      </c>
    </row>
    <row r="11" spans="1:16" ht="26.25" customHeight="1" x14ac:dyDescent="0.2">
      <c r="A11" s="14"/>
      <c r="B11" s="14"/>
      <c r="C11" s="74" t="s">
        <v>584</v>
      </c>
      <c r="D11" s="79" t="s">
        <v>90</v>
      </c>
      <c r="E11" s="13">
        <v>44457</v>
      </c>
      <c r="F11" s="77" t="s">
        <v>91</v>
      </c>
      <c r="G11" s="13">
        <v>44460.548611111109</v>
      </c>
      <c r="H11" s="78" t="s">
        <v>573</v>
      </c>
      <c r="I11" s="16">
        <v>62</v>
      </c>
      <c r="J11" s="16">
        <v>40</v>
      </c>
      <c r="K11" s="16">
        <v>47</v>
      </c>
      <c r="L11" s="16">
        <v>21</v>
      </c>
      <c r="M11" s="82">
        <v>29.14</v>
      </c>
      <c r="N11" s="73">
        <v>29</v>
      </c>
      <c r="O11" s="65">
        <v>7000</v>
      </c>
      <c r="P11" s="66">
        <f>Table22457891011234567891011121314151617181920212223[[#This Row],[PEMBULATAN]]*O11</f>
        <v>203000</v>
      </c>
    </row>
    <row r="12" spans="1:16" ht="26.25" customHeight="1" x14ac:dyDescent="0.2">
      <c r="A12" s="14"/>
      <c r="B12" s="14"/>
      <c r="C12" s="74" t="s">
        <v>585</v>
      </c>
      <c r="D12" s="79" t="s">
        <v>90</v>
      </c>
      <c r="E12" s="13">
        <v>44457</v>
      </c>
      <c r="F12" s="77" t="s">
        <v>91</v>
      </c>
      <c r="G12" s="13">
        <v>44460.548611111109</v>
      </c>
      <c r="H12" s="78" t="s">
        <v>573</v>
      </c>
      <c r="I12" s="16">
        <v>63</v>
      </c>
      <c r="J12" s="16">
        <v>35</v>
      </c>
      <c r="K12" s="16">
        <v>35</v>
      </c>
      <c r="L12" s="16">
        <v>20</v>
      </c>
      <c r="M12" s="82">
        <v>19.293749999999999</v>
      </c>
      <c r="N12" s="73">
        <v>20</v>
      </c>
      <c r="O12" s="65">
        <v>7000</v>
      </c>
      <c r="P12" s="66">
        <f>Table22457891011234567891011121314151617181920212223[[#This Row],[PEMBULATAN]]*O12</f>
        <v>140000</v>
      </c>
    </row>
    <row r="13" spans="1:16" ht="26.25" customHeight="1" x14ac:dyDescent="0.2">
      <c r="A13" s="14"/>
      <c r="B13" s="14"/>
      <c r="C13" s="74" t="s">
        <v>586</v>
      </c>
      <c r="D13" s="79" t="s">
        <v>90</v>
      </c>
      <c r="E13" s="13">
        <v>44457</v>
      </c>
      <c r="F13" s="77" t="s">
        <v>91</v>
      </c>
      <c r="G13" s="13">
        <v>44460.548611111109</v>
      </c>
      <c r="H13" s="78" t="s">
        <v>573</v>
      </c>
      <c r="I13" s="16">
        <v>89</v>
      </c>
      <c r="J13" s="16">
        <v>50</v>
      </c>
      <c r="K13" s="16">
        <v>26</v>
      </c>
      <c r="L13" s="16">
        <v>11</v>
      </c>
      <c r="M13" s="82">
        <v>28.925000000000001</v>
      </c>
      <c r="N13" s="73">
        <v>29</v>
      </c>
      <c r="O13" s="65">
        <v>7000</v>
      </c>
      <c r="P13" s="66">
        <f>Table22457891011234567891011121314151617181920212223[[#This Row],[PEMBULATAN]]*O13</f>
        <v>203000</v>
      </c>
    </row>
    <row r="14" spans="1:16" ht="26.25" customHeight="1" x14ac:dyDescent="0.2">
      <c r="A14" s="14"/>
      <c r="B14" s="14"/>
      <c r="C14" s="74" t="s">
        <v>587</v>
      </c>
      <c r="D14" s="79" t="s">
        <v>90</v>
      </c>
      <c r="E14" s="13">
        <v>44457</v>
      </c>
      <c r="F14" s="77" t="s">
        <v>91</v>
      </c>
      <c r="G14" s="13">
        <v>44460.548611111109</v>
      </c>
      <c r="H14" s="78" t="s">
        <v>573</v>
      </c>
      <c r="I14" s="16">
        <v>266</v>
      </c>
      <c r="J14" s="16">
        <v>20</v>
      </c>
      <c r="K14" s="16">
        <v>47</v>
      </c>
      <c r="L14" s="16">
        <v>10</v>
      </c>
      <c r="M14" s="82">
        <v>62.51</v>
      </c>
      <c r="N14" s="73">
        <v>63</v>
      </c>
      <c r="O14" s="65">
        <v>7000</v>
      </c>
      <c r="P14" s="66">
        <f>Table22457891011234567891011121314151617181920212223[[#This Row],[PEMBULATAN]]*O14</f>
        <v>441000</v>
      </c>
    </row>
    <row r="15" spans="1:16" ht="26.25" customHeight="1" x14ac:dyDescent="0.2">
      <c r="A15" s="14"/>
      <c r="B15" s="14"/>
      <c r="C15" s="74" t="s">
        <v>588</v>
      </c>
      <c r="D15" s="79" t="s">
        <v>90</v>
      </c>
      <c r="E15" s="13">
        <v>44457</v>
      </c>
      <c r="F15" s="77" t="s">
        <v>91</v>
      </c>
      <c r="G15" s="13">
        <v>44460.548611111109</v>
      </c>
      <c r="H15" s="78" t="s">
        <v>573</v>
      </c>
      <c r="I15" s="16">
        <v>67</v>
      </c>
      <c r="J15" s="16">
        <v>57</v>
      </c>
      <c r="K15" s="16">
        <v>29</v>
      </c>
      <c r="L15" s="16">
        <v>9</v>
      </c>
      <c r="M15" s="82">
        <v>27.687750000000001</v>
      </c>
      <c r="N15" s="73">
        <v>28</v>
      </c>
      <c r="O15" s="65">
        <v>7000</v>
      </c>
      <c r="P15" s="66">
        <f>Table22457891011234567891011121314151617181920212223[[#This Row],[PEMBULATAN]]*O15</f>
        <v>196000</v>
      </c>
    </row>
    <row r="16" spans="1:16" ht="26.25" customHeight="1" x14ac:dyDescent="0.2">
      <c r="A16" s="14"/>
      <c r="B16" s="104"/>
      <c r="C16" s="74" t="s">
        <v>589</v>
      </c>
      <c r="D16" s="79" t="s">
        <v>90</v>
      </c>
      <c r="E16" s="13">
        <v>44457</v>
      </c>
      <c r="F16" s="77" t="s">
        <v>91</v>
      </c>
      <c r="G16" s="13">
        <v>44460.548611111109</v>
      </c>
      <c r="H16" s="78" t="s">
        <v>573</v>
      </c>
      <c r="I16" s="16">
        <v>28</v>
      </c>
      <c r="J16" s="16">
        <v>31</v>
      </c>
      <c r="K16" s="16">
        <v>19</v>
      </c>
      <c r="L16" s="16">
        <v>10</v>
      </c>
      <c r="M16" s="82">
        <v>4.1230000000000002</v>
      </c>
      <c r="N16" s="73">
        <v>10</v>
      </c>
      <c r="O16" s="65">
        <v>7000</v>
      </c>
      <c r="P16" s="66">
        <f>Table22457891011234567891011121314151617181920212223[[#This Row],[PEMBULATAN]]*O16</f>
        <v>70000</v>
      </c>
    </row>
    <row r="17" spans="1:16" ht="26.25" customHeight="1" x14ac:dyDescent="0.2">
      <c r="A17" s="14"/>
      <c r="B17" s="14" t="s">
        <v>590</v>
      </c>
      <c r="C17" s="74" t="s">
        <v>591</v>
      </c>
      <c r="D17" s="79" t="s">
        <v>90</v>
      </c>
      <c r="E17" s="13">
        <v>44457</v>
      </c>
      <c r="F17" s="77" t="s">
        <v>91</v>
      </c>
      <c r="G17" s="13">
        <v>44460.548611111109</v>
      </c>
      <c r="H17" s="78" t="s">
        <v>573</v>
      </c>
      <c r="I17" s="16">
        <v>50</v>
      </c>
      <c r="J17" s="16">
        <v>43</v>
      </c>
      <c r="K17" s="16">
        <v>40</v>
      </c>
      <c r="L17" s="16">
        <v>12</v>
      </c>
      <c r="M17" s="82">
        <v>21.5</v>
      </c>
      <c r="N17" s="73">
        <v>22</v>
      </c>
      <c r="O17" s="65">
        <v>7000</v>
      </c>
      <c r="P17" s="66">
        <f>Table22457891011234567891011121314151617181920212223[[#This Row],[PEMBULATAN]]*O17</f>
        <v>154000</v>
      </c>
    </row>
    <row r="18" spans="1:16" ht="22.5" customHeight="1" x14ac:dyDescent="0.2">
      <c r="A18" s="136" t="s">
        <v>30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8"/>
      <c r="M18" s="80">
        <f>SUBTOTAL(109,Table22457891011234567891011121314151617181920212223[KG VOLUME])</f>
        <v>311.93399999999997</v>
      </c>
      <c r="N18" s="69">
        <f>SUM(N3:N17)</f>
        <v>327</v>
      </c>
      <c r="O18" s="139">
        <f>SUM(P3:P17)</f>
        <v>2289000</v>
      </c>
      <c r="P18" s="140"/>
    </row>
    <row r="19" spans="1:16" ht="18" customHeight="1" x14ac:dyDescent="0.2">
      <c r="A19" s="87"/>
      <c r="B19" s="57" t="s">
        <v>42</v>
      </c>
      <c r="C19" s="56"/>
      <c r="D19" s="58" t="s">
        <v>43</v>
      </c>
      <c r="E19" s="87"/>
      <c r="F19" s="87"/>
      <c r="G19" s="87"/>
      <c r="H19" s="87"/>
      <c r="I19" s="87"/>
      <c r="J19" s="87"/>
      <c r="K19" s="87"/>
      <c r="L19" s="87"/>
      <c r="M19" s="88"/>
      <c r="N19" s="89" t="s">
        <v>52</v>
      </c>
      <c r="O19" s="90"/>
      <c r="P19" s="90">
        <v>0</v>
      </c>
    </row>
    <row r="20" spans="1:16" ht="18" customHeight="1" thickBot="1" x14ac:dyDescent="0.25">
      <c r="A20" s="87"/>
      <c r="B20" s="57"/>
      <c r="C20" s="56"/>
      <c r="D20" s="58"/>
      <c r="E20" s="87"/>
      <c r="F20" s="87"/>
      <c r="G20" s="87"/>
      <c r="H20" s="87"/>
      <c r="I20" s="87"/>
      <c r="J20" s="87"/>
      <c r="K20" s="87"/>
      <c r="L20" s="87"/>
      <c r="M20" s="88"/>
      <c r="N20" s="91" t="s">
        <v>53</v>
      </c>
      <c r="O20" s="92"/>
      <c r="P20" s="92">
        <f>O18-P19</f>
        <v>2289000</v>
      </c>
    </row>
    <row r="21" spans="1:16" ht="18" customHeight="1" x14ac:dyDescent="0.2">
      <c r="A21" s="11"/>
      <c r="H21" s="64"/>
      <c r="N21" s="63" t="s">
        <v>31</v>
      </c>
      <c r="P21" s="70">
        <f>P20*1%</f>
        <v>22890</v>
      </c>
    </row>
    <row r="22" spans="1:16" ht="18" customHeight="1" thickBot="1" x14ac:dyDescent="0.25">
      <c r="A22" s="11"/>
      <c r="H22" s="64"/>
      <c r="N22" s="63" t="s">
        <v>54</v>
      </c>
      <c r="P22" s="72">
        <f>P20*2%</f>
        <v>45780</v>
      </c>
    </row>
    <row r="23" spans="1:16" ht="18" customHeight="1" x14ac:dyDescent="0.2">
      <c r="A23" s="11"/>
      <c r="H23" s="64"/>
      <c r="N23" s="67" t="s">
        <v>32</v>
      </c>
      <c r="O23" s="68"/>
      <c r="P23" s="71">
        <f>P20+P21-P22</f>
        <v>2266110</v>
      </c>
    </row>
    <row r="25" spans="1:16" x14ac:dyDescent="0.2">
      <c r="A25" s="11"/>
      <c r="H25" s="64"/>
      <c r="P25" s="72"/>
    </row>
    <row r="26" spans="1:16" x14ac:dyDescent="0.2">
      <c r="A26" s="11"/>
      <c r="H26" s="64"/>
      <c r="O26" s="59"/>
      <c r="P26" s="72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250" priority="2"/>
  </conditionalFormatting>
  <conditionalFormatting sqref="B4">
    <cfRule type="duplicateValues" dxfId="249" priority="1"/>
  </conditionalFormatting>
  <conditionalFormatting sqref="B5:B17">
    <cfRule type="duplicateValues" dxfId="248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2.5" customHeight="1" x14ac:dyDescent="0.2">
      <c r="A3" s="98" t="s">
        <v>921</v>
      </c>
      <c r="B3" s="75" t="s">
        <v>592</v>
      </c>
      <c r="C3" s="9" t="s">
        <v>593</v>
      </c>
      <c r="D3" s="77" t="s">
        <v>90</v>
      </c>
      <c r="E3" s="13">
        <v>44458</v>
      </c>
      <c r="F3" s="77" t="s">
        <v>91</v>
      </c>
      <c r="G3" s="13">
        <v>44460.548611111109</v>
      </c>
      <c r="H3" s="10" t="s">
        <v>573</v>
      </c>
      <c r="I3" s="1">
        <v>37</v>
      </c>
      <c r="J3" s="1">
        <v>29</v>
      </c>
      <c r="K3" s="1">
        <v>20</v>
      </c>
      <c r="L3" s="1">
        <v>8</v>
      </c>
      <c r="M3" s="81">
        <v>5.3650000000000002</v>
      </c>
      <c r="N3" s="8">
        <v>8</v>
      </c>
      <c r="O3" s="65">
        <v>7000</v>
      </c>
      <c r="P3" s="66">
        <f>Table2245789101123456789101112131415161718192021222324[[#This Row],[PEMBULATAN]]*O3</f>
        <v>56000</v>
      </c>
    </row>
    <row r="4" spans="1:16" ht="22.5" customHeight="1" x14ac:dyDescent="0.2">
      <c r="A4" s="14"/>
      <c r="B4" s="76"/>
      <c r="C4" s="9" t="s">
        <v>594</v>
      </c>
      <c r="D4" s="77" t="s">
        <v>90</v>
      </c>
      <c r="E4" s="13">
        <v>44458</v>
      </c>
      <c r="F4" s="77" t="s">
        <v>91</v>
      </c>
      <c r="G4" s="13">
        <v>44460.548611111109</v>
      </c>
      <c r="H4" s="10" t="s">
        <v>573</v>
      </c>
      <c r="I4" s="1">
        <v>30</v>
      </c>
      <c r="J4" s="1">
        <v>32</v>
      </c>
      <c r="K4" s="1">
        <v>30</v>
      </c>
      <c r="L4" s="1">
        <v>5</v>
      </c>
      <c r="M4" s="81">
        <v>7.2</v>
      </c>
      <c r="N4" s="8">
        <v>7</v>
      </c>
      <c r="O4" s="65">
        <v>7000</v>
      </c>
      <c r="P4" s="66">
        <f>Table2245789101123456789101112131415161718192021222324[[#This Row],[PEMBULATAN]]*O4</f>
        <v>49000</v>
      </c>
    </row>
    <row r="5" spans="1:16" ht="22.5" customHeight="1" x14ac:dyDescent="0.2">
      <c r="A5" s="14"/>
      <c r="B5" s="14"/>
      <c r="C5" s="9" t="s">
        <v>595</v>
      </c>
      <c r="D5" s="77" t="s">
        <v>90</v>
      </c>
      <c r="E5" s="13">
        <v>44458</v>
      </c>
      <c r="F5" s="77" t="s">
        <v>91</v>
      </c>
      <c r="G5" s="13">
        <v>44460.548611111109</v>
      </c>
      <c r="H5" s="10" t="s">
        <v>573</v>
      </c>
      <c r="I5" s="1">
        <v>47</v>
      </c>
      <c r="J5" s="1">
        <v>47</v>
      </c>
      <c r="K5" s="1">
        <v>40</v>
      </c>
      <c r="L5" s="1">
        <v>15</v>
      </c>
      <c r="M5" s="81">
        <v>22.09</v>
      </c>
      <c r="N5" s="8">
        <v>22</v>
      </c>
      <c r="O5" s="65">
        <v>7000</v>
      </c>
      <c r="P5" s="66">
        <f>Table2245789101123456789101112131415161718192021222324[[#This Row],[PEMBULATAN]]*O5</f>
        <v>154000</v>
      </c>
    </row>
    <row r="6" spans="1:16" ht="22.5" customHeight="1" x14ac:dyDescent="0.2">
      <c r="A6" s="14"/>
      <c r="B6" s="14"/>
      <c r="C6" s="74" t="s">
        <v>596</v>
      </c>
      <c r="D6" s="79" t="s">
        <v>90</v>
      </c>
      <c r="E6" s="13">
        <v>44458</v>
      </c>
      <c r="F6" s="77" t="s">
        <v>91</v>
      </c>
      <c r="G6" s="13">
        <v>44460.548611111109</v>
      </c>
      <c r="H6" s="78" t="s">
        <v>573</v>
      </c>
      <c r="I6" s="16">
        <v>50</v>
      </c>
      <c r="J6" s="16">
        <v>35</v>
      </c>
      <c r="K6" s="16">
        <v>36</v>
      </c>
      <c r="L6" s="16">
        <v>20</v>
      </c>
      <c r="M6" s="82">
        <v>15.75</v>
      </c>
      <c r="N6" s="73">
        <v>20</v>
      </c>
      <c r="O6" s="65">
        <v>7000</v>
      </c>
      <c r="P6" s="66">
        <f>Table2245789101123456789101112131415161718192021222324[[#This Row],[PEMBULATAN]]*O6</f>
        <v>140000</v>
      </c>
    </row>
    <row r="7" spans="1:16" ht="22.5" customHeight="1" x14ac:dyDescent="0.2">
      <c r="A7" s="14"/>
      <c r="B7" s="14"/>
      <c r="C7" s="74" t="s">
        <v>597</v>
      </c>
      <c r="D7" s="79" t="s">
        <v>90</v>
      </c>
      <c r="E7" s="13">
        <v>44458</v>
      </c>
      <c r="F7" s="77" t="s">
        <v>91</v>
      </c>
      <c r="G7" s="13">
        <v>44460.548611111109</v>
      </c>
      <c r="H7" s="78" t="s">
        <v>573</v>
      </c>
      <c r="I7" s="16">
        <v>50</v>
      </c>
      <c r="J7" s="16">
        <v>35</v>
      </c>
      <c r="K7" s="16">
        <v>36</v>
      </c>
      <c r="L7" s="16">
        <v>20</v>
      </c>
      <c r="M7" s="82">
        <v>15.75</v>
      </c>
      <c r="N7" s="73">
        <v>20</v>
      </c>
      <c r="O7" s="65">
        <v>7000</v>
      </c>
      <c r="P7" s="66">
        <f>Table2245789101123456789101112131415161718192021222324[[#This Row],[PEMBULATAN]]*O7</f>
        <v>140000</v>
      </c>
    </row>
    <row r="8" spans="1:16" ht="22.5" customHeight="1" x14ac:dyDescent="0.2">
      <c r="A8" s="14"/>
      <c r="B8" s="14"/>
      <c r="C8" s="74" t="s">
        <v>598</v>
      </c>
      <c r="D8" s="79" t="s">
        <v>90</v>
      </c>
      <c r="E8" s="13">
        <v>44458</v>
      </c>
      <c r="F8" s="77" t="s">
        <v>91</v>
      </c>
      <c r="G8" s="13">
        <v>44460.548611111109</v>
      </c>
      <c r="H8" s="78" t="s">
        <v>573</v>
      </c>
      <c r="I8" s="16">
        <v>78</v>
      </c>
      <c r="J8" s="16">
        <v>50</v>
      </c>
      <c r="K8" s="16">
        <v>68</v>
      </c>
      <c r="L8" s="16">
        <v>44</v>
      </c>
      <c r="M8" s="82">
        <v>66.3</v>
      </c>
      <c r="N8" s="73">
        <v>67</v>
      </c>
      <c r="O8" s="65">
        <v>7000</v>
      </c>
      <c r="P8" s="66">
        <f>Table2245789101123456789101112131415161718192021222324[[#This Row],[PEMBULATAN]]*O8</f>
        <v>469000</v>
      </c>
    </row>
    <row r="9" spans="1:16" ht="22.5" customHeight="1" x14ac:dyDescent="0.2">
      <c r="A9" s="14"/>
      <c r="B9" s="14"/>
      <c r="C9" s="74" t="s">
        <v>599</v>
      </c>
      <c r="D9" s="79" t="s">
        <v>90</v>
      </c>
      <c r="E9" s="13">
        <v>44458</v>
      </c>
      <c r="F9" s="77" t="s">
        <v>91</v>
      </c>
      <c r="G9" s="13">
        <v>44460.548611111109</v>
      </c>
      <c r="H9" s="78" t="s">
        <v>573</v>
      </c>
      <c r="I9" s="16">
        <v>82</v>
      </c>
      <c r="J9" s="16">
        <v>39</v>
      </c>
      <c r="K9" s="16">
        <v>25</v>
      </c>
      <c r="L9" s="16">
        <v>12</v>
      </c>
      <c r="M9" s="82">
        <v>19.987500000000001</v>
      </c>
      <c r="N9" s="73">
        <v>20</v>
      </c>
      <c r="O9" s="65">
        <v>7000</v>
      </c>
      <c r="P9" s="66">
        <f>Table2245789101123456789101112131415161718192021222324[[#This Row],[PEMBULATAN]]*O9</f>
        <v>140000</v>
      </c>
    </row>
    <row r="10" spans="1:16" ht="22.5" customHeight="1" x14ac:dyDescent="0.2">
      <c r="A10" s="14"/>
      <c r="B10" s="104"/>
      <c r="C10" s="74" t="s">
        <v>600</v>
      </c>
      <c r="D10" s="79" t="s">
        <v>90</v>
      </c>
      <c r="E10" s="13">
        <v>44458</v>
      </c>
      <c r="F10" s="77" t="s">
        <v>91</v>
      </c>
      <c r="G10" s="13">
        <v>44460.548611111109</v>
      </c>
      <c r="H10" s="78" t="s">
        <v>573</v>
      </c>
      <c r="I10" s="16">
        <v>35</v>
      </c>
      <c r="J10" s="16">
        <v>30</v>
      </c>
      <c r="K10" s="16">
        <v>20</v>
      </c>
      <c r="L10" s="16">
        <v>10</v>
      </c>
      <c r="M10" s="82">
        <v>5.25</v>
      </c>
      <c r="N10" s="73">
        <v>10</v>
      </c>
      <c r="O10" s="65">
        <v>7000</v>
      </c>
      <c r="P10" s="66">
        <f>Table2245789101123456789101112131415161718192021222324[[#This Row],[PEMBULATAN]]*O10</f>
        <v>70000</v>
      </c>
    </row>
    <row r="11" spans="1:16" ht="22.5" customHeight="1" x14ac:dyDescent="0.2">
      <c r="A11" s="14"/>
      <c r="B11" s="14" t="s">
        <v>601</v>
      </c>
      <c r="C11" s="74" t="s">
        <v>602</v>
      </c>
      <c r="D11" s="79" t="s">
        <v>90</v>
      </c>
      <c r="E11" s="13">
        <v>44458</v>
      </c>
      <c r="F11" s="77" t="s">
        <v>91</v>
      </c>
      <c r="G11" s="13">
        <v>44460.548611111109</v>
      </c>
      <c r="H11" s="78" t="s">
        <v>573</v>
      </c>
      <c r="I11" s="16">
        <v>50</v>
      </c>
      <c r="J11" s="16">
        <v>46</v>
      </c>
      <c r="K11" s="16">
        <v>30</v>
      </c>
      <c r="L11" s="16">
        <v>16</v>
      </c>
      <c r="M11" s="82">
        <v>17.25</v>
      </c>
      <c r="N11" s="73">
        <v>17</v>
      </c>
      <c r="O11" s="65">
        <v>7000</v>
      </c>
      <c r="P11" s="66">
        <f>Table2245789101123456789101112131415161718192021222324[[#This Row],[PEMBULATAN]]*O11</f>
        <v>119000</v>
      </c>
    </row>
    <row r="12" spans="1:16" ht="22.5" customHeight="1" x14ac:dyDescent="0.2">
      <c r="A12" s="14"/>
      <c r="B12" s="14"/>
      <c r="C12" s="74" t="s">
        <v>603</v>
      </c>
      <c r="D12" s="79" t="s">
        <v>90</v>
      </c>
      <c r="E12" s="13">
        <v>44458</v>
      </c>
      <c r="F12" s="77" t="s">
        <v>91</v>
      </c>
      <c r="G12" s="13">
        <v>44460.548611111109</v>
      </c>
      <c r="H12" s="78" t="s">
        <v>573</v>
      </c>
      <c r="I12" s="16">
        <v>55</v>
      </c>
      <c r="J12" s="16">
        <v>20</v>
      </c>
      <c r="K12" s="16">
        <v>40</v>
      </c>
      <c r="L12" s="16">
        <v>6</v>
      </c>
      <c r="M12" s="82">
        <v>11</v>
      </c>
      <c r="N12" s="73">
        <v>11</v>
      </c>
      <c r="O12" s="65">
        <v>7000</v>
      </c>
      <c r="P12" s="66">
        <f>Table2245789101123456789101112131415161718192021222324[[#This Row],[PEMBULATAN]]*O12</f>
        <v>77000</v>
      </c>
    </row>
    <row r="13" spans="1:16" ht="22.5" customHeight="1" x14ac:dyDescent="0.2">
      <c r="A13" s="14"/>
      <c r="B13" s="14"/>
      <c r="C13" s="74" t="s">
        <v>604</v>
      </c>
      <c r="D13" s="79" t="s">
        <v>90</v>
      </c>
      <c r="E13" s="13">
        <v>44458</v>
      </c>
      <c r="F13" s="77" t="s">
        <v>91</v>
      </c>
      <c r="G13" s="13">
        <v>44460.548611111109</v>
      </c>
      <c r="H13" s="78" t="s">
        <v>573</v>
      </c>
      <c r="I13" s="16">
        <v>52</v>
      </c>
      <c r="J13" s="16">
        <v>60</v>
      </c>
      <c r="K13" s="16">
        <v>28</v>
      </c>
      <c r="L13" s="16">
        <v>12</v>
      </c>
      <c r="M13" s="82">
        <v>21.84</v>
      </c>
      <c r="N13" s="73">
        <v>22</v>
      </c>
      <c r="O13" s="65">
        <v>7000</v>
      </c>
      <c r="P13" s="66">
        <f>Table2245789101123456789101112131415161718192021222324[[#This Row],[PEMBULATAN]]*O13</f>
        <v>154000</v>
      </c>
    </row>
    <row r="14" spans="1:16" ht="22.5" customHeight="1" x14ac:dyDescent="0.2">
      <c r="A14" s="14"/>
      <c r="B14" s="14"/>
      <c r="C14" s="74" t="s">
        <v>605</v>
      </c>
      <c r="D14" s="79" t="s">
        <v>90</v>
      </c>
      <c r="E14" s="13">
        <v>44458</v>
      </c>
      <c r="F14" s="77" t="s">
        <v>91</v>
      </c>
      <c r="G14" s="13">
        <v>44460.548611111109</v>
      </c>
      <c r="H14" s="78" t="s">
        <v>573</v>
      </c>
      <c r="I14" s="16">
        <v>45</v>
      </c>
      <c r="J14" s="16">
        <v>38</v>
      </c>
      <c r="K14" s="16">
        <v>42</v>
      </c>
      <c r="L14" s="16">
        <v>12</v>
      </c>
      <c r="M14" s="82">
        <v>17.954999999999998</v>
      </c>
      <c r="N14" s="73">
        <v>18</v>
      </c>
      <c r="O14" s="65">
        <v>7000</v>
      </c>
      <c r="P14" s="66">
        <f>Table2245789101123456789101112131415161718192021222324[[#This Row],[PEMBULATAN]]*O14</f>
        <v>126000</v>
      </c>
    </row>
    <row r="15" spans="1:16" ht="22.5" customHeight="1" x14ac:dyDescent="0.2">
      <c r="A15" s="14"/>
      <c r="B15" s="14"/>
      <c r="C15" s="74" t="s">
        <v>606</v>
      </c>
      <c r="D15" s="79" t="s">
        <v>90</v>
      </c>
      <c r="E15" s="13">
        <v>44458</v>
      </c>
      <c r="F15" s="77" t="s">
        <v>91</v>
      </c>
      <c r="G15" s="13">
        <v>44460.548611111109</v>
      </c>
      <c r="H15" s="78" t="s">
        <v>573</v>
      </c>
      <c r="I15" s="16">
        <v>30</v>
      </c>
      <c r="J15" s="16">
        <v>35</v>
      </c>
      <c r="K15" s="16">
        <v>60</v>
      </c>
      <c r="L15" s="16">
        <v>15</v>
      </c>
      <c r="M15" s="82">
        <v>15.75</v>
      </c>
      <c r="N15" s="73">
        <v>16</v>
      </c>
      <c r="O15" s="65">
        <v>7000</v>
      </c>
      <c r="P15" s="66">
        <f>Table2245789101123456789101112131415161718192021222324[[#This Row],[PEMBULATAN]]*O15</f>
        <v>112000</v>
      </c>
    </row>
    <row r="16" spans="1:16" ht="22.5" customHeight="1" x14ac:dyDescent="0.2">
      <c r="A16" s="14"/>
      <c r="B16" s="14"/>
      <c r="C16" s="74" t="s">
        <v>607</v>
      </c>
      <c r="D16" s="79" t="s">
        <v>90</v>
      </c>
      <c r="E16" s="13">
        <v>44458</v>
      </c>
      <c r="F16" s="77" t="s">
        <v>91</v>
      </c>
      <c r="G16" s="13">
        <v>44460.548611111109</v>
      </c>
      <c r="H16" s="78" t="s">
        <v>573</v>
      </c>
      <c r="I16" s="16">
        <v>47</v>
      </c>
      <c r="J16" s="16">
        <v>25</v>
      </c>
      <c r="K16" s="16">
        <v>28</v>
      </c>
      <c r="L16" s="16">
        <v>6</v>
      </c>
      <c r="M16" s="82">
        <v>8.2249999999999996</v>
      </c>
      <c r="N16" s="73">
        <v>8</v>
      </c>
      <c r="O16" s="65">
        <v>7000</v>
      </c>
      <c r="P16" s="66">
        <f>Table2245789101123456789101112131415161718192021222324[[#This Row],[PEMBULATAN]]*O16</f>
        <v>56000</v>
      </c>
    </row>
    <row r="17" spans="1:16" ht="22.5" customHeight="1" x14ac:dyDescent="0.2">
      <c r="A17" s="14"/>
      <c r="B17" s="14"/>
      <c r="C17" s="74" t="s">
        <v>608</v>
      </c>
      <c r="D17" s="79" t="s">
        <v>90</v>
      </c>
      <c r="E17" s="13">
        <v>44458</v>
      </c>
      <c r="F17" s="77" t="s">
        <v>91</v>
      </c>
      <c r="G17" s="13">
        <v>44460.548611111109</v>
      </c>
      <c r="H17" s="78" t="s">
        <v>573</v>
      </c>
      <c r="I17" s="16">
        <v>30</v>
      </c>
      <c r="J17" s="16">
        <v>36</v>
      </c>
      <c r="K17" s="16">
        <v>17</v>
      </c>
      <c r="L17" s="16">
        <v>4</v>
      </c>
      <c r="M17" s="82">
        <v>4.59</v>
      </c>
      <c r="N17" s="73">
        <v>5</v>
      </c>
      <c r="O17" s="65">
        <v>7000</v>
      </c>
      <c r="P17" s="66">
        <f>Table2245789101123456789101112131415161718192021222324[[#This Row],[PEMBULATAN]]*O17</f>
        <v>35000</v>
      </c>
    </row>
    <row r="18" spans="1:16" ht="22.5" customHeight="1" x14ac:dyDescent="0.2">
      <c r="A18" s="14"/>
      <c r="B18" s="14"/>
      <c r="C18" s="74" t="s">
        <v>609</v>
      </c>
      <c r="D18" s="79" t="s">
        <v>90</v>
      </c>
      <c r="E18" s="13">
        <v>44458</v>
      </c>
      <c r="F18" s="77" t="s">
        <v>91</v>
      </c>
      <c r="G18" s="13">
        <v>44460.548611111109</v>
      </c>
      <c r="H18" s="78" t="s">
        <v>573</v>
      </c>
      <c r="I18" s="16">
        <v>35</v>
      </c>
      <c r="J18" s="16">
        <v>20</v>
      </c>
      <c r="K18" s="16">
        <v>15</v>
      </c>
      <c r="L18" s="16">
        <v>4</v>
      </c>
      <c r="M18" s="82">
        <v>2.625</v>
      </c>
      <c r="N18" s="73">
        <v>4</v>
      </c>
      <c r="O18" s="65">
        <v>7000</v>
      </c>
      <c r="P18" s="66">
        <f>Table2245789101123456789101112131415161718192021222324[[#This Row],[PEMBULATAN]]*O18</f>
        <v>28000</v>
      </c>
    </row>
    <row r="19" spans="1:16" ht="22.5" customHeight="1" x14ac:dyDescent="0.2">
      <c r="A19" s="14"/>
      <c r="B19" s="14"/>
      <c r="C19" s="74" t="s">
        <v>610</v>
      </c>
      <c r="D19" s="79" t="s">
        <v>90</v>
      </c>
      <c r="E19" s="13">
        <v>44458</v>
      </c>
      <c r="F19" s="77" t="s">
        <v>91</v>
      </c>
      <c r="G19" s="13">
        <v>44460.548611111109</v>
      </c>
      <c r="H19" s="78" t="s">
        <v>573</v>
      </c>
      <c r="I19" s="16">
        <v>75</v>
      </c>
      <c r="J19" s="16">
        <v>25</v>
      </c>
      <c r="K19" s="16">
        <v>25</v>
      </c>
      <c r="L19" s="16">
        <v>10</v>
      </c>
      <c r="M19" s="82">
        <v>11.71875</v>
      </c>
      <c r="N19" s="73">
        <v>12</v>
      </c>
      <c r="O19" s="65">
        <v>7000</v>
      </c>
      <c r="P19" s="66">
        <f>Table2245789101123456789101112131415161718192021222324[[#This Row],[PEMBULATAN]]*O19</f>
        <v>84000</v>
      </c>
    </row>
    <row r="20" spans="1:16" ht="22.5" customHeight="1" x14ac:dyDescent="0.2">
      <c r="A20" s="14"/>
      <c r="B20" s="14"/>
      <c r="C20" s="74" t="s">
        <v>611</v>
      </c>
      <c r="D20" s="79" t="s">
        <v>90</v>
      </c>
      <c r="E20" s="13">
        <v>44458</v>
      </c>
      <c r="F20" s="77" t="s">
        <v>91</v>
      </c>
      <c r="G20" s="13">
        <v>44460.548611111109</v>
      </c>
      <c r="H20" s="78" t="s">
        <v>573</v>
      </c>
      <c r="I20" s="16">
        <v>46</v>
      </c>
      <c r="J20" s="16">
        <v>25</v>
      </c>
      <c r="K20" s="16">
        <v>62</v>
      </c>
      <c r="L20" s="16">
        <v>9</v>
      </c>
      <c r="M20" s="82">
        <v>17.824999999999999</v>
      </c>
      <c r="N20" s="73">
        <v>18</v>
      </c>
      <c r="O20" s="65">
        <v>7000</v>
      </c>
      <c r="P20" s="66">
        <f>Table2245789101123456789101112131415161718192021222324[[#This Row],[PEMBULATAN]]*O20</f>
        <v>126000</v>
      </c>
    </row>
    <row r="21" spans="1:16" ht="22.5" customHeight="1" x14ac:dyDescent="0.2">
      <c r="A21" s="14"/>
      <c r="B21" s="14"/>
      <c r="C21" s="74" t="s">
        <v>612</v>
      </c>
      <c r="D21" s="79" t="s">
        <v>90</v>
      </c>
      <c r="E21" s="13">
        <v>44458</v>
      </c>
      <c r="F21" s="77" t="s">
        <v>91</v>
      </c>
      <c r="G21" s="13">
        <v>44460.548611111109</v>
      </c>
      <c r="H21" s="78" t="s">
        <v>573</v>
      </c>
      <c r="I21" s="16">
        <v>38</v>
      </c>
      <c r="J21" s="16">
        <v>34</v>
      </c>
      <c r="K21" s="16">
        <v>18</v>
      </c>
      <c r="L21" s="16">
        <v>1</v>
      </c>
      <c r="M21" s="82">
        <v>5.8140000000000001</v>
      </c>
      <c r="N21" s="73">
        <v>6</v>
      </c>
      <c r="O21" s="65">
        <v>7000</v>
      </c>
      <c r="P21" s="66">
        <f>Table2245789101123456789101112131415161718192021222324[[#This Row],[PEMBULATAN]]*O21</f>
        <v>42000</v>
      </c>
    </row>
    <row r="22" spans="1:16" ht="22.5" customHeight="1" x14ac:dyDescent="0.2">
      <c r="A22" s="14"/>
      <c r="B22" s="14"/>
      <c r="C22" s="74" t="s">
        <v>613</v>
      </c>
      <c r="D22" s="79" t="s">
        <v>90</v>
      </c>
      <c r="E22" s="13">
        <v>44458</v>
      </c>
      <c r="F22" s="77" t="s">
        <v>91</v>
      </c>
      <c r="G22" s="13">
        <v>44460.548611111109</v>
      </c>
      <c r="H22" s="78" t="s">
        <v>573</v>
      </c>
      <c r="I22" s="16">
        <v>55</v>
      </c>
      <c r="J22" s="16">
        <v>40</v>
      </c>
      <c r="K22" s="16">
        <v>40</v>
      </c>
      <c r="L22" s="16">
        <v>11</v>
      </c>
      <c r="M22" s="82">
        <v>22</v>
      </c>
      <c r="N22" s="73">
        <v>22</v>
      </c>
      <c r="O22" s="65">
        <v>7000</v>
      </c>
      <c r="P22" s="66">
        <f>Table2245789101123456789101112131415161718192021222324[[#This Row],[PEMBULATAN]]*O22</f>
        <v>154000</v>
      </c>
    </row>
    <row r="23" spans="1:16" ht="22.5" customHeight="1" x14ac:dyDescent="0.2">
      <c r="A23" s="14"/>
      <c r="B23" s="14"/>
      <c r="C23" s="74" t="s">
        <v>614</v>
      </c>
      <c r="D23" s="79" t="s">
        <v>90</v>
      </c>
      <c r="E23" s="13">
        <v>44458</v>
      </c>
      <c r="F23" s="77" t="s">
        <v>91</v>
      </c>
      <c r="G23" s="13">
        <v>44460.548611111109</v>
      </c>
      <c r="H23" s="78" t="s">
        <v>573</v>
      </c>
      <c r="I23" s="16">
        <v>50</v>
      </c>
      <c r="J23" s="16">
        <v>40</v>
      </c>
      <c r="K23" s="16">
        <v>15</v>
      </c>
      <c r="L23" s="16">
        <v>12</v>
      </c>
      <c r="M23" s="82">
        <v>7.5</v>
      </c>
      <c r="N23" s="73">
        <v>12</v>
      </c>
      <c r="O23" s="65">
        <v>7000</v>
      </c>
      <c r="P23" s="66">
        <f>Table2245789101123456789101112131415161718192021222324[[#This Row],[PEMBULATAN]]*O23</f>
        <v>84000</v>
      </c>
    </row>
    <row r="24" spans="1:16" ht="22.5" customHeight="1" x14ac:dyDescent="0.2">
      <c r="A24" s="14"/>
      <c r="B24" s="14"/>
      <c r="C24" s="74" t="s">
        <v>615</v>
      </c>
      <c r="D24" s="79" t="s">
        <v>90</v>
      </c>
      <c r="E24" s="13">
        <v>44458</v>
      </c>
      <c r="F24" s="77" t="s">
        <v>91</v>
      </c>
      <c r="G24" s="13">
        <v>44460.548611111109</v>
      </c>
      <c r="H24" s="78" t="s">
        <v>573</v>
      </c>
      <c r="I24" s="16">
        <v>56</v>
      </c>
      <c r="J24" s="16">
        <v>37</v>
      </c>
      <c r="K24" s="16">
        <v>18</v>
      </c>
      <c r="L24" s="16">
        <v>6</v>
      </c>
      <c r="M24" s="82">
        <v>9.3239999999999998</v>
      </c>
      <c r="N24" s="73">
        <v>10</v>
      </c>
      <c r="O24" s="65">
        <v>7000</v>
      </c>
      <c r="P24" s="66">
        <f>Table2245789101123456789101112131415161718192021222324[[#This Row],[PEMBULATAN]]*O24</f>
        <v>70000</v>
      </c>
    </row>
    <row r="25" spans="1:16" ht="22.5" customHeight="1" x14ac:dyDescent="0.2">
      <c r="A25" s="14"/>
      <c r="B25" s="14" t="s">
        <v>616</v>
      </c>
      <c r="C25" s="74" t="s">
        <v>617</v>
      </c>
      <c r="D25" s="79" t="s">
        <v>90</v>
      </c>
      <c r="E25" s="13">
        <v>44458</v>
      </c>
      <c r="F25" s="77" t="s">
        <v>91</v>
      </c>
      <c r="G25" s="13">
        <v>44460.548611111109</v>
      </c>
      <c r="H25" s="78" t="s">
        <v>573</v>
      </c>
      <c r="I25" s="16">
        <v>37</v>
      </c>
      <c r="J25" s="16">
        <v>37</v>
      </c>
      <c r="K25" s="16">
        <v>29</v>
      </c>
      <c r="L25" s="16">
        <v>12</v>
      </c>
      <c r="M25" s="82">
        <v>9.9252500000000001</v>
      </c>
      <c r="N25" s="73">
        <v>12</v>
      </c>
      <c r="O25" s="65">
        <v>7000</v>
      </c>
      <c r="P25" s="66">
        <f>Table2245789101123456789101112131415161718192021222324[[#This Row],[PEMBULATAN]]*O25</f>
        <v>84000</v>
      </c>
    </row>
    <row r="26" spans="1:16" ht="22.5" customHeight="1" x14ac:dyDescent="0.2">
      <c r="A26" s="136" t="s">
        <v>30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8"/>
      <c r="M26" s="80">
        <f>SUBTOTAL(109,Table2245789101123456789101112131415161718192021222324[KG VOLUME])</f>
        <v>341.03450000000004</v>
      </c>
      <c r="N26" s="69">
        <f>SUM(N3:N25)</f>
        <v>367</v>
      </c>
      <c r="O26" s="139">
        <f>SUM(P3:P25)</f>
        <v>2569000</v>
      </c>
      <c r="P26" s="140"/>
    </row>
    <row r="27" spans="1:16" ht="18" customHeight="1" x14ac:dyDescent="0.2">
      <c r="A27" s="87"/>
      <c r="B27" s="57" t="s">
        <v>42</v>
      </c>
      <c r="C27" s="56"/>
      <c r="D27" s="58" t="s">
        <v>43</v>
      </c>
      <c r="E27" s="87"/>
      <c r="F27" s="87"/>
      <c r="G27" s="87"/>
      <c r="H27" s="87"/>
      <c r="I27" s="87"/>
      <c r="J27" s="87"/>
      <c r="K27" s="87"/>
      <c r="L27" s="87"/>
      <c r="M27" s="88"/>
      <c r="N27" s="89" t="s">
        <v>52</v>
      </c>
      <c r="O27" s="90"/>
      <c r="P27" s="90">
        <v>0</v>
      </c>
    </row>
    <row r="28" spans="1:16" ht="18" customHeight="1" thickBot="1" x14ac:dyDescent="0.25">
      <c r="A28" s="87"/>
      <c r="B28" s="57"/>
      <c r="C28" s="56"/>
      <c r="D28" s="58"/>
      <c r="E28" s="87"/>
      <c r="F28" s="87"/>
      <c r="G28" s="87"/>
      <c r="H28" s="87"/>
      <c r="I28" s="87"/>
      <c r="J28" s="87"/>
      <c r="K28" s="87"/>
      <c r="L28" s="87"/>
      <c r="M28" s="88"/>
      <c r="N28" s="91" t="s">
        <v>53</v>
      </c>
      <c r="O28" s="92"/>
      <c r="P28" s="92">
        <f>O26-P27</f>
        <v>2569000</v>
      </c>
    </row>
    <row r="29" spans="1:16" ht="18" customHeight="1" x14ac:dyDescent="0.2">
      <c r="A29" s="11"/>
      <c r="H29" s="64"/>
      <c r="N29" s="63" t="s">
        <v>31</v>
      </c>
      <c r="P29" s="70">
        <f>P28*1%</f>
        <v>25690</v>
      </c>
    </row>
    <row r="30" spans="1:16" ht="18" customHeight="1" thickBot="1" x14ac:dyDescent="0.25">
      <c r="A30" s="11"/>
      <c r="H30" s="64"/>
      <c r="N30" s="63" t="s">
        <v>54</v>
      </c>
      <c r="P30" s="72">
        <f>P28*2%</f>
        <v>51380</v>
      </c>
    </row>
    <row r="31" spans="1:16" ht="18" customHeight="1" x14ac:dyDescent="0.2">
      <c r="A31" s="11"/>
      <c r="H31" s="64"/>
      <c r="N31" s="67" t="s">
        <v>32</v>
      </c>
      <c r="O31" s="68"/>
      <c r="P31" s="71">
        <f>P28+P29-P30</f>
        <v>2543310</v>
      </c>
    </row>
    <row r="33" spans="1:16" x14ac:dyDescent="0.2">
      <c r="A33" s="11"/>
      <c r="H33" s="64"/>
      <c r="P33" s="72"/>
    </row>
    <row r="34" spans="1:16" x14ac:dyDescent="0.2">
      <c r="A34" s="11"/>
      <c r="H34" s="64"/>
      <c r="O34" s="59"/>
      <c r="P34" s="72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</sheetData>
  <mergeCells count="2">
    <mergeCell ref="A26:L26"/>
    <mergeCell ref="O26:P26"/>
  </mergeCells>
  <conditionalFormatting sqref="B3">
    <cfRule type="duplicateValues" dxfId="232" priority="2"/>
  </conditionalFormatting>
  <conditionalFormatting sqref="B4">
    <cfRule type="duplicateValues" dxfId="231" priority="1"/>
  </conditionalFormatting>
  <conditionalFormatting sqref="B5:B25">
    <cfRule type="duplicateValues" dxfId="230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O16" sqref="O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922</v>
      </c>
      <c r="B3" s="75" t="s">
        <v>618</v>
      </c>
      <c r="C3" s="9" t="s">
        <v>619</v>
      </c>
      <c r="D3" s="77" t="s">
        <v>90</v>
      </c>
      <c r="E3" s="13">
        <v>44459</v>
      </c>
      <c r="F3" s="77" t="s">
        <v>91</v>
      </c>
      <c r="G3" s="13">
        <v>44460.548611111109</v>
      </c>
      <c r="H3" s="10" t="s">
        <v>573</v>
      </c>
      <c r="I3" s="1">
        <v>60</v>
      </c>
      <c r="J3" s="1">
        <v>29</v>
      </c>
      <c r="K3" s="1">
        <v>24</v>
      </c>
      <c r="L3" s="1">
        <v>11</v>
      </c>
      <c r="M3" s="81">
        <v>10.44</v>
      </c>
      <c r="N3" s="8">
        <v>11</v>
      </c>
      <c r="O3" s="65">
        <v>7000</v>
      </c>
      <c r="P3" s="66">
        <f>Table224578910112345678910111213141516171819202122232425[[#This Row],[PEMBULATAN]]*O3</f>
        <v>77000</v>
      </c>
    </row>
    <row r="4" spans="1:16" ht="26.25" customHeight="1" x14ac:dyDescent="0.2">
      <c r="A4" s="14"/>
      <c r="B4" s="76"/>
      <c r="C4" s="9" t="s">
        <v>620</v>
      </c>
      <c r="D4" s="77" t="s">
        <v>90</v>
      </c>
      <c r="E4" s="13">
        <v>44459</v>
      </c>
      <c r="F4" s="77" t="s">
        <v>91</v>
      </c>
      <c r="G4" s="13">
        <v>44460.548611111109</v>
      </c>
      <c r="H4" s="10" t="s">
        <v>573</v>
      </c>
      <c r="I4" s="1">
        <v>42</v>
      </c>
      <c r="J4" s="1">
        <v>30</v>
      </c>
      <c r="K4" s="1">
        <v>19</v>
      </c>
      <c r="L4" s="1">
        <v>6</v>
      </c>
      <c r="M4" s="81">
        <v>5.9850000000000003</v>
      </c>
      <c r="N4" s="8">
        <v>6</v>
      </c>
      <c r="O4" s="65">
        <v>7000</v>
      </c>
      <c r="P4" s="66">
        <f>Table224578910112345678910111213141516171819202122232425[[#This Row],[PEMBULATAN]]*O4</f>
        <v>42000</v>
      </c>
    </row>
    <row r="5" spans="1:16" ht="26.25" customHeight="1" x14ac:dyDescent="0.2">
      <c r="A5" s="14"/>
      <c r="B5" s="14"/>
      <c r="C5" s="9" t="s">
        <v>621</v>
      </c>
      <c r="D5" s="77" t="s">
        <v>90</v>
      </c>
      <c r="E5" s="13">
        <v>44459</v>
      </c>
      <c r="F5" s="77" t="s">
        <v>91</v>
      </c>
      <c r="G5" s="13">
        <v>44460.548611111109</v>
      </c>
      <c r="H5" s="10" t="s">
        <v>573</v>
      </c>
      <c r="I5" s="1">
        <v>63</v>
      </c>
      <c r="J5" s="1">
        <v>49</v>
      </c>
      <c r="K5" s="1">
        <v>16</v>
      </c>
      <c r="L5" s="1">
        <v>13</v>
      </c>
      <c r="M5" s="81">
        <v>12.348000000000001</v>
      </c>
      <c r="N5" s="8">
        <v>13</v>
      </c>
      <c r="O5" s="65">
        <v>7000</v>
      </c>
      <c r="P5" s="66">
        <f>Table224578910112345678910111213141516171819202122232425[[#This Row],[PEMBULATAN]]*O5</f>
        <v>91000</v>
      </c>
    </row>
    <row r="6" spans="1:16" ht="26.25" customHeight="1" x14ac:dyDescent="0.2">
      <c r="A6" s="14"/>
      <c r="B6" s="14"/>
      <c r="C6" s="74" t="s">
        <v>622</v>
      </c>
      <c r="D6" s="79" t="s">
        <v>90</v>
      </c>
      <c r="E6" s="13">
        <v>44459</v>
      </c>
      <c r="F6" s="77" t="s">
        <v>91</v>
      </c>
      <c r="G6" s="13">
        <v>44460.548611111109</v>
      </c>
      <c r="H6" s="78" t="s">
        <v>573</v>
      </c>
      <c r="I6" s="16">
        <v>40</v>
      </c>
      <c r="J6" s="16">
        <v>26</v>
      </c>
      <c r="K6" s="16">
        <v>33</v>
      </c>
      <c r="L6" s="16">
        <v>7</v>
      </c>
      <c r="M6" s="82">
        <v>8.58</v>
      </c>
      <c r="N6" s="73">
        <v>9</v>
      </c>
      <c r="O6" s="65">
        <v>7000</v>
      </c>
      <c r="P6" s="66">
        <f>Table224578910112345678910111213141516171819202122232425[[#This Row],[PEMBULATAN]]*O6</f>
        <v>63000</v>
      </c>
    </row>
    <row r="7" spans="1:16" ht="26.25" customHeight="1" x14ac:dyDescent="0.2">
      <c r="A7" s="14"/>
      <c r="B7" s="14"/>
      <c r="C7" s="74" t="s">
        <v>623</v>
      </c>
      <c r="D7" s="79" t="s">
        <v>90</v>
      </c>
      <c r="E7" s="13">
        <v>44459</v>
      </c>
      <c r="F7" s="77" t="s">
        <v>91</v>
      </c>
      <c r="G7" s="13">
        <v>44460.548611111109</v>
      </c>
      <c r="H7" s="78" t="s">
        <v>573</v>
      </c>
      <c r="I7" s="16">
        <v>52</v>
      </c>
      <c r="J7" s="16">
        <v>42</v>
      </c>
      <c r="K7" s="16">
        <v>29</v>
      </c>
      <c r="L7" s="16">
        <v>14</v>
      </c>
      <c r="M7" s="82">
        <v>15.834</v>
      </c>
      <c r="N7" s="73">
        <v>16</v>
      </c>
      <c r="O7" s="65">
        <v>7000</v>
      </c>
      <c r="P7" s="66">
        <f>Table224578910112345678910111213141516171819202122232425[[#This Row],[PEMBULATAN]]*O7</f>
        <v>112000</v>
      </c>
    </row>
    <row r="8" spans="1:16" ht="26.25" customHeight="1" x14ac:dyDescent="0.2">
      <c r="A8" s="14"/>
      <c r="B8" s="14"/>
      <c r="C8" s="74" t="s">
        <v>624</v>
      </c>
      <c r="D8" s="79" t="s">
        <v>90</v>
      </c>
      <c r="E8" s="13">
        <v>44459</v>
      </c>
      <c r="F8" s="77" t="s">
        <v>91</v>
      </c>
      <c r="G8" s="13">
        <v>44460.548611111109</v>
      </c>
      <c r="H8" s="78" t="s">
        <v>573</v>
      </c>
      <c r="I8" s="16">
        <v>45</v>
      </c>
      <c r="J8" s="16">
        <v>33</v>
      </c>
      <c r="K8" s="16">
        <v>29</v>
      </c>
      <c r="L8" s="16">
        <v>7</v>
      </c>
      <c r="M8" s="82">
        <v>10.766249999999999</v>
      </c>
      <c r="N8" s="73">
        <v>11</v>
      </c>
      <c r="O8" s="65">
        <v>7000</v>
      </c>
      <c r="P8" s="66">
        <f>Table224578910112345678910111213141516171819202122232425[[#This Row],[PEMBULATAN]]*O8</f>
        <v>77000</v>
      </c>
    </row>
    <row r="9" spans="1:16" ht="26.25" customHeight="1" x14ac:dyDescent="0.2">
      <c r="A9" s="14"/>
      <c r="B9" s="14"/>
      <c r="C9" s="74" t="s">
        <v>625</v>
      </c>
      <c r="D9" s="79" t="s">
        <v>90</v>
      </c>
      <c r="E9" s="13">
        <v>44459</v>
      </c>
      <c r="F9" s="77" t="s">
        <v>91</v>
      </c>
      <c r="G9" s="13">
        <v>44460.548611111109</v>
      </c>
      <c r="H9" s="78" t="s">
        <v>573</v>
      </c>
      <c r="I9" s="16">
        <v>58</v>
      </c>
      <c r="J9" s="16">
        <v>43</v>
      </c>
      <c r="K9" s="16">
        <v>50</v>
      </c>
      <c r="L9" s="16">
        <v>21</v>
      </c>
      <c r="M9" s="82">
        <v>31.175000000000001</v>
      </c>
      <c r="N9" s="73">
        <v>31</v>
      </c>
      <c r="O9" s="65">
        <v>7000</v>
      </c>
      <c r="P9" s="66">
        <f>Table224578910112345678910111213141516171819202122232425[[#This Row],[PEMBULATAN]]*O9</f>
        <v>217000</v>
      </c>
    </row>
    <row r="10" spans="1:16" ht="26.25" customHeight="1" x14ac:dyDescent="0.2">
      <c r="A10" s="14"/>
      <c r="B10" s="14"/>
      <c r="C10" s="74" t="s">
        <v>626</v>
      </c>
      <c r="D10" s="79" t="s">
        <v>90</v>
      </c>
      <c r="E10" s="13">
        <v>44459</v>
      </c>
      <c r="F10" s="77" t="s">
        <v>91</v>
      </c>
      <c r="G10" s="13">
        <v>44460.548611111109</v>
      </c>
      <c r="H10" s="78" t="s">
        <v>573</v>
      </c>
      <c r="I10" s="16">
        <v>78</v>
      </c>
      <c r="J10" s="16">
        <v>65</v>
      </c>
      <c r="K10" s="16">
        <v>62</v>
      </c>
      <c r="L10" s="16">
        <v>46</v>
      </c>
      <c r="M10" s="82">
        <v>78.584999999999994</v>
      </c>
      <c r="N10" s="73">
        <v>79</v>
      </c>
      <c r="O10" s="65">
        <v>7000</v>
      </c>
      <c r="P10" s="66">
        <f>Table224578910112345678910111213141516171819202122232425[[#This Row],[PEMBULATAN]]*O10</f>
        <v>553000</v>
      </c>
    </row>
    <row r="11" spans="1:16" ht="26.25" customHeight="1" x14ac:dyDescent="0.2">
      <c r="A11" s="14"/>
      <c r="B11" s="14"/>
      <c r="C11" s="74" t="s">
        <v>627</v>
      </c>
      <c r="D11" s="79" t="s">
        <v>90</v>
      </c>
      <c r="E11" s="13">
        <v>44459</v>
      </c>
      <c r="F11" s="77" t="s">
        <v>91</v>
      </c>
      <c r="G11" s="13">
        <v>44460.548611111109</v>
      </c>
      <c r="H11" s="78" t="s">
        <v>573</v>
      </c>
      <c r="I11" s="16">
        <v>78</v>
      </c>
      <c r="J11" s="16">
        <v>65</v>
      </c>
      <c r="K11" s="16">
        <v>62</v>
      </c>
      <c r="L11" s="16">
        <v>46</v>
      </c>
      <c r="M11" s="82">
        <v>78.584999999999994</v>
      </c>
      <c r="N11" s="73">
        <v>79</v>
      </c>
      <c r="O11" s="65">
        <v>7000</v>
      </c>
      <c r="P11" s="66">
        <f>Table224578910112345678910111213141516171819202122232425[[#This Row],[PEMBULATAN]]*O11</f>
        <v>553000</v>
      </c>
    </row>
    <row r="12" spans="1:16" ht="26.25" customHeight="1" x14ac:dyDescent="0.2">
      <c r="A12" s="14"/>
      <c r="B12" s="14" t="s">
        <v>628</v>
      </c>
      <c r="C12" s="74" t="s">
        <v>629</v>
      </c>
      <c r="D12" s="79" t="s">
        <v>90</v>
      </c>
      <c r="E12" s="13">
        <v>44459</v>
      </c>
      <c r="F12" s="77" t="s">
        <v>91</v>
      </c>
      <c r="G12" s="13">
        <v>44460.548611111109</v>
      </c>
      <c r="H12" s="78" t="s">
        <v>573</v>
      </c>
      <c r="I12" s="16">
        <v>41</v>
      </c>
      <c r="J12" s="16">
        <v>14</v>
      </c>
      <c r="K12" s="16">
        <v>8</v>
      </c>
      <c r="L12" s="16">
        <v>2</v>
      </c>
      <c r="M12" s="82">
        <v>1.1479999999999999</v>
      </c>
      <c r="N12" s="73">
        <v>2</v>
      </c>
      <c r="O12" s="65">
        <v>7000</v>
      </c>
      <c r="P12" s="66">
        <f>Table224578910112345678910111213141516171819202122232425[[#This Row],[PEMBULATAN]]*O12</f>
        <v>14000</v>
      </c>
    </row>
    <row r="13" spans="1:16" ht="26.25" customHeight="1" x14ac:dyDescent="0.2">
      <c r="A13" s="14"/>
      <c r="B13" s="14"/>
      <c r="C13" s="74" t="s">
        <v>630</v>
      </c>
      <c r="D13" s="79" t="s">
        <v>90</v>
      </c>
      <c r="E13" s="13">
        <v>44459</v>
      </c>
      <c r="F13" s="77" t="s">
        <v>91</v>
      </c>
      <c r="G13" s="13">
        <v>44460.548611111109</v>
      </c>
      <c r="H13" s="78" t="s">
        <v>573</v>
      </c>
      <c r="I13" s="16">
        <v>41</v>
      </c>
      <c r="J13" s="16">
        <v>32</v>
      </c>
      <c r="K13" s="16">
        <v>21</v>
      </c>
      <c r="L13" s="16">
        <v>4</v>
      </c>
      <c r="M13" s="82">
        <v>6.8879999999999999</v>
      </c>
      <c r="N13" s="73">
        <v>7</v>
      </c>
      <c r="O13" s="65">
        <v>7000</v>
      </c>
      <c r="P13" s="66">
        <f>Table224578910112345678910111213141516171819202122232425[[#This Row],[PEMBULATAN]]*O13</f>
        <v>49000</v>
      </c>
    </row>
    <row r="14" spans="1:16" ht="26.25" customHeight="1" x14ac:dyDescent="0.2">
      <c r="A14" s="14"/>
      <c r="B14" s="14"/>
      <c r="C14" s="74" t="s">
        <v>631</v>
      </c>
      <c r="D14" s="79" t="s">
        <v>90</v>
      </c>
      <c r="E14" s="13">
        <v>44459</v>
      </c>
      <c r="F14" s="77" t="s">
        <v>91</v>
      </c>
      <c r="G14" s="13">
        <v>44460.548611111109</v>
      </c>
      <c r="H14" s="78" t="s">
        <v>573</v>
      </c>
      <c r="I14" s="16">
        <v>79</v>
      </c>
      <c r="J14" s="16">
        <v>40</v>
      </c>
      <c r="K14" s="16">
        <v>33</v>
      </c>
      <c r="L14" s="16">
        <v>20</v>
      </c>
      <c r="M14" s="82">
        <v>26.07</v>
      </c>
      <c r="N14" s="73">
        <v>26</v>
      </c>
      <c r="O14" s="65">
        <v>7000</v>
      </c>
      <c r="P14" s="66">
        <f>Table224578910112345678910111213141516171819202122232425[[#This Row],[PEMBULATAN]]*O14</f>
        <v>182000</v>
      </c>
    </row>
    <row r="15" spans="1:16" ht="22.5" customHeight="1" x14ac:dyDescent="0.2">
      <c r="A15" s="136" t="s">
        <v>30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8"/>
      <c r="M15" s="80">
        <f>SUBTOTAL(109,Table224578910112345678910111213141516171819202122232425[KG VOLUME])</f>
        <v>286.40424999999999</v>
      </c>
      <c r="N15" s="69">
        <f>SUM(N3:N14)</f>
        <v>290</v>
      </c>
      <c r="O15" s="139">
        <f>SUM(P3:P14)</f>
        <v>2030000</v>
      </c>
      <c r="P15" s="140"/>
    </row>
    <row r="16" spans="1:16" ht="18" customHeight="1" x14ac:dyDescent="0.2">
      <c r="A16" s="87"/>
      <c r="B16" s="57" t="s">
        <v>42</v>
      </c>
      <c r="C16" s="56"/>
      <c r="D16" s="58" t="s">
        <v>43</v>
      </c>
      <c r="E16" s="87"/>
      <c r="F16" s="87"/>
      <c r="G16" s="87"/>
      <c r="H16" s="87"/>
      <c r="I16" s="87"/>
      <c r="J16" s="87"/>
      <c r="K16" s="87"/>
      <c r="L16" s="87"/>
      <c r="M16" s="88"/>
      <c r="N16" s="89" t="s">
        <v>52</v>
      </c>
      <c r="O16" s="90"/>
      <c r="P16" s="90">
        <v>0</v>
      </c>
    </row>
    <row r="17" spans="1:16" ht="18" customHeight="1" thickBot="1" x14ac:dyDescent="0.25">
      <c r="A17" s="87"/>
      <c r="B17" s="57"/>
      <c r="C17" s="56"/>
      <c r="D17" s="58"/>
      <c r="E17" s="87"/>
      <c r="F17" s="87"/>
      <c r="G17" s="87"/>
      <c r="H17" s="87"/>
      <c r="I17" s="87"/>
      <c r="J17" s="87"/>
      <c r="K17" s="87"/>
      <c r="L17" s="87"/>
      <c r="M17" s="88"/>
      <c r="N17" s="91" t="s">
        <v>53</v>
      </c>
      <c r="O17" s="92"/>
      <c r="P17" s="92">
        <f>O15-P16</f>
        <v>2030000</v>
      </c>
    </row>
    <row r="18" spans="1:16" ht="18" customHeight="1" x14ac:dyDescent="0.2">
      <c r="A18" s="11"/>
      <c r="H18" s="64"/>
      <c r="N18" s="63" t="s">
        <v>31</v>
      </c>
      <c r="P18" s="70">
        <f>P17*1%</f>
        <v>20300</v>
      </c>
    </row>
    <row r="19" spans="1:16" ht="18" customHeight="1" thickBot="1" x14ac:dyDescent="0.25">
      <c r="A19" s="11"/>
      <c r="H19" s="64"/>
      <c r="N19" s="63" t="s">
        <v>54</v>
      </c>
      <c r="P19" s="72">
        <f>P17*2%</f>
        <v>40600</v>
      </c>
    </row>
    <row r="20" spans="1:16" ht="18" customHeight="1" x14ac:dyDescent="0.2">
      <c r="A20" s="11"/>
      <c r="H20" s="64"/>
      <c r="N20" s="67" t="s">
        <v>32</v>
      </c>
      <c r="O20" s="68"/>
      <c r="P20" s="71">
        <f>P17+P18-P19</f>
        <v>2009700</v>
      </c>
    </row>
    <row r="22" spans="1:16" x14ac:dyDescent="0.2">
      <c r="A22" s="11"/>
      <c r="H22" s="64"/>
      <c r="P22" s="72"/>
    </row>
    <row r="23" spans="1:16" x14ac:dyDescent="0.2">
      <c r="A23" s="11"/>
      <c r="H23" s="64"/>
      <c r="O23" s="59"/>
      <c r="P23" s="72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214" priority="2"/>
  </conditionalFormatting>
  <conditionalFormatting sqref="B4">
    <cfRule type="duplicateValues" dxfId="213" priority="1"/>
  </conditionalFormatting>
  <conditionalFormatting sqref="B5:B14">
    <cfRule type="duplicateValues" dxfId="212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19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2.5" customHeight="1" x14ac:dyDescent="0.2">
      <c r="A3" s="98" t="s">
        <v>923</v>
      </c>
      <c r="B3" s="75" t="s">
        <v>632</v>
      </c>
      <c r="C3" s="9" t="s">
        <v>633</v>
      </c>
      <c r="D3" s="77" t="s">
        <v>90</v>
      </c>
      <c r="E3" s="13">
        <v>44460</v>
      </c>
      <c r="F3" s="77" t="s">
        <v>91</v>
      </c>
      <c r="G3" s="13">
        <v>44460.548611111109</v>
      </c>
      <c r="H3" s="10" t="s">
        <v>573</v>
      </c>
      <c r="I3" s="1">
        <v>36</v>
      </c>
      <c r="J3" s="1">
        <v>25</v>
      </c>
      <c r="K3" s="1">
        <v>22</v>
      </c>
      <c r="L3" s="1">
        <v>15</v>
      </c>
      <c r="M3" s="81">
        <v>4.95</v>
      </c>
      <c r="N3" s="8">
        <v>15</v>
      </c>
      <c r="O3" s="65">
        <v>7000</v>
      </c>
      <c r="P3" s="66">
        <f>Table22457891011234567891011121314151617181920212223242526[[#This Row],[PEMBULATAN]]*O3</f>
        <v>105000</v>
      </c>
    </row>
    <row r="4" spans="1:16" ht="22.5" customHeight="1" x14ac:dyDescent="0.2">
      <c r="A4" s="14"/>
      <c r="B4" s="76"/>
      <c r="C4" s="9" t="s">
        <v>634</v>
      </c>
      <c r="D4" s="77" t="s">
        <v>90</v>
      </c>
      <c r="E4" s="13">
        <v>44460</v>
      </c>
      <c r="F4" s="77" t="s">
        <v>91</v>
      </c>
      <c r="G4" s="13">
        <v>44460.548611111109</v>
      </c>
      <c r="H4" s="10" t="s">
        <v>573</v>
      </c>
      <c r="I4" s="1">
        <v>29</v>
      </c>
      <c r="J4" s="1">
        <v>25</v>
      </c>
      <c r="K4" s="1">
        <v>20</v>
      </c>
      <c r="L4" s="1">
        <v>5</v>
      </c>
      <c r="M4" s="81">
        <v>3.625</v>
      </c>
      <c r="N4" s="8">
        <v>5</v>
      </c>
      <c r="O4" s="65">
        <v>7000</v>
      </c>
      <c r="P4" s="66">
        <f>Table22457891011234567891011121314151617181920212223242526[[#This Row],[PEMBULATAN]]*O4</f>
        <v>35000</v>
      </c>
    </row>
    <row r="5" spans="1:16" ht="22.5" customHeight="1" x14ac:dyDescent="0.2">
      <c r="A5" s="14"/>
      <c r="B5" s="14"/>
      <c r="C5" s="9" t="s">
        <v>635</v>
      </c>
      <c r="D5" s="77" t="s">
        <v>90</v>
      </c>
      <c r="E5" s="13">
        <v>44460</v>
      </c>
      <c r="F5" s="77" t="s">
        <v>91</v>
      </c>
      <c r="G5" s="13">
        <v>44460.548611111109</v>
      </c>
      <c r="H5" s="10" t="s">
        <v>573</v>
      </c>
      <c r="I5" s="1">
        <v>35</v>
      </c>
      <c r="J5" s="1">
        <v>22</v>
      </c>
      <c r="K5" s="1">
        <v>22</v>
      </c>
      <c r="L5" s="1">
        <v>11</v>
      </c>
      <c r="M5" s="81">
        <v>4.2350000000000003</v>
      </c>
      <c r="N5" s="8">
        <v>11</v>
      </c>
      <c r="O5" s="65">
        <v>7000</v>
      </c>
      <c r="P5" s="66">
        <f>Table22457891011234567891011121314151617181920212223242526[[#This Row],[PEMBULATAN]]*O5</f>
        <v>77000</v>
      </c>
    </row>
    <row r="6" spans="1:16" ht="22.5" customHeight="1" x14ac:dyDescent="0.2">
      <c r="A6" s="14"/>
      <c r="B6" s="104"/>
      <c r="C6" s="74" t="s">
        <v>636</v>
      </c>
      <c r="D6" s="79" t="s">
        <v>90</v>
      </c>
      <c r="E6" s="13">
        <v>44460</v>
      </c>
      <c r="F6" s="77" t="s">
        <v>91</v>
      </c>
      <c r="G6" s="13">
        <v>44460.548611111109</v>
      </c>
      <c r="H6" s="78" t="s">
        <v>573</v>
      </c>
      <c r="I6" s="16">
        <v>46</v>
      </c>
      <c r="J6" s="16">
        <v>31</v>
      </c>
      <c r="K6" s="16">
        <v>30</v>
      </c>
      <c r="L6" s="16">
        <v>24</v>
      </c>
      <c r="M6" s="82">
        <v>10.695</v>
      </c>
      <c r="N6" s="73">
        <v>24</v>
      </c>
      <c r="O6" s="65">
        <v>7000</v>
      </c>
      <c r="P6" s="66">
        <f>Table22457891011234567891011121314151617181920212223242526[[#This Row],[PEMBULATAN]]*O6</f>
        <v>168000</v>
      </c>
    </row>
    <row r="7" spans="1:16" ht="22.5" customHeight="1" x14ac:dyDescent="0.2">
      <c r="A7" s="14"/>
      <c r="B7" s="119" t="s">
        <v>637</v>
      </c>
      <c r="C7" s="74" t="s">
        <v>638</v>
      </c>
      <c r="D7" s="79" t="s">
        <v>90</v>
      </c>
      <c r="E7" s="13">
        <v>44460</v>
      </c>
      <c r="F7" s="77" t="s">
        <v>91</v>
      </c>
      <c r="G7" s="13">
        <v>44460.548611111109</v>
      </c>
      <c r="H7" s="78" t="s">
        <v>573</v>
      </c>
      <c r="I7" s="16">
        <v>53</v>
      </c>
      <c r="J7" s="16">
        <v>38</v>
      </c>
      <c r="K7" s="16">
        <v>25</v>
      </c>
      <c r="L7" s="16">
        <v>13</v>
      </c>
      <c r="M7" s="82">
        <v>12.5875</v>
      </c>
      <c r="N7" s="73">
        <v>13</v>
      </c>
      <c r="O7" s="65">
        <v>7000</v>
      </c>
      <c r="P7" s="66">
        <f>Table22457891011234567891011121314151617181920212223242526[[#This Row],[PEMBULATAN]]*O7</f>
        <v>91000</v>
      </c>
    </row>
    <row r="8" spans="1:16" ht="22.5" customHeight="1" x14ac:dyDescent="0.2">
      <c r="A8" s="14"/>
      <c r="B8" s="14" t="s">
        <v>639</v>
      </c>
      <c r="C8" s="74" t="s">
        <v>640</v>
      </c>
      <c r="D8" s="79" t="s">
        <v>90</v>
      </c>
      <c r="E8" s="13">
        <v>44460</v>
      </c>
      <c r="F8" s="77" t="s">
        <v>91</v>
      </c>
      <c r="G8" s="13">
        <v>44460.548611111109</v>
      </c>
      <c r="H8" s="78" t="s">
        <v>573</v>
      </c>
      <c r="I8" s="16">
        <v>60</v>
      </c>
      <c r="J8" s="16">
        <v>24</v>
      </c>
      <c r="K8" s="16">
        <v>18</v>
      </c>
      <c r="L8" s="16">
        <v>6</v>
      </c>
      <c r="M8" s="82">
        <v>6.48</v>
      </c>
      <c r="N8" s="73">
        <v>7</v>
      </c>
      <c r="O8" s="65">
        <v>7000</v>
      </c>
      <c r="P8" s="66">
        <f>Table22457891011234567891011121314151617181920212223242526[[#This Row],[PEMBULATAN]]*O8</f>
        <v>49000</v>
      </c>
    </row>
    <row r="9" spans="1:16" ht="22.5" customHeight="1" x14ac:dyDescent="0.2">
      <c r="A9" s="14"/>
      <c r="B9" s="14"/>
      <c r="C9" s="74" t="s">
        <v>641</v>
      </c>
      <c r="D9" s="79" t="s">
        <v>90</v>
      </c>
      <c r="E9" s="13">
        <v>44460</v>
      </c>
      <c r="F9" s="77" t="s">
        <v>91</v>
      </c>
      <c r="G9" s="13">
        <v>44460.548611111109</v>
      </c>
      <c r="H9" s="78" t="s">
        <v>573</v>
      </c>
      <c r="I9" s="16">
        <v>47</v>
      </c>
      <c r="J9" s="16">
        <v>41</v>
      </c>
      <c r="K9" s="16">
        <v>27</v>
      </c>
      <c r="L9" s="16">
        <v>9</v>
      </c>
      <c r="M9" s="82">
        <v>13.007250000000001</v>
      </c>
      <c r="N9" s="73">
        <v>13</v>
      </c>
      <c r="O9" s="65">
        <v>7000</v>
      </c>
      <c r="P9" s="66">
        <f>Table22457891011234567891011121314151617181920212223242526[[#This Row],[PEMBULATAN]]*O9</f>
        <v>91000</v>
      </c>
    </row>
    <row r="10" spans="1:16" ht="22.5" customHeight="1" x14ac:dyDescent="0.2">
      <c r="A10" s="14"/>
      <c r="B10" s="14"/>
      <c r="C10" s="74" t="s">
        <v>642</v>
      </c>
      <c r="D10" s="79" t="s">
        <v>90</v>
      </c>
      <c r="E10" s="13">
        <v>44460</v>
      </c>
      <c r="F10" s="77" t="s">
        <v>91</v>
      </c>
      <c r="G10" s="13">
        <v>44460.548611111109</v>
      </c>
      <c r="H10" s="78" t="s">
        <v>573</v>
      </c>
      <c r="I10" s="16">
        <v>43</v>
      </c>
      <c r="J10" s="16">
        <v>37</v>
      </c>
      <c r="K10" s="16">
        <v>32</v>
      </c>
      <c r="L10" s="16">
        <v>14</v>
      </c>
      <c r="M10" s="82">
        <v>12.728</v>
      </c>
      <c r="N10" s="73">
        <v>14</v>
      </c>
      <c r="O10" s="65">
        <v>7000</v>
      </c>
      <c r="P10" s="66">
        <f>Table22457891011234567891011121314151617181920212223242526[[#This Row],[PEMBULATAN]]*O10</f>
        <v>98000</v>
      </c>
    </row>
    <row r="11" spans="1:16" ht="22.5" customHeight="1" x14ac:dyDescent="0.2">
      <c r="A11" s="14"/>
      <c r="B11" s="14"/>
      <c r="C11" s="74" t="s">
        <v>643</v>
      </c>
      <c r="D11" s="79" t="s">
        <v>90</v>
      </c>
      <c r="E11" s="13">
        <v>44460</v>
      </c>
      <c r="F11" s="77" t="s">
        <v>91</v>
      </c>
      <c r="G11" s="13">
        <v>44460.548611111109</v>
      </c>
      <c r="H11" s="78" t="s">
        <v>573</v>
      </c>
      <c r="I11" s="16">
        <v>38</v>
      </c>
      <c r="J11" s="16">
        <v>32</v>
      </c>
      <c r="K11" s="16">
        <v>27</v>
      </c>
      <c r="L11" s="16">
        <v>9</v>
      </c>
      <c r="M11" s="82">
        <v>8.2080000000000002</v>
      </c>
      <c r="N11" s="73">
        <v>9</v>
      </c>
      <c r="O11" s="65">
        <v>7000</v>
      </c>
      <c r="P11" s="66">
        <f>Table22457891011234567891011121314151617181920212223242526[[#This Row],[PEMBULATAN]]*O11</f>
        <v>63000</v>
      </c>
    </row>
    <row r="12" spans="1:16" ht="22.5" customHeight="1" x14ac:dyDescent="0.2">
      <c r="A12" s="14"/>
      <c r="B12" s="14"/>
      <c r="C12" s="74" t="s">
        <v>644</v>
      </c>
      <c r="D12" s="79" t="s">
        <v>90</v>
      </c>
      <c r="E12" s="13">
        <v>44460</v>
      </c>
      <c r="F12" s="77" t="s">
        <v>91</v>
      </c>
      <c r="G12" s="13">
        <v>44460.548611111109</v>
      </c>
      <c r="H12" s="78" t="s">
        <v>573</v>
      </c>
      <c r="I12" s="16">
        <v>79</v>
      </c>
      <c r="J12" s="16">
        <v>28</v>
      </c>
      <c r="K12" s="16">
        <v>72</v>
      </c>
      <c r="L12" s="16">
        <v>11</v>
      </c>
      <c r="M12" s="82">
        <v>39.816000000000003</v>
      </c>
      <c r="N12" s="73">
        <v>40</v>
      </c>
      <c r="O12" s="65">
        <v>7000</v>
      </c>
      <c r="P12" s="66">
        <f>Table22457891011234567891011121314151617181920212223242526[[#This Row],[PEMBULATAN]]*O12</f>
        <v>280000</v>
      </c>
    </row>
    <row r="13" spans="1:16" ht="22.5" customHeight="1" x14ac:dyDescent="0.2">
      <c r="A13" s="14"/>
      <c r="B13" s="14"/>
      <c r="C13" s="74" t="s">
        <v>645</v>
      </c>
      <c r="D13" s="79" t="s">
        <v>90</v>
      </c>
      <c r="E13" s="13">
        <v>44460</v>
      </c>
      <c r="F13" s="77" t="s">
        <v>91</v>
      </c>
      <c r="G13" s="13">
        <v>44460.548611111109</v>
      </c>
      <c r="H13" s="78" t="s">
        <v>573</v>
      </c>
      <c r="I13" s="16">
        <v>112</v>
      </c>
      <c r="J13" s="16">
        <v>20</v>
      </c>
      <c r="K13" s="16">
        <v>30</v>
      </c>
      <c r="L13" s="16">
        <v>19</v>
      </c>
      <c r="M13" s="82">
        <v>16.8</v>
      </c>
      <c r="N13" s="73">
        <v>19</v>
      </c>
      <c r="O13" s="65">
        <v>7000</v>
      </c>
      <c r="P13" s="66">
        <f>Table22457891011234567891011121314151617181920212223242526[[#This Row],[PEMBULATAN]]*O13</f>
        <v>133000</v>
      </c>
    </row>
    <row r="14" spans="1:16" ht="22.5" customHeight="1" x14ac:dyDescent="0.2">
      <c r="A14" s="14"/>
      <c r="B14" s="14"/>
      <c r="C14" s="74" t="s">
        <v>646</v>
      </c>
      <c r="D14" s="79" t="s">
        <v>90</v>
      </c>
      <c r="E14" s="13">
        <v>44460</v>
      </c>
      <c r="F14" s="77" t="s">
        <v>91</v>
      </c>
      <c r="G14" s="13">
        <v>44460.548611111109</v>
      </c>
      <c r="H14" s="78" t="s">
        <v>573</v>
      </c>
      <c r="I14" s="16">
        <v>78</v>
      </c>
      <c r="J14" s="16">
        <v>33</v>
      </c>
      <c r="K14" s="16">
        <v>13</v>
      </c>
      <c r="L14" s="16">
        <v>12</v>
      </c>
      <c r="M14" s="82">
        <v>8.3655000000000008</v>
      </c>
      <c r="N14" s="73">
        <v>12</v>
      </c>
      <c r="O14" s="65">
        <v>7000</v>
      </c>
      <c r="P14" s="66">
        <f>Table22457891011234567891011121314151617181920212223242526[[#This Row],[PEMBULATAN]]*O14</f>
        <v>84000</v>
      </c>
    </row>
    <row r="15" spans="1:16" ht="22.5" customHeight="1" x14ac:dyDescent="0.2">
      <c r="A15" s="14"/>
      <c r="B15" s="14"/>
      <c r="C15" s="74" t="s">
        <v>647</v>
      </c>
      <c r="D15" s="79" t="s">
        <v>90</v>
      </c>
      <c r="E15" s="13">
        <v>44460</v>
      </c>
      <c r="F15" s="77" t="s">
        <v>91</v>
      </c>
      <c r="G15" s="13">
        <v>44460.548611111109</v>
      </c>
      <c r="H15" s="78" t="s">
        <v>573</v>
      </c>
      <c r="I15" s="16">
        <v>66</v>
      </c>
      <c r="J15" s="16">
        <v>42</v>
      </c>
      <c r="K15" s="16">
        <v>21</v>
      </c>
      <c r="L15" s="16">
        <v>14</v>
      </c>
      <c r="M15" s="82">
        <v>14.553000000000001</v>
      </c>
      <c r="N15" s="73">
        <v>15</v>
      </c>
      <c r="O15" s="65">
        <v>7000</v>
      </c>
      <c r="P15" s="66">
        <f>Table22457891011234567891011121314151617181920212223242526[[#This Row],[PEMBULATAN]]*O15</f>
        <v>105000</v>
      </c>
    </row>
    <row r="16" spans="1:16" ht="22.5" customHeight="1" x14ac:dyDescent="0.2">
      <c r="A16" s="14"/>
      <c r="B16" s="14"/>
      <c r="C16" s="74" t="s">
        <v>648</v>
      </c>
      <c r="D16" s="79" t="s">
        <v>90</v>
      </c>
      <c r="E16" s="13">
        <v>44460</v>
      </c>
      <c r="F16" s="77" t="s">
        <v>91</v>
      </c>
      <c r="G16" s="13">
        <v>44460.548611111109</v>
      </c>
      <c r="H16" s="78" t="s">
        <v>573</v>
      </c>
      <c r="I16" s="16">
        <v>37</v>
      </c>
      <c r="J16" s="16">
        <v>29</v>
      </c>
      <c r="K16" s="16">
        <v>34</v>
      </c>
      <c r="L16" s="16">
        <v>5</v>
      </c>
      <c r="M16" s="82">
        <v>9.1204999999999998</v>
      </c>
      <c r="N16" s="73">
        <v>9</v>
      </c>
      <c r="O16" s="65">
        <v>7000</v>
      </c>
      <c r="P16" s="66">
        <f>Table22457891011234567891011121314151617181920212223242526[[#This Row],[PEMBULATAN]]*O16</f>
        <v>63000</v>
      </c>
    </row>
    <row r="17" spans="1:16" ht="22.5" customHeight="1" x14ac:dyDescent="0.2">
      <c r="A17" s="14"/>
      <c r="B17" s="14"/>
      <c r="C17" s="74" t="s">
        <v>649</v>
      </c>
      <c r="D17" s="79" t="s">
        <v>90</v>
      </c>
      <c r="E17" s="13">
        <v>44460</v>
      </c>
      <c r="F17" s="77" t="s">
        <v>91</v>
      </c>
      <c r="G17" s="13">
        <v>44460.548611111109</v>
      </c>
      <c r="H17" s="78" t="s">
        <v>573</v>
      </c>
      <c r="I17" s="16">
        <v>33</v>
      </c>
      <c r="J17" s="16">
        <v>28</v>
      </c>
      <c r="K17" s="16">
        <v>24</v>
      </c>
      <c r="L17" s="16">
        <v>10</v>
      </c>
      <c r="M17" s="82">
        <v>5.5439999999999996</v>
      </c>
      <c r="N17" s="73">
        <v>10</v>
      </c>
      <c r="O17" s="65">
        <v>7000</v>
      </c>
      <c r="P17" s="66">
        <f>Table22457891011234567891011121314151617181920212223242526[[#This Row],[PEMBULATAN]]*O17</f>
        <v>70000</v>
      </c>
    </row>
    <row r="18" spans="1:16" ht="22.5" customHeight="1" x14ac:dyDescent="0.2">
      <c r="A18" s="14"/>
      <c r="B18" s="14"/>
      <c r="C18" s="74" t="s">
        <v>650</v>
      </c>
      <c r="D18" s="79" t="s">
        <v>90</v>
      </c>
      <c r="E18" s="13">
        <v>44460</v>
      </c>
      <c r="F18" s="77" t="s">
        <v>91</v>
      </c>
      <c r="G18" s="13">
        <v>44460.548611111109</v>
      </c>
      <c r="H18" s="78" t="s">
        <v>573</v>
      </c>
      <c r="I18" s="16">
        <v>38</v>
      </c>
      <c r="J18" s="16">
        <v>25</v>
      </c>
      <c r="K18" s="16">
        <v>19</v>
      </c>
      <c r="L18" s="16">
        <v>6</v>
      </c>
      <c r="M18" s="82">
        <v>4.5125000000000002</v>
      </c>
      <c r="N18" s="73">
        <v>6</v>
      </c>
      <c r="O18" s="65">
        <v>7000</v>
      </c>
      <c r="P18" s="66">
        <f>Table22457891011234567891011121314151617181920212223242526[[#This Row],[PEMBULATAN]]*O18</f>
        <v>42000</v>
      </c>
    </row>
    <row r="19" spans="1:16" ht="22.5" customHeight="1" x14ac:dyDescent="0.2">
      <c r="A19" s="14"/>
      <c r="B19" s="14"/>
      <c r="C19" s="74" t="s">
        <v>651</v>
      </c>
      <c r="D19" s="79" t="s">
        <v>90</v>
      </c>
      <c r="E19" s="13">
        <v>44460</v>
      </c>
      <c r="F19" s="77" t="s">
        <v>91</v>
      </c>
      <c r="G19" s="13">
        <v>44460.548611111109</v>
      </c>
      <c r="H19" s="78" t="s">
        <v>573</v>
      </c>
      <c r="I19" s="16">
        <v>72</v>
      </c>
      <c r="J19" s="16">
        <v>72</v>
      </c>
      <c r="K19" s="16">
        <v>18</v>
      </c>
      <c r="L19" s="16">
        <v>7</v>
      </c>
      <c r="M19" s="82">
        <v>23.327999999999999</v>
      </c>
      <c r="N19" s="73">
        <v>24</v>
      </c>
      <c r="O19" s="65">
        <v>7000</v>
      </c>
      <c r="P19" s="66">
        <f>Table22457891011234567891011121314151617181920212223242526[[#This Row],[PEMBULATAN]]*O19</f>
        <v>168000</v>
      </c>
    </row>
    <row r="20" spans="1:16" ht="22.5" customHeight="1" x14ac:dyDescent="0.2">
      <c r="A20" s="14"/>
      <c r="B20" s="14"/>
      <c r="C20" s="74" t="s">
        <v>652</v>
      </c>
      <c r="D20" s="79" t="s">
        <v>90</v>
      </c>
      <c r="E20" s="13">
        <v>44460</v>
      </c>
      <c r="F20" s="77" t="s">
        <v>91</v>
      </c>
      <c r="G20" s="13">
        <v>44460.548611111109</v>
      </c>
      <c r="H20" s="78" t="s">
        <v>573</v>
      </c>
      <c r="I20" s="16">
        <v>155</v>
      </c>
      <c r="J20" s="16">
        <v>74</v>
      </c>
      <c r="K20" s="16">
        <v>15</v>
      </c>
      <c r="L20" s="16">
        <v>32</v>
      </c>
      <c r="M20" s="82">
        <v>43.012500000000003</v>
      </c>
      <c r="N20" s="73">
        <v>43</v>
      </c>
      <c r="O20" s="65">
        <v>7000</v>
      </c>
      <c r="P20" s="66">
        <f>Table22457891011234567891011121314151617181920212223242526[[#This Row],[PEMBULATAN]]*O20</f>
        <v>301000</v>
      </c>
    </row>
    <row r="21" spans="1:16" ht="22.5" customHeight="1" x14ac:dyDescent="0.2">
      <c r="A21" s="14"/>
      <c r="B21" s="14"/>
      <c r="C21" s="74" t="s">
        <v>653</v>
      </c>
      <c r="D21" s="79" t="s">
        <v>90</v>
      </c>
      <c r="E21" s="13">
        <v>44460</v>
      </c>
      <c r="F21" s="77" t="s">
        <v>91</v>
      </c>
      <c r="G21" s="13">
        <v>44460.548611111109</v>
      </c>
      <c r="H21" s="78" t="s">
        <v>573</v>
      </c>
      <c r="I21" s="16">
        <v>103</v>
      </c>
      <c r="J21" s="16">
        <v>62</v>
      </c>
      <c r="K21" s="16">
        <v>38</v>
      </c>
      <c r="L21" s="16">
        <v>30</v>
      </c>
      <c r="M21" s="82">
        <v>60.667000000000002</v>
      </c>
      <c r="N21" s="73">
        <v>61</v>
      </c>
      <c r="O21" s="65">
        <v>7000</v>
      </c>
      <c r="P21" s="66">
        <f>Table22457891011234567891011121314151617181920212223242526[[#This Row],[PEMBULATAN]]*O21</f>
        <v>427000</v>
      </c>
    </row>
    <row r="22" spans="1:16" ht="22.5" customHeight="1" x14ac:dyDescent="0.2">
      <c r="A22" s="14"/>
      <c r="B22" s="104"/>
      <c r="C22" s="74" t="s">
        <v>654</v>
      </c>
      <c r="D22" s="79" t="s">
        <v>90</v>
      </c>
      <c r="E22" s="13">
        <v>44460</v>
      </c>
      <c r="F22" s="77" t="s">
        <v>91</v>
      </c>
      <c r="G22" s="13">
        <v>44460.548611111109</v>
      </c>
      <c r="H22" s="78" t="s">
        <v>573</v>
      </c>
      <c r="I22" s="16">
        <v>66</v>
      </c>
      <c r="J22" s="16">
        <v>38</v>
      </c>
      <c r="K22" s="16">
        <v>29</v>
      </c>
      <c r="L22" s="16">
        <v>9</v>
      </c>
      <c r="M22" s="82">
        <v>18.183</v>
      </c>
      <c r="N22" s="73">
        <v>18</v>
      </c>
      <c r="O22" s="65">
        <v>7000</v>
      </c>
      <c r="P22" s="66">
        <f>Table22457891011234567891011121314151617181920212223242526[[#This Row],[PEMBULATAN]]*O22</f>
        <v>126000</v>
      </c>
    </row>
    <row r="23" spans="1:16" ht="22.5" customHeight="1" x14ac:dyDescent="0.2">
      <c r="A23" s="14"/>
      <c r="B23" s="14" t="s">
        <v>655</v>
      </c>
      <c r="C23" s="74" t="s">
        <v>656</v>
      </c>
      <c r="D23" s="79" t="s">
        <v>90</v>
      </c>
      <c r="E23" s="13">
        <v>44460</v>
      </c>
      <c r="F23" s="77" t="s">
        <v>91</v>
      </c>
      <c r="G23" s="13">
        <v>44460.548611111109</v>
      </c>
      <c r="H23" s="78" t="s">
        <v>573</v>
      </c>
      <c r="I23" s="16">
        <v>150</v>
      </c>
      <c r="J23" s="16">
        <v>64</v>
      </c>
      <c r="K23" s="16">
        <v>9</v>
      </c>
      <c r="L23" s="16">
        <v>12</v>
      </c>
      <c r="M23" s="82">
        <v>21.6</v>
      </c>
      <c r="N23" s="73">
        <v>22</v>
      </c>
      <c r="O23" s="65">
        <v>7000</v>
      </c>
      <c r="P23" s="66">
        <f>Table22457891011234567891011121314151617181920212223242526[[#This Row],[PEMBULATAN]]*O23</f>
        <v>154000</v>
      </c>
    </row>
    <row r="24" spans="1:16" ht="22.5" customHeight="1" x14ac:dyDescent="0.2">
      <c r="A24" s="136" t="s">
        <v>30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8"/>
      <c r="M24" s="80">
        <f>SUBTOTAL(109,Table22457891011234567891011121314151617181920212223242526[KG VOLUME])</f>
        <v>342.01774999999998</v>
      </c>
      <c r="N24" s="69">
        <f>SUM(N3:N23)</f>
        <v>390</v>
      </c>
      <c r="O24" s="139">
        <f>SUM(P3:P23)</f>
        <v>2730000</v>
      </c>
      <c r="P24" s="140"/>
    </row>
    <row r="25" spans="1:16" ht="18" customHeight="1" x14ac:dyDescent="0.2">
      <c r="A25" s="87"/>
      <c r="B25" s="57" t="s">
        <v>42</v>
      </c>
      <c r="C25" s="56"/>
      <c r="D25" s="58" t="s">
        <v>43</v>
      </c>
      <c r="E25" s="87"/>
      <c r="F25" s="87"/>
      <c r="G25" s="87"/>
      <c r="H25" s="87"/>
      <c r="I25" s="87"/>
      <c r="J25" s="87"/>
      <c r="K25" s="87"/>
      <c r="L25" s="87"/>
      <c r="M25" s="88"/>
      <c r="N25" s="89" t="s">
        <v>52</v>
      </c>
      <c r="O25" s="90"/>
      <c r="P25" s="90">
        <v>0</v>
      </c>
    </row>
    <row r="26" spans="1:16" ht="18" customHeight="1" thickBot="1" x14ac:dyDescent="0.25">
      <c r="A26" s="87"/>
      <c r="B26" s="57"/>
      <c r="C26" s="56"/>
      <c r="D26" s="58"/>
      <c r="E26" s="87"/>
      <c r="F26" s="87"/>
      <c r="G26" s="87"/>
      <c r="H26" s="87"/>
      <c r="I26" s="87"/>
      <c r="J26" s="87"/>
      <c r="K26" s="87"/>
      <c r="L26" s="87"/>
      <c r="M26" s="88"/>
      <c r="N26" s="91" t="s">
        <v>53</v>
      </c>
      <c r="O26" s="92"/>
      <c r="P26" s="92">
        <f>O24-P25</f>
        <v>2730000</v>
      </c>
    </row>
    <row r="27" spans="1:16" ht="18" customHeight="1" x14ac:dyDescent="0.2">
      <c r="A27" s="11"/>
      <c r="H27" s="64"/>
      <c r="N27" s="63" t="s">
        <v>31</v>
      </c>
      <c r="P27" s="70">
        <f>P26*1%</f>
        <v>27300</v>
      </c>
    </row>
    <row r="28" spans="1:16" ht="18" customHeight="1" thickBot="1" x14ac:dyDescent="0.25">
      <c r="A28" s="11"/>
      <c r="H28" s="64"/>
      <c r="N28" s="63" t="s">
        <v>54</v>
      </c>
      <c r="P28" s="72">
        <f>P26*2%</f>
        <v>54600</v>
      </c>
    </row>
    <row r="29" spans="1:16" ht="18" customHeight="1" x14ac:dyDescent="0.2">
      <c r="A29" s="11"/>
      <c r="H29" s="64"/>
      <c r="N29" s="67" t="s">
        <v>32</v>
      </c>
      <c r="O29" s="68"/>
      <c r="P29" s="71">
        <f>P26+P27-P28</f>
        <v>2702700</v>
      </c>
    </row>
    <row r="31" spans="1:16" x14ac:dyDescent="0.2">
      <c r="A31" s="11"/>
      <c r="H31" s="64"/>
      <c r="P31" s="72"/>
    </row>
    <row r="32" spans="1:16" x14ac:dyDescent="0.2">
      <c r="A32" s="11"/>
      <c r="H32" s="64"/>
      <c r="O32" s="59"/>
      <c r="P32" s="72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196" priority="2"/>
  </conditionalFormatting>
  <conditionalFormatting sqref="B4">
    <cfRule type="duplicateValues" dxfId="195" priority="1"/>
  </conditionalFormatting>
  <conditionalFormatting sqref="B5:B23">
    <cfRule type="duplicateValues" dxfId="194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924</v>
      </c>
      <c r="B3" s="75" t="s">
        <v>657</v>
      </c>
      <c r="C3" s="9" t="s">
        <v>658</v>
      </c>
      <c r="D3" s="77" t="s">
        <v>90</v>
      </c>
      <c r="E3" s="13">
        <v>44461</v>
      </c>
      <c r="F3" s="77" t="s">
        <v>91</v>
      </c>
      <c r="G3" s="13">
        <v>44463.625</v>
      </c>
      <c r="H3" s="10" t="s">
        <v>679</v>
      </c>
      <c r="I3" s="1">
        <v>63</v>
      </c>
      <c r="J3" s="1">
        <v>63</v>
      </c>
      <c r="K3" s="1">
        <v>70</v>
      </c>
      <c r="L3" s="1">
        <v>35</v>
      </c>
      <c r="M3" s="81">
        <v>69.457499999999996</v>
      </c>
      <c r="N3" s="8">
        <v>70</v>
      </c>
      <c r="O3" s="65">
        <v>7000</v>
      </c>
      <c r="P3" s="66">
        <f>Table2245789101123456789101112131415161718192021222324252627[[#This Row],[PEMBULATAN]]*O3</f>
        <v>490000</v>
      </c>
    </row>
    <row r="4" spans="1:16" ht="26.25" customHeight="1" x14ac:dyDescent="0.2">
      <c r="A4" s="14"/>
      <c r="B4" s="76"/>
      <c r="C4" s="9" t="s">
        <v>659</v>
      </c>
      <c r="D4" s="77" t="s">
        <v>90</v>
      </c>
      <c r="E4" s="13">
        <v>44461</v>
      </c>
      <c r="F4" s="77" t="s">
        <v>91</v>
      </c>
      <c r="G4" s="13">
        <v>44463.625</v>
      </c>
      <c r="H4" s="10" t="s">
        <v>679</v>
      </c>
      <c r="I4" s="1">
        <v>46</v>
      </c>
      <c r="J4" s="1">
        <v>43</v>
      </c>
      <c r="K4" s="1">
        <v>46</v>
      </c>
      <c r="L4" s="1">
        <v>12</v>
      </c>
      <c r="M4" s="81">
        <v>22.747</v>
      </c>
      <c r="N4" s="8">
        <v>23</v>
      </c>
      <c r="O4" s="65">
        <v>7000</v>
      </c>
      <c r="P4" s="66">
        <f>Table2245789101123456789101112131415161718192021222324252627[[#This Row],[PEMBULATAN]]*O4</f>
        <v>161000</v>
      </c>
    </row>
    <row r="5" spans="1:16" ht="26.25" customHeight="1" x14ac:dyDescent="0.2">
      <c r="A5" s="14"/>
      <c r="B5" s="14"/>
      <c r="C5" s="9" t="s">
        <v>660</v>
      </c>
      <c r="D5" s="77" t="s">
        <v>90</v>
      </c>
      <c r="E5" s="13">
        <v>44461</v>
      </c>
      <c r="F5" s="77" t="s">
        <v>91</v>
      </c>
      <c r="G5" s="13">
        <v>44463.625</v>
      </c>
      <c r="H5" s="10" t="s">
        <v>679</v>
      </c>
      <c r="I5" s="1">
        <v>41</v>
      </c>
      <c r="J5" s="1">
        <v>25</v>
      </c>
      <c r="K5" s="1">
        <v>25</v>
      </c>
      <c r="L5" s="1">
        <v>6</v>
      </c>
      <c r="M5" s="81">
        <v>6.40625</v>
      </c>
      <c r="N5" s="8">
        <v>7</v>
      </c>
      <c r="O5" s="65">
        <v>7000</v>
      </c>
      <c r="P5" s="66">
        <f>Table2245789101123456789101112131415161718192021222324252627[[#This Row],[PEMBULATAN]]*O5</f>
        <v>49000</v>
      </c>
    </row>
    <row r="6" spans="1:16" ht="26.25" customHeight="1" x14ac:dyDescent="0.2">
      <c r="A6" s="14"/>
      <c r="B6" s="14"/>
      <c r="C6" s="74" t="s">
        <v>661</v>
      </c>
      <c r="D6" s="79" t="s">
        <v>90</v>
      </c>
      <c r="E6" s="13">
        <v>44461</v>
      </c>
      <c r="F6" s="77" t="s">
        <v>91</v>
      </c>
      <c r="G6" s="13">
        <v>44463.625</v>
      </c>
      <c r="H6" s="78" t="s">
        <v>679</v>
      </c>
      <c r="I6" s="16">
        <v>52</v>
      </c>
      <c r="J6" s="16">
        <v>49</v>
      </c>
      <c r="K6" s="16">
        <v>17</v>
      </c>
      <c r="L6" s="16">
        <v>7</v>
      </c>
      <c r="M6" s="82">
        <v>10.829000000000001</v>
      </c>
      <c r="N6" s="73">
        <v>11</v>
      </c>
      <c r="O6" s="65">
        <v>7000</v>
      </c>
      <c r="P6" s="66">
        <f>Table2245789101123456789101112131415161718192021222324252627[[#This Row],[PEMBULATAN]]*O6</f>
        <v>77000</v>
      </c>
    </row>
    <row r="7" spans="1:16" ht="26.25" customHeight="1" x14ac:dyDescent="0.2">
      <c r="A7" s="14"/>
      <c r="B7" s="14"/>
      <c r="C7" s="74" t="s">
        <v>662</v>
      </c>
      <c r="D7" s="79" t="s">
        <v>90</v>
      </c>
      <c r="E7" s="13">
        <v>44461</v>
      </c>
      <c r="F7" s="77" t="s">
        <v>91</v>
      </c>
      <c r="G7" s="13">
        <v>44463.625</v>
      </c>
      <c r="H7" s="78" t="s">
        <v>679</v>
      </c>
      <c r="I7" s="16">
        <v>154</v>
      </c>
      <c r="J7" s="16">
        <v>16</v>
      </c>
      <c r="K7" s="16">
        <v>16</v>
      </c>
      <c r="L7" s="16">
        <v>3</v>
      </c>
      <c r="M7" s="82">
        <v>9.8559999999999999</v>
      </c>
      <c r="N7" s="73">
        <v>10</v>
      </c>
      <c r="O7" s="65">
        <v>7000</v>
      </c>
      <c r="P7" s="66">
        <f>Table2245789101123456789101112131415161718192021222324252627[[#This Row],[PEMBULATAN]]*O7</f>
        <v>70000</v>
      </c>
    </row>
    <row r="8" spans="1:16" ht="26.25" customHeight="1" x14ac:dyDescent="0.2">
      <c r="A8" s="14"/>
      <c r="B8" s="14"/>
      <c r="C8" s="74" t="s">
        <v>663</v>
      </c>
      <c r="D8" s="79" t="s">
        <v>90</v>
      </c>
      <c r="E8" s="13">
        <v>44461</v>
      </c>
      <c r="F8" s="77" t="s">
        <v>91</v>
      </c>
      <c r="G8" s="13">
        <v>44463.625</v>
      </c>
      <c r="H8" s="78" t="s">
        <v>679</v>
      </c>
      <c r="I8" s="16">
        <v>67</v>
      </c>
      <c r="J8" s="16">
        <v>36</v>
      </c>
      <c r="K8" s="16">
        <v>28</v>
      </c>
      <c r="L8" s="16">
        <v>11</v>
      </c>
      <c r="M8" s="82">
        <v>16.884</v>
      </c>
      <c r="N8" s="73">
        <v>17</v>
      </c>
      <c r="O8" s="65">
        <v>7000</v>
      </c>
      <c r="P8" s="66">
        <f>Table2245789101123456789101112131415161718192021222324252627[[#This Row],[PEMBULATAN]]*O8</f>
        <v>119000</v>
      </c>
    </row>
    <row r="9" spans="1:16" ht="26.25" customHeight="1" x14ac:dyDescent="0.2">
      <c r="A9" s="14"/>
      <c r="B9" s="14"/>
      <c r="C9" s="74" t="s">
        <v>664</v>
      </c>
      <c r="D9" s="79" t="s">
        <v>90</v>
      </c>
      <c r="E9" s="13">
        <v>44461</v>
      </c>
      <c r="F9" s="77" t="s">
        <v>91</v>
      </c>
      <c r="G9" s="13">
        <v>44463.625</v>
      </c>
      <c r="H9" s="78" t="s">
        <v>679</v>
      </c>
      <c r="I9" s="16">
        <v>39</v>
      </c>
      <c r="J9" s="16">
        <v>36</v>
      </c>
      <c r="K9" s="16">
        <v>35</v>
      </c>
      <c r="L9" s="16">
        <v>8</v>
      </c>
      <c r="M9" s="82">
        <v>12.285</v>
      </c>
      <c r="N9" s="73">
        <v>13</v>
      </c>
      <c r="O9" s="65">
        <v>7000</v>
      </c>
      <c r="P9" s="66">
        <f>Table2245789101123456789101112131415161718192021222324252627[[#This Row],[PEMBULATAN]]*O9</f>
        <v>91000</v>
      </c>
    </row>
    <row r="10" spans="1:16" ht="26.25" customHeight="1" x14ac:dyDescent="0.2">
      <c r="A10" s="14"/>
      <c r="B10" s="14"/>
      <c r="C10" s="74" t="s">
        <v>665</v>
      </c>
      <c r="D10" s="79" t="s">
        <v>90</v>
      </c>
      <c r="E10" s="13">
        <v>44461</v>
      </c>
      <c r="F10" s="77" t="s">
        <v>91</v>
      </c>
      <c r="G10" s="13">
        <v>44463.625</v>
      </c>
      <c r="H10" s="78" t="s">
        <v>679</v>
      </c>
      <c r="I10" s="16">
        <v>35</v>
      </c>
      <c r="J10" s="16">
        <v>33</v>
      </c>
      <c r="K10" s="16">
        <v>33</v>
      </c>
      <c r="L10" s="16">
        <v>30</v>
      </c>
      <c r="M10" s="82">
        <v>9.5287500000000005</v>
      </c>
      <c r="N10" s="73">
        <v>30</v>
      </c>
      <c r="O10" s="65">
        <v>7000</v>
      </c>
      <c r="P10" s="66">
        <f>Table2245789101123456789101112131415161718192021222324252627[[#This Row],[PEMBULATAN]]*O10</f>
        <v>210000</v>
      </c>
    </row>
    <row r="11" spans="1:16" ht="26.25" customHeight="1" x14ac:dyDescent="0.2">
      <c r="A11" s="14"/>
      <c r="B11" s="14"/>
      <c r="C11" s="74" t="s">
        <v>666</v>
      </c>
      <c r="D11" s="79" t="s">
        <v>90</v>
      </c>
      <c r="E11" s="13">
        <v>44461</v>
      </c>
      <c r="F11" s="77" t="s">
        <v>91</v>
      </c>
      <c r="G11" s="13">
        <v>44463.625</v>
      </c>
      <c r="H11" s="78" t="s">
        <v>679</v>
      </c>
      <c r="I11" s="16">
        <v>41</v>
      </c>
      <c r="J11" s="16">
        <v>39</v>
      </c>
      <c r="K11" s="16">
        <v>36</v>
      </c>
      <c r="L11" s="16">
        <v>8</v>
      </c>
      <c r="M11" s="82">
        <v>14.391</v>
      </c>
      <c r="N11" s="73">
        <v>15</v>
      </c>
      <c r="O11" s="65">
        <v>7000</v>
      </c>
      <c r="P11" s="66">
        <f>Table2245789101123456789101112131415161718192021222324252627[[#This Row],[PEMBULATAN]]*O11</f>
        <v>105000</v>
      </c>
    </row>
    <row r="12" spans="1:16" ht="26.25" customHeight="1" x14ac:dyDescent="0.2">
      <c r="A12" s="14"/>
      <c r="B12" s="14"/>
      <c r="C12" s="74" t="s">
        <v>667</v>
      </c>
      <c r="D12" s="79" t="s">
        <v>90</v>
      </c>
      <c r="E12" s="13">
        <v>44461</v>
      </c>
      <c r="F12" s="77" t="s">
        <v>91</v>
      </c>
      <c r="G12" s="13">
        <v>44463.625</v>
      </c>
      <c r="H12" s="78" t="s">
        <v>679</v>
      </c>
      <c r="I12" s="16">
        <v>62</v>
      </c>
      <c r="J12" s="16">
        <v>31</v>
      </c>
      <c r="K12" s="16">
        <v>39</v>
      </c>
      <c r="L12" s="16">
        <v>13</v>
      </c>
      <c r="M12" s="82">
        <v>18.7395</v>
      </c>
      <c r="N12" s="73">
        <v>19</v>
      </c>
      <c r="O12" s="65">
        <v>7000</v>
      </c>
      <c r="P12" s="66">
        <f>Table2245789101123456789101112131415161718192021222324252627[[#This Row],[PEMBULATAN]]*O12</f>
        <v>133000</v>
      </c>
    </row>
    <row r="13" spans="1:16" ht="26.25" customHeight="1" x14ac:dyDescent="0.2">
      <c r="A13" s="14"/>
      <c r="B13" s="14"/>
      <c r="C13" s="74" t="s">
        <v>668</v>
      </c>
      <c r="D13" s="79" t="s">
        <v>90</v>
      </c>
      <c r="E13" s="13">
        <v>44461</v>
      </c>
      <c r="F13" s="77" t="s">
        <v>91</v>
      </c>
      <c r="G13" s="13">
        <v>44463.625</v>
      </c>
      <c r="H13" s="78" t="s">
        <v>679</v>
      </c>
      <c r="I13" s="16">
        <v>54</v>
      </c>
      <c r="J13" s="16">
        <v>25</v>
      </c>
      <c r="K13" s="16">
        <v>27</v>
      </c>
      <c r="L13" s="16">
        <v>7</v>
      </c>
      <c r="M13" s="82">
        <v>9.1125000000000007</v>
      </c>
      <c r="N13" s="73">
        <v>9</v>
      </c>
      <c r="O13" s="65">
        <v>7000</v>
      </c>
      <c r="P13" s="66">
        <f>Table2245789101123456789101112131415161718192021222324252627[[#This Row],[PEMBULATAN]]*O13</f>
        <v>63000</v>
      </c>
    </row>
    <row r="14" spans="1:16" ht="26.25" customHeight="1" x14ac:dyDescent="0.2">
      <c r="A14" s="14"/>
      <c r="B14" s="14"/>
      <c r="C14" s="74" t="s">
        <v>669</v>
      </c>
      <c r="D14" s="79" t="s">
        <v>90</v>
      </c>
      <c r="E14" s="13">
        <v>44461</v>
      </c>
      <c r="F14" s="77" t="s">
        <v>91</v>
      </c>
      <c r="G14" s="13">
        <v>44463.625</v>
      </c>
      <c r="H14" s="78" t="s">
        <v>679</v>
      </c>
      <c r="I14" s="16">
        <v>59</v>
      </c>
      <c r="J14" s="16">
        <v>22</v>
      </c>
      <c r="K14" s="16">
        <v>15</v>
      </c>
      <c r="L14" s="16">
        <v>22</v>
      </c>
      <c r="M14" s="82">
        <v>4.8674999999999997</v>
      </c>
      <c r="N14" s="73">
        <v>22</v>
      </c>
      <c r="O14" s="65">
        <v>7000</v>
      </c>
      <c r="P14" s="66">
        <f>Table2245789101123456789101112131415161718192021222324252627[[#This Row],[PEMBULATAN]]*O14</f>
        <v>154000</v>
      </c>
    </row>
    <row r="15" spans="1:16" ht="26.25" customHeight="1" x14ac:dyDescent="0.2">
      <c r="A15" s="14"/>
      <c r="B15" s="14"/>
      <c r="C15" s="74" t="s">
        <v>670</v>
      </c>
      <c r="D15" s="79" t="s">
        <v>90</v>
      </c>
      <c r="E15" s="13">
        <v>44461</v>
      </c>
      <c r="F15" s="77" t="s">
        <v>91</v>
      </c>
      <c r="G15" s="13">
        <v>44463.625</v>
      </c>
      <c r="H15" s="78" t="s">
        <v>679</v>
      </c>
      <c r="I15" s="16">
        <v>44</v>
      </c>
      <c r="J15" s="16">
        <v>31</v>
      </c>
      <c r="K15" s="16">
        <v>35</v>
      </c>
      <c r="L15" s="16">
        <v>21</v>
      </c>
      <c r="M15" s="82">
        <v>11.935</v>
      </c>
      <c r="N15" s="73">
        <v>21</v>
      </c>
      <c r="O15" s="65">
        <v>7000</v>
      </c>
      <c r="P15" s="66">
        <f>Table2245789101123456789101112131415161718192021222324252627[[#This Row],[PEMBULATAN]]*O15</f>
        <v>147000</v>
      </c>
    </row>
    <row r="16" spans="1:16" ht="26.25" customHeight="1" x14ac:dyDescent="0.2">
      <c r="A16" s="14"/>
      <c r="B16" s="14"/>
      <c r="C16" s="74" t="s">
        <v>671</v>
      </c>
      <c r="D16" s="79" t="s">
        <v>90</v>
      </c>
      <c r="E16" s="13">
        <v>44461</v>
      </c>
      <c r="F16" s="77" t="s">
        <v>91</v>
      </c>
      <c r="G16" s="13">
        <v>44463.625</v>
      </c>
      <c r="H16" s="78" t="s">
        <v>679</v>
      </c>
      <c r="I16" s="16">
        <v>38</v>
      </c>
      <c r="J16" s="16">
        <v>33</v>
      </c>
      <c r="K16" s="16">
        <v>27</v>
      </c>
      <c r="L16" s="16">
        <v>3</v>
      </c>
      <c r="M16" s="82">
        <v>8.4644999999999992</v>
      </c>
      <c r="N16" s="73">
        <v>9</v>
      </c>
      <c r="O16" s="65">
        <v>7000</v>
      </c>
      <c r="P16" s="66">
        <f>Table2245789101123456789101112131415161718192021222324252627[[#This Row],[PEMBULATAN]]*O16</f>
        <v>63000</v>
      </c>
    </row>
    <row r="17" spans="1:16" ht="26.25" customHeight="1" x14ac:dyDescent="0.2">
      <c r="A17" s="14"/>
      <c r="B17" s="14"/>
      <c r="C17" s="74" t="s">
        <v>672</v>
      </c>
      <c r="D17" s="79" t="s">
        <v>90</v>
      </c>
      <c r="E17" s="13">
        <v>44461</v>
      </c>
      <c r="F17" s="77" t="s">
        <v>91</v>
      </c>
      <c r="G17" s="13">
        <v>44463.625</v>
      </c>
      <c r="H17" s="78" t="s">
        <v>679</v>
      </c>
      <c r="I17" s="16">
        <v>43</v>
      </c>
      <c r="J17" s="16">
        <v>47</v>
      </c>
      <c r="K17" s="16">
        <v>31</v>
      </c>
      <c r="L17" s="16">
        <v>10</v>
      </c>
      <c r="M17" s="82">
        <v>15.662750000000001</v>
      </c>
      <c r="N17" s="73">
        <v>16</v>
      </c>
      <c r="O17" s="65">
        <v>7000</v>
      </c>
      <c r="P17" s="66">
        <f>Table2245789101123456789101112131415161718192021222324252627[[#This Row],[PEMBULATAN]]*O17</f>
        <v>112000</v>
      </c>
    </row>
    <row r="18" spans="1:16" ht="26.25" customHeight="1" x14ac:dyDescent="0.2">
      <c r="A18" s="14"/>
      <c r="B18" s="104"/>
      <c r="C18" s="74" t="s">
        <v>673</v>
      </c>
      <c r="D18" s="79" t="s">
        <v>90</v>
      </c>
      <c r="E18" s="13">
        <v>44461</v>
      </c>
      <c r="F18" s="77" t="s">
        <v>91</v>
      </c>
      <c r="G18" s="13">
        <v>44463.625</v>
      </c>
      <c r="H18" s="78" t="s">
        <v>679</v>
      </c>
      <c r="I18" s="16">
        <v>45</v>
      </c>
      <c r="J18" s="16">
        <v>33</v>
      </c>
      <c r="K18" s="16">
        <v>34</v>
      </c>
      <c r="L18" s="16">
        <v>21</v>
      </c>
      <c r="M18" s="82">
        <v>12.6225</v>
      </c>
      <c r="N18" s="73">
        <v>21</v>
      </c>
      <c r="O18" s="65">
        <v>7000</v>
      </c>
      <c r="P18" s="66">
        <f>Table2245789101123456789101112131415161718192021222324252627[[#This Row],[PEMBULATAN]]*O18</f>
        <v>147000</v>
      </c>
    </row>
    <row r="19" spans="1:16" ht="26.25" customHeight="1" x14ac:dyDescent="0.2">
      <c r="A19" s="14"/>
      <c r="B19" s="14" t="s">
        <v>674</v>
      </c>
      <c r="C19" s="74" t="s">
        <v>675</v>
      </c>
      <c r="D19" s="79" t="s">
        <v>90</v>
      </c>
      <c r="E19" s="13">
        <v>44461</v>
      </c>
      <c r="F19" s="77" t="s">
        <v>91</v>
      </c>
      <c r="G19" s="13">
        <v>44463.625</v>
      </c>
      <c r="H19" s="78" t="s">
        <v>679</v>
      </c>
      <c r="I19" s="16">
        <v>46</v>
      </c>
      <c r="J19" s="16">
        <v>28</v>
      </c>
      <c r="K19" s="16">
        <v>33</v>
      </c>
      <c r="L19" s="16">
        <v>21</v>
      </c>
      <c r="M19" s="82">
        <v>10.625999999999999</v>
      </c>
      <c r="N19" s="73">
        <v>21</v>
      </c>
      <c r="O19" s="65">
        <v>7000</v>
      </c>
      <c r="P19" s="66">
        <f>Table2245789101123456789101112131415161718192021222324252627[[#This Row],[PEMBULATAN]]*O19</f>
        <v>147000</v>
      </c>
    </row>
    <row r="20" spans="1:16" ht="26.25" customHeight="1" x14ac:dyDescent="0.2">
      <c r="A20" s="14"/>
      <c r="B20" s="14"/>
      <c r="C20" s="74" t="s">
        <v>676</v>
      </c>
      <c r="D20" s="79" t="s">
        <v>90</v>
      </c>
      <c r="E20" s="13">
        <v>44461</v>
      </c>
      <c r="F20" s="77" t="s">
        <v>91</v>
      </c>
      <c r="G20" s="13">
        <v>44463.625</v>
      </c>
      <c r="H20" s="78" t="s">
        <v>679</v>
      </c>
      <c r="I20" s="16">
        <v>65</v>
      </c>
      <c r="J20" s="16">
        <v>43</v>
      </c>
      <c r="K20" s="16">
        <v>18</v>
      </c>
      <c r="L20" s="16">
        <v>9</v>
      </c>
      <c r="M20" s="82">
        <v>12.577500000000001</v>
      </c>
      <c r="N20" s="73">
        <v>13</v>
      </c>
      <c r="O20" s="65">
        <v>7000</v>
      </c>
      <c r="P20" s="66">
        <f>Table2245789101123456789101112131415161718192021222324252627[[#This Row],[PEMBULATAN]]*O20</f>
        <v>91000</v>
      </c>
    </row>
    <row r="21" spans="1:16" ht="26.25" customHeight="1" x14ac:dyDescent="0.2">
      <c r="A21" s="14"/>
      <c r="B21" s="14"/>
      <c r="C21" s="74" t="s">
        <v>677</v>
      </c>
      <c r="D21" s="79" t="s">
        <v>90</v>
      </c>
      <c r="E21" s="13">
        <v>44461</v>
      </c>
      <c r="F21" s="77" t="s">
        <v>91</v>
      </c>
      <c r="G21" s="13">
        <v>44463.625</v>
      </c>
      <c r="H21" s="78" t="s">
        <v>679</v>
      </c>
      <c r="I21" s="16">
        <v>65</v>
      </c>
      <c r="J21" s="16">
        <v>44</v>
      </c>
      <c r="K21" s="16">
        <v>32</v>
      </c>
      <c r="L21" s="16">
        <v>6</v>
      </c>
      <c r="M21" s="82">
        <v>22.88</v>
      </c>
      <c r="N21" s="73">
        <v>23</v>
      </c>
      <c r="O21" s="65">
        <v>7000</v>
      </c>
      <c r="P21" s="66">
        <f>Table2245789101123456789101112131415161718192021222324252627[[#This Row],[PEMBULATAN]]*O21</f>
        <v>161000</v>
      </c>
    </row>
    <row r="22" spans="1:16" ht="26.25" customHeight="1" x14ac:dyDescent="0.2">
      <c r="A22" s="14"/>
      <c r="B22" s="14"/>
      <c r="C22" s="74" t="s">
        <v>678</v>
      </c>
      <c r="D22" s="79" t="s">
        <v>90</v>
      </c>
      <c r="E22" s="13">
        <v>44461</v>
      </c>
      <c r="F22" s="77" t="s">
        <v>91</v>
      </c>
      <c r="G22" s="13">
        <v>44463.625</v>
      </c>
      <c r="H22" s="78" t="s">
        <v>679</v>
      </c>
      <c r="I22" s="16">
        <v>65</v>
      </c>
      <c r="J22" s="16">
        <v>42</v>
      </c>
      <c r="K22" s="16">
        <v>32</v>
      </c>
      <c r="L22" s="16">
        <v>19</v>
      </c>
      <c r="M22" s="82">
        <v>21.84</v>
      </c>
      <c r="N22" s="73">
        <v>22</v>
      </c>
      <c r="O22" s="65">
        <v>7000</v>
      </c>
      <c r="P22" s="66">
        <f>Table2245789101123456789101112131415161718192021222324252627[[#This Row],[PEMBULATAN]]*O22</f>
        <v>154000</v>
      </c>
    </row>
    <row r="23" spans="1:16" ht="22.5" customHeight="1" x14ac:dyDescent="0.2">
      <c r="A23" s="136" t="s">
        <v>30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8"/>
      <c r="M23" s="80">
        <f>SUBTOTAL(109,Table2245789101123456789101112131415161718192021222324252627[KG VOLUME])</f>
        <v>321.71224999999993</v>
      </c>
      <c r="N23" s="69">
        <f>SUM(N3:N22)</f>
        <v>392</v>
      </c>
      <c r="O23" s="139">
        <f>SUM(P3:P22)</f>
        <v>2744000</v>
      </c>
      <c r="P23" s="140"/>
    </row>
    <row r="24" spans="1:16" ht="18" customHeight="1" x14ac:dyDescent="0.2">
      <c r="A24" s="87"/>
      <c r="B24" s="57" t="s">
        <v>42</v>
      </c>
      <c r="C24" s="56"/>
      <c r="D24" s="58" t="s">
        <v>43</v>
      </c>
      <c r="E24" s="87"/>
      <c r="F24" s="87"/>
      <c r="G24" s="87"/>
      <c r="H24" s="87"/>
      <c r="I24" s="87"/>
      <c r="J24" s="87"/>
      <c r="K24" s="87"/>
      <c r="L24" s="87"/>
      <c r="M24" s="88"/>
      <c r="N24" s="89" t="s">
        <v>52</v>
      </c>
      <c r="O24" s="90"/>
      <c r="P24" s="90">
        <v>0</v>
      </c>
    </row>
    <row r="25" spans="1:16" ht="18" customHeight="1" thickBot="1" x14ac:dyDescent="0.25">
      <c r="A25" s="87"/>
      <c r="B25" s="57"/>
      <c r="C25" s="56"/>
      <c r="D25" s="58"/>
      <c r="E25" s="87"/>
      <c r="F25" s="87"/>
      <c r="G25" s="87"/>
      <c r="H25" s="87"/>
      <c r="I25" s="87"/>
      <c r="J25" s="87"/>
      <c r="K25" s="87"/>
      <c r="L25" s="87"/>
      <c r="M25" s="88"/>
      <c r="N25" s="91" t="s">
        <v>53</v>
      </c>
      <c r="O25" s="92"/>
      <c r="P25" s="92">
        <f>O23-P24</f>
        <v>2744000</v>
      </c>
    </row>
    <row r="26" spans="1:16" ht="18" customHeight="1" x14ac:dyDescent="0.2">
      <c r="A26" s="11"/>
      <c r="H26" s="64"/>
      <c r="N26" s="63" t="s">
        <v>31</v>
      </c>
      <c r="P26" s="70">
        <f>P25*1%</f>
        <v>27440</v>
      </c>
    </row>
    <row r="27" spans="1:16" ht="18" customHeight="1" thickBot="1" x14ac:dyDescent="0.25">
      <c r="A27" s="11"/>
      <c r="H27" s="64"/>
      <c r="N27" s="63" t="s">
        <v>54</v>
      </c>
      <c r="P27" s="72">
        <f>P25*2%</f>
        <v>54880</v>
      </c>
    </row>
    <row r="28" spans="1:16" ht="18" customHeight="1" x14ac:dyDescent="0.2">
      <c r="A28" s="11"/>
      <c r="H28" s="64"/>
      <c r="N28" s="67" t="s">
        <v>32</v>
      </c>
      <c r="O28" s="68"/>
      <c r="P28" s="71">
        <f>P25+P26-P27</f>
        <v>2716560</v>
      </c>
    </row>
    <row r="30" spans="1:16" x14ac:dyDescent="0.2">
      <c r="A30" s="11"/>
      <c r="H30" s="64"/>
      <c r="P30" s="72"/>
    </row>
    <row r="31" spans="1:16" x14ac:dyDescent="0.2">
      <c r="A31" s="11"/>
      <c r="H31" s="64"/>
      <c r="O31" s="59"/>
      <c r="P31" s="72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178" priority="2"/>
  </conditionalFormatting>
  <conditionalFormatting sqref="B4">
    <cfRule type="duplicateValues" dxfId="177" priority="1"/>
  </conditionalFormatting>
  <conditionalFormatting sqref="B5:B22">
    <cfRule type="duplicateValues" dxfId="176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3" sqref="A3:XFD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9.25" customHeight="1" x14ac:dyDescent="0.2">
      <c r="A3" s="98" t="s">
        <v>925</v>
      </c>
      <c r="B3" s="75" t="s">
        <v>680</v>
      </c>
      <c r="C3" s="9" t="s">
        <v>681</v>
      </c>
      <c r="D3" s="77" t="s">
        <v>90</v>
      </c>
      <c r="E3" s="13">
        <v>44462</v>
      </c>
      <c r="F3" s="77" t="s">
        <v>91</v>
      </c>
      <c r="G3" s="13">
        <v>44463.625</v>
      </c>
      <c r="H3" s="10" t="s">
        <v>679</v>
      </c>
      <c r="I3" s="1">
        <v>56</v>
      </c>
      <c r="J3" s="1">
        <v>52</v>
      </c>
      <c r="K3" s="1">
        <v>30</v>
      </c>
      <c r="L3" s="1">
        <v>6</v>
      </c>
      <c r="M3" s="81">
        <v>21.84</v>
      </c>
      <c r="N3" s="8">
        <v>22</v>
      </c>
      <c r="O3" s="65">
        <v>7000</v>
      </c>
      <c r="P3" s="66">
        <f>Table224578910112345678910111213141516171819202122232425262728[[#This Row],[PEMBULATAN]]*O3</f>
        <v>154000</v>
      </c>
    </row>
    <row r="4" spans="1:16" ht="29.25" customHeight="1" x14ac:dyDescent="0.2">
      <c r="A4" s="14"/>
      <c r="B4" s="76"/>
      <c r="C4" s="9" t="s">
        <v>682</v>
      </c>
      <c r="D4" s="77" t="s">
        <v>90</v>
      </c>
      <c r="E4" s="13">
        <v>44462</v>
      </c>
      <c r="F4" s="77" t="s">
        <v>91</v>
      </c>
      <c r="G4" s="13">
        <v>44463.625</v>
      </c>
      <c r="H4" s="10" t="s">
        <v>679</v>
      </c>
      <c r="I4" s="1">
        <v>46</v>
      </c>
      <c r="J4" s="1">
        <v>46</v>
      </c>
      <c r="K4" s="1">
        <v>25</v>
      </c>
      <c r="L4" s="1">
        <v>12</v>
      </c>
      <c r="M4" s="81">
        <v>13.225</v>
      </c>
      <c r="N4" s="8">
        <v>13</v>
      </c>
      <c r="O4" s="65">
        <v>7000</v>
      </c>
      <c r="P4" s="66">
        <f>Table224578910112345678910111213141516171819202122232425262728[[#This Row],[PEMBULATAN]]*O4</f>
        <v>91000</v>
      </c>
    </row>
    <row r="5" spans="1:16" ht="29.25" customHeight="1" x14ac:dyDescent="0.2">
      <c r="A5" s="14"/>
      <c r="B5" s="14"/>
      <c r="C5" s="9" t="s">
        <v>683</v>
      </c>
      <c r="D5" s="77" t="s">
        <v>90</v>
      </c>
      <c r="E5" s="13">
        <v>44462</v>
      </c>
      <c r="F5" s="77" t="s">
        <v>91</v>
      </c>
      <c r="G5" s="13">
        <v>44463.625</v>
      </c>
      <c r="H5" s="10" t="s">
        <v>679</v>
      </c>
      <c r="I5" s="1">
        <v>54</v>
      </c>
      <c r="J5" s="1">
        <v>28</v>
      </c>
      <c r="K5" s="1">
        <v>25</v>
      </c>
      <c r="L5" s="1">
        <v>11</v>
      </c>
      <c r="M5" s="81">
        <v>9.4499999999999993</v>
      </c>
      <c r="N5" s="8">
        <v>11</v>
      </c>
      <c r="O5" s="65">
        <v>7000</v>
      </c>
      <c r="P5" s="66">
        <f>Table224578910112345678910111213141516171819202122232425262728[[#This Row],[PEMBULATAN]]*O5</f>
        <v>77000</v>
      </c>
    </row>
    <row r="6" spans="1:16" ht="29.25" customHeight="1" x14ac:dyDescent="0.2">
      <c r="A6" s="14"/>
      <c r="B6" s="14"/>
      <c r="C6" s="74" t="s">
        <v>684</v>
      </c>
      <c r="D6" s="79" t="s">
        <v>90</v>
      </c>
      <c r="E6" s="13">
        <v>44462</v>
      </c>
      <c r="F6" s="77" t="s">
        <v>91</v>
      </c>
      <c r="G6" s="13">
        <v>44463.625</v>
      </c>
      <c r="H6" s="78" t="s">
        <v>679</v>
      </c>
      <c r="I6" s="16">
        <v>44</v>
      </c>
      <c r="J6" s="16">
        <v>35</v>
      </c>
      <c r="K6" s="16">
        <v>30</v>
      </c>
      <c r="L6" s="16">
        <v>14</v>
      </c>
      <c r="M6" s="82">
        <v>11.55</v>
      </c>
      <c r="N6" s="73">
        <v>14</v>
      </c>
      <c r="O6" s="65">
        <v>7000</v>
      </c>
      <c r="P6" s="66">
        <f>Table224578910112345678910111213141516171819202122232425262728[[#This Row],[PEMBULATAN]]*O6</f>
        <v>98000</v>
      </c>
    </row>
    <row r="7" spans="1:16" ht="29.25" customHeight="1" x14ac:dyDescent="0.2">
      <c r="A7" s="14"/>
      <c r="B7" s="14"/>
      <c r="C7" s="74" t="s">
        <v>685</v>
      </c>
      <c r="D7" s="79" t="s">
        <v>90</v>
      </c>
      <c r="E7" s="13">
        <v>44462</v>
      </c>
      <c r="F7" s="77" t="s">
        <v>91</v>
      </c>
      <c r="G7" s="13">
        <v>44463.625</v>
      </c>
      <c r="H7" s="78" t="s">
        <v>679</v>
      </c>
      <c r="I7" s="16">
        <v>61</v>
      </c>
      <c r="J7" s="16">
        <v>36</v>
      </c>
      <c r="K7" s="16">
        <v>26</v>
      </c>
      <c r="L7" s="16">
        <v>9</v>
      </c>
      <c r="M7" s="82">
        <v>14.273999999999999</v>
      </c>
      <c r="N7" s="73">
        <v>14</v>
      </c>
      <c r="O7" s="65">
        <v>7000</v>
      </c>
      <c r="P7" s="66">
        <f>Table224578910112345678910111213141516171819202122232425262728[[#This Row],[PEMBULATAN]]*O7</f>
        <v>98000</v>
      </c>
    </row>
    <row r="8" spans="1:16" ht="29.25" customHeight="1" x14ac:dyDescent="0.2">
      <c r="A8" s="14"/>
      <c r="B8" s="14"/>
      <c r="C8" s="74" t="s">
        <v>686</v>
      </c>
      <c r="D8" s="79" t="s">
        <v>90</v>
      </c>
      <c r="E8" s="13">
        <v>44462</v>
      </c>
      <c r="F8" s="77" t="s">
        <v>91</v>
      </c>
      <c r="G8" s="13">
        <v>44463.625</v>
      </c>
      <c r="H8" s="78" t="s">
        <v>679</v>
      </c>
      <c r="I8" s="16">
        <v>63</v>
      </c>
      <c r="J8" s="16">
        <v>40</v>
      </c>
      <c r="K8" s="16">
        <v>40</v>
      </c>
      <c r="L8" s="16">
        <v>12</v>
      </c>
      <c r="M8" s="82">
        <v>25.2</v>
      </c>
      <c r="N8" s="73">
        <v>25</v>
      </c>
      <c r="O8" s="65">
        <v>7000</v>
      </c>
      <c r="P8" s="66">
        <f>Table224578910112345678910111213141516171819202122232425262728[[#This Row],[PEMBULATAN]]*O8</f>
        <v>175000</v>
      </c>
    </row>
    <row r="9" spans="1:16" ht="29.25" customHeight="1" x14ac:dyDescent="0.2">
      <c r="A9" s="14"/>
      <c r="B9" s="14"/>
      <c r="C9" s="74" t="s">
        <v>687</v>
      </c>
      <c r="D9" s="79" t="s">
        <v>90</v>
      </c>
      <c r="E9" s="13">
        <v>44462</v>
      </c>
      <c r="F9" s="77" t="s">
        <v>91</v>
      </c>
      <c r="G9" s="13">
        <v>44463.625</v>
      </c>
      <c r="H9" s="78" t="s">
        <v>679</v>
      </c>
      <c r="I9" s="16">
        <v>60</v>
      </c>
      <c r="J9" s="16">
        <v>45</v>
      </c>
      <c r="K9" s="16">
        <v>21</v>
      </c>
      <c r="L9" s="16">
        <v>5</v>
      </c>
      <c r="M9" s="82">
        <v>14.175000000000001</v>
      </c>
      <c r="N9" s="73">
        <v>14</v>
      </c>
      <c r="O9" s="65">
        <v>7000</v>
      </c>
      <c r="P9" s="66">
        <f>Table224578910112345678910111213141516171819202122232425262728[[#This Row],[PEMBULATAN]]*O9</f>
        <v>98000</v>
      </c>
    </row>
    <row r="10" spans="1:16" ht="29.25" customHeight="1" x14ac:dyDescent="0.2">
      <c r="A10" s="14"/>
      <c r="B10" s="14"/>
      <c r="C10" s="74" t="s">
        <v>688</v>
      </c>
      <c r="D10" s="79" t="s">
        <v>90</v>
      </c>
      <c r="E10" s="13">
        <v>44462</v>
      </c>
      <c r="F10" s="77" t="s">
        <v>91</v>
      </c>
      <c r="G10" s="13">
        <v>44463.625</v>
      </c>
      <c r="H10" s="78" t="s">
        <v>679</v>
      </c>
      <c r="I10" s="16">
        <v>46</v>
      </c>
      <c r="J10" s="16">
        <v>25</v>
      </c>
      <c r="K10" s="16">
        <v>35</v>
      </c>
      <c r="L10" s="16">
        <v>9</v>
      </c>
      <c r="M10" s="82">
        <v>10.0625</v>
      </c>
      <c r="N10" s="73">
        <v>10</v>
      </c>
      <c r="O10" s="65">
        <v>7000</v>
      </c>
      <c r="P10" s="66">
        <f>Table224578910112345678910111213141516171819202122232425262728[[#This Row],[PEMBULATAN]]*O10</f>
        <v>70000</v>
      </c>
    </row>
    <row r="11" spans="1:16" ht="29.25" customHeight="1" x14ac:dyDescent="0.2">
      <c r="A11" s="14"/>
      <c r="B11" s="14"/>
      <c r="C11" s="74" t="s">
        <v>689</v>
      </c>
      <c r="D11" s="79" t="s">
        <v>90</v>
      </c>
      <c r="E11" s="13">
        <v>44462</v>
      </c>
      <c r="F11" s="77" t="s">
        <v>91</v>
      </c>
      <c r="G11" s="13">
        <v>44463.625</v>
      </c>
      <c r="H11" s="78" t="s">
        <v>679</v>
      </c>
      <c r="I11" s="16">
        <v>52</v>
      </c>
      <c r="J11" s="16">
        <v>20</v>
      </c>
      <c r="K11" s="16">
        <v>11</v>
      </c>
      <c r="L11" s="16">
        <v>4</v>
      </c>
      <c r="M11" s="82">
        <v>2.86</v>
      </c>
      <c r="N11" s="73">
        <v>4</v>
      </c>
      <c r="O11" s="65">
        <v>7000</v>
      </c>
      <c r="P11" s="66">
        <f>Table224578910112345678910111213141516171819202122232425262728[[#This Row],[PEMBULATAN]]*O11</f>
        <v>28000</v>
      </c>
    </row>
    <row r="12" spans="1:16" ht="29.25" customHeight="1" x14ac:dyDescent="0.2">
      <c r="A12" s="14"/>
      <c r="B12" s="14"/>
      <c r="C12" s="74" t="s">
        <v>690</v>
      </c>
      <c r="D12" s="79" t="s">
        <v>90</v>
      </c>
      <c r="E12" s="13">
        <v>44462</v>
      </c>
      <c r="F12" s="77" t="s">
        <v>91</v>
      </c>
      <c r="G12" s="13">
        <v>44463.625</v>
      </c>
      <c r="H12" s="78" t="s">
        <v>679</v>
      </c>
      <c r="I12" s="16">
        <v>63</v>
      </c>
      <c r="J12" s="16">
        <v>51</v>
      </c>
      <c r="K12" s="16">
        <v>30</v>
      </c>
      <c r="L12" s="16">
        <v>13</v>
      </c>
      <c r="M12" s="82">
        <v>24.0975</v>
      </c>
      <c r="N12" s="73">
        <v>24</v>
      </c>
      <c r="O12" s="65">
        <v>7000</v>
      </c>
      <c r="P12" s="66">
        <f>Table224578910112345678910111213141516171819202122232425262728[[#This Row],[PEMBULATAN]]*O12</f>
        <v>168000</v>
      </c>
    </row>
    <row r="13" spans="1:16" ht="29.25" customHeight="1" x14ac:dyDescent="0.2">
      <c r="A13" s="14"/>
      <c r="B13" s="14"/>
      <c r="C13" s="74" t="s">
        <v>691</v>
      </c>
      <c r="D13" s="79" t="s">
        <v>90</v>
      </c>
      <c r="E13" s="13">
        <v>44462</v>
      </c>
      <c r="F13" s="77" t="s">
        <v>91</v>
      </c>
      <c r="G13" s="13">
        <v>44463.625</v>
      </c>
      <c r="H13" s="78" t="s">
        <v>679</v>
      </c>
      <c r="I13" s="16">
        <v>85</v>
      </c>
      <c r="J13" s="16">
        <v>52</v>
      </c>
      <c r="K13" s="16">
        <v>12</v>
      </c>
      <c r="L13" s="16">
        <v>7</v>
      </c>
      <c r="M13" s="82">
        <v>13.26</v>
      </c>
      <c r="N13" s="73">
        <v>13</v>
      </c>
      <c r="O13" s="65">
        <v>7000</v>
      </c>
      <c r="P13" s="66">
        <f>Table224578910112345678910111213141516171819202122232425262728[[#This Row],[PEMBULATAN]]*O13</f>
        <v>91000</v>
      </c>
    </row>
    <row r="14" spans="1:16" ht="29.25" customHeight="1" x14ac:dyDescent="0.2">
      <c r="A14" s="14"/>
      <c r="B14" s="14"/>
      <c r="C14" s="74" t="s">
        <v>692</v>
      </c>
      <c r="D14" s="79" t="s">
        <v>90</v>
      </c>
      <c r="E14" s="13">
        <v>44462</v>
      </c>
      <c r="F14" s="77" t="s">
        <v>91</v>
      </c>
      <c r="G14" s="13">
        <v>44463.625</v>
      </c>
      <c r="H14" s="78" t="s">
        <v>679</v>
      </c>
      <c r="I14" s="16">
        <v>51</v>
      </c>
      <c r="J14" s="16">
        <v>51</v>
      </c>
      <c r="K14" s="16">
        <v>17</v>
      </c>
      <c r="L14" s="16">
        <v>8</v>
      </c>
      <c r="M14" s="82">
        <v>11.05425</v>
      </c>
      <c r="N14" s="73">
        <v>11</v>
      </c>
      <c r="O14" s="65">
        <v>7000</v>
      </c>
      <c r="P14" s="66">
        <f>Table224578910112345678910111213141516171819202122232425262728[[#This Row],[PEMBULATAN]]*O14</f>
        <v>77000</v>
      </c>
    </row>
    <row r="15" spans="1:16" ht="29.25" customHeight="1" x14ac:dyDescent="0.2">
      <c r="A15" s="14"/>
      <c r="B15" s="14"/>
      <c r="C15" s="74" t="s">
        <v>693</v>
      </c>
      <c r="D15" s="79" t="s">
        <v>90</v>
      </c>
      <c r="E15" s="13">
        <v>44462</v>
      </c>
      <c r="F15" s="77" t="s">
        <v>91</v>
      </c>
      <c r="G15" s="13">
        <v>44463.625</v>
      </c>
      <c r="H15" s="78" t="s">
        <v>679</v>
      </c>
      <c r="I15" s="16">
        <v>116</v>
      </c>
      <c r="J15" s="16">
        <v>67</v>
      </c>
      <c r="K15" s="16">
        <v>30</v>
      </c>
      <c r="L15" s="16">
        <v>32</v>
      </c>
      <c r="M15" s="82">
        <v>58.29</v>
      </c>
      <c r="N15" s="73">
        <v>58</v>
      </c>
      <c r="O15" s="65">
        <v>7000</v>
      </c>
      <c r="P15" s="66">
        <f>Table224578910112345678910111213141516171819202122232425262728[[#This Row],[PEMBULATAN]]*O15</f>
        <v>406000</v>
      </c>
    </row>
    <row r="16" spans="1:16" ht="29.25" customHeight="1" x14ac:dyDescent="0.2">
      <c r="A16" s="14"/>
      <c r="B16" s="14"/>
      <c r="C16" s="74" t="s">
        <v>694</v>
      </c>
      <c r="D16" s="79" t="s">
        <v>90</v>
      </c>
      <c r="E16" s="13">
        <v>44462</v>
      </c>
      <c r="F16" s="77" t="s">
        <v>91</v>
      </c>
      <c r="G16" s="13">
        <v>44463.625</v>
      </c>
      <c r="H16" s="78" t="s">
        <v>679</v>
      </c>
      <c r="I16" s="16">
        <v>90</v>
      </c>
      <c r="J16" s="16">
        <v>55</v>
      </c>
      <c r="K16" s="16">
        <v>21</v>
      </c>
      <c r="L16" s="16">
        <v>12</v>
      </c>
      <c r="M16" s="82">
        <v>25.987500000000001</v>
      </c>
      <c r="N16" s="73">
        <v>26</v>
      </c>
      <c r="O16" s="65">
        <v>7000</v>
      </c>
      <c r="P16" s="66">
        <f>Table224578910112345678910111213141516171819202122232425262728[[#This Row],[PEMBULATAN]]*O16</f>
        <v>182000</v>
      </c>
    </row>
    <row r="17" spans="1:16" ht="29.25" customHeight="1" x14ac:dyDescent="0.2">
      <c r="A17" s="14"/>
      <c r="B17" s="14"/>
      <c r="C17" s="74" t="s">
        <v>695</v>
      </c>
      <c r="D17" s="79" t="s">
        <v>90</v>
      </c>
      <c r="E17" s="13">
        <v>44462</v>
      </c>
      <c r="F17" s="77" t="s">
        <v>91</v>
      </c>
      <c r="G17" s="13">
        <v>44463.625</v>
      </c>
      <c r="H17" s="78" t="s">
        <v>679</v>
      </c>
      <c r="I17" s="16">
        <v>130</v>
      </c>
      <c r="J17" s="16">
        <v>14</v>
      </c>
      <c r="K17" s="16">
        <v>13</v>
      </c>
      <c r="L17" s="16">
        <v>14</v>
      </c>
      <c r="M17" s="82">
        <v>5.915</v>
      </c>
      <c r="N17" s="73">
        <v>14</v>
      </c>
      <c r="O17" s="65">
        <v>7000</v>
      </c>
      <c r="P17" s="66">
        <f>Table224578910112345678910111213141516171819202122232425262728[[#This Row],[PEMBULATAN]]*O17</f>
        <v>98000</v>
      </c>
    </row>
    <row r="18" spans="1:16" ht="29.25" customHeight="1" x14ac:dyDescent="0.2">
      <c r="A18" s="14"/>
      <c r="B18" s="14"/>
      <c r="C18" s="74" t="s">
        <v>696</v>
      </c>
      <c r="D18" s="79" t="s">
        <v>90</v>
      </c>
      <c r="E18" s="13">
        <v>44462</v>
      </c>
      <c r="F18" s="77" t="s">
        <v>91</v>
      </c>
      <c r="G18" s="13">
        <v>44463.625</v>
      </c>
      <c r="H18" s="78" t="s">
        <v>679</v>
      </c>
      <c r="I18" s="16">
        <v>46</v>
      </c>
      <c r="J18" s="16">
        <v>32</v>
      </c>
      <c r="K18" s="16">
        <v>20</v>
      </c>
      <c r="L18" s="16">
        <v>14</v>
      </c>
      <c r="M18" s="82">
        <v>7.36</v>
      </c>
      <c r="N18" s="73">
        <v>14</v>
      </c>
      <c r="O18" s="65">
        <v>7000</v>
      </c>
      <c r="P18" s="66">
        <f>Table224578910112345678910111213141516171819202122232425262728[[#This Row],[PEMBULATAN]]*O18</f>
        <v>98000</v>
      </c>
    </row>
    <row r="19" spans="1:16" ht="29.25" customHeight="1" x14ac:dyDescent="0.2">
      <c r="A19" s="14"/>
      <c r="B19" s="14"/>
      <c r="C19" s="74" t="s">
        <v>697</v>
      </c>
      <c r="D19" s="79" t="s">
        <v>90</v>
      </c>
      <c r="E19" s="13">
        <v>44462</v>
      </c>
      <c r="F19" s="77" t="s">
        <v>91</v>
      </c>
      <c r="G19" s="13">
        <v>44463.625</v>
      </c>
      <c r="H19" s="78" t="s">
        <v>679</v>
      </c>
      <c r="I19" s="16">
        <v>46</v>
      </c>
      <c r="J19" s="16">
        <v>32</v>
      </c>
      <c r="K19" s="16">
        <v>20</v>
      </c>
      <c r="L19" s="16">
        <v>12</v>
      </c>
      <c r="M19" s="82">
        <v>7.36</v>
      </c>
      <c r="N19" s="73">
        <v>12</v>
      </c>
      <c r="O19" s="65">
        <v>7000</v>
      </c>
      <c r="P19" s="66">
        <f>Table224578910112345678910111213141516171819202122232425262728[[#This Row],[PEMBULATAN]]*O19</f>
        <v>84000</v>
      </c>
    </row>
    <row r="20" spans="1:16" ht="29.25" customHeight="1" x14ac:dyDescent="0.2">
      <c r="A20" s="14"/>
      <c r="B20" s="14"/>
      <c r="C20" s="74" t="s">
        <v>698</v>
      </c>
      <c r="D20" s="79" t="s">
        <v>90</v>
      </c>
      <c r="E20" s="13">
        <v>44462</v>
      </c>
      <c r="F20" s="77" t="s">
        <v>91</v>
      </c>
      <c r="G20" s="13">
        <v>44463.625</v>
      </c>
      <c r="H20" s="78" t="s">
        <v>679</v>
      </c>
      <c r="I20" s="16">
        <v>120</v>
      </c>
      <c r="J20" s="16">
        <v>48</v>
      </c>
      <c r="K20" s="16">
        <v>34</v>
      </c>
      <c r="L20" s="16">
        <v>40</v>
      </c>
      <c r="M20" s="82">
        <v>48.96</v>
      </c>
      <c r="N20" s="73">
        <v>49</v>
      </c>
      <c r="O20" s="65">
        <v>7000</v>
      </c>
      <c r="P20" s="66">
        <f>Table224578910112345678910111213141516171819202122232425262728[[#This Row],[PEMBULATAN]]*O20</f>
        <v>343000</v>
      </c>
    </row>
    <row r="21" spans="1:16" ht="29.25" customHeight="1" x14ac:dyDescent="0.2">
      <c r="A21" s="14"/>
      <c r="B21" s="104"/>
      <c r="C21" s="74" t="s">
        <v>699</v>
      </c>
      <c r="D21" s="79" t="s">
        <v>90</v>
      </c>
      <c r="E21" s="13">
        <v>44462</v>
      </c>
      <c r="F21" s="77" t="s">
        <v>91</v>
      </c>
      <c r="G21" s="13">
        <v>44463.625</v>
      </c>
      <c r="H21" s="78" t="s">
        <v>679</v>
      </c>
      <c r="I21" s="16">
        <v>145</v>
      </c>
      <c r="J21" s="16">
        <v>20</v>
      </c>
      <c r="K21" s="16">
        <v>20</v>
      </c>
      <c r="L21" s="16">
        <v>18</v>
      </c>
      <c r="M21" s="82">
        <v>14.5</v>
      </c>
      <c r="N21" s="73">
        <v>18</v>
      </c>
      <c r="O21" s="65">
        <v>7000</v>
      </c>
      <c r="P21" s="66">
        <f>Table224578910112345678910111213141516171819202122232425262728[[#This Row],[PEMBULATAN]]*O21</f>
        <v>126000</v>
      </c>
    </row>
    <row r="22" spans="1:16" ht="29.25" customHeight="1" x14ac:dyDescent="0.2">
      <c r="A22" s="14"/>
      <c r="B22" s="14" t="s">
        <v>700</v>
      </c>
      <c r="C22" s="74" t="s">
        <v>701</v>
      </c>
      <c r="D22" s="79" t="s">
        <v>90</v>
      </c>
      <c r="E22" s="13">
        <v>44462</v>
      </c>
      <c r="F22" s="77" t="s">
        <v>91</v>
      </c>
      <c r="G22" s="13">
        <v>44463.625</v>
      </c>
      <c r="H22" s="78" t="s">
        <v>679</v>
      </c>
      <c r="I22" s="16">
        <v>118</v>
      </c>
      <c r="J22" s="16">
        <v>87</v>
      </c>
      <c r="K22" s="16">
        <v>11</v>
      </c>
      <c r="L22" s="16">
        <v>20</v>
      </c>
      <c r="M22" s="82">
        <v>28.2315</v>
      </c>
      <c r="N22" s="73">
        <v>28</v>
      </c>
      <c r="O22" s="65">
        <v>7000</v>
      </c>
      <c r="P22" s="66">
        <f>Table224578910112345678910111213141516171819202122232425262728[[#This Row],[PEMBULATAN]]*O22</f>
        <v>196000</v>
      </c>
    </row>
    <row r="23" spans="1:16" ht="29.25" customHeight="1" x14ac:dyDescent="0.2">
      <c r="A23" s="14"/>
      <c r="B23" s="14"/>
      <c r="C23" s="74" t="s">
        <v>702</v>
      </c>
      <c r="D23" s="79" t="s">
        <v>90</v>
      </c>
      <c r="E23" s="13">
        <v>44462</v>
      </c>
      <c r="F23" s="77" t="s">
        <v>91</v>
      </c>
      <c r="G23" s="13">
        <v>44463.625</v>
      </c>
      <c r="H23" s="78" t="s">
        <v>679</v>
      </c>
      <c r="I23" s="16">
        <v>36</v>
      </c>
      <c r="J23" s="16">
        <v>32</v>
      </c>
      <c r="K23" s="16">
        <v>26</v>
      </c>
      <c r="L23" s="16">
        <v>8</v>
      </c>
      <c r="M23" s="82">
        <v>7.4880000000000004</v>
      </c>
      <c r="N23" s="73">
        <v>8</v>
      </c>
      <c r="O23" s="65">
        <v>7000</v>
      </c>
      <c r="P23" s="66">
        <f>Table224578910112345678910111213141516171819202122232425262728[[#This Row],[PEMBULATAN]]*O23</f>
        <v>56000</v>
      </c>
    </row>
    <row r="24" spans="1:16" ht="29.25" customHeight="1" x14ac:dyDescent="0.2">
      <c r="A24" s="14"/>
      <c r="B24" s="14"/>
      <c r="C24" s="74" t="s">
        <v>703</v>
      </c>
      <c r="D24" s="79" t="s">
        <v>90</v>
      </c>
      <c r="E24" s="13">
        <v>44462</v>
      </c>
      <c r="F24" s="77" t="s">
        <v>91</v>
      </c>
      <c r="G24" s="13">
        <v>44463.625</v>
      </c>
      <c r="H24" s="78" t="s">
        <v>679</v>
      </c>
      <c r="I24" s="16">
        <v>170</v>
      </c>
      <c r="J24" s="16">
        <v>61</v>
      </c>
      <c r="K24" s="16">
        <v>33</v>
      </c>
      <c r="L24" s="16">
        <v>25</v>
      </c>
      <c r="M24" s="82">
        <v>85.552499999999995</v>
      </c>
      <c r="N24" s="73">
        <v>86</v>
      </c>
      <c r="O24" s="65">
        <v>7000</v>
      </c>
      <c r="P24" s="66">
        <f>Table224578910112345678910111213141516171819202122232425262728[[#This Row],[PEMBULATAN]]*O24</f>
        <v>602000</v>
      </c>
    </row>
    <row r="25" spans="1:16" ht="29.25" customHeight="1" x14ac:dyDescent="0.2">
      <c r="A25" s="14"/>
      <c r="B25" s="14"/>
      <c r="C25" s="74" t="s">
        <v>704</v>
      </c>
      <c r="D25" s="79" t="s">
        <v>90</v>
      </c>
      <c r="E25" s="13">
        <v>44462</v>
      </c>
      <c r="F25" s="77" t="s">
        <v>91</v>
      </c>
      <c r="G25" s="13">
        <v>44463.625</v>
      </c>
      <c r="H25" s="78" t="s">
        <v>679</v>
      </c>
      <c r="I25" s="16">
        <v>325</v>
      </c>
      <c r="J25" s="16">
        <v>25</v>
      </c>
      <c r="K25" s="16">
        <v>14</v>
      </c>
      <c r="L25" s="16">
        <v>6</v>
      </c>
      <c r="M25" s="82">
        <v>28.4375</v>
      </c>
      <c r="N25" s="73">
        <v>29</v>
      </c>
      <c r="O25" s="65">
        <v>7000</v>
      </c>
      <c r="P25" s="66">
        <f>Table224578910112345678910111213141516171819202122232425262728[[#This Row],[PEMBULATAN]]*O25</f>
        <v>203000</v>
      </c>
    </row>
    <row r="26" spans="1:16" ht="29.25" customHeight="1" x14ac:dyDescent="0.2">
      <c r="A26" s="14"/>
      <c r="B26" s="104"/>
      <c r="C26" s="74" t="s">
        <v>705</v>
      </c>
      <c r="D26" s="79" t="s">
        <v>90</v>
      </c>
      <c r="E26" s="13">
        <v>44462</v>
      </c>
      <c r="F26" s="77" t="s">
        <v>91</v>
      </c>
      <c r="G26" s="13">
        <v>44463.625</v>
      </c>
      <c r="H26" s="78" t="s">
        <v>679</v>
      </c>
      <c r="I26" s="16">
        <v>45</v>
      </c>
      <c r="J26" s="16">
        <v>33</v>
      </c>
      <c r="K26" s="16">
        <v>18</v>
      </c>
      <c r="L26" s="16">
        <v>8</v>
      </c>
      <c r="M26" s="82">
        <v>6.6825000000000001</v>
      </c>
      <c r="N26" s="73">
        <v>8</v>
      </c>
      <c r="O26" s="65">
        <v>7000</v>
      </c>
      <c r="P26" s="66">
        <f>Table224578910112345678910111213141516171819202122232425262728[[#This Row],[PEMBULATAN]]*O26</f>
        <v>56000</v>
      </c>
    </row>
    <row r="27" spans="1:16" ht="29.25" customHeight="1" x14ac:dyDescent="0.2">
      <c r="A27" s="14"/>
      <c r="B27" s="14" t="s">
        <v>706</v>
      </c>
      <c r="C27" s="74" t="s">
        <v>707</v>
      </c>
      <c r="D27" s="79" t="s">
        <v>90</v>
      </c>
      <c r="E27" s="13">
        <v>44462</v>
      </c>
      <c r="F27" s="77" t="s">
        <v>91</v>
      </c>
      <c r="G27" s="13">
        <v>44463.625</v>
      </c>
      <c r="H27" s="78" t="s">
        <v>679</v>
      </c>
      <c r="I27" s="16">
        <v>50</v>
      </c>
      <c r="J27" s="16">
        <v>33</v>
      </c>
      <c r="K27" s="16">
        <v>30</v>
      </c>
      <c r="L27" s="16">
        <v>8</v>
      </c>
      <c r="M27" s="82">
        <v>12.375</v>
      </c>
      <c r="N27" s="73">
        <v>13</v>
      </c>
      <c r="O27" s="65">
        <v>7000</v>
      </c>
      <c r="P27" s="66">
        <f>Table224578910112345678910111213141516171819202122232425262728[[#This Row],[PEMBULATAN]]*O27</f>
        <v>91000</v>
      </c>
    </row>
    <row r="28" spans="1:16" ht="22.5" customHeight="1" x14ac:dyDescent="0.2">
      <c r="A28" s="136" t="s">
        <v>30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8"/>
      <c r="M28" s="80">
        <f>SUBTOTAL(109,Table224578910112345678910111213141516171819202122232425262728[KG VOLUME])</f>
        <v>508.18774999999999</v>
      </c>
      <c r="N28" s="69">
        <f>SUM(N3:N27)</f>
        <v>538</v>
      </c>
      <c r="O28" s="139">
        <f>SUM(P3:P27)</f>
        <v>3766000</v>
      </c>
      <c r="P28" s="140"/>
    </row>
    <row r="29" spans="1:16" ht="18" customHeight="1" x14ac:dyDescent="0.2">
      <c r="A29" s="87"/>
      <c r="B29" s="57" t="s">
        <v>42</v>
      </c>
      <c r="C29" s="56"/>
      <c r="D29" s="58" t="s">
        <v>43</v>
      </c>
      <c r="E29" s="87"/>
      <c r="F29" s="87"/>
      <c r="G29" s="87"/>
      <c r="H29" s="87"/>
      <c r="I29" s="87"/>
      <c r="J29" s="87"/>
      <c r="K29" s="87"/>
      <c r="L29" s="87"/>
      <c r="M29" s="88"/>
      <c r="N29" s="89" t="s">
        <v>52</v>
      </c>
      <c r="O29" s="90"/>
      <c r="P29" s="90">
        <v>0</v>
      </c>
    </row>
    <row r="30" spans="1:16" ht="18" customHeight="1" thickBot="1" x14ac:dyDescent="0.25">
      <c r="A30" s="87"/>
      <c r="B30" s="57"/>
      <c r="C30" s="56"/>
      <c r="D30" s="58"/>
      <c r="E30" s="87"/>
      <c r="F30" s="87"/>
      <c r="G30" s="87"/>
      <c r="H30" s="87"/>
      <c r="I30" s="87"/>
      <c r="J30" s="87"/>
      <c r="K30" s="87"/>
      <c r="L30" s="87"/>
      <c r="M30" s="88"/>
      <c r="N30" s="91" t="s">
        <v>53</v>
      </c>
      <c r="O30" s="92"/>
      <c r="P30" s="92">
        <f>O28-P29</f>
        <v>3766000</v>
      </c>
    </row>
    <row r="31" spans="1:16" ht="18" customHeight="1" x14ac:dyDescent="0.2">
      <c r="A31" s="11"/>
      <c r="H31" s="64"/>
      <c r="N31" s="63" t="s">
        <v>31</v>
      </c>
      <c r="P31" s="70">
        <f>P30*1%</f>
        <v>37660</v>
      </c>
    </row>
    <row r="32" spans="1:16" ht="18" customHeight="1" thickBot="1" x14ac:dyDescent="0.25">
      <c r="A32" s="11"/>
      <c r="H32" s="64"/>
      <c r="N32" s="63" t="s">
        <v>54</v>
      </c>
      <c r="P32" s="72">
        <f>P30*2%</f>
        <v>75320</v>
      </c>
    </row>
    <row r="33" spans="1:16" ht="18" customHeight="1" x14ac:dyDescent="0.2">
      <c r="A33" s="11"/>
      <c r="H33" s="64"/>
      <c r="N33" s="67" t="s">
        <v>32</v>
      </c>
      <c r="O33" s="68"/>
      <c r="P33" s="71">
        <f>P30+P31-P32</f>
        <v>3728340</v>
      </c>
    </row>
    <row r="35" spans="1:16" x14ac:dyDescent="0.2">
      <c r="A35" s="11"/>
      <c r="H35" s="64"/>
      <c r="P35" s="72"/>
    </row>
    <row r="36" spans="1:16" x14ac:dyDescent="0.2">
      <c r="A36" s="11"/>
      <c r="H36" s="64"/>
      <c r="O36" s="59"/>
      <c r="P36" s="72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160" priority="2"/>
  </conditionalFormatting>
  <conditionalFormatting sqref="B4">
    <cfRule type="duplicateValues" dxfId="159" priority="1"/>
  </conditionalFormatting>
  <conditionalFormatting sqref="B5:B27">
    <cfRule type="duplicateValues" dxfId="158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901</v>
      </c>
      <c r="B3" s="75" t="s">
        <v>92</v>
      </c>
      <c r="C3" s="9" t="s">
        <v>93</v>
      </c>
      <c r="D3" s="77" t="s">
        <v>90</v>
      </c>
      <c r="E3" s="13">
        <v>44440</v>
      </c>
      <c r="F3" s="77" t="s">
        <v>91</v>
      </c>
      <c r="G3" s="13">
        <v>44446</v>
      </c>
      <c r="H3" s="10" t="s">
        <v>101</v>
      </c>
      <c r="I3" s="1">
        <v>56</v>
      </c>
      <c r="J3" s="1">
        <v>42</v>
      </c>
      <c r="K3" s="1">
        <v>32</v>
      </c>
      <c r="L3" s="1">
        <v>10</v>
      </c>
      <c r="M3" s="81">
        <v>18.815999999999999</v>
      </c>
      <c r="N3" s="8">
        <v>19</v>
      </c>
      <c r="O3" s="65">
        <v>7000</v>
      </c>
      <c r="P3" s="66">
        <f>Table2245789101123[[#This Row],[PEMBULATAN]]*O3</f>
        <v>133000</v>
      </c>
    </row>
    <row r="4" spans="1:16" ht="26.25" customHeight="1" x14ac:dyDescent="0.2">
      <c r="A4" s="14"/>
      <c r="B4" s="76"/>
      <c r="C4" s="9" t="s">
        <v>94</v>
      </c>
      <c r="D4" s="77" t="s">
        <v>90</v>
      </c>
      <c r="E4" s="13">
        <v>44440</v>
      </c>
      <c r="F4" s="77" t="s">
        <v>91</v>
      </c>
      <c r="G4" s="13">
        <v>44446</v>
      </c>
      <c r="H4" s="10" t="s">
        <v>101</v>
      </c>
      <c r="I4" s="1">
        <v>43</v>
      </c>
      <c r="J4" s="1">
        <v>45</v>
      </c>
      <c r="K4" s="1">
        <v>30</v>
      </c>
      <c r="L4" s="1">
        <v>10</v>
      </c>
      <c r="M4" s="81">
        <v>14.512499999999999</v>
      </c>
      <c r="N4" s="8">
        <v>15</v>
      </c>
      <c r="O4" s="65">
        <v>7000</v>
      </c>
      <c r="P4" s="66">
        <f>Table2245789101123[[#This Row],[PEMBULATAN]]*O4</f>
        <v>105000</v>
      </c>
    </row>
    <row r="5" spans="1:16" ht="26.25" customHeight="1" x14ac:dyDescent="0.2">
      <c r="A5" s="14"/>
      <c r="B5" s="14"/>
      <c r="C5" s="9" t="s">
        <v>95</v>
      </c>
      <c r="D5" s="77" t="s">
        <v>90</v>
      </c>
      <c r="E5" s="13">
        <v>44440</v>
      </c>
      <c r="F5" s="77" t="s">
        <v>91</v>
      </c>
      <c r="G5" s="13">
        <v>44446</v>
      </c>
      <c r="H5" s="10" t="s">
        <v>101</v>
      </c>
      <c r="I5" s="1">
        <v>43</v>
      </c>
      <c r="J5" s="1">
        <v>45</v>
      </c>
      <c r="K5" s="1">
        <v>30</v>
      </c>
      <c r="L5" s="1">
        <v>10</v>
      </c>
      <c r="M5" s="81">
        <v>14.512499999999999</v>
      </c>
      <c r="N5" s="8">
        <v>15</v>
      </c>
      <c r="O5" s="65">
        <v>7000</v>
      </c>
      <c r="P5" s="66">
        <f>Table2245789101123[[#This Row],[PEMBULATAN]]*O5</f>
        <v>105000</v>
      </c>
    </row>
    <row r="6" spans="1:16" ht="26.25" customHeight="1" x14ac:dyDescent="0.2">
      <c r="A6" s="14"/>
      <c r="B6" s="14"/>
      <c r="C6" s="74" t="s">
        <v>96</v>
      </c>
      <c r="D6" s="79" t="s">
        <v>90</v>
      </c>
      <c r="E6" s="13">
        <v>44440</v>
      </c>
      <c r="F6" s="77" t="s">
        <v>91</v>
      </c>
      <c r="G6" s="13">
        <v>44446</v>
      </c>
      <c r="H6" s="78" t="s">
        <v>101</v>
      </c>
      <c r="I6" s="16">
        <v>43</v>
      </c>
      <c r="J6" s="16">
        <v>45</v>
      </c>
      <c r="K6" s="16">
        <v>30</v>
      </c>
      <c r="L6" s="16">
        <v>10</v>
      </c>
      <c r="M6" s="82">
        <v>14.512499999999999</v>
      </c>
      <c r="N6" s="73">
        <v>15</v>
      </c>
      <c r="O6" s="65">
        <v>7000</v>
      </c>
      <c r="P6" s="66">
        <f>Table2245789101123[[#This Row],[PEMBULATAN]]*O6</f>
        <v>105000</v>
      </c>
    </row>
    <row r="7" spans="1:16" ht="26.25" customHeight="1" x14ac:dyDescent="0.2">
      <c r="A7" s="14"/>
      <c r="B7" s="14"/>
      <c r="C7" s="74" t="s">
        <v>97</v>
      </c>
      <c r="D7" s="79" t="s">
        <v>90</v>
      </c>
      <c r="E7" s="13">
        <v>44440</v>
      </c>
      <c r="F7" s="77" t="s">
        <v>91</v>
      </c>
      <c r="G7" s="13">
        <v>44446</v>
      </c>
      <c r="H7" s="78" t="s">
        <v>101</v>
      </c>
      <c r="I7" s="16">
        <v>43</v>
      </c>
      <c r="J7" s="16">
        <v>45</v>
      </c>
      <c r="K7" s="16">
        <v>30</v>
      </c>
      <c r="L7" s="16">
        <v>10</v>
      </c>
      <c r="M7" s="82">
        <v>14.512499999999999</v>
      </c>
      <c r="N7" s="73">
        <v>15</v>
      </c>
      <c r="O7" s="65">
        <v>7000</v>
      </c>
      <c r="P7" s="66">
        <f>Table2245789101123[[#This Row],[PEMBULATAN]]*O7</f>
        <v>105000</v>
      </c>
    </row>
    <row r="8" spans="1:16" ht="26.25" customHeight="1" x14ac:dyDescent="0.2">
      <c r="A8" s="14"/>
      <c r="B8" s="14"/>
      <c r="C8" s="74" t="s">
        <v>98</v>
      </c>
      <c r="D8" s="79" t="s">
        <v>90</v>
      </c>
      <c r="E8" s="13">
        <v>44440</v>
      </c>
      <c r="F8" s="77" t="s">
        <v>91</v>
      </c>
      <c r="G8" s="13">
        <v>44446</v>
      </c>
      <c r="H8" s="78" t="s">
        <v>101</v>
      </c>
      <c r="I8" s="16">
        <v>43</v>
      </c>
      <c r="J8" s="16">
        <v>45</v>
      </c>
      <c r="K8" s="16">
        <v>30</v>
      </c>
      <c r="L8" s="16">
        <v>10</v>
      </c>
      <c r="M8" s="82">
        <v>14.512499999999999</v>
      </c>
      <c r="N8" s="73">
        <v>15</v>
      </c>
      <c r="O8" s="65">
        <v>7000</v>
      </c>
      <c r="P8" s="66">
        <f>Table2245789101123[[#This Row],[PEMBULATAN]]*O8</f>
        <v>105000</v>
      </c>
    </row>
    <row r="9" spans="1:16" ht="26.25" customHeight="1" x14ac:dyDescent="0.2">
      <c r="A9" s="14"/>
      <c r="B9" s="14"/>
      <c r="C9" s="74" t="s">
        <v>99</v>
      </c>
      <c r="D9" s="79" t="s">
        <v>90</v>
      </c>
      <c r="E9" s="13">
        <v>44440</v>
      </c>
      <c r="F9" s="77" t="s">
        <v>91</v>
      </c>
      <c r="G9" s="13">
        <v>44446</v>
      </c>
      <c r="H9" s="78" t="s">
        <v>101</v>
      </c>
      <c r="I9" s="16">
        <v>43</v>
      </c>
      <c r="J9" s="16">
        <v>37</v>
      </c>
      <c r="K9" s="16">
        <v>28</v>
      </c>
      <c r="L9" s="16">
        <v>29</v>
      </c>
      <c r="M9" s="82">
        <v>11.137</v>
      </c>
      <c r="N9" s="73">
        <v>29</v>
      </c>
      <c r="O9" s="65">
        <v>7000</v>
      </c>
      <c r="P9" s="66">
        <f>Table2245789101123[[#This Row],[PEMBULATAN]]*O9</f>
        <v>203000</v>
      </c>
    </row>
    <row r="10" spans="1:16" ht="26.25" customHeight="1" x14ac:dyDescent="0.2">
      <c r="A10" s="14"/>
      <c r="B10" s="14"/>
      <c r="C10" s="74" t="s">
        <v>100</v>
      </c>
      <c r="D10" s="79" t="s">
        <v>90</v>
      </c>
      <c r="E10" s="13">
        <v>44440</v>
      </c>
      <c r="F10" s="77" t="s">
        <v>91</v>
      </c>
      <c r="G10" s="13">
        <v>44446</v>
      </c>
      <c r="H10" s="78" t="s">
        <v>101</v>
      </c>
      <c r="I10" s="16">
        <v>43</v>
      </c>
      <c r="J10" s="16">
        <v>42</v>
      </c>
      <c r="K10" s="16">
        <v>40</v>
      </c>
      <c r="L10" s="16">
        <v>17</v>
      </c>
      <c r="M10" s="82">
        <v>18.059999999999999</v>
      </c>
      <c r="N10" s="73">
        <v>18</v>
      </c>
      <c r="O10" s="65">
        <v>7000</v>
      </c>
      <c r="P10" s="66">
        <f>Table2245789101123[[#This Row],[PEMBULATAN]]*O10</f>
        <v>126000</v>
      </c>
    </row>
    <row r="11" spans="1:16" ht="22.5" customHeight="1" x14ac:dyDescent="0.2">
      <c r="A11" s="136" t="s">
        <v>30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8"/>
      <c r="M11" s="80">
        <f>SUBTOTAL(109,Table2245789101123[KG VOLUME])</f>
        <v>120.57550000000001</v>
      </c>
      <c r="N11" s="69">
        <f>SUM(N3:N10)</f>
        <v>141</v>
      </c>
      <c r="O11" s="139">
        <f>SUM(P3:P10)</f>
        <v>987000</v>
      </c>
      <c r="P11" s="140"/>
    </row>
    <row r="12" spans="1:16" ht="18" customHeight="1" x14ac:dyDescent="0.2">
      <c r="A12" s="87"/>
      <c r="B12" s="57" t="s">
        <v>42</v>
      </c>
      <c r="C12" s="56"/>
      <c r="D12" s="58" t="s">
        <v>43</v>
      </c>
      <c r="E12" s="87"/>
      <c r="F12" s="87"/>
      <c r="G12" s="87"/>
      <c r="H12" s="87"/>
      <c r="I12" s="87"/>
      <c r="J12" s="87"/>
      <c r="K12" s="87"/>
      <c r="L12" s="87"/>
      <c r="M12" s="88"/>
      <c r="N12" s="89" t="s">
        <v>52</v>
      </c>
      <c r="O12" s="90"/>
      <c r="P12" s="90">
        <v>0</v>
      </c>
    </row>
    <row r="13" spans="1:16" ht="18" customHeight="1" thickBot="1" x14ac:dyDescent="0.25">
      <c r="A13" s="87"/>
      <c r="B13" s="57"/>
      <c r="C13" s="56"/>
      <c r="D13" s="58"/>
      <c r="E13" s="87"/>
      <c r="F13" s="87"/>
      <c r="G13" s="87"/>
      <c r="H13" s="87"/>
      <c r="I13" s="87"/>
      <c r="J13" s="87"/>
      <c r="K13" s="87"/>
      <c r="L13" s="87"/>
      <c r="M13" s="88"/>
      <c r="N13" s="91" t="s">
        <v>53</v>
      </c>
      <c r="O13" s="92"/>
      <c r="P13" s="92">
        <f>O11-P12</f>
        <v>987000</v>
      </c>
    </row>
    <row r="14" spans="1:16" ht="18" customHeight="1" x14ac:dyDescent="0.2">
      <c r="A14" s="11"/>
      <c r="H14" s="64"/>
      <c r="N14" s="63" t="s">
        <v>31</v>
      </c>
      <c r="P14" s="70">
        <f>P13*1%</f>
        <v>9870</v>
      </c>
    </row>
    <row r="15" spans="1:16" ht="18" customHeight="1" thickBot="1" x14ac:dyDescent="0.25">
      <c r="A15" s="11"/>
      <c r="H15" s="64"/>
      <c r="N15" s="63" t="s">
        <v>54</v>
      </c>
      <c r="P15" s="72">
        <f>P13*2%</f>
        <v>19740</v>
      </c>
    </row>
    <row r="16" spans="1:16" ht="18" customHeight="1" x14ac:dyDescent="0.2">
      <c r="A16" s="11"/>
      <c r="H16" s="64"/>
      <c r="N16" s="67" t="s">
        <v>32</v>
      </c>
      <c r="O16" s="68"/>
      <c r="P16" s="71">
        <f>P13+P14-P15</f>
        <v>977130</v>
      </c>
    </row>
    <row r="18" spans="1:16" x14ac:dyDescent="0.2">
      <c r="A18" s="11"/>
      <c r="H18" s="64"/>
      <c r="P18" s="72"/>
    </row>
    <row r="19" spans="1:16" x14ac:dyDescent="0.2">
      <c r="A19" s="11"/>
      <c r="H19" s="64"/>
      <c r="O19" s="59"/>
      <c r="P19" s="72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627" priority="2"/>
  </conditionalFormatting>
  <conditionalFormatting sqref="B4">
    <cfRule type="duplicateValues" dxfId="626" priority="1"/>
  </conditionalFormatting>
  <conditionalFormatting sqref="B5:B10">
    <cfRule type="duplicateValues" dxfId="62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zoomScale="110" zoomScaleNormal="110" workbookViewId="0">
      <pane xSplit="3" ySplit="2" topLeftCell="D14" activePane="bottomRight" state="frozen"/>
      <selection pane="topRight" activeCell="B1" sqref="B1"/>
      <selection pane="bottomLeft" activeCell="A3" sqref="A3"/>
      <selection pane="bottomRight" activeCell="L37" sqref="L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926</v>
      </c>
      <c r="B3" s="75" t="s">
        <v>708</v>
      </c>
      <c r="C3" s="9" t="s">
        <v>709</v>
      </c>
      <c r="D3" s="77" t="s">
        <v>90</v>
      </c>
      <c r="E3" s="13">
        <v>44463</v>
      </c>
      <c r="F3" s="77" t="s">
        <v>91</v>
      </c>
      <c r="G3" s="13">
        <v>44463.625</v>
      </c>
      <c r="H3" s="10" t="s">
        <v>679</v>
      </c>
      <c r="I3" s="1">
        <v>76</v>
      </c>
      <c r="J3" s="1">
        <v>51</v>
      </c>
      <c r="K3" s="1">
        <v>24</v>
      </c>
      <c r="L3" s="1">
        <v>6</v>
      </c>
      <c r="M3" s="81">
        <v>23.256</v>
      </c>
      <c r="N3" s="8">
        <v>23</v>
      </c>
      <c r="O3" s="65">
        <v>7000</v>
      </c>
      <c r="P3" s="66">
        <f>Table22457891011234567891011121314151617181920212223242526272829[[#This Row],[PEMBULATAN]]*O3</f>
        <v>161000</v>
      </c>
    </row>
    <row r="4" spans="1:16" ht="26.25" customHeight="1" x14ac:dyDescent="0.2">
      <c r="A4" s="14"/>
      <c r="B4" s="76"/>
      <c r="C4" s="9" t="s">
        <v>710</v>
      </c>
      <c r="D4" s="77" t="s">
        <v>90</v>
      </c>
      <c r="E4" s="13">
        <v>44463</v>
      </c>
      <c r="F4" s="77" t="s">
        <v>91</v>
      </c>
      <c r="G4" s="13">
        <v>44463.625</v>
      </c>
      <c r="H4" s="10" t="s">
        <v>679</v>
      </c>
      <c r="I4" s="1">
        <v>133</v>
      </c>
      <c r="J4" s="1">
        <v>30</v>
      </c>
      <c r="K4" s="1">
        <v>28</v>
      </c>
      <c r="L4" s="1">
        <v>7</v>
      </c>
      <c r="M4" s="81">
        <v>27.93</v>
      </c>
      <c r="N4" s="8">
        <v>28</v>
      </c>
      <c r="O4" s="65">
        <v>7000</v>
      </c>
      <c r="P4" s="66">
        <f>Table22457891011234567891011121314151617181920212223242526272829[[#This Row],[PEMBULATAN]]*O4</f>
        <v>196000</v>
      </c>
    </row>
    <row r="5" spans="1:16" ht="26.25" customHeight="1" x14ac:dyDescent="0.2">
      <c r="A5" s="14"/>
      <c r="B5" s="14"/>
      <c r="C5" s="9" t="s">
        <v>711</v>
      </c>
      <c r="D5" s="77" t="s">
        <v>90</v>
      </c>
      <c r="E5" s="13">
        <v>44463</v>
      </c>
      <c r="F5" s="77" t="s">
        <v>91</v>
      </c>
      <c r="G5" s="13">
        <v>44463.625</v>
      </c>
      <c r="H5" s="10" t="s">
        <v>679</v>
      </c>
      <c r="I5" s="1">
        <v>65</v>
      </c>
      <c r="J5" s="1">
        <v>28</v>
      </c>
      <c r="K5" s="1">
        <v>20</v>
      </c>
      <c r="L5" s="1">
        <v>6</v>
      </c>
      <c r="M5" s="81">
        <v>9.1</v>
      </c>
      <c r="N5" s="8">
        <v>9</v>
      </c>
      <c r="O5" s="65">
        <v>7000</v>
      </c>
      <c r="P5" s="66">
        <f>Table22457891011234567891011121314151617181920212223242526272829[[#This Row],[PEMBULATAN]]*O5</f>
        <v>63000</v>
      </c>
    </row>
    <row r="6" spans="1:16" ht="26.25" customHeight="1" x14ac:dyDescent="0.2">
      <c r="A6" s="14"/>
      <c r="B6" s="14"/>
      <c r="C6" s="74" t="s">
        <v>712</v>
      </c>
      <c r="D6" s="79" t="s">
        <v>90</v>
      </c>
      <c r="E6" s="13">
        <v>44463</v>
      </c>
      <c r="F6" s="77" t="s">
        <v>91</v>
      </c>
      <c r="G6" s="13">
        <v>44463.625</v>
      </c>
      <c r="H6" s="78" t="s">
        <v>679</v>
      </c>
      <c r="I6" s="16">
        <v>56</v>
      </c>
      <c r="J6" s="16">
        <v>33</v>
      </c>
      <c r="K6" s="16">
        <v>19</v>
      </c>
      <c r="L6" s="16">
        <v>5</v>
      </c>
      <c r="M6" s="82">
        <v>8.7780000000000005</v>
      </c>
      <c r="N6" s="73">
        <v>9</v>
      </c>
      <c r="O6" s="65">
        <v>7000</v>
      </c>
      <c r="P6" s="66">
        <f>Table22457891011234567891011121314151617181920212223242526272829[[#This Row],[PEMBULATAN]]*O6</f>
        <v>63000</v>
      </c>
    </row>
    <row r="7" spans="1:16" ht="26.25" customHeight="1" x14ac:dyDescent="0.2">
      <c r="A7" s="14"/>
      <c r="B7" s="14"/>
      <c r="C7" s="74" t="s">
        <v>713</v>
      </c>
      <c r="D7" s="79" t="s">
        <v>90</v>
      </c>
      <c r="E7" s="13">
        <v>44463</v>
      </c>
      <c r="F7" s="77" t="s">
        <v>91</v>
      </c>
      <c r="G7" s="13">
        <v>44463.625</v>
      </c>
      <c r="H7" s="78" t="s">
        <v>679</v>
      </c>
      <c r="I7" s="16">
        <v>85</v>
      </c>
      <c r="J7" s="16">
        <v>44</v>
      </c>
      <c r="K7" s="16">
        <v>33</v>
      </c>
      <c r="L7" s="16">
        <v>20</v>
      </c>
      <c r="M7" s="82">
        <v>30.855</v>
      </c>
      <c r="N7" s="73">
        <v>31</v>
      </c>
      <c r="O7" s="65">
        <v>7000</v>
      </c>
      <c r="P7" s="66">
        <f>Table22457891011234567891011121314151617181920212223242526272829[[#This Row],[PEMBULATAN]]*O7</f>
        <v>217000</v>
      </c>
    </row>
    <row r="8" spans="1:16" ht="26.25" customHeight="1" x14ac:dyDescent="0.2">
      <c r="A8" s="14"/>
      <c r="B8" s="14"/>
      <c r="C8" s="74" t="s">
        <v>714</v>
      </c>
      <c r="D8" s="79" t="s">
        <v>90</v>
      </c>
      <c r="E8" s="13">
        <v>44463</v>
      </c>
      <c r="F8" s="77" t="s">
        <v>91</v>
      </c>
      <c r="G8" s="13">
        <v>44463.625</v>
      </c>
      <c r="H8" s="78" t="s">
        <v>679</v>
      </c>
      <c r="I8" s="16">
        <v>33</v>
      </c>
      <c r="J8" s="16">
        <v>20</v>
      </c>
      <c r="K8" s="16">
        <v>20</v>
      </c>
      <c r="L8" s="16">
        <v>8</v>
      </c>
      <c r="M8" s="82">
        <v>3.3</v>
      </c>
      <c r="N8" s="73">
        <v>8</v>
      </c>
      <c r="O8" s="65">
        <v>7000</v>
      </c>
      <c r="P8" s="66">
        <f>Table22457891011234567891011121314151617181920212223242526272829[[#This Row],[PEMBULATAN]]*O8</f>
        <v>56000</v>
      </c>
    </row>
    <row r="9" spans="1:16" ht="26.25" customHeight="1" x14ac:dyDescent="0.2">
      <c r="A9" s="14"/>
      <c r="B9" s="14"/>
      <c r="C9" s="74" t="s">
        <v>715</v>
      </c>
      <c r="D9" s="79" t="s">
        <v>90</v>
      </c>
      <c r="E9" s="13">
        <v>44463</v>
      </c>
      <c r="F9" s="77" t="s">
        <v>91</v>
      </c>
      <c r="G9" s="13">
        <v>44463.625</v>
      </c>
      <c r="H9" s="78" t="s">
        <v>679</v>
      </c>
      <c r="I9" s="16">
        <v>39</v>
      </c>
      <c r="J9" s="16">
        <v>26</v>
      </c>
      <c r="K9" s="16">
        <v>14</v>
      </c>
      <c r="L9" s="16">
        <v>12</v>
      </c>
      <c r="M9" s="82">
        <v>3.5489999999999999</v>
      </c>
      <c r="N9" s="73">
        <v>12</v>
      </c>
      <c r="O9" s="65">
        <v>7000</v>
      </c>
      <c r="P9" s="66">
        <f>Table22457891011234567891011121314151617181920212223242526272829[[#This Row],[PEMBULATAN]]*O9</f>
        <v>84000</v>
      </c>
    </row>
    <row r="10" spans="1:16" ht="26.25" customHeight="1" x14ac:dyDescent="0.2">
      <c r="A10" s="14"/>
      <c r="B10" s="14"/>
      <c r="C10" s="74" t="s">
        <v>716</v>
      </c>
      <c r="D10" s="79" t="s">
        <v>90</v>
      </c>
      <c r="E10" s="13">
        <v>44463</v>
      </c>
      <c r="F10" s="77" t="s">
        <v>91</v>
      </c>
      <c r="G10" s="13">
        <v>44463.625</v>
      </c>
      <c r="H10" s="78" t="s">
        <v>679</v>
      </c>
      <c r="I10" s="16">
        <v>47</v>
      </c>
      <c r="J10" s="16">
        <v>45</v>
      </c>
      <c r="K10" s="16">
        <v>15</v>
      </c>
      <c r="L10" s="16">
        <v>6</v>
      </c>
      <c r="M10" s="82">
        <v>7.9312500000000004</v>
      </c>
      <c r="N10" s="73">
        <v>8</v>
      </c>
      <c r="O10" s="65">
        <v>7000</v>
      </c>
      <c r="P10" s="66">
        <f>Table22457891011234567891011121314151617181920212223242526272829[[#This Row],[PEMBULATAN]]*O10</f>
        <v>56000</v>
      </c>
    </row>
    <row r="11" spans="1:16" ht="26.25" customHeight="1" x14ac:dyDescent="0.2">
      <c r="A11" s="14"/>
      <c r="B11" s="14"/>
      <c r="C11" s="74" t="s">
        <v>717</v>
      </c>
      <c r="D11" s="79" t="s">
        <v>90</v>
      </c>
      <c r="E11" s="13">
        <v>44463</v>
      </c>
      <c r="F11" s="77" t="s">
        <v>91</v>
      </c>
      <c r="G11" s="13">
        <v>44463.625</v>
      </c>
      <c r="H11" s="78" t="s">
        <v>679</v>
      </c>
      <c r="I11" s="16">
        <v>35</v>
      </c>
      <c r="J11" s="16">
        <v>39</v>
      </c>
      <c r="K11" s="16">
        <v>62</v>
      </c>
      <c r="L11" s="16">
        <v>9</v>
      </c>
      <c r="M11" s="82">
        <v>21.157499999999999</v>
      </c>
      <c r="N11" s="73">
        <v>21</v>
      </c>
      <c r="O11" s="65">
        <v>7000</v>
      </c>
      <c r="P11" s="66">
        <f>Table22457891011234567891011121314151617181920212223242526272829[[#This Row],[PEMBULATAN]]*O11</f>
        <v>147000</v>
      </c>
    </row>
    <row r="12" spans="1:16" ht="26.25" customHeight="1" x14ac:dyDescent="0.2">
      <c r="A12" s="14"/>
      <c r="B12" s="14"/>
      <c r="C12" s="74" t="s">
        <v>718</v>
      </c>
      <c r="D12" s="79" t="s">
        <v>90</v>
      </c>
      <c r="E12" s="13">
        <v>44463</v>
      </c>
      <c r="F12" s="77" t="s">
        <v>91</v>
      </c>
      <c r="G12" s="13">
        <v>44463.625</v>
      </c>
      <c r="H12" s="78" t="s">
        <v>679</v>
      </c>
      <c r="I12" s="16">
        <v>53</v>
      </c>
      <c r="J12" s="16">
        <v>33</v>
      </c>
      <c r="K12" s="16">
        <v>30</v>
      </c>
      <c r="L12" s="16">
        <v>15</v>
      </c>
      <c r="M12" s="82">
        <v>13.1175</v>
      </c>
      <c r="N12" s="73">
        <v>15</v>
      </c>
      <c r="O12" s="65">
        <v>7000</v>
      </c>
      <c r="P12" s="66">
        <f>Table22457891011234567891011121314151617181920212223242526272829[[#This Row],[PEMBULATAN]]*O12</f>
        <v>105000</v>
      </c>
    </row>
    <row r="13" spans="1:16" ht="26.25" customHeight="1" x14ac:dyDescent="0.2">
      <c r="A13" s="14"/>
      <c r="B13" s="14"/>
      <c r="C13" s="74" t="s">
        <v>719</v>
      </c>
      <c r="D13" s="79" t="s">
        <v>90</v>
      </c>
      <c r="E13" s="13">
        <v>44463</v>
      </c>
      <c r="F13" s="77" t="s">
        <v>91</v>
      </c>
      <c r="G13" s="13">
        <v>44463.625</v>
      </c>
      <c r="H13" s="78" t="s">
        <v>679</v>
      </c>
      <c r="I13" s="16">
        <v>49</v>
      </c>
      <c r="J13" s="16">
        <v>36</v>
      </c>
      <c r="K13" s="16">
        <v>17</v>
      </c>
      <c r="L13" s="16">
        <v>16</v>
      </c>
      <c r="M13" s="82">
        <v>7.4969999999999999</v>
      </c>
      <c r="N13" s="73">
        <v>16</v>
      </c>
      <c r="O13" s="65">
        <v>7000</v>
      </c>
      <c r="P13" s="66">
        <f>Table22457891011234567891011121314151617181920212223242526272829[[#This Row],[PEMBULATAN]]*O13</f>
        <v>112000</v>
      </c>
    </row>
    <row r="14" spans="1:16" ht="26.25" customHeight="1" x14ac:dyDescent="0.2">
      <c r="A14" s="14"/>
      <c r="B14" s="14"/>
      <c r="C14" s="74" t="s">
        <v>720</v>
      </c>
      <c r="D14" s="79" t="s">
        <v>90</v>
      </c>
      <c r="E14" s="13">
        <v>44463</v>
      </c>
      <c r="F14" s="77" t="s">
        <v>91</v>
      </c>
      <c r="G14" s="13">
        <v>44463.625</v>
      </c>
      <c r="H14" s="78" t="s">
        <v>679</v>
      </c>
      <c r="I14" s="16">
        <v>45</v>
      </c>
      <c r="J14" s="16">
        <v>32</v>
      </c>
      <c r="K14" s="16">
        <v>20</v>
      </c>
      <c r="L14" s="16">
        <v>10</v>
      </c>
      <c r="M14" s="82">
        <v>7.2</v>
      </c>
      <c r="N14" s="73">
        <v>10</v>
      </c>
      <c r="O14" s="65">
        <v>7000</v>
      </c>
      <c r="P14" s="66">
        <f>Table22457891011234567891011121314151617181920212223242526272829[[#This Row],[PEMBULATAN]]*O14</f>
        <v>70000</v>
      </c>
    </row>
    <row r="15" spans="1:16" ht="26.25" customHeight="1" x14ac:dyDescent="0.2">
      <c r="A15" s="14"/>
      <c r="B15" s="14"/>
      <c r="C15" s="74" t="s">
        <v>721</v>
      </c>
      <c r="D15" s="79" t="s">
        <v>90</v>
      </c>
      <c r="E15" s="13">
        <v>44463</v>
      </c>
      <c r="F15" s="77" t="s">
        <v>91</v>
      </c>
      <c r="G15" s="13">
        <v>44463.625</v>
      </c>
      <c r="H15" s="78" t="s">
        <v>679</v>
      </c>
      <c r="I15" s="16">
        <v>39</v>
      </c>
      <c r="J15" s="16">
        <v>47</v>
      </c>
      <c r="K15" s="16">
        <v>8</v>
      </c>
      <c r="L15" s="16">
        <v>5</v>
      </c>
      <c r="M15" s="82">
        <v>3.6659999999999999</v>
      </c>
      <c r="N15" s="73">
        <v>5</v>
      </c>
      <c r="O15" s="65">
        <v>7000</v>
      </c>
      <c r="P15" s="66">
        <f>Table22457891011234567891011121314151617181920212223242526272829[[#This Row],[PEMBULATAN]]*O15</f>
        <v>35000</v>
      </c>
    </row>
    <row r="16" spans="1:16" ht="26.25" customHeight="1" x14ac:dyDescent="0.2">
      <c r="A16" s="14"/>
      <c r="B16" s="14"/>
      <c r="C16" s="74" t="s">
        <v>722</v>
      </c>
      <c r="D16" s="79" t="s">
        <v>90</v>
      </c>
      <c r="E16" s="13">
        <v>44463</v>
      </c>
      <c r="F16" s="77" t="s">
        <v>91</v>
      </c>
      <c r="G16" s="13">
        <v>44463.625</v>
      </c>
      <c r="H16" s="78" t="s">
        <v>679</v>
      </c>
      <c r="I16" s="16">
        <v>56</v>
      </c>
      <c r="J16" s="16">
        <v>44</v>
      </c>
      <c r="K16" s="16">
        <v>26</v>
      </c>
      <c r="L16" s="16">
        <v>7</v>
      </c>
      <c r="M16" s="82">
        <v>16.015999999999998</v>
      </c>
      <c r="N16" s="73">
        <v>16</v>
      </c>
      <c r="O16" s="65">
        <v>7000</v>
      </c>
      <c r="P16" s="66">
        <f>Table22457891011234567891011121314151617181920212223242526272829[[#This Row],[PEMBULATAN]]*O16</f>
        <v>112000</v>
      </c>
    </row>
    <row r="17" spans="1:16" ht="26.25" customHeight="1" x14ac:dyDescent="0.2">
      <c r="A17" s="14"/>
      <c r="B17" s="14"/>
      <c r="C17" s="74" t="s">
        <v>723</v>
      </c>
      <c r="D17" s="79" t="s">
        <v>90</v>
      </c>
      <c r="E17" s="13">
        <v>44463</v>
      </c>
      <c r="F17" s="77" t="s">
        <v>91</v>
      </c>
      <c r="G17" s="13">
        <v>44463.625</v>
      </c>
      <c r="H17" s="78" t="s">
        <v>679</v>
      </c>
      <c r="I17" s="16">
        <v>49</v>
      </c>
      <c r="J17" s="16">
        <v>35</v>
      </c>
      <c r="K17" s="16">
        <v>39</v>
      </c>
      <c r="L17" s="16">
        <v>16</v>
      </c>
      <c r="M17" s="82">
        <v>16.721250000000001</v>
      </c>
      <c r="N17" s="73">
        <v>17</v>
      </c>
      <c r="O17" s="65">
        <v>7000</v>
      </c>
      <c r="P17" s="66">
        <f>Table22457891011234567891011121314151617181920212223242526272829[[#This Row],[PEMBULATAN]]*O17</f>
        <v>119000</v>
      </c>
    </row>
    <row r="18" spans="1:16" ht="26.25" customHeight="1" x14ac:dyDescent="0.2">
      <c r="A18" s="14"/>
      <c r="B18" s="14"/>
      <c r="C18" s="74" t="s">
        <v>724</v>
      </c>
      <c r="D18" s="79" t="s">
        <v>90</v>
      </c>
      <c r="E18" s="13">
        <v>44463</v>
      </c>
      <c r="F18" s="77" t="s">
        <v>91</v>
      </c>
      <c r="G18" s="13">
        <v>44463.625</v>
      </c>
      <c r="H18" s="78" t="s">
        <v>679</v>
      </c>
      <c r="I18" s="16">
        <v>65</v>
      </c>
      <c r="J18" s="16">
        <v>45</v>
      </c>
      <c r="K18" s="16">
        <v>45</v>
      </c>
      <c r="L18" s="16">
        <v>42</v>
      </c>
      <c r="M18" s="82">
        <v>32.90625</v>
      </c>
      <c r="N18" s="73">
        <v>42</v>
      </c>
      <c r="O18" s="65">
        <v>7000</v>
      </c>
      <c r="P18" s="66">
        <f>Table22457891011234567891011121314151617181920212223242526272829[[#This Row],[PEMBULATAN]]*O18</f>
        <v>294000</v>
      </c>
    </row>
    <row r="19" spans="1:16" ht="26.25" customHeight="1" x14ac:dyDescent="0.2">
      <c r="A19" s="14"/>
      <c r="B19" s="14"/>
      <c r="C19" s="74" t="s">
        <v>725</v>
      </c>
      <c r="D19" s="79" t="s">
        <v>90</v>
      </c>
      <c r="E19" s="13">
        <v>44463</v>
      </c>
      <c r="F19" s="77" t="s">
        <v>91</v>
      </c>
      <c r="G19" s="13">
        <v>44463.625</v>
      </c>
      <c r="H19" s="78" t="s">
        <v>679</v>
      </c>
      <c r="I19" s="16">
        <v>52</v>
      </c>
      <c r="J19" s="16">
        <v>48</v>
      </c>
      <c r="K19" s="16">
        <v>35</v>
      </c>
      <c r="L19" s="16">
        <v>21</v>
      </c>
      <c r="M19" s="82">
        <v>21.84</v>
      </c>
      <c r="N19" s="73">
        <v>22</v>
      </c>
      <c r="O19" s="65">
        <v>7000</v>
      </c>
      <c r="P19" s="66">
        <f>Table22457891011234567891011121314151617181920212223242526272829[[#This Row],[PEMBULATAN]]*O19</f>
        <v>154000</v>
      </c>
    </row>
    <row r="20" spans="1:16" ht="26.25" customHeight="1" x14ac:dyDescent="0.2">
      <c r="A20" s="14"/>
      <c r="B20" s="14"/>
      <c r="C20" s="74" t="s">
        <v>726</v>
      </c>
      <c r="D20" s="79" t="s">
        <v>90</v>
      </c>
      <c r="E20" s="13">
        <v>44463</v>
      </c>
      <c r="F20" s="77" t="s">
        <v>91</v>
      </c>
      <c r="G20" s="13">
        <v>44463.625</v>
      </c>
      <c r="H20" s="78" t="s">
        <v>679</v>
      </c>
      <c r="I20" s="16">
        <v>40</v>
      </c>
      <c r="J20" s="16">
        <v>25</v>
      </c>
      <c r="K20" s="16">
        <v>15</v>
      </c>
      <c r="L20" s="16">
        <v>16</v>
      </c>
      <c r="M20" s="82">
        <v>3.75</v>
      </c>
      <c r="N20" s="73">
        <v>16</v>
      </c>
      <c r="O20" s="65">
        <v>7000</v>
      </c>
      <c r="P20" s="66">
        <f>Table22457891011234567891011121314151617181920212223242526272829[[#This Row],[PEMBULATAN]]*O20</f>
        <v>112000</v>
      </c>
    </row>
    <row r="21" spans="1:16" ht="26.25" customHeight="1" x14ac:dyDescent="0.2">
      <c r="A21" s="14"/>
      <c r="B21" s="14"/>
      <c r="C21" s="74" t="s">
        <v>727</v>
      </c>
      <c r="D21" s="79" t="s">
        <v>90</v>
      </c>
      <c r="E21" s="13">
        <v>44463</v>
      </c>
      <c r="F21" s="77" t="s">
        <v>91</v>
      </c>
      <c r="G21" s="13">
        <v>44463.625</v>
      </c>
      <c r="H21" s="78" t="s">
        <v>679</v>
      </c>
      <c r="I21" s="16">
        <v>66</v>
      </c>
      <c r="J21" s="16">
        <v>23</v>
      </c>
      <c r="K21" s="16">
        <v>19</v>
      </c>
      <c r="L21" s="16">
        <v>4</v>
      </c>
      <c r="M21" s="82">
        <v>7.2104999999999997</v>
      </c>
      <c r="N21" s="73">
        <v>7</v>
      </c>
      <c r="O21" s="65">
        <v>7000</v>
      </c>
      <c r="P21" s="66">
        <f>Table22457891011234567891011121314151617181920212223242526272829[[#This Row],[PEMBULATAN]]*O21</f>
        <v>49000</v>
      </c>
    </row>
    <row r="22" spans="1:16" ht="26.25" customHeight="1" x14ac:dyDescent="0.2">
      <c r="A22" s="14"/>
      <c r="B22" s="14"/>
      <c r="C22" s="74" t="s">
        <v>728</v>
      </c>
      <c r="D22" s="79" t="s">
        <v>90</v>
      </c>
      <c r="E22" s="13">
        <v>44463</v>
      </c>
      <c r="F22" s="77" t="s">
        <v>91</v>
      </c>
      <c r="G22" s="13">
        <v>44463.625</v>
      </c>
      <c r="H22" s="78" t="s">
        <v>679</v>
      </c>
      <c r="I22" s="16">
        <v>40</v>
      </c>
      <c r="J22" s="16">
        <v>33</v>
      </c>
      <c r="K22" s="16">
        <v>35</v>
      </c>
      <c r="L22" s="16">
        <v>46</v>
      </c>
      <c r="M22" s="82">
        <v>11.55</v>
      </c>
      <c r="N22" s="73">
        <v>46</v>
      </c>
      <c r="O22" s="65">
        <v>7000</v>
      </c>
      <c r="P22" s="66">
        <f>Table22457891011234567891011121314151617181920212223242526272829[[#This Row],[PEMBULATAN]]*O22</f>
        <v>322000</v>
      </c>
    </row>
    <row r="23" spans="1:16" ht="26.25" customHeight="1" x14ac:dyDescent="0.2">
      <c r="A23" s="14"/>
      <c r="B23" s="104"/>
      <c r="C23" s="74" t="s">
        <v>729</v>
      </c>
      <c r="D23" s="79" t="s">
        <v>90</v>
      </c>
      <c r="E23" s="13">
        <v>44463</v>
      </c>
      <c r="F23" s="77" t="s">
        <v>91</v>
      </c>
      <c r="G23" s="13">
        <v>44463.625</v>
      </c>
      <c r="H23" s="78" t="s">
        <v>679</v>
      </c>
      <c r="I23" s="16">
        <v>30</v>
      </c>
      <c r="J23" s="16">
        <v>20</v>
      </c>
      <c r="K23" s="16">
        <v>20</v>
      </c>
      <c r="L23" s="16">
        <v>6</v>
      </c>
      <c r="M23" s="82">
        <v>3</v>
      </c>
      <c r="N23" s="73">
        <v>6</v>
      </c>
      <c r="O23" s="65">
        <v>7000</v>
      </c>
      <c r="P23" s="66">
        <f>Table22457891011234567891011121314151617181920212223242526272829[[#This Row],[PEMBULATAN]]*O23</f>
        <v>42000</v>
      </c>
    </row>
    <row r="24" spans="1:16" ht="26.25" customHeight="1" x14ac:dyDescent="0.2">
      <c r="A24" s="14"/>
      <c r="B24" s="14" t="s">
        <v>730</v>
      </c>
      <c r="C24" s="74" t="s">
        <v>731</v>
      </c>
      <c r="D24" s="79" t="s">
        <v>90</v>
      </c>
      <c r="E24" s="13">
        <v>44463</v>
      </c>
      <c r="F24" s="77" t="s">
        <v>91</v>
      </c>
      <c r="G24" s="13">
        <v>44463.625</v>
      </c>
      <c r="H24" s="78" t="s">
        <v>679</v>
      </c>
      <c r="I24" s="16">
        <v>54</v>
      </c>
      <c r="J24" s="16">
        <v>35</v>
      </c>
      <c r="K24" s="16">
        <v>14</v>
      </c>
      <c r="L24" s="16">
        <v>2</v>
      </c>
      <c r="M24" s="82">
        <v>6.6150000000000002</v>
      </c>
      <c r="N24" s="73">
        <v>7</v>
      </c>
      <c r="O24" s="65">
        <v>7000</v>
      </c>
      <c r="P24" s="66">
        <f>Table22457891011234567891011121314151617181920212223242526272829[[#This Row],[PEMBULATAN]]*O24</f>
        <v>49000</v>
      </c>
    </row>
    <row r="25" spans="1:16" ht="26.25" customHeight="1" x14ac:dyDescent="0.2">
      <c r="A25" s="14"/>
      <c r="B25" s="14"/>
      <c r="C25" s="74" t="s">
        <v>732</v>
      </c>
      <c r="D25" s="79" t="s">
        <v>90</v>
      </c>
      <c r="E25" s="13">
        <v>44463</v>
      </c>
      <c r="F25" s="77" t="s">
        <v>91</v>
      </c>
      <c r="G25" s="13">
        <v>44463.625</v>
      </c>
      <c r="H25" s="78" t="s">
        <v>679</v>
      </c>
      <c r="I25" s="16">
        <v>40</v>
      </c>
      <c r="J25" s="16">
        <v>40</v>
      </c>
      <c r="K25" s="16">
        <v>33</v>
      </c>
      <c r="L25" s="16">
        <v>9</v>
      </c>
      <c r="M25" s="82">
        <v>13.2</v>
      </c>
      <c r="N25" s="73">
        <v>13</v>
      </c>
      <c r="O25" s="65">
        <v>7000</v>
      </c>
      <c r="P25" s="66">
        <f>Table22457891011234567891011121314151617181920212223242526272829[[#This Row],[PEMBULATAN]]*O25</f>
        <v>91000</v>
      </c>
    </row>
    <row r="26" spans="1:16" ht="26.25" customHeight="1" x14ac:dyDescent="0.2">
      <c r="A26" s="14"/>
      <c r="B26" s="14"/>
      <c r="C26" s="74" t="s">
        <v>733</v>
      </c>
      <c r="D26" s="79" t="s">
        <v>90</v>
      </c>
      <c r="E26" s="13">
        <v>44463</v>
      </c>
      <c r="F26" s="77" t="s">
        <v>91</v>
      </c>
      <c r="G26" s="13">
        <v>44463.625</v>
      </c>
      <c r="H26" s="78" t="s">
        <v>679</v>
      </c>
      <c r="I26" s="16">
        <v>26</v>
      </c>
      <c r="J26" s="16">
        <v>15</v>
      </c>
      <c r="K26" s="16">
        <v>10</v>
      </c>
      <c r="L26" s="16">
        <v>1</v>
      </c>
      <c r="M26" s="82">
        <v>0.97499999999999998</v>
      </c>
      <c r="N26" s="73">
        <v>1</v>
      </c>
      <c r="O26" s="65">
        <v>7000</v>
      </c>
      <c r="P26" s="66">
        <f>Table22457891011234567891011121314151617181920212223242526272829[[#This Row],[PEMBULATAN]]*O26</f>
        <v>7000</v>
      </c>
    </row>
    <row r="27" spans="1:16" ht="26.25" customHeight="1" x14ac:dyDescent="0.2">
      <c r="A27" s="14"/>
      <c r="B27" s="14" t="s">
        <v>734</v>
      </c>
      <c r="C27" s="74" t="s">
        <v>735</v>
      </c>
      <c r="D27" s="79" t="s">
        <v>90</v>
      </c>
      <c r="E27" s="13">
        <v>44463</v>
      </c>
      <c r="F27" s="77" t="s">
        <v>91</v>
      </c>
      <c r="G27" s="13">
        <v>44463.625</v>
      </c>
      <c r="H27" s="78" t="s">
        <v>679</v>
      </c>
      <c r="I27" s="16">
        <v>31</v>
      </c>
      <c r="J27" s="16">
        <v>22</v>
      </c>
      <c r="K27" s="16">
        <v>18</v>
      </c>
      <c r="L27" s="16">
        <v>8</v>
      </c>
      <c r="M27" s="82">
        <v>3.069</v>
      </c>
      <c r="N27" s="73">
        <v>8</v>
      </c>
      <c r="O27" s="65">
        <v>7000</v>
      </c>
      <c r="P27" s="66">
        <f>Table22457891011234567891011121314151617181920212223242526272829[[#This Row],[PEMBULATAN]]*O27</f>
        <v>56000</v>
      </c>
    </row>
    <row r="28" spans="1:16" ht="26.25" customHeight="1" x14ac:dyDescent="0.2">
      <c r="A28" s="14"/>
      <c r="B28" s="14"/>
      <c r="C28" s="74" t="s">
        <v>736</v>
      </c>
      <c r="D28" s="79" t="s">
        <v>90</v>
      </c>
      <c r="E28" s="13">
        <v>44463</v>
      </c>
      <c r="F28" s="77" t="s">
        <v>91</v>
      </c>
      <c r="G28" s="13">
        <v>44463.625</v>
      </c>
      <c r="H28" s="78" t="s">
        <v>679</v>
      </c>
      <c r="I28" s="16">
        <v>31</v>
      </c>
      <c r="J28" s="16">
        <v>22</v>
      </c>
      <c r="K28" s="16">
        <v>18</v>
      </c>
      <c r="L28" s="16">
        <v>8</v>
      </c>
      <c r="M28" s="82">
        <v>3.069</v>
      </c>
      <c r="N28" s="73">
        <v>8</v>
      </c>
      <c r="O28" s="65">
        <v>7000</v>
      </c>
      <c r="P28" s="66">
        <f>Table22457891011234567891011121314151617181920212223242526272829[[#This Row],[PEMBULATAN]]*O28</f>
        <v>56000</v>
      </c>
    </row>
    <row r="29" spans="1:16" ht="26.25" customHeight="1" x14ac:dyDescent="0.2">
      <c r="A29" s="14"/>
      <c r="B29" s="14"/>
      <c r="C29" s="74" t="s">
        <v>737</v>
      </c>
      <c r="D29" s="79" t="s">
        <v>90</v>
      </c>
      <c r="E29" s="13">
        <v>44463</v>
      </c>
      <c r="F29" s="77" t="s">
        <v>91</v>
      </c>
      <c r="G29" s="13">
        <v>44463.625</v>
      </c>
      <c r="H29" s="78" t="s">
        <v>679</v>
      </c>
      <c r="I29" s="16">
        <v>31</v>
      </c>
      <c r="J29" s="16">
        <v>22</v>
      </c>
      <c r="K29" s="16">
        <v>18</v>
      </c>
      <c r="L29" s="16">
        <v>8</v>
      </c>
      <c r="M29" s="82">
        <v>3.069</v>
      </c>
      <c r="N29" s="73">
        <v>8</v>
      </c>
      <c r="O29" s="65">
        <v>7000</v>
      </c>
      <c r="P29" s="66">
        <f>Table22457891011234567891011121314151617181920212223242526272829[[#This Row],[PEMBULATAN]]*O29</f>
        <v>56000</v>
      </c>
    </row>
    <row r="30" spans="1:16" ht="26.25" customHeight="1" x14ac:dyDescent="0.2">
      <c r="A30" s="14"/>
      <c r="B30" s="14"/>
      <c r="C30" s="74" t="s">
        <v>738</v>
      </c>
      <c r="D30" s="79" t="s">
        <v>90</v>
      </c>
      <c r="E30" s="13">
        <v>44463</v>
      </c>
      <c r="F30" s="77" t="s">
        <v>91</v>
      </c>
      <c r="G30" s="13">
        <v>44463.625</v>
      </c>
      <c r="H30" s="78" t="s">
        <v>679</v>
      </c>
      <c r="I30" s="16">
        <v>31</v>
      </c>
      <c r="J30" s="16">
        <v>22</v>
      </c>
      <c r="K30" s="16">
        <v>18</v>
      </c>
      <c r="L30" s="16">
        <v>8</v>
      </c>
      <c r="M30" s="82">
        <v>3.069</v>
      </c>
      <c r="N30" s="73">
        <v>8</v>
      </c>
      <c r="O30" s="65">
        <v>7000</v>
      </c>
      <c r="P30" s="66">
        <f>Table22457891011234567891011121314151617181920212223242526272829[[#This Row],[PEMBULATAN]]*O30</f>
        <v>56000</v>
      </c>
    </row>
    <row r="31" spans="1:16" ht="26.25" customHeight="1" x14ac:dyDescent="0.2">
      <c r="A31" s="14"/>
      <c r="B31" s="14"/>
      <c r="C31" s="74" t="s">
        <v>739</v>
      </c>
      <c r="D31" s="79" t="s">
        <v>90</v>
      </c>
      <c r="E31" s="13">
        <v>44463</v>
      </c>
      <c r="F31" s="77" t="s">
        <v>91</v>
      </c>
      <c r="G31" s="13">
        <v>44463.625</v>
      </c>
      <c r="H31" s="78" t="s">
        <v>679</v>
      </c>
      <c r="I31" s="16">
        <v>31</v>
      </c>
      <c r="J31" s="16">
        <v>22</v>
      </c>
      <c r="K31" s="16">
        <v>18</v>
      </c>
      <c r="L31" s="16">
        <v>8</v>
      </c>
      <c r="M31" s="82">
        <v>3.069</v>
      </c>
      <c r="N31" s="73">
        <v>8</v>
      </c>
      <c r="O31" s="65">
        <v>7000</v>
      </c>
      <c r="P31" s="66">
        <f>Table22457891011234567891011121314151617181920212223242526272829[[#This Row],[PEMBULATAN]]*O31</f>
        <v>56000</v>
      </c>
    </row>
    <row r="32" spans="1:16" ht="26.25" customHeight="1" x14ac:dyDescent="0.2">
      <c r="A32" s="14"/>
      <c r="B32" s="14"/>
      <c r="C32" s="74" t="s">
        <v>740</v>
      </c>
      <c r="D32" s="79" t="s">
        <v>90</v>
      </c>
      <c r="E32" s="13">
        <v>44463</v>
      </c>
      <c r="F32" s="77" t="s">
        <v>91</v>
      </c>
      <c r="G32" s="13">
        <v>44463.625</v>
      </c>
      <c r="H32" s="78" t="s">
        <v>679</v>
      </c>
      <c r="I32" s="16">
        <v>31</v>
      </c>
      <c r="J32" s="16">
        <v>22</v>
      </c>
      <c r="K32" s="16">
        <v>18</v>
      </c>
      <c r="L32" s="16">
        <v>8</v>
      </c>
      <c r="M32" s="82">
        <v>3.069</v>
      </c>
      <c r="N32" s="73">
        <v>8</v>
      </c>
      <c r="O32" s="65">
        <v>7000</v>
      </c>
      <c r="P32" s="66">
        <f>Table22457891011234567891011121314151617181920212223242526272829[[#This Row],[PEMBULATAN]]*O32</f>
        <v>56000</v>
      </c>
    </row>
    <row r="33" spans="1:16" ht="26.25" customHeight="1" x14ac:dyDescent="0.2">
      <c r="A33" s="14"/>
      <c r="B33" s="14"/>
      <c r="C33" s="74" t="s">
        <v>741</v>
      </c>
      <c r="D33" s="79" t="s">
        <v>90</v>
      </c>
      <c r="E33" s="13">
        <v>44463</v>
      </c>
      <c r="F33" s="77" t="s">
        <v>91</v>
      </c>
      <c r="G33" s="13">
        <v>44463.625</v>
      </c>
      <c r="H33" s="78" t="s">
        <v>679</v>
      </c>
      <c r="I33" s="16">
        <v>31</v>
      </c>
      <c r="J33" s="16">
        <v>22</v>
      </c>
      <c r="K33" s="16">
        <v>18</v>
      </c>
      <c r="L33" s="16">
        <v>8</v>
      </c>
      <c r="M33" s="82">
        <v>3.069</v>
      </c>
      <c r="N33" s="73">
        <v>8</v>
      </c>
      <c r="O33" s="65">
        <v>7000</v>
      </c>
      <c r="P33" s="66">
        <f>Table22457891011234567891011121314151617181920212223242526272829[[#This Row],[PEMBULATAN]]*O33</f>
        <v>56000</v>
      </c>
    </row>
    <row r="34" spans="1:16" ht="26.25" customHeight="1" x14ac:dyDescent="0.2">
      <c r="A34" s="14"/>
      <c r="B34" s="14"/>
      <c r="C34" s="74" t="s">
        <v>742</v>
      </c>
      <c r="D34" s="79" t="s">
        <v>90</v>
      </c>
      <c r="E34" s="13">
        <v>44463</v>
      </c>
      <c r="F34" s="77" t="s">
        <v>91</v>
      </c>
      <c r="G34" s="13">
        <v>44463.625</v>
      </c>
      <c r="H34" s="78" t="s">
        <v>679</v>
      </c>
      <c r="I34" s="16">
        <v>31</v>
      </c>
      <c r="J34" s="16">
        <v>22</v>
      </c>
      <c r="K34" s="16">
        <v>18</v>
      </c>
      <c r="L34" s="16">
        <v>8</v>
      </c>
      <c r="M34" s="82">
        <v>3.069</v>
      </c>
      <c r="N34" s="73">
        <v>8</v>
      </c>
      <c r="O34" s="65">
        <v>7000</v>
      </c>
      <c r="P34" s="66">
        <f>Table22457891011234567891011121314151617181920212223242526272829[[#This Row],[PEMBULATAN]]*O34</f>
        <v>56000</v>
      </c>
    </row>
    <row r="35" spans="1:16" ht="26.25" customHeight="1" x14ac:dyDescent="0.2">
      <c r="A35" s="14"/>
      <c r="B35" s="14"/>
      <c r="C35" s="74" t="s">
        <v>743</v>
      </c>
      <c r="D35" s="79" t="s">
        <v>90</v>
      </c>
      <c r="E35" s="13">
        <v>44463</v>
      </c>
      <c r="F35" s="77" t="s">
        <v>91</v>
      </c>
      <c r="G35" s="13">
        <v>44463.625</v>
      </c>
      <c r="H35" s="78" t="s">
        <v>679</v>
      </c>
      <c r="I35" s="16">
        <v>46</v>
      </c>
      <c r="J35" s="16">
        <v>27</v>
      </c>
      <c r="K35" s="16">
        <v>19</v>
      </c>
      <c r="L35" s="16">
        <v>6</v>
      </c>
      <c r="M35" s="82">
        <v>5.8994999999999997</v>
      </c>
      <c r="N35" s="73">
        <v>6</v>
      </c>
      <c r="O35" s="65">
        <v>7000</v>
      </c>
      <c r="P35" s="66">
        <f>Table22457891011234567891011121314151617181920212223242526272829[[#This Row],[PEMBULATAN]]*O35</f>
        <v>42000</v>
      </c>
    </row>
    <row r="36" spans="1:16" ht="26.25" customHeight="1" x14ac:dyDescent="0.2">
      <c r="A36" s="14"/>
      <c r="B36" s="14"/>
      <c r="C36" s="74" t="s">
        <v>744</v>
      </c>
      <c r="D36" s="79" t="s">
        <v>90</v>
      </c>
      <c r="E36" s="13">
        <v>44463</v>
      </c>
      <c r="F36" s="77" t="s">
        <v>91</v>
      </c>
      <c r="G36" s="13">
        <v>44463.625</v>
      </c>
      <c r="H36" s="78" t="s">
        <v>679</v>
      </c>
      <c r="I36" s="16">
        <v>31</v>
      </c>
      <c r="J36" s="16">
        <v>22</v>
      </c>
      <c r="K36" s="16">
        <v>18</v>
      </c>
      <c r="L36" s="16">
        <v>8</v>
      </c>
      <c r="M36" s="82">
        <v>3.069</v>
      </c>
      <c r="N36" s="73">
        <v>8</v>
      </c>
      <c r="O36" s="65">
        <v>7000</v>
      </c>
      <c r="P36" s="66">
        <f>Table22457891011234567891011121314151617181920212223242526272829[[#This Row],[PEMBULATAN]]*O36</f>
        <v>56000</v>
      </c>
    </row>
    <row r="37" spans="1:16" ht="26.25" customHeight="1" x14ac:dyDescent="0.2">
      <c r="A37" s="14"/>
      <c r="B37" s="14"/>
      <c r="C37" s="74" t="s">
        <v>745</v>
      </c>
      <c r="D37" s="79" t="s">
        <v>90</v>
      </c>
      <c r="E37" s="13">
        <v>44463</v>
      </c>
      <c r="F37" s="77" t="s">
        <v>91</v>
      </c>
      <c r="G37" s="13">
        <v>44463.625</v>
      </c>
      <c r="H37" s="78" t="s">
        <v>679</v>
      </c>
      <c r="I37" s="16">
        <v>31</v>
      </c>
      <c r="J37" s="16">
        <v>22</v>
      </c>
      <c r="K37" s="16">
        <v>18</v>
      </c>
      <c r="L37" s="16">
        <v>8</v>
      </c>
      <c r="M37" s="82">
        <v>3.069</v>
      </c>
      <c r="N37" s="73">
        <v>8</v>
      </c>
      <c r="O37" s="65">
        <v>7000</v>
      </c>
      <c r="P37" s="66">
        <f>Table22457891011234567891011121314151617181920212223242526272829[[#This Row],[PEMBULATAN]]*O37</f>
        <v>56000</v>
      </c>
    </row>
    <row r="38" spans="1:16" ht="26.25" customHeight="1" x14ac:dyDescent="0.2">
      <c r="A38" s="14"/>
      <c r="B38" s="14"/>
      <c r="C38" s="74" t="s">
        <v>746</v>
      </c>
      <c r="D38" s="79" t="s">
        <v>90</v>
      </c>
      <c r="E38" s="13">
        <v>44463</v>
      </c>
      <c r="F38" s="77" t="s">
        <v>91</v>
      </c>
      <c r="G38" s="13">
        <v>44463.625</v>
      </c>
      <c r="H38" s="78" t="s">
        <v>679</v>
      </c>
      <c r="I38" s="16">
        <v>31</v>
      </c>
      <c r="J38" s="16">
        <v>22</v>
      </c>
      <c r="K38" s="16">
        <v>18</v>
      </c>
      <c r="L38" s="16">
        <v>8</v>
      </c>
      <c r="M38" s="82">
        <v>3.069</v>
      </c>
      <c r="N38" s="73">
        <v>8</v>
      </c>
      <c r="O38" s="65">
        <v>7000</v>
      </c>
      <c r="P38" s="66">
        <f>Table22457891011234567891011121314151617181920212223242526272829[[#This Row],[PEMBULATAN]]*O38</f>
        <v>56000</v>
      </c>
    </row>
    <row r="39" spans="1:16" ht="22.5" customHeight="1" x14ac:dyDescent="0.2">
      <c r="A39" s="136" t="s">
        <v>30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8"/>
      <c r="M39" s="80">
        <f>SUBTOTAL(109,Table22457891011234567891011121314151617181920212223242526272829[KG VOLUME])</f>
        <v>340.77975000000026</v>
      </c>
      <c r="N39" s="69">
        <f>SUM(N3:N38)</f>
        <v>482</v>
      </c>
      <c r="O39" s="139">
        <f>SUM(P3:P38)</f>
        <v>3374000</v>
      </c>
      <c r="P39" s="140"/>
    </row>
    <row r="40" spans="1:16" ht="18" customHeight="1" x14ac:dyDescent="0.2">
      <c r="A40" s="87"/>
      <c r="B40" s="57" t="s">
        <v>42</v>
      </c>
      <c r="C40" s="56"/>
      <c r="D40" s="58" t="s">
        <v>43</v>
      </c>
      <c r="E40" s="87"/>
      <c r="F40" s="87"/>
      <c r="G40" s="87"/>
      <c r="H40" s="87"/>
      <c r="I40" s="87"/>
      <c r="J40" s="87"/>
      <c r="K40" s="87"/>
      <c r="L40" s="87"/>
      <c r="M40" s="88"/>
      <c r="N40" s="89" t="s">
        <v>52</v>
      </c>
      <c r="O40" s="90"/>
      <c r="P40" s="90">
        <v>0</v>
      </c>
    </row>
    <row r="41" spans="1:16" ht="18" customHeight="1" thickBot="1" x14ac:dyDescent="0.25">
      <c r="A41" s="87"/>
      <c r="B41" s="57"/>
      <c r="C41" s="56"/>
      <c r="D41" s="58"/>
      <c r="E41" s="87"/>
      <c r="F41" s="87"/>
      <c r="G41" s="87"/>
      <c r="H41" s="87"/>
      <c r="I41" s="87"/>
      <c r="J41" s="87"/>
      <c r="K41" s="87"/>
      <c r="L41" s="87"/>
      <c r="M41" s="88"/>
      <c r="N41" s="91" t="s">
        <v>53</v>
      </c>
      <c r="O41" s="92"/>
      <c r="P41" s="92">
        <f>O39-P40</f>
        <v>3374000</v>
      </c>
    </row>
    <row r="42" spans="1:16" ht="18" customHeight="1" x14ac:dyDescent="0.2">
      <c r="A42" s="11"/>
      <c r="H42" s="64"/>
      <c r="N42" s="63" t="s">
        <v>31</v>
      </c>
      <c r="P42" s="70">
        <f>P41*1%</f>
        <v>33740</v>
      </c>
    </row>
    <row r="43" spans="1:16" ht="18" customHeight="1" thickBot="1" x14ac:dyDescent="0.25">
      <c r="A43" s="11"/>
      <c r="H43" s="64"/>
      <c r="N43" s="63" t="s">
        <v>54</v>
      </c>
      <c r="P43" s="72">
        <f>P41*2%</f>
        <v>67480</v>
      </c>
    </row>
    <row r="44" spans="1:16" ht="18" customHeight="1" x14ac:dyDescent="0.2">
      <c r="A44" s="11"/>
      <c r="H44" s="64"/>
      <c r="N44" s="67" t="s">
        <v>32</v>
      </c>
      <c r="O44" s="68"/>
      <c r="P44" s="71">
        <f>P41+P42-P43</f>
        <v>3340260</v>
      </c>
    </row>
    <row r="46" spans="1:16" x14ac:dyDescent="0.2">
      <c r="A46" s="11"/>
      <c r="H46" s="64"/>
      <c r="P46" s="72"/>
    </row>
    <row r="47" spans="1:16" x14ac:dyDescent="0.2">
      <c r="A47" s="11"/>
      <c r="H47" s="64"/>
      <c r="O47" s="59"/>
      <c r="P47" s="72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</sheetData>
  <mergeCells count="2">
    <mergeCell ref="A39:L39"/>
    <mergeCell ref="O39:P39"/>
  </mergeCells>
  <conditionalFormatting sqref="B3">
    <cfRule type="duplicateValues" dxfId="142" priority="2"/>
  </conditionalFormatting>
  <conditionalFormatting sqref="B4">
    <cfRule type="duplicateValues" dxfId="141" priority="1"/>
  </conditionalFormatting>
  <conditionalFormatting sqref="B5:B38">
    <cfRule type="duplicateValues" dxfId="140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16" activePane="bottomRight" state="frozen"/>
      <selection pane="topRight" activeCell="B1" sqref="B1"/>
      <selection pane="bottomLeft" activeCell="A3" sqref="A3"/>
      <selection pane="bottomRight" activeCell="I20" sqref="I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927</v>
      </c>
      <c r="B3" s="75" t="s">
        <v>747</v>
      </c>
      <c r="C3" s="9" t="s">
        <v>748</v>
      </c>
      <c r="D3" s="77" t="s">
        <v>90</v>
      </c>
      <c r="E3" s="13">
        <v>44464</v>
      </c>
      <c r="F3" s="77" t="s">
        <v>91</v>
      </c>
      <c r="G3" s="13">
        <v>44467</v>
      </c>
      <c r="H3" s="10" t="s">
        <v>770</v>
      </c>
      <c r="I3" s="1">
        <v>87</v>
      </c>
      <c r="J3" s="1">
        <v>40</v>
      </c>
      <c r="K3" s="1">
        <v>40</v>
      </c>
      <c r="L3" s="1">
        <v>6</v>
      </c>
      <c r="M3" s="81">
        <v>34.799999999999997</v>
      </c>
      <c r="N3" s="105">
        <v>34.799999999999997</v>
      </c>
      <c r="O3" s="65">
        <v>7000</v>
      </c>
      <c r="P3" s="66">
        <f>Table2245789101123456789101112131415161718192021222324252627282930[[#This Row],[PEMBULATAN]]*O3</f>
        <v>243599.99999999997</v>
      </c>
    </row>
    <row r="4" spans="1:16" ht="26.25" customHeight="1" x14ac:dyDescent="0.2">
      <c r="A4" s="14"/>
      <c r="B4" s="76"/>
      <c r="C4" s="9" t="s">
        <v>749</v>
      </c>
      <c r="D4" s="77" t="s">
        <v>90</v>
      </c>
      <c r="E4" s="13">
        <v>44464</v>
      </c>
      <c r="F4" s="77" t="s">
        <v>91</v>
      </c>
      <c r="G4" s="13">
        <v>44467</v>
      </c>
      <c r="H4" s="10" t="s">
        <v>770</v>
      </c>
      <c r="I4" s="1">
        <v>57</v>
      </c>
      <c r="J4" s="1">
        <v>40</v>
      </c>
      <c r="K4" s="1">
        <v>30</v>
      </c>
      <c r="L4" s="1">
        <v>12</v>
      </c>
      <c r="M4" s="81">
        <v>17.100000000000001</v>
      </c>
      <c r="N4" s="105">
        <v>17.100000000000001</v>
      </c>
      <c r="O4" s="65">
        <v>7000</v>
      </c>
      <c r="P4" s="66">
        <f>Table2245789101123456789101112131415161718192021222324252627282930[[#This Row],[PEMBULATAN]]*O4</f>
        <v>119700.00000000001</v>
      </c>
    </row>
    <row r="5" spans="1:16" ht="26.25" customHeight="1" x14ac:dyDescent="0.2">
      <c r="A5" s="14"/>
      <c r="B5" s="14"/>
      <c r="C5" s="9" t="s">
        <v>750</v>
      </c>
      <c r="D5" s="77" t="s">
        <v>90</v>
      </c>
      <c r="E5" s="13">
        <v>44464</v>
      </c>
      <c r="F5" s="77" t="s">
        <v>91</v>
      </c>
      <c r="G5" s="13">
        <v>44467</v>
      </c>
      <c r="H5" s="10" t="s">
        <v>770</v>
      </c>
      <c r="I5" s="1">
        <v>76</v>
      </c>
      <c r="J5" s="1">
        <v>69</v>
      </c>
      <c r="K5" s="1">
        <v>47</v>
      </c>
      <c r="L5" s="1">
        <v>38</v>
      </c>
      <c r="M5" s="81">
        <v>61.616999999999997</v>
      </c>
      <c r="N5" s="105">
        <v>61.616999999999997</v>
      </c>
      <c r="O5" s="65">
        <v>7000</v>
      </c>
      <c r="P5" s="66">
        <f>Table2245789101123456789101112131415161718192021222324252627282930[[#This Row],[PEMBULATAN]]*O5</f>
        <v>431319</v>
      </c>
    </row>
    <row r="6" spans="1:16" ht="26.25" customHeight="1" x14ac:dyDescent="0.2">
      <c r="A6" s="14"/>
      <c r="B6" s="14"/>
      <c r="C6" s="74" t="s">
        <v>751</v>
      </c>
      <c r="D6" s="79" t="s">
        <v>90</v>
      </c>
      <c r="E6" s="13">
        <v>44464</v>
      </c>
      <c r="F6" s="77" t="s">
        <v>91</v>
      </c>
      <c r="G6" s="13">
        <v>44467</v>
      </c>
      <c r="H6" s="78" t="s">
        <v>770</v>
      </c>
      <c r="I6" s="16">
        <v>49</v>
      </c>
      <c r="J6" s="16">
        <v>34</v>
      </c>
      <c r="K6" s="16">
        <v>34</v>
      </c>
      <c r="L6" s="16">
        <v>5</v>
      </c>
      <c r="M6" s="82">
        <v>14.161</v>
      </c>
      <c r="N6" s="105">
        <v>14.161</v>
      </c>
      <c r="O6" s="65">
        <v>7000</v>
      </c>
      <c r="P6" s="66">
        <f>Table2245789101123456789101112131415161718192021222324252627282930[[#This Row],[PEMBULATAN]]*O6</f>
        <v>99127</v>
      </c>
    </row>
    <row r="7" spans="1:16" ht="26.25" customHeight="1" x14ac:dyDescent="0.2">
      <c r="A7" s="14"/>
      <c r="B7" s="14"/>
      <c r="C7" s="74" t="s">
        <v>752</v>
      </c>
      <c r="D7" s="79" t="s">
        <v>90</v>
      </c>
      <c r="E7" s="13">
        <v>44464</v>
      </c>
      <c r="F7" s="77" t="s">
        <v>91</v>
      </c>
      <c r="G7" s="13">
        <v>44467</v>
      </c>
      <c r="H7" s="78" t="s">
        <v>770</v>
      </c>
      <c r="I7" s="16">
        <v>30</v>
      </c>
      <c r="J7" s="16">
        <v>47</v>
      </c>
      <c r="K7" s="16">
        <v>30</v>
      </c>
      <c r="L7" s="16">
        <v>7</v>
      </c>
      <c r="M7" s="82">
        <v>10.574999999999999</v>
      </c>
      <c r="N7" s="105">
        <v>10.574999999999999</v>
      </c>
      <c r="O7" s="65">
        <v>7000</v>
      </c>
      <c r="P7" s="66">
        <f>Table2245789101123456789101112131415161718192021222324252627282930[[#This Row],[PEMBULATAN]]*O7</f>
        <v>74025</v>
      </c>
    </row>
    <row r="8" spans="1:16" ht="26.25" customHeight="1" x14ac:dyDescent="0.2">
      <c r="A8" s="14"/>
      <c r="B8" s="14"/>
      <c r="C8" s="74" t="s">
        <v>753</v>
      </c>
      <c r="D8" s="79" t="s">
        <v>90</v>
      </c>
      <c r="E8" s="13">
        <v>44464</v>
      </c>
      <c r="F8" s="77" t="s">
        <v>91</v>
      </c>
      <c r="G8" s="13">
        <v>44467</v>
      </c>
      <c r="H8" s="78" t="s">
        <v>770</v>
      </c>
      <c r="I8" s="16">
        <v>2</v>
      </c>
      <c r="J8" s="16">
        <v>28</v>
      </c>
      <c r="K8" s="16">
        <v>22</v>
      </c>
      <c r="L8" s="16">
        <v>12</v>
      </c>
      <c r="M8" s="82">
        <v>0.308</v>
      </c>
      <c r="N8" s="105">
        <v>12</v>
      </c>
      <c r="O8" s="65">
        <v>7000</v>
      </c>
      <c r="P8" s="66">
        <f>Table2245789101123456789101112131415161718192021222324252627282930[[#This Row],[PEMBULATAN]]*O8</f>
        <v>84000</v>
      </c>
    </row>
    <row r="9" spans="1:16" ht="26.25" customHeight="1" x14ac:dyDescent="0.2">
      <c r="A9" s="14"/>
      <c r="B9" s="14"/>
      <c r="C9" s="74" t="s">
        <v>754</v>
      </c>
      <c r="D9" s="79" t="s">
        <v>90</v>
      </c>
      <c r="E9" s="13">
        <v>44464</v>
      </c>
      <c r="F9" s="77" t="s">
        <v>91</v>
      </c>
      <c r="G9" s="13">
        <v>44467</v>
      </c>
      <c r="H9" s="78" t="s">
        <v>770</v>
      </c>
      <c r="I9" s="16">
        <v>30</v>
      </c>
      <c r="J9" s="16">
        <v>32</v>
      </c>
      <c r="K9" s="16">
        <v>33</v>
      </c>
      <c r="L9" s="16">
        <v>4</v>
      </c>
      <c r="M9" s="82">
        <v>7.92</v>
      </c>
      <c r="N9" s="105">
        <v>7.92</v>
      </c>
      <c r="O9" s="65">
        <v>7000</v>
      </c>
      <c r="P9" s="66">
        <f>Table2245789101123456789101112131415161718192021222324252627282930[[#This Row],[PEMBULATAN]]*O9</f>
        <v>55440</v>
      </c>
    </row>
    <row r="10" spans="1:16" ht="26.25" customHeight="1" x14ac:dyDescent="0.2">
      <c r="A10" s="14"/>
      <c r="B10" s="14"/>
      <c r="C10" s="74" t="s">
        <v>755</v>
      </c>
      <c r="D10" s="79" t="s">
        <v>90</v>
      </c>
      <c r="E10" s="13">
        <v>44464</v>
      </c>
      <c r="F10" s="77" t="s">
        <v>91</v>
      </c>
      <c r="G10" s="13">
        <v>44467</v>
      </c>
      <c r="H10" s="78" t="s">
        <v>770</v>
      </c>
      <c r="I10" s="16">
        <v>87</v>
      </c>
      <c r="J10" s="16">
        <v>57</v>
      </c>
      <c r="K10" s="16">
        <v>40</v>
      </c>
      <c r="L10" s="16">
        <v>13</v>
      </c>
      <c r="M10" s="82">
        <v>49.59</v>
      </c>
      <c r="N10" s="105">
        <v>49.59</v>
      </c>
      <c r="O10" s="65">
        <v>7000</v>
      </c>
      <c r="P10" s="66">
        <f>Table2245789101123456789101112131415161718192021222324252627282930[[#This Row],[PEMBULATAN]]*O10</f>
        <v>347130</v>
      </c>
    </row>
    <row r="11" spans="1:16" ht="26.25" customHeight="1" x14ac:dyDescent="0.2">
      <c r="A11" s="14"/>
      <c r="B11" s="14"/>
      <c r="C11" s="74" t="s">
        <v>756</v>
      </c>
      <c r="D11" s="79" t="s">
        <v>90</v>
      </c>
      <c r="E11" s="13">
        <v>44464</v>
      </c>
      <c r="F11" s="77" t="s">
        <v>91</v>
      </c>
      <c r="G11" s="13">
        <v>44467</v>
      </c>
      <c r="H11" s="78" t="s">
        <v>770</v>
      </c>
      <c r="I11" s="16">
        <v>87</v>
      </c>
      <c r="J11" s="16">
        <v>45</v>
      </c>
      <c r="K11" s="16">
        <v>30</v>
      </c>
      <c r="L11" s="16">
        <v>18</v>
      </c>
      <c r="M11" s="82">
        <v>29.362500000000001</v>
      </c>
      <c r="N11" s="105">
        <v>29.362500000000001</v>
      </c>
      <c r="O11" s="65">
        <v>7000</v>
      </c>
      <c r="P11" s="66">
        <f>Table2245789101123456789101112131415161718192021222324252627282930[[#This Row],[PEMBULATAN]]*O11</f>
        <v>205537.5</v>
      </c>
    </row>
    <row r="12" spans="1:16" ht="26.25" customHeight="1" x14ac:dyDescent="0.2">
      <c r="A12" s="14"/>
      <c r="B12" s="14"/>
      <c r="C12" s="74" t="s">
        <v>757</v>
      </c>
      <c r="D12" s="79" t="s">
        <v>90</v>
      </c>
      <c r="E12" s="13">
        <v>44464</v>
      </c>
      <c r="F12" s="77" t="s">
        <v>91</v>
      </c>
      <c r="G12" s="13">
        <v>44467</v>
      </c>
      <c r="H12" s="78" t="s">
        <v>770</v>
      </c>
      <c r="I12" s="16">
        <v>86</v>
      </c>
      <c r="J12" s="16">
        <v>61</v>
      </c>
      <c r="K12" s="16">
        <v>58</v>
      </c>
      <c r="L12" s="16">
        <v>14</v>
      </c>
      <c r="M12" s="82">
        <v>76.066999999999993</v>
      </c>
      <c r="N12" s="105">
        <v>76.066999999999993</v>
      </c>
      <c r="O12" s="65">
        <v>7000</v>
      </c>
      <c r="P12" s="66">
        <f>Table2245789101123456789101112131415161718192021222324252627282930[[#This Row],[PEMBULATAN]]*O12</f>
        <v>532469</v>
      </c>
    </row>
    <row r="13" spans="1:16" ht="26.25" customHeight="1" x14ac:dyDescent="0.2">
      <c r="A13" s="14"/>
      <c r="B13" s="14"/>
      <c r="C13" s="74" t="s">
        <v>758</v>
      </c>
      <c r="D13" s="79" t="s">
        <v>90</v>
      </c>
      <c r="E13" s="13">
        <v>44464</v>
      </c>
      <c r="F13" s="77" t="s">
        <v>91</v>
      </c>
      <c r="G13" s="13">
        <v>44467</v>
      </c>
      <c r="H13" s="78" t="s">
        <v>770</v>
      </c>
      <c r="I13" s="16">
        <v>78</v>
      </c>
      <c r="J13" s="16">
        <v>45</v>
      </c>
      <c r="K13" s="16">
        <v>30</v>
      </c>
      <c r="L13" s="16">
        <v>10</v>
      </c>
      <c r="M13" s="82">
        <v>26.324999999999999</v>
      </c>
      <c r="N13" s="105">
        <v>27</v>
      </c>
      <c r="O13" s="65">
        <v>7000</v>
      </c>
      <c r="P13" s="66">
        <f>Table2245789101123456789101112131415161718192021222324252627282930[[#This Row],[PEMBULATAN]]*O13</f>
        <v>189000</v>
      </c>
    </row>
    <row r="14" spans="1:16" ht="26.25" customHeight="1" x14ac:dyDescent="0.2">
      <c r="A14" s="14"/>
      <c r="B14" s="14"/>
      <c r="C14" s="74" t="s">
        <v>759</v>
      </c>
      <c r="D14" s="79" t="s">
        <v>90</v>
      </c>
      <c r="E14" s="13">
        <v>44464</v>
      </c>
      <c r="F14" s="77" t="s">
        <v>91</v>
      </c>
      <c r="G14" s="13">
        <v>44467</v>
      </c>
      <c r="H14" s="78" t="s">
        <v>770</v>
      </c>
      <c r="I14" s="16">
        <v>80</v>
      </c>
      <c r="J14" s="16">
        <v>67</v>
      </c>
      <c r="K14" s="16">
        <v>30</v>
      </c>
      <c r="L14" s="16">
        <v>11</v>
      </c>
      <c r="M14" s="82">
        <v>40.200000000000003</v>
      </c>
      <c r="N14" s="105">
        <v>40.200000000000003</v>
      </c>
      <c r="O14" s="65">
        <v>7000</v>
      </c>
      <c r="P14" s="66">
        <f>Table2245789101123456789101112131415161718192021222324252627282930[[#This Row],[PEMBULATAN]]*O14</f>
        <v>281400</v>
      </c>
    </row>
    <row r="15" spans="1:16" ht="26.25" customHeight="1" x14ac:dyDescent="0.2">
      <c r="A15" s="14"/>
      <c r="B15" s="14"/>
      <c r="C15" s="74" t="s">
        <v>760</v>
      </c>
      <c r="D15" s="79" t="s">
        <v>90</v>
      </c>
      <c r="E15" s="13">
        <v>44464</v>
      </c>
      <c r="F15" s="77" t="s">
        <v>91</v>
      </c>
      <c r="G15" s="13">
        <v>44467</v>
      </c>
      <c r="H15" s="78" t="s">
        <v>770</v>
      </c>
      <c r="I15" s="16">
        <v>128</v>
      </c>
      <c r="J15" s="16">
        <v>20</v>
      </c>
      <c r="K15" s="16">
        <v>20</v>
      </c>
      <c r="L15" s="16">
        <v>5</v>
      </c>
      <c r="M15" s="82">
        <v>12.8</v>
      </c>
      <c r="N15" s="105">
        <v>12.8</v>
      </c>
      <c r="O15" s="65">
        <v>7000</v>
      </c>
      <c r="P15" s="66">
        <f>Table2245789101123456789101112131415161718192021222324252627282930[[#This Row],[PEMBULATAN]]*O15</f>
        <v>89600</v>
      </c>
    </row>
    <row r="16" spans="1:16" ht="26.25" customHeight="1" x14ac:dyDescent="0.2">
      <c r="A16" s="14"/>
      <c r="B16" s="104"/>
      <c r="C16" s="74" t="s">
        <v>761</v>
      </c>
      <c r="D16" s="79" t="s">
        <v>90</v>
      </c>
      <c r="E16" s="13">
        <v>44464</v>
      </c>
      <c r="F16" s="77" t="s">
        <v>91</v>
      </c>
      <c r="G16" s="13">
        <v>44467</v>
      </c>
      <c r="H16" s="78" t="s">
        <v>770</v>
      </c>
      <c r="I16" s="16">
        <v>30</v>
      </c>
      <c r="J16" s="16">
        <v>30</v>
      </c>
      <c r="K16" s="16">
        <v>45</v>
      </c>
      <c r="L16" s="16">
        <v>4</v>
      </c>
      <c r="M16" s="82">
        <v>10.125</v>
      </c>
      <c r="N16" s="105">
        <v>10.125</v>
      </c>
      <c r="O16" s="65">
        <v>7000</v>
      </c>
      <c r="P16" s="66">
        <f>Table2245789101123456789101112131415161718192021222324252627282930[[#This Row],[PEMBULATAN]]*O16</f>
        <v>70875</v>
      </c>
    </row>
    <row r="17" spans="1:16" ht="26.25" customHeight="1" x14ac:dyDescent="0.2">
      <c r="A17" s="14"/>
      <c r="B17" s="14" t="s">
        <v>762</v>
      </c>
      <c r="C17" s="74" t="s">
        <v>763</v>
      </c>
      <c r="D17" s="79" t="s">
        <v>90</v>
      </c>
      <c r="E17" s="13">
        <v>44464</v>
      </c>
      <c r="F17" s="77" t="s">
        <v>91</v>
      </c>
      <c r="G17" s="13">
        <v>44467</v>
      </c>
      <c r="H17" s="78" t="s">
        <v>770</v>
      </c>
      <c r="I17" s="16">
        <v>86</v>
      </c>
      <c r="J17" s="16">
        <v>55</v>
      </c>
      <c r="K17" s="16">
        <v>31</v>
      </c>
      <c r="L17" s="16">
        <v>22</v>
      </c>
      <c r="M17" s="82">
        <v>36.657499999999999</v>
      </c>
      <c r="N17" s="105">
        <v>36.657499999999999</v>
      </c>
      <c r="O17" s="65">
        <v>7000</v>
      </c>
      <c r="P17" s="66">
        <f>Table2245789101123456789101112131415161718192021222324252627282930[[#This Row],[PEMBULATAN]]*O17</f>
        <v>256602.5</v>
      </c>
    </row>
    <row r="18" spans="1:16" ht="26.25" customHeight="1" x14ac:dyDescent="0.2">
      <c r="A18" s="14"/>
      <c r="B18" s="14"/>
      <c r="C18" s="74" t="s">
        <v>764</v>
      </c>
      <c r="D18" s="79" t="s">
        <v>90</v>
      </c>
      <c r="E18" s="13">
        <v>44464</v>
      </c>
      <c r="F18" s="77" t="s">
        <v>91</v>
      </c>
      <c r="G18" s="13">
        <v>44467</v>
      </c>
      <c r="H18" s="78" t="s">
        <v>770</v>
      </c>
      <c r="I18" s="16">
        <v>35</v>
      </c>
      <c r="J18" s="16">
        <v>29</v>
      </c>
      <c r="K18" s="16">
        <v>20</v>
      </c>
      <c r="L18" s="16">
        <v>6</v>
      </c>
      <c r="M18" s="82">
        <v>5.0750000000000002</v>
      </c>
      <c r="N18" s="105">
        <v>6</v>
      </c>
      <c r="O18" s="65">
        <v>7000</v>
      </c>
      <c r="P18" s="66">
        <f>Table2245789101123456789101112131415161718192021222324252627282930[[#This Row],[PEMBULATAN]]*O18</f>
        <v>42000</v>
      </c>
    </row>
    <row r="19" spans="1:16" ht="26.25" customHeight="1" x14ac:dyDescent="0.2">
      <c r="A19" s="14"/>
      <c r="B19" s="104"/>
      <c r="C19" s="74" t="s">
        <v>765</v>
      </c>
      <c r="D19" s="79" t="s">
        <v>90</v>
      </c>
      <c r="E19" s="13">
        <v>44464</v>
      </c>
      <c r="F19" s="77" t="s">
        <v>91</v>
      </c>
      <c r="G19" s="13">
        <v>44467</v>
      </c>
      <c r="H19" s="78" t="s">
        <v>770</v>
      </c>
      <c r="I19" s="16">
        <v>35</v>
      </c>
      <c r="J19" s="16">
        <v>30</v>
      </c>
      <c r="K19" s="16">
        <v>28</v>
      </c>
      <c r="L19" s="16">
        <v>7</v>
      </c>
      <c r="M19" s="82">
        <v>7.35</v>
      </c>
      <c r="N19" s="105">
        <v>8</v>
      </c>
      <c r="O19" s="65">
        <v>7000</v>
      </c>
      <c r="P19" s="66">
        <f>Table2245789101123456789101112131415161718192021222324252627282930[[#This Row],[PEMBULATAN]]*O19</f>
        <v>56000</v>
      </c>
    </row>
    <row r="20" spans="1:16" ht="26.25" customHeight="1" x14ac:dyDescent="0.2">
      <c r="A20" s="14"/>
      <c r="B20" s="14" t="s">
        <v>766</v>
      </c>
      <c r="C20" s="74" t="s">
        <v>767</v>
      </c>
      <c r="D20" s="79" t="s">
        <v>90</v>
      </c>
      <c r="E20" s="13">
        <v>44464</v>
      </c>
      <c r="F20" s="77" t="s">
        <v>91</v>
      </c>
      <c r="G20" s="13">
        <v>44467</v>
      </c>
      <c r="H20" s="78" t="s">
        <v>770</v>
      </c>
      <c r="I20" s="16">
        <v>35</v>
      </c>
      <c r="J20" s="16">
        <v>35</v>
      </c>
      <c r="K20" s="16">
        <v>18</v>
      </c>
      <c r="L20" s="16">
        <v>12</v>
      </c>
      <c r="M20" s="82">
        <v>5.5125000000000002</v>
      </c>
      <c r="N20" s="105">
        <v>12</v>
      </c>
      <c r="O20" s="65">
        <v>7000</v>
      </c>
      <c r="P20" s="66">
        <f>Table2245789101123456789101112131415161718192021222324252627282930[[#This Row],[PEMBULATAN]]*O20</f>
        <v>84000</v>
      </c>
    </row>
    <row r="21" spans="1:16" ht="26.25" customHeight="1" x14ac:dyDescent="0.2">
      <c r="A21" s="14"/>
      <c r="B21" s="14"/>
      <c r="C21" s="74" t="s">
        <v>768</v>
      </c>
      <c r="D21" s="79" t="s">
        <v>90</v>
      </c>
      <c r="E21" s="13">
        <v>44464</v>
      </c>
      <c r="F21" s="77" t="s">
        <v>91</v>
      </c>
      <c r="G21" s="13">
        <v>44467</v>
      </c>
      <c r="H21" s="78" t="s">
        <v>770</v>
      </c>
      <c r="I21" s="16">
        <v>37</v>
      </c>
      <c r="J21" s="16">
        <v>34</v>
      </c>
      <c r="K21" s="16">
        <v>16</v>
      </c>
      <c r="L21" s="16">
        <v>9</v>
      </c>
      <c r="M21" s="82">
        <v>5.032</v>
      </c>
      <c r="N21" s="105">
        <v>9</v>
      </c>
      <c r="O21" s="65">
        <v>7000</v>
      </c>
      <c r="P21" s="66">
        <f>Table2245789101123456789101112131415161718192021222324252627282930[[#This Row],[PEMBULATAN]]*O21</f>
        <v>63000</v>
      </c>
    </row>
    <row r="22" spans="1:16" ht="26.25" customHeight="1" x14ac:dyDescent="0.2">
      <c r="A22" s="14"/>
      <c r="B22" s="14"/>
      <c r="C22" s="74" t="s">
        <v>769</v>
      </c>
      <c r="D22" s="79" t="s">
        <v>90</v>
      </c>
      <c r="E22" s="13">
        <v>44464</v>
      </c>
      <c r="F22" s="77" t="s">
        <v>91</v>
      </c>
      <c r="G22" s="13">
        <v>44467</v>
      </c>
      <c r="H22" s="78" t="s">
        <v>770</v>
      </c>
      <c r="I22" s="16">
        <v>37</v>
      </c>
      <c r="J22" s="16">
        <v>34</v>
      </c>
      <c r="K22" s="16">
        <v>16</v>
      </c>
      <c r="L22" s="16">
        <v>9</v>
      </c>
      <c r="M22" s="82">
        <v>5.032</v>
      </c>
      <c r="N22" s="105">
        <v>9</v>
      </c>
      <c r="O22" s="65">
        <v>7000</v>
      </c>
      <c r="P22" s="66">
        <f>Table2245789101123456789101112131415161718192021222324252627282930[[#This Row],[PEMBULATAN]]*O22</f>
        <v>63000</v>
      </c>
    </row>
    <row r="23" spans="1:16" ht="22.5" customHeight="1" x14ac:dyDescent="0.2">
      <c r="A23" s="136" t="s">
        <v>30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8"/>
      <c r="M23" s="80">
        <f>SUBTOTAL(109,Table2245789101123456789101112131415161718192021222324252627282930[KG VOLUME])</f>
        <v>455.60949999999991</v>
      </c>
      <c r="N23" s="69">
        <f>SUM(N3:N22)</f>
        <v>483.97500000000002</v>
      </c>
      <c r="O23" s="139">
        <f>SUM(P3:P22)</f>
        <v>3387825</v>
      </c>
      <c r="P23" s="140"/>
    </row>
    <row r="24" spans="1:16" ht="18" customHeight="1" x14ac:dyDescent="0.2">
      <c r="A24" s="87"/>
      <c r="B24" s="57" t="s">
        <v>42</v>
      </c>
      <c r="C24" s="56"/>
      <c r="D24" s="58" t="s">
        <v>43</v>
      </c>
      <c r="E24" s="87"/>
      <c r="F24" s="87"/>
      <c r="G24" s="87"/>
      <c r="H24" s="87"/>
      <c r="I24" s="87"/>
      <c r="J24" s="87"/>
      <c r="K24" s="87"/>
      <c r="L24" s="87"/>
      <c r="M24" s="88"/>
      <c r="N24" s="89" t="s">
        <v>52</v>
      </c>
      <c r="O24" s="90"/>
      <c r="P24" s="90">
        <v>0</v>
      </c>
    </row>
    <row r="25" spans="1:16" ht="18" customHeight="1" thickBot="1" x14ac:dyDescent="0.25">
      <c r="A25" s="87"/>
      <c r="B25" s="57"/>
      <c r="C25" s="56"/>
      <c r="D25" s="58"/>
      <c r="E25" s="87"/>
      <c r="F25" s="87"/>
      <c r="G25" s="87"/>
      <c r="H25" s="87"/>
      <c r="I25" s="87"/>
      <c r="J25" s="87"/>
      <c r="K25" s="87"/>
      <c r="L25" s="87"/>
      <c r="M25" s="88"/>
      <c r="N25" s="91" t="s">
        <v>53</v>
      </c>
      <c r="O25" s="92"/>
      <c r="P25" s="92">
        <f>O23-P24</f>
        <v>3387825</v>
      </c>
    </row>
    <row r="26" spans="1:16" ht="18" customHeight="1" x14ac:dyDescent="0.2">
      <c r="A26" s="11"/>
      <c r="H26" s="64"/>
      <c r="N26" s="63" t="s">
        <v>31</v>
      </c>
      <c r="P26" s="70">
        <f>P25*1%</f>
        <v>33878.25</v>
      </c>
    </row>
    <row r="27" spans="1:16" ht="18" customHeight="1" thickBot="1" x14ac:dyDescent="0.25">
      <c r="A27" s="11"/>
      <c r="H27" s="64"/>
      <c r="N27" s="63" t="s">
        <v>54</v>
      </c>
      <c r="P27" s="72">
        <f>P25*2%</f>
        <v>67756.5</v>
      </c>
    </row>
    <row r="28" spans="1:16" ht="18" customHeight="1" x14ac:dyDescent="0.2">
      <c r="A28" s="11"/>
      <c r="H28" s="64"/>
      <c r="N28" s="67" t="s">
        <v>32</v>
      </c>
      <c r="O28" s="68"/>
      <c r="P28" s="71">
        <f>P25+P26-P27</f>
        <v>3353946.75</v>
      </c>
    </row>
    <row r="30" spans="1:16" x14ac:dyDescent="0.2">
      <c r="A30" s="11"/>
      <c r="H30" s="64"/>
      <c r="P30" s="72"/>
    </row>
    <row r="31" spans="1:16" x14ac:dyDescent="0.2">
      <c r="A31" s="11"/>
      <c r="H31" s="64"/>
      <c r="O31" s="59"/>
      <c r="P31" s="72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</sheetData>
  <mergeCells count="2">
    <mergeCell ref="A23:L23"/>
    <mergeCell ref="O23:P23"/>
  </mergeCells>
  <conditionalFormatting sqref="B3">
    <cfRule type="duplicateValues" dxfId="124" priority="2"/>
  </conditionalFormatting>
  <conditionalFormatting sqref="B4">
    <cfRule type="duplicateValues" dxfId="123" priority="1"/>
  </conditionalFormatting>
  <conditionalFormatting sqref="B5:B22">
    <cfRule type="duplicateValues" dxfId="122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K15" sqref="K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928</v>
      </c>
      <c r="B3" s="75" t="s">
        <v>771</v>
      </c>
      <c r="C3" s="9" t="s">
        <v>772</v>
      </c>
      <c r="D3" s="77" t="s">
        <v>90</v>
      </c>
      <c r="E3" s="13">
        <v>44465</v>
      </c>
      <c r="F3" s="77" t="s">
        <v>91</v>
      </c>
      <c r="G3" s="13">
        <v>44467</v>
      </c>
      <c r="H3" s="10" t="s">
        <v>770</v>
      </c>
      <c r="I3" s="1">
        <v>90</v>
      </c>
      <c r="J3" s="1">
        <v>50</v>
      </c>
      <c r="K3" s="1">
        <v>24</v>
      </c>
      <c r="L3" s="1">
        <v>13</v>
      </c>
      <c r="M3" s="81">
        <v>27</v>
      </c>
      <c r="N3" s="105">
        <v>27</v>
      </c>
      <c r="O3" s="65">
        <v>7000</v>
      </c>
      <c r="P3" s="66">
        <f>Table224578910112345678910111213141516171819202122232425262728293031[[#This Row],[PEMBULATAN]]*O3</f>
        <v>189000</v>
      </c>
    </row>
    <row r="4" spans="1:16" ht="26.25" customHeight="1" x14ac:dyDescent="0.2">
      <c r="A4" s="14"/>
      <c r="B4" s="76"/>
      <c r="C4" s="9" t="s">
        <v>773</v>
      </c>
      <c r="D4" s="77" t="s">
        <v>90</v>
      </c>
      <c r="E4" s="13">
        <v>44465</v>
      </c>
      <c r="F4" s="77" t="s">
        <v>91</v>
      </c>
      <c r="G4" s="13">
        <v>44467</v>
      </c>
      <c r="H4" s="10" t="s">
        <v>770</v>
      </c>
      <c r="I4" s="1">
        <v>85</v>
      </c>
      <c r="J4" s="1">
        <v>53</v>
      </c>
      <c r="K4" s="1">
        <v>47</v>
      </c>
      <c r="L4" s="1">
        <v>36</v>
      </c>
      <c r="M4" s="81">
        <v>52.933750000000003</v>
      </c>
      <c r="N4" s="105">
        <v>53</v>
      </c>
      <c r="O4" s="65">
        <v>7000</v>
      </c>
      <c r="P4" s="66">
        <f>Table224578910112345678910111213141516171819202122232425262728293031[[#This Row],[PEMBULATAN]]*O4</f>
        <v>371000</v>
      </c>
    </row>
    <row r="5" spans="1:16" ht="26.25" customHeight="1" x14ac:dyDescent="0.2">
      <c r="A5" s="14"/>
      <c r="B5" s="14"/>
      <c r="C5" s="9" t="s">
        <v>774</v>
      </c>
      <c r="D5" s="77" t="s">
        <v>90</v>
      </c>
      <c r="E5" s="13">
        <v>44465</v>
      </c>
      <c r="F5" s="77" t="s">
        <v>91</v>
      </c>
      <c r="G5" s="13">
        <v>44467</v>
      </c>
      <c r="H5" s="10" t="s">
        <v>770</v>
      </c>
      <c r="I5" s="1">
        <v>65</v>
      </c>
      <c r="J5" s="1">
        <v>64</v>
      </c>
      <c r="K5" s="1">
        <v>26</v>
      </c>
      <c r="L5" s="1">
        <v>31</v>
      </c>
      <c r="M5" s="81">
        <v>27.04</v>
      </c>
      <c r="N5" s="105">
        <v>31</v>
      </c>
      <c r="O5" s="65">
        <v>7000</v>
      </c>
      <c r="P5" s="66">
        <f>Table224578910112345678910111213141516171819202122232425262728293031[[#This Row],[PEMBULATAN]]*O5</f>
        <v>217000</v>
      </c>
    </row>
    <row r="6" spans="1:16" ht="26.25" customHeight="1" x14ac:dyDescent="0.2">
      <c r="A6" s="14"/>
      <c r="B6" s="14"/>
      <c r="C6" s="74" t="s">
        <v>775</v>
      </c>
      <c r="D6" s="79" t="s">
        <v>90</v>
      </c>
      <c r="E6" s="13">
        <v>44465</v>
      </c>
      <c r="F6" s="77" t="s">
        <v>91</v>
      </c>
      <c r="G6" s="13">
        <v>44467</v>
      </c>
      <c r="H6" s="78" t="s">
        <v>770</v>
      </c>
      <c r="I6" s="16">
        <v>92</v>
      </c>
      <c r="J6" s="16">
        <v>2</v>
      </c>
      <c r="K6" s="16">
        <v>18</v>
      </c>
      <c r="L6" s="16">
        <v>2</v>
      </c>
      <c r="M6" s="82">
        <v>0.82799999999999996</v>
      </c>
      <c r="N6" s="105">
        <v>2</v>
      </c>
      <c r="O6" s="65">
        <v>7000</v>
      </c>
      <c r="P6" s="66">
        <f>Table224578910112345678910111213141516171819202122232425262728293031[[#This Row],[PEMBULATAN]]*O6</f>
        <v>14000</v>
      </c>
    </row>
    <row r="7" spans="1:16" ht="26.25" customHeight="1" x14ac:dyDescent="0.2">
      <c r="A7" s="14"/>
      <c r="B7" s="14"/>
      <c r="C7" s="74" t="s">
        <v>776</v>
      </c>
      <c r="D7" s="79" t="s">
        <v>90</v>
      </c>
      <c r="E7" s="13">
        <v>44465</v>
      </c>
      <c r="F7" s="77" t="s">
        <v>91</v>
      </c>
      <c r="G7" s="13">
        <v>44467</v>
      </c>
      <c r="H7" s="78" t="s">
        <v>770</v>
      </c>
      <c r="I7" s="16">
        <v>80</v>
      </c>
      <c r="J7" s="16">
        <v>47</v>
      </c>
      <c r="K7" s="16">
        <v>27</v>
      </c>
      <c r="L7" s="16">
        <v>12</v>
      </c>
      <c r="M7" s="82">
        <v>25.38</v>
      </c>
      <c r="N7" s="105">
        <v>26</v>
      </c>
      <c r="O7" s="65">
        <v>7000</v>
      </c>
      <c r="P7" s="66">
        <f>Table224578910112345678910111213141516171819202122232425262728293031[[#This Row],[PEMBULATAN]]*O7</f>
        <v>182000</v>
      </c>
    </row>
    <row r="8" spans="1:16" ht="26.25" customHeight="1" x14ac:dyDescent="0.2">
      <c r="A8" s="14"/>
      <c r="B8" s="14"/>
      <c r="C8" s="74" t="s">
        <v>777</v>
      </c>
      <c r="D8" s="79" t="s">
        <v>90</v>
      </c>
      <c r="E8" s="13">
        <v>44465</v>
      </c>
      <c r="F8" s="77" t="s">
        <v>91</v>
      </c>
      <c r="G8" s="13">
        <v>44467</v>
      </c>
      <c r="H8" s="78" t="s">
        <v>770</v>
      </c>
      <c r="I8" s="16">
        <v>240</v>
      </c>
      <c r="J8" s="16">
        <v>23</v>
      </c>
      <c r="K8" s="16">
        <v>19</v>
      </c>
      <c r="L8" s="16">
        <v>34</v>
      </c>
      <c r="M8" s="82">
        <v>26.22</v>
      </c>
      <c r="N8" s="105">
        <v>34</v>
      </c>
      <c r="O8" s="65">
        <v>7000</v>
      </c>
      <c r="P8" s="66">
        <f>Table224578910112345678910111213141516171819202122232425262728293031[[#This Row],[PEMBULATAN]]*O8</f>
        <v>238000</v>
      </c>
    </row>
    <row r="9" spans="1:16" ht="26.25" customHeight="1" x14ac:dyDescent="0.2">
      <c r="A9" s="14"/>
      <c r="B9" s="14"/>
      <c r="C9" s="74" t="s">
        <v>778</v>
      </c>
      <c r="D9" s="79" t="s">
        <v>90</v>
      </c>
      <c r="E9" s="13">
        <v>44465</v>
      </c>
      <c r="F9" s="77" t="s">
        <v>91</v>
      </c>
      <c r="G9" s="13">
        <v>44467</v>
      </c>
      <c r="H9" s="78" t="s">
        <v>770</v>
      </c>
      <c r="I9" s="16">
        <v>37</v>
      </c>
      <c r="J9" s="16">
        <v>31</v>
      </c>
      <c r="K9" s="16">
        <v>37</v>
      </c>
      <c r="L9" s="16">
        <v>6</v>
      </c>
      <c r="M9" s="82">
        <v>10.60975</v>
      </c>
      <c r="N9" s="105">
        <v>10.60975</v>
      </c>
      <c r="O9" s="65">
        <v>7000</v>
      </c>
      <c r="P9" s="66">
        <f>Table224578910112345678910111213141516171819202122232425262728293031[[#This Row],[PEMBULATAN]]*O9</f>
        <v>74268.25</v>
      </c>
    </row>
    <row r="10" spans="1:16" ht="26.25" customHeight="1" x14ac:dyDescent="0.2">
      <c r="A10" s="14"/>
      <c r="B10" s="14"/>
      <c r="C10" s="74" t="s">
        <v>779</v>
      </c>
      <c r="D10" s="79" t="s">
        <v>90</v>
      </c>
      <c r="E10" s="13">
        <v>44465</v>
      </c>
      <c r="F10" s="77" t="s">
        <v>91</v>
      </c>
      <c r="G10" s="13">
        <v>44467</v>
      </c>
      <c r="H10" s="78" t="s">
        <v>770</v>
      </c>
      <c r="I10" s="16">
        <v>60</v>
      </c>
      <c r="J10" s="16">
        <v>32</v>
      </c>
      <c r="K10" s="16">
        <v>15</v>
      </c>
      <c r="L10" s="16">
        <v>5</v>
      </c>
      <c r="M10" s="82">
        <v>7.2</v>
      </c>
      <c r="N10" s="105">
        <v>7.2</v>
      </c>
      <c r="O10" s="65">
        <v>7000</v>
      </c>
      <c r="P10" s="66">
        <f>Table224578910112345678910111213141516171819202122232425262728293031[[#This Row],[PEMBULATAN]]*O10</f>
        <v>50400</v>
      </c>
    </row>
    <row r="11" spans="1:16" ht="26.25" customHeight="1" x14ac:dyDescent="0.2">
      <c r="A11" s="14"/>
      <c r="B11" s="14"/>
      <c r="C11" s="74" t="s">
        <v>780</v>
      </c>
      <c r="D11" s="79" t="s">
        <v>90</v>
      </c>
      <c r="E11" s="13">
        <v>44465</v>
      </c>
      <c r="F11" s="77" t="s">
        <v>91</v>
      </c>
      <c r="G11" s="13">
        <v>44467</v>
      </c>
      <c r="H11" s="78" t="s">
        <v>770</v>
      </c>
      <c r="I11" s="16">
        <v>77</v>
      </c>
      <c r="J11" s="16">
        <v>42</v>
      </c>
      <c r="K11" s="16">
        <v>20</v>
      </c>
      <c r="L11" s="16">
        <v>8</v>
      </c>
      <c r="M11" s="82">
        <v>16.170000000000002</v>
      </c>
      <c r="N11" s="105">
        <v>16.170000000000002</v>
      </c>
      <c r="O11" s="65">
        <v>7000</v>
      </c>
      <c r="P11" s="66">
        <f>Table224578910112345678910111213141516171819202122232425262728293031[[#This Row],[PEMBULATAN]]*O11</f>
        <v>113190.00000000001</v>
      </c>
    </row>
    <row r="12" spans="1:16" ht="26.25" customHeight="1" x14ac:dyDescent="0.2">
      <c r="A12" s="14"/>
      <c r="B12" s="14"/>
      <c r="C12" s="74" t="s">
        <v>781</v>
      </c>
      <c r="D12" s="79" t="s">
        <v>90</v>
      </c>
      <c r="E12" s="13">
        <v>44465</v>
      </c>
      <c r="F12" s="77" t="s">
        <v>91</v>
      </c>
      <c r="G12" s="13">
        <v>44467</v>
      </c>
      <c r="H12" s="78" t="s">
        <v>770</v>
      </c>
      <c r="I12" s="16">
        <v>49</v>
      </c>
      <c r="J12" s="16">
        <v>49</v>
      </c>
      <c r="K12" s="16">
        <v>15</v>
      </c>
      <c r="L12" s="16">
        <v>5</v>
      </c>
      <c r="M12" s="82">
        <v>9.0037500000000001</v>
      </c>
      <c r="N12" s="105">
        <v>9.0037500000000001</v>
      </c>
      <c r="O12" s="65">
        <v>7000</v>
      </c>
      <c r="P12" s="66">
        <f>Table224578910112345678910111213141516171819202122232425262728293031[[#This Row],[PEMBULATAN]]*O12</f>
        <v>63026.25</v>
      </c>
    </row>
    <row r="13" spans="1:16" ht="26.25" customHeight="1" x14ac:dyDescent="0.2">
      <c r="A13" s="14"/>
      <c r="B13" s="14"/>
      <c r="C13" s="74" t="s">
        <v>782</v>
      </c>
      <c r="D13" s="79" t="s">
        <v>90</v>
      </c>
      <c r="E13" s="13">
        <v>44465</v>
      </c>
      <c r="F13" s="77" t="s">
        <v>91</v>
      </c>
      <c r="G13" s="13">
        <v>44467</v>
      </c>
      <c r="H13" s="78" t="s">
        <v>770</v>
      </c>
      <c r="I13" s="16">
        <v>77</v>
      </c>
      <c r="J13" s="16">
        <v>34</v>
      </c>
      <c r="K13" s="16">
        <v>34</v>
      </c>
      <c r="L13" s="16">
        <v>11</v>
      </c>
      <c r="M13" s="82">
        <v>22.253</v>
      </c>
      <c r="N13" s="105">
        <v>22.253</v>
      </c>
      <c r="O13" s="65">
        <v>7000</v>
      </c>
      <c r="P13" s="66">
        <f>Table224578910112345678910111213141516171819202122232425262728293031[[#This Row],[PEMBULATAN]]*O13</f>
        <v>155771</v>
      </c>
    </row>
    <row r="14" spans="1:16" ht="26.25" customHeight="1" x14ac:dyDescent="0.2">
      <c r="A14" s="14"/>
      <c r="B14" s="104"/>
      <c r="C14" s="74" t="s">
        <v>783</v>
      </c>
      <c r="D14" s="79" t="s">
        <v>90</v>
      </c>
      <c r="E14" s="13">
        <v>44465</v>
      </c>
      <c r="F14" s="77" t="s">
        <v>91</v>
      </c>
      <c r="G14" s="13">
        <v>44467</v>
      </c>
      <c r="H14" s="78" t="s">
        <v>770</v>
      </c>
      <c r="I14" s="16">
        <v>84</v>
      </c>
      <c r="J14" s="16">
        <v>44</v>
      </c>
      <c r="K14" s="16">
        <v>58</v>
      </c>
      <c r="L14" s="16">
        <v>31</v>
      </c>
      <c r="M14" s="82">
        <v>53.591999999999999</v>
      </c>
      <c r="N14" s="105">
        <v>53.591999999999999</v>
      </c>
      <c r="O14" s="65">
        <v>7000</v>
      </c>
      <c r="P14" s="66">
        <f>Table224578910112345678910111213141516171819202122232425262728293031[[#This Row],[PEMBULATAN]]*O14</f>
        <v>375144</v>
      </c>
    </row>
    <row r="15" spans="1:16" ht="26.25" customHeight="1" x14ac:dyDescent="0.2">
      <c r="A15" s="14"/>
      <c r="B15" s="14" t="s">
        <v>784</v>
      </c>
      <c r="C15" s="74" t="s">
        <v>785</v>
      </c>
      <c r="D15" s="79" t="s">
        <v>90</v>
      </c>
      <c r="E15" s="13">
        <v>44465</v>
      </c>
      <c r="F15" s="77" t="s">
        <v>91</v>
      </c>
      <c r="G15" s="13">
        <v>44467</v>
      </c>
      <c r="H15" s="78" t="s">
        <v>770</v>
      </c>
      <c r="I15" s="16">
        <v>53</v>
      </c>
      <c r="J15" s="16">
        <v>40</v>
      </c>
      <c r="K15" s="16">
        <v>30</v>
      </c>
      <c r="L15" s="16">
        <v>13</v>
      </c>
      <c r="M15" s="82">
        <v>15.9</v>
      </c>
      <c r="N15" s="105">
        <v>15.9</v>
      </c>
      <c r="O15" s="65">
        <v>7000</v>
      </c>
      <c r="P15" s="66">
        <f>Table224578910112345678910111213141516171819202122232425262728293031[[#This Row],[PEMBULATAN]]*O15</f>
        <v>111300</v>
      </c>
    </row>
    <row r="16" spans="1:16" ht="22.5" customHeight="1" x14ac:dyDescent="0.2">
      <c r="A16" s="136" t="s">
        <v>30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8"/>
      <c r="M16" s="80">
        <f>SUBTOTAL(109,Table224578910112345678910111213141516171819202122232425262728293031[KG VOLUME])</f>
        <v>294.13024999999993</v>
      </c>
      <c r="N16" s="69">
        <f>SUM(N3:N15)</f>
        <v>307.72849999999994</v>
      </c>
      <c r="O16" s="139">
        <f>SUM(P3:P15)</f>
        <v>2154099.5</v>
      </c>
      <c r="P16" s="140"/>
    </row>
    <row r="17" spans="1:16" ht="18" customHeight="1" x14ac:dyDescent="0.2">
      <c r="A17" s="87"/>
      <c r="B17" s="57" t="s">
        <v>42</v>
      </c>
      <c r="C17" s="56"/>
      <c r="D17" s="58" t="s">
        <v>43</v>
      </c>
      <c r="E17" s="87"/>
      <c r="F17" s="87"/>
      <c r="G17" s="87"/>
      <c r="H17" s="87"/>
      <c r="I17" s="87"/>
      <c r="J17" s="87"/>
      <c r="K17" s="87"/>
      <c r="L17" s="87"/>
      <c r="M17" s="88"/>
      <c r="N17" s="89" t="s">
        <v>52</v>
      </c>
      <c r="O17" s="90"/>
      <c r="P17" s="90">
        <v>0</v>
      </c>
    </row>
    <row r="18" spans="1:16" ht="18" customHeight="1" thickBot="1" x14ac:dyDescent="0.25">
      <c r="A18" s="87"/>
      <c r="B18" s="57"/>
      <c r="C18" s="56"/>
      <c r="D18" s="58"/>
      <c r="E18" s="87"/>
      <c r="F18" s="87"/>
      <c r="G18" s="87"/>
      <c r="H18" s="87"/>
      <c r="I18" s="87"/>
      <c r="J18" s="87"/>
      <c r="K18" s="87"/>
      <c r="L18" s="87"/>
      <c r="M18" s="88"/>
      <c r="N18" s="91" t="s">
        <v>53</v>
      </c>
      <c r="O18" s="92"/>
      <c r="P18" s="92">
        <f>O16-P17</f>
        <v>2154099.5</v>
      </c>
    </row>
    <row r="19" spans="1:16" ht="18" customHeight="1" x14ac:dyDescent="0.2">
      <c r="A19" s="11"/>
      <c r="H19" s="64"/>
      <c r="N19" s="63" t="s">
        <v>31</v>
      </c>
      <c r="P19" s="70">
        <f>P18*1%</f>
        <v>21540.994999999999</v>
      </c>
    </row>
    <row r="20" spans="1:16" ht="18" customHeight="1" thickBot="1" x14ac:dyDescent="0.25">
      <c r="A20" s="11"/>
      <c r="H20" s="64"/>
      <c r="N20" s="63" t="s">
        <v>54</v>
      </c>
      <c r="P20" s="72">
        <f>P18*2%</f>
        <v>43081.99</v>
      </c>
    </row>
    <row r="21" spans="1:16" ht="18" customHeight="1" x14ac:dyDescent="0.2">
      <c r="A21" s="11"/>
      <c r="H21" s="64"/>
      <c r="N21" s="67" t="s">
        <v>32</v>
      </c>
      <c r="O21" s="68"/>
      <c r="P21" s="71">
        <f>P18+P19-P20</f>
        <v>2132558.5049999999</v>
      </c>
    </row>
    <row r="23" spans="1:16" x14ac:dyDescent="0.2">
      <c r="A23" s="11"/>
      <c r="H23" s="64"/>
      <c r="P23" s="72"/>
    </row>
    <row r="24" spans="1:16" x14ac:dyDescent="0.2">
      <c r="A24" s="11"/>
      <c r="H24" s="64"/>
      <c r="O24" s="59"/>
      <c r="P24" s="72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106" priority="2"/>
  </conditionalFormatting>
  <conditionalFormatting sqref="B4">
    <cfRule type="duplicateValues" dxfId="105" priority="1"/>
  </conditionalFormatting>
  <conditionalFormatting sqref="B5:B15">
    <cfRule type="duplicateValues" dxfId="104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929</v>
      </c>
      <c r="B3" s="75" t="s">
        <v>786</v>
      </c>
      <c r="C3" s="9" t="s">
        <v>787</v>
      </c>
      <c r="D3" s="77" t="s">
        <v>90</v>
      </c>
      <c r="E3" s="13">
        <v>44466</v>
      </c>
      <c r="F3" s="77" t="s">
        <v>91</v>
      </c>
      <c r="G3" s="13">
        <v>44467</v>
      </c>
      <c r="H3" s="10" t="s">
        <v>770</v>
      </c>
      <c r="I3" s="1">
        <v>130</v>
      </c>
      <c r="J3" s="1">
        <v>56</v>
      </c>
      <c r="K3" s="1">
        <v>22</v>
      </c>
      <c r="L3" s="1">
        <v>21</v>
      </c>
      <c r="M3" s="81">
        <v>40.04</v>
      </c>
      <c r="N3" s="105">
        <v>40.04</v>
      </c>
      <c r="O3" s="65">
        <v>7000</v>
      </c>
      <c r="P3" s="66">
        <f>Table22457891011234567891011121314151617181920212223242526272829303132[[#This Row],[PEMBULATAN]]*O3</f>
        <v>280280</v>
      </c>
    </row>
    <row r="4" spans="1:16" ht="26.25" customHeight="1" x14ac:dyDescent="0.2">
      <c r="A4" s="14"/>
      <c r="B4" s="76"/>
      <c r="C4" s="9" t="s">
        <v>788</v>
      </c>
      <c r="D4" s="77" t="s">
        <v>90</v>
      </c>
      <c r="E4" s="13">
        <v>44466</v>
      </c>
      <c r="F4" s="77" t="s">
        <v>91</v>
      </c>
      <c r="G4" s="13">
        <v>44467</v>
      </c>
      <c r="H4" s="10" t="s">
        <v>770</v>
      </c>
      <c r="I4" s="1">
        <v>78</v>
      </c>
      <c r="J4" s="1">
        <v>60</v>
      </c>
      <c r="K4" s="1">
        <v>20</v>
      </c>
      <c r="L4" s="1">
        <v>23</v>
      </c>
      <c r="M4" s="81">
        <v>23.4</v>
      </c>
      <c r="N4" s="105">
        <v>24</v>
      </c>
      <c r="O4" s="65">
        <v>7000</v>
      </c>
      <c r="P4" s="66">
        <f>Table22457891011234567891011121314151617181920212223242526272829303132[[#This Row],[PEMBULATAN]]*O4</f>
        <v>168000</v>
      </c>
    </row>
    <row r="5" spans="1:16" ht="26.25" customHeight="1" x14ac:dyDescent="0.2">
      <c r="A5" s="14"/>
      <c r="B5" s="14"/>
      <c r="C5" s="9" t="s">
        <v>789</v>
      </c>
      <c r="D5" s="77" t="s">
        <v>90</v>
      </c>
      <c r="E5" s="13">
        <v>44466</v>
      </c>
      <c r="F5" s="77" t="s">
        <v>91</v>
      </c>
      <c r="G5" s="13">
        <v>44467</v>
      </c>
      <c r="H5" s="10" t="s">
        <v>770</v>
      </c>
      <c r="I5" s="1">
        <v>72</v>
      </c>
      <c r="J5" s="1">
        <v>37</v>
      </c>
      <c r="K5" s="1">
        <v>26</v>
      </c>
      <c r="L5" s="1">
        <v>5</v>
      </c>
      <c r="M5" s="81">
        <v>17.315999999999999</v>
      </c>
      <c r="N5" s="105">
        <v>18</v>
      </c>
      <c r="O5" s="65">
        <v>7000</v>
      </c>
      <c r="P5" s="66">
        <f>Table22457891011234567891011121314151617181920212223242526272829303132[[#This Row],[PEMBULATAN]]*O5</f>
        <v>126000</v>
      </c>
    </row>
    <row r="6" spans="1:16" ht="26.25" customHeight="1" x14ac:dyDescent="0.2">
      <c r="A6" s="14"/>
      <c r="B6" s="14"/>
      <c r="C6" s="74" t="s">
        <v>790</v>
      </c>
      <c r="D6" s="79" t="s">
        <v>90</v>
      </c>
      <c r="E6" s="13">
        <v>44466</v>
      </c>
      <c r="F6" s="77" t="s">
        <v>91</v>
      </c>
      <c r="G6" s="13">
        <v>44467</v>
      </c>
      <c r="H6" s="78" t="s">
        <v>770</v>
      </c>
      <c r="I6" s="16">
        <v>39</v>
      </c>
      <c r="J6" s="16">
        <v>30</v>
      </c>
      <c r="K6" s="16">
        <v>23</v>
      </c>
      <c r="L6" s="16">
        <v>5</v>
      </c>
      <c r="M6" s="82">
        <v>6.7275</v>
      </c>
      <c r="N6" s="105">
        <v>6.7275</v>
      </c>
      <c r="O6" s="65">
        <v>7000</v>
      </c>
      <c r="P6" s="66">
        <f>Table22457891011234567891011121314151617181920212223242526272829303132[[#This Row],[PEMBULATAN]]*O6</f>
        <v>47092.5</v>
      </c>
    </row>
    <row r="7" spans="1:16" ht="26.25" customHeight="1" x14ac:dyDescent="0.2">
      <c r="A7" s="14"/>
      <c r="B7" s="14"/>
      <c r="C7" s="74" t="s">
        <v>791</v>
      </c>
      <c r="D7" s="79" t="s">
        <v>90</v>
      </c>
      <c r="E7" s="13">
        <v>44466</v>
      </c>
      <c r="F7" s="77" t="s">
        <v>91</v>
      </c>
      <c r="G7" s="13">
        <v>44467</v>
      </c>
      <c r="H7" s="78" t="s">
        <v>770</v>
      </c>
      <c r="I7" s="16">
        <v>45</v>
      </c>
      <c r="J7" s="16">
        <v>31</v>
      </c>
      <c r="K7" s="16">
        <v>36</v>
      </c>
      <c r="L7" s="16">
        <v>18</v>
      </c>
      <c r="M7" s="82">
        <v>12.555</v>
      </c>
      <c r="N7" s="105">
        <v>18</v>
      </c>
      <c r="O7" s="65">
        <v>7000</v>
      </c>
      <c r="P7" s="66">
        <f>Table22457891011234567891011121314151617181920212223242526272829303132[[#This Row],[PEMBULATAN]]*O7</f>
        <v>126000</v>
      </c>
    </row>
    <row r="8" spans="1:16" ht="26.25" customHeight="1" x14ac:dyDescent="0.2">
      <c r="A8" s="14"/>
      <c r="B8" s="14"/>
      <c r="C8" s="74" t="s">
        <v>792</v>
      </c>
      <c r="D8" s="79" t="s">
        <v>90</v>
      </c>
      <c r="E8" s="13">
        <v>44466</v>
      </c>
      <c r="F8" s="77" t="s">
        <v>91</v>
      </c>
      <c r="G8" s="13">
        <v>44467</v>
      </c>
      <c r="H8" s="78" t="s">
        <v>770</v>
      </c>
      <c r="I8" s="16">
        <v>63</v>
      </c>
      <c r="J8" s="16">
        <v>20</v>
      </c>
      <c r="K8" s="16">
        <v>20</v>
      </c>
      <c r="L8" s="16">
        <v>9</v>
      </c>
      <c r="M8" s="82">
        <v>6.3</v>
      </c>
      <c r="N8" s="105">
        <v>9</v>
      </c>
      <c r="O8" s="65">
        <v>7000</v>
      </c>
      <c r="P8" s="66">
        <f>Table22457891011234567891011121314151617181920212223242526272829303132[[#This Row],[PEMBULATAN]]*O8</f>
        <v>63000</v>
      </c>
    </row>
    <row r="9" spans="1:16" ht="26.25" customHeight="1" x14ac:dyDescent="0.2">
      <c r="A9" s="14"/>
      <c r="B9" s="14"/>
      <c r="C9" s="74" t="s">
        <v>793</v>
      </c>
      <c r="D9" s="79" t="s">
        <v>90</v>
      </c>
      <c r="E9" s="13">
        <v>44466</v>
      </c>
      <c r="F9" s="77" t="s">
        <v>91</v>
      </c>
      <c r="G9" s="13">
        <v>44467</v>
      </c>
      <c r="H9" s="78" t="s">
        <v>770</v>
      </c>
      <c r="I9" s="16">
        <v>44</v>
      </c>
      <c r="J9" s="16">
        <v>23</v>
      </c>
      <c r="K9" s="16">
        <v>20</v>
      </c>
      <c r="L9" s="16">
        <v>7</v>
      </c>
      <c r="M9" s="82">
        <v>5.0599999999999996</v>
      </c>
      <c r="N9" s="105">
        <v>7</v>
      </c>
      <c r="O9" s="65">
        <v>7000</v>
      </c>
      <c r="P9" s="66">
        <f>Table22457891011234567891011121314151617181920212223242526272829303132[[#This Row],[PEMBULATAN]]*O9</f>
        <v>49000</v>
      </c>
    </row>
    <row r="10" spans="1:16" ht="26.25" customHeight="1" x14ac:dyDescent="0.2">
      <c r="A10" s="14"/>
      <c r="B10" s="104"/>
      <c r="C10" s="74" t="s">
        <v>794</v>
      </c>
      <c r="D10" s="79" t="s">
        <v>90</v>
      </c>
      <c r="E10" s="13">
        <v>44466</v>
      </c>
      <c r="F10" s="77" t="s">
        <v>91</v>
      </c>
      <c r="G10" s="13">
        <v>44467</v>
      </c>
      <c r="H10" s="78" t="s">
        <v>770</v>
      </c>
      <c r="I10" s="16">
        <v>60</v>
      </c>
      <c r="J10" s="16">
        <v>45</v>
      </c>
      <c r="K10" s="16">
        <v>86</v>
      </c>
      <c r="L10" s="16">
        <v>39</v>
      </c>
      <c r="M10" s="82">
        <v>58.05</v>
      </c>
      <c r="N10" s="105">
        <v>58.05</v>
      </c>
      <c r="O10" s="65">
        <v>7000</v>
      </c>
      <c r="P10" s="66">
        <f>Table22457891011234567891011121314151617181920212223242526272829303132[[#This Row],[PEMBULATAN]]*O10</f>
        <v>406350</v>
      </c>
    </row>
    <row r="11" spans="1:16" ht="26.25" customHeight="1" x14ac:dyDescent="0.2">
      <c r="A11" s="14"/>
      <c r="B11" s="14" t="s">
        <v>795</v>
      </c>
      <c r="C11" s="74" t="s">
        <v>796</v>
      </c>
      <c r="D11" s="79" t="s">
        <v>90</v>
      </c>
      <c r="E11" s="13">
        <v>44466</v>
      </c>
      <c r="F11" s="77" t="s">
        <v>91</v>
      </c>
      <c r="G11" s="13">
        <v>44467</v>
      </c>
      <c r="H11" s="78" t="s">
        <v>770</v>
      </c>
      <c r="I11" s="16">
        <v>36</v>
      </c>
      <c r="J11" s="16">
        <v>18</v>
      </c>
      <c r="K11" s="16">
        <v>17</v>
      </c>
      <c r="L11" s="16">
        <v>5</v>
      </c>
      <c r="M11" s="82">
        <v>2.754</v>
      </c>
      <c r="N11" s="105">
        <v>5</v>
      </c>
      <c r="O11" s="65">
        <v>7000</v>
      </c>
      <c r="P11" s="66">
        <f>Table22457891011234567891011121314151617181920212223242526272829303132[[#This Row],[PEMBULATAN]]*O11</f>
        <v>35000</v>
      </c>
    </row>
    <row r="12" spans="1:16" ht="26.25" customHeight="1" x14ac:dyDescent="0.2">
      <c r="A12" s="14"/>
      <c r="B12" s="14"/>
      <c r="C12" s="74" t="s">
        <v>797</v>
      </c>
      <c r="D12" s="79" t="s">
        <v>90</v>
      </c>
      <c r="E12" s="13">
        <v>44466</v>
      </c>
      <c r="F12" s="77" t="s">
        <v>91</v>
      </c>
      <c r="G12" s="13">
        <v>44467</v>
      </c>
      <c r="H12" s="78" t="s">
        <v>770</v>
      </c>
      <c r="I12" s="16">
        <v>54</v>
      </c>
      <c r="J12" s="16">
        <v>54</v>
      </c>
      <c r="K12" s="16">
        <v>23</v>
      </c>
      <c r="L12" s="16">
        <v>12</v>
      </c>
      <c r="M12" s="82">
        <v>16.766999999999999</v>
      </c>
      <c r="N12" s="105">
        <v>16.766999999999999</v>
      </c>
      <c r="O12" s="65">
        <v>7000</v>
      </c>
      <c r="P12" s="66">
        <f>Table22457891011234567891011121314151617181920212223242526272829303132[[#This Row],[PEMBULATAN]]*O12</f>
        <v>117369</v>
      </c>
    </row>
    <row r="13" spans="1:16" ht="26.25" customHeight="1" x14ac:dyDescent="0.2">
      <c r="A13" s="14"/>
      <c r="B13" s="104"/>
      <c r="C13" s="74" t="s">
        <v>798</v>
      </c>
      <c r="D13" s="79" t="s">
        <v>90</v>
      </c>
      <c r="E13" s="13">
        <v>44466</v>
      </c>
      <c r="F13" s="77" t="s">
        <v>91</v>
      </c>
      <c r="G13" s="13">
        <v>44467</v>
      </c>
      <c r="H13" s="78" t="s">
        <v>770</v>
      </c>
      <c r="I13" s="16">
        <v>73</v>
      </c>
      <c r="J13" s="16">
        <v>47</v>
      </c>
      <c r="K13" s="16">
        <v>18</v>
      </c>
      <c r="L13" s="16">
        <v>9</v>
      </c>
      <c r="M13" s="82">
        <v>15.439500000000001</v>
      </c>
      <c r="N13" s="105">
        <v>16</v>
      </c>
      <c r="O13" s="65">
        <v>7000</v>
      </c>
      <c r="P13" s="66">
        <f>Table22457891011234567891011121314151617181920212223242526272829303132[[#This Row],[PEMBULATAN]]*O13</f>
        <v>112000</v>
      </c>
    </row>
    <row r="14" spans="1:16" ht="26.25" customHeight="1" x14ac:dyDescent="0.2">
      <c r="A14" s="14"/>
      <c r="B14" s="14" t="s">
        <v>799</v>
      </c>
      <c r="C14" s="74" t="s">
        <v>800</v>
      </c>
      <c r="D14" s="79" t="s">
        <v>90</v>
      </c>
      <c r="E14" s="13">
        <v>44466</v>
      </c>
      <c r="F14" s="77" t="s">
        <v>91</v>
      </c>
      <c r="G14" s="13">
        <v>44467</v>
      </c>
      <c r="H14" s="78" t="s">
        <v>770</v>
      </c>
      <c r="I14" s="16">
        <v>32</v>
      </c>
      <c r="J14" s="16">
        <v>23</v>
      </c>
      <c r="K14" s="16">
        <v>17</v>
      </c>
      <c r="L14" s="16">
        <v>8</v>
      </c>
      <c r="M14" s="82">
        <v>3.1280000000000001</v>
      </c>
      <c r="N14" s="105">
        <v>8</v>
      </c>
      <c r="O14" s="65">
        <v>7000</v>
      </c>
      <c r="P14" s="66">
        <f>Table22457891011234567891011121314151617181920212223242526272829303132[[#This Row],[PEMBULATAN]]*O14</f>
        <v>56000</v>
      </c>
    </row>
    <row r="15" spans="1:16" ht="22.5" customHeight="1" x14ac:dyDescent="0.2">
      <c r="A15" s="136" t="s">
        <v>30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8"/>
      <c r="M15" s="80">
        <f>SUBTOTAL(109,Table22457891011234567891011121314151617181920212223242526272829303132[KG VOLUME])</f>
        <v>207.53699999999998</v>
      </c>
      <c r="N15" s="69">
        <f>SUM(N3:N14)</f>
        <v>226.58449999999999</v>
      </c>
      <c r="O15" s="139">
        <f>SUM(P3:P14)</f>
        <v>1586091.5</v>
      </c>
      <c r="P15" s="140"/>
    </row>
    <row r="16" spans="1:16" ht="18" customHeight="1" x14ac:dyDescent="0.2">
      <c r="A16" s="87"/>
      <c r="B16" s="57" t="s">
        <v>42</v>
      </c>
      <c r="C16" s="56"/>
      <c r="D16" s="58" t="s">
        <v>43</v>
      </c>
      <c r="E16" s="87"/>
      <c r="F16" s="87"/>
      <c r="G16" s="87"/>
      <c r="H16" s="87"/>
      <c r="I16" s="87"/>
      <c r="J16" s="87"/>
      <c r="K16" s="87"/>
      <c r="L16" s="87"/>
      <c r="M16" s="88"/>
      <c r="N16" s="89" t="s">
        <v>52</v>
      </c>
      <c r="O16" s="90"/>
      <c r="P16" s="90">
        <v>0</v>
      </c>
    </row>
    <row r="17" spans="1:16" ht="18" customHeight="1" thickBot="1" x14ac:dyDescent="0.25">
      <c r="A17" s="87"/>
      <c r="B17" s="57"/>
      <c r="C17" s="56"/>
      <c r="D17" s="58"/>
      <c r="E17" s="87"/>
      <c r="F17" s="87"/>
      <c r="G17" s="87"/>
      <c r="H17" s="87"/>
      <c r="I17" s="87"/>
      <c r="J17" s="87"/>
      <c r="K17" s="87"/>
      <c r="L17" s="87"/>
      <c r="M17" s="88"/>
      <c r="N17" s="91" t="s">
        <v>53</v>
      </c>
      <c r="O17" s="92"/>
      <c r="P17" s="92">
        <f>O15-P16</f>
        <v>1586091.5</v>
      </c>
    </row>
    <row r="18" spans="1:16" ht="18" customHeight="1" x14ac:dyDescent="0.2">
      <c r="A18" s="11"/>
      <c r="H18" s="64"/>
      <c r="N18" s="63" t="s">
        <v>31</v>
      </c>
      <c r="P18" s="70">
        <f>P17*1%</f>
        <v>15860.915000000001</v>
      </c>
    </row>
    <row r="19" spans="1:16" ht="18" customHeight="1" thickBot="1" x14ac:dyDescent="0.25">
      <c r="A19" s="11"/>
      <c r="H19" s="64"/>
      <c r="N19" s="63" t="s">
        <v>54</v>
      </c>
      <c r="P19" s="72">
        <f>P17*2%</f>
        <v>31721.83</v>
      </c>
    </row>
    <row r="20" spans="1:16" ht="18" customHeight="1" x14ac:dyDescent="0.2">
      <c r="A20" s="11"/>
      <c r="H20" s="64"/>
      <c r="N20" s="67" t="s">
        <v>32</v>
      </c>
      <c r="O20" s="68"/>
      <c r="P20" s="71">
        <f>P17+P18-P19</f>
        <v>1570230.585</v>
      </c>
    </row>
    <row r="22" spans="1:16" x14ac:dyDescent="0.2">
      <c r="A22" s="11"/>
      <c r="H22" s="64"/>
      <c r="P22" s="72"/>
    </row>
    <row r="23" spans="1:16" x14ac:dyDescent="0.2">
      <c r="A23" s="11"/>
      <c r="H23" s="64"/>
      <c r="O23" s="59"/>
      <c r="P23" s="72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</sheetData>
  <mergeCells count="2">
    <mergeCell ref="A15:L15"/>
    <mergeCell ref="O15:P15"/>
  </mergeCells>
  <conditionalFormatting sqref="B3">
    <cfRule type="duplicateValues" dxfId="88" priority="2"/>
  </conditionalFormatting>
  <conditionalFormatting sqref="B4">
    <cfRule type="duplicateValues" dxfId="87" priority="1"/>
  </conditionalFormatting>
  <conditionalFormatting sqref="B5:B14">
    <cfRule type="duplicateValues" dxfId="86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N29" sqref="N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930</v>
      </c>
      <c r="B3" s="75" t="s">
        <v>801</v>
      </c>
      <c r="C3" s="9" t="s">
        <v>802</v>
      </c>
      <c r="D3" s="77" t="s">
        <v>90</v>
      </c>
      <c r="E3" s="13">
        <v>44467</v>
      </c>
      <c r="F3" s="77" t="s">
        <v>355</v>
      </c>
      <c r="G3" s="13">
        <v>44470.916666666664</v>
      </c>
      <c r="H3" s="10" t="s">
        <v>832</v>
      </c>
      <c r="I3" s="1">
        <v>65</v>
      </c>
      <c r="J3" s="1">
        <v>54</v>
      </c>
      <c r="K3" s="1">
        <v>21</v>
      </c>
      <c r="L3" s="1">
        <v>14</v>
      </c>
      <c r="M3" s="81">
        <v>18.427499999999998</v>
      </c>
      <c r="N3" s="8">
        <v>18</v>
      </c>
      <c r="O3" s="65">
        <v>7000</v>
      </c>
      <c r="P3" s="66">
        <f>Table2245789101123456789101112131415161718192021222324252627282930313233[[#This Row],[PEMBULATAN]]*O3</f>
        <v>126000</v>
      </c>
    </row>
    <row r="4" spans="1:16" ht="26.25" customHeight="1" x14ac:dyDescent="0.2">
      <c r="A4" s="14"/>
      <c r="B4" s="76"/>
      <c r="C4" s="9" t="s">
        <v>803</v>
      </c>
      <c r="D4" s="77" t="s">
        <v>90</v>
      </c>
      <c r="E4" s="13">
        <v>44467</v>
      </c>
      <c r="F4" s="77" t="s">
        <v>355</v>
      </c>
      <c r="G4" s="13">
        <v>44470.916666666664</v>
      </c>
      <c r="H4" s="10" t="s">
        <v>832</v>
      </c>
      <c r="I4" s="1">
        <v>58</v>
      </c>
      <c r="J4" s="1">
        <v>42</v>
      </c>
      <c r="K4" s="1">
        <v>18</v>
      </c>
      <c r="L4" s="1">
        <v>11</v>
      </c>
      <c r="M4" s="81">
        <v>10.962</v>
      </c>
      <c r="N4" s="8">
        <v>11</v>
      </c>
      <c r="O4" s="65">
        <v>7000</v>
      </c>
      <c r="P4" s="66">
        <f>Table2245789101123456789101112131415161718192021222324252627282930313233[[#This Row],[PEMBULATAN]]*O4</f>
        <v>77000</v>
      </c>
    </row>
    <row r="5" spans="1:16" ht="26.25" customHeight="1" x14ac:dyDescent="0.2">
      <c r="A5" s="14"/>
      <c r="B5" s="14"/>
      <c r="C5" s="9" t="s">
        <v>804</v>
      </c>
      <c r="D5" s="77" t="s">
        <v>90</v>
      </c>
      <c r="E5" s="13">
        <v>44467</v>
      </c>
      <c r="F5" s="77" t="s">
        <v>355</v>
      </c>
      <c r="G5" s="13">
        <v>44470.916666666664</v>
      </c>
      <c r="H5" s="10" t="s">
        <v>832</v>
      </c>
      <c r="I5" s="1">
        <v>100</v>
      </c>
      <c r="J5" s="1">
        <v>12</v>
      </c>
      <c r="K5" s="1">
        <v>12</v>
      </c>
      <c r="L5" s="1">
        <v>20</v>
      </c>
      <c r="M5" s="81">
        <v>3.6</v>
      </c>
      <c r="N5" s="8">
        <v>20</v>
      </c>
      <c r="O5" s="65">
        <v>7000</v>
      </c>
      <c r="P5" s="66">
        <f>Table2245789101123456789101112131415161718192021222324252627282930313233[[#This Row],[PEMBULATAN]]*O5</f>
        <v>140000</v>
      </c>
    </row>
    <row r="6" spans="1:16" ht="26.25" customHeight="1" x14ac:dyDescent="0.2">
      <c r="A6" s="14"/>
      <c r="B6" s="14"/>
      <c r="C6" s="74" t="s">
        <v>805</v>
      </c>
      <c r="D6" s="79" t="s">
        <v>90</v>
      </c>
      <c r="E6" s="13">
        <v>44467</v>
      </c>
      <c r="F6" s="77" t="s">
        <v>355</v>
      </c>
      <c r="G6" s="13">
        <v>44470.916666666664</v>
      </c>
      <c r="H6" s="78" t="s">
        <v>832</v>
      </c>
      <c r="I6" s="16">
        <v>78</v>
      </c>
      <c r="J6" s="16">
        <v>45</v>
      </c>
      <c r="K6" s="16">
        <v>60</v>
      </c>
      <c r="L6" s="16">
        <v>21</v>
      </c>
      <c r="M6" s="82">
        <v>52.65</v>
      </c>
      <c r="N6" s="73">
        <v>53</v>
      </c>
      <c r="O6" s="65">
        <v>7000</v>
      </c>
      <c r="P6" s="66">
        <f>Table2245789101123456789101112131415161718192021222324252627282930313233[[#This Row],[PEMBULATAN]]*O6</f>
        <v>371000</v>
      </c>
    </row>
    <row r="7" spans="1:16" ht="26.25" customHeight="1" x14ac:dyDescent="0.2">
      <c r="A7" s="14"/>
      <c r="B7" s="14"/>
      <c r="C7" s="74" t="s">
        <v>806</v>
      </c>
      <c r="D7" s="79" t="s">
        <v>90</v>
      </c>
      <c r="E7" s="13">
        <v>44467</v>
      </c>
      <c r="F7" s="77" t="s">
        <v>355</v>
      </c>
      <c r="G7" s="13">
        <v>44470.916666666664</v>
      </c>
      <c r="H7" s="78" t="s">
        <v>832</v>
      </c>
      <c r="I7" s="16">
        <v>87</v>
      </c>
      <c r="J7" s="16">
        <v>46</v>
      </c>
      <c r="K7" s="16">
        <v>21</v>
      </c>
      <c r="L7" s="16">
        <v>7</v>
      </c>
      <c r="M7" s="82">
        <v>21.0105</v>
      </c>
      <c r="N7" s="73">
        <v>21</v>
      </c>
      <c r="O7" s="65">
        <v>7000</v>
      </c>
      <c r="P7" s="66">
        <f>Table2245789101123456789101112131415161718192021222324252627282930313233[[#This Row],[PEMBULATAN]]*O7</f>
        <v>147000</v>
      </c>
    </row>
    <row r="8" spans="1:16" ht="26.25" customHeight="1" x14ac:dyDescent="0.2">
      <c r="A8" s="14"/>
      <c r="B8" s="14"/>
      <c r="C8" s="74" t="s">
        <v>807</v>
      </c>
      <c r="D8" s="79" t="s">
        <v>90</v>
      </c>
      <c r="E8" s="13">
        <v>44467</v>
      </c>
      <c r="F8" s="77" t="s">
        <v>355</v>
      </c>
      <c r="G8" s="13">
        <v>44470.916666666664</v>
      </c>
      <c r="H8" s="78" t="s">
        <v>832</v>
      </c>
      <c r="I8" s="16">
        <v>45</v>
      </c>
      <c r="J8" s="16">
        <v>35</v>
      </c>
      <c r="K8" s="16">
        <v>20</v>
      </c>
      <c r="L8" s="16">
        <v>4</v>
      </c>
      <c r="M8" s="82">
        <v>7.875</v>
      </c>
      <c r="N8" s="73">
        <v>8</v>
      </c>
      <c r="O8" s="65">
        <v>7000</v>
      </c>
      <c r="P8" s="66">
        <f>Table2245789101123456789101112131415161718192021222324252627282930313233[[#This Row],[PEMBULATAN]]*O8</f>
        <v>56000</v>
      </c>
    </row>
    <row r="9" spans="1:16" ht="26.25" customHeight="1" x14ac:dyDescent="0.2">
      <c r="A9" s="14"/>
      <c r="B9" s="14"/>
      <c r="C9" s="74" t="s">
        <v>808</v>
      </c>
      <c r="D9" s="79" t="s">
        <v>90</v>
      </c>
      <c r="E9" s="13">
        <v>44467</v>
      </c>
      <c r="F9" s="77" t="s">
        <v>355</v>
      </c>
      <c r="G9" s="13">
        <v>44470.916666666664</v>
      </c>
      <c r="H9" s="78" t="s">
        <v>832</v>
      </c>
      <c r="I9" s="16">
        <v>35</v>
      </c>
      <c r="J9" s="16">
        <v>28</v>
      </c>
      <c r="K9" s="16">
        <v>19</v>
      </c>
      <c r="L9" s="16">
        <v>5</v>
      </c>
      <c r="M9" s="82">
        <v>4.6550000000000002</v>
      </c>
      <c r="N9" s="73">
        <v>5</v>
      </c>
      <c r="O9" s="65">
        <v>7000</v>
      </c>
      <c r="P9" s="66">
        <f>Table2245789101123456789101112131415161718192021222324252627282930313233[[#This Row],[PEMBULATAN]]*O9</f>
        <v>35000</v>
      </c>
    </row>
    <row r="10" spans="1:16" ht="26.25" customHeight="1" x14ac:dyDescent="0.2">
      <c r="A10" s="14"/>
      <c r="B10" s="14"/>
      <c r="C10" s="74" t="s">
        <v>809</v>
      </c>
      <c r="D10" s="79" t="s">
        <v>90</v>
      </c>
      <c r="E10" s="13">
        <v>44467</v>
      </c>
      <c r="F10" s="77" t="s">
        <v>355</v>
      </c>
      <c r="G10" s="13">
        <v>44470.916666666664</v>
      </c>
      <c r="H10" s="78" t="s">
        <v>832</v>
      </c>
      <c r="I10" s="16">
        <v>100</v>
      </c>
      <c r="J10" s="16">
        <v>56</v>
      </c>
      <c r="K10" s="16">
        <v>29</v>
      </c>
      <c r="L10" s="16">
        <v>10</v>
      </c>
      <c r="M10" s="82">
        <v>40.6</v>
      </c>
      <c r="N10" s="73">
        <v>41</v>
      </c>
      <c r="O10" s="65">
        <v>7000</v>
      </c>
      <c r="P10" s="66">
        <f>Table2245789101123456789101112131415161718192021222324252627282930313233[[#This Row],[PEMBULATAN]]*O10</f>
        <v>287000</v>
      </c>
    </row>
    <row r="11" spans="1:16" ht="26.25" customHeight="1" x14ac:dyDescent="0.2">
      <c r="A11" s="14"/>
      <c r="B11" s="14"/>
      <c r="C11" s="74" t="s">
        <v>810</v>
      </c>
      <c r="D11" s="79" t="s">
        <v>90</v>
      </c>
      <c r="E11" s="13">
        <v>44467</v>
      </c>
      <c r="F11" s="77" t="s">
        <v>355</v>
      </c>
      <c r="G11" s="13">
        <v>44470.916666666664</v>
      </c>
      <c r="H11" s="78" t="s">
        <v>832</v>
      </c>
      <c r="I11" s="16">
        <v>88</v>
      </c>
      <c r="J11" s="16">
        <v>51</v>
      </c>
      <c r="K11" s="16">
        <v>25</v>
      </c>
      <c r="L11" s="16">
        <v>11</v>
      </c>
      <c r="M11" s="82">
        <v>28.05</v>
      </c>
      <c r="N11" s="73">
        <v>28</v>
      </c>
      <c r="O11" s="65">
        <v>7000</v>
      </c>
      <c r="P11" s="66">
        <f>Table2245789101123456789101112131415161718192021222324252627282930313233[[#This Row],[PEMBULATAN]]*O11</f>
        <v>196000</v>
      </c>
    </row>
    <row r="12" spans="1:16" ht="26.25" customHeight="1" x14ac:dyDescent="0.2">
      <c r="A12" s="14"/>
      <c r="B12" s="14"/>
      <c r="C12" s="74" t="s">
        <v>811</v>
      </c>
      <c r="D12" s="79" t="s">
        <v>90</v>
      </c>
      <c r="E12" s="13">
        <v>44467</v>
      </c>
      <c r="F12" s="77" t="s">
        <v>355</v>
      </c>
      <c r="G12" s="13">
        <v>44470.916666666664</v>
      </c>
      <c r="H12" s="78" t="s">
        <v>832</v>
      </c>
      <c r="I12" s="16">
        <v>45</v>
      </c>
      <c r="J12" s="16">
        <v>45</v>
      </c>
      <c r="K12" s="16">
        <v>28</v>
      </c>
      <c r="L12" s="16">
        <v>8</v>
      </c>
      <c r="M12" s="82">
        <v>14.175000000000001</v>
      </c>
      <c r="N12" s="73">
        <v>14</v>
      </c>
      <c r="O12" s="65">
        <v>7000</v>
      </c>
      <c r="P12" s="66">
        <f>Table2245789101123456789101112131415161718192021222324252627282930313233[[#This Row],[PEMBULATAN]]*O12</f>
        <v>98000</v>
      </c>
    </row>
    <row r="13" spans="1:16" ht="26.25" customHeight="1" x14ac:dyDescent="0.2">
      <c r="A13" s="14"/>
      <c r="B13" s="14"/>
      <c r="C13" s="74" t="s">
        <v>812</v>
      </c>
      <c r="D13" s="79" t="s">
        <v>90</v>
      </c>
      <c r="E13" s="13">
        <v>44467</v>
      </c>
      <c r="F13" s="77" t="s">
        <v>355</v>
      </c>
      <c r="G13" s="13">
        <v>44470.916666666664</v>
      </c>
      <c r="H13" s="78" t="s">
        <v>832</v>
      </c>
      <c r="I13" s="16">
        <v>65</v>
      </c>
      <c r="J13" s="16">
        <v>45</v>
      </c>
      <c r="K13" s="16">
        <v>30</v>
      </c>
      <c r="L13" s="16">
        <v>10</v>
      </c>
      <c r="M13" s="82">
        <v>21.9375</v>
      </c>
      <c r="N13" s="73">
        <v>22</v>
      </c>
      <c r="O13" s="65">
        <v>7000</v>
      </c>
      <c r="P13" s="66">
        <f>Table2245789101123456789101112131415161718192021222324252627282930313233[[#This Row],[PEMBULATAN]]*O13</f>
        <v>154000</v>
      </c>
    </row>
    <row r="14" spans="1:16" ht="26.25" customHeight="1" x14ac:dyDescent="0.2">
      <c r="A14" s="14"/>
      <c r="B14" s="14"/>
      <c r="C14" s="74" t="s">
        <v>813</v>
      </c>
      <c r="D14" s="79" t="s">
        <v>90</v>
      </c>
      <c r="E14" s="13">
        <v>44467</v>
      </c>
      <c r="F14" s="77" t="s">
        <v>355</v>
      </c>
      <c r="G14" s="13">
        <v>44470.916666666664</v>
      </c>
      <c r="H14" s="78" t="s">
        <v>832</v>
      </c>
      <c r="I14" s="16">
        <v>55</v>
      </c>
      <c r="J14" s="16">
        <v>35</v>
      </c>
      <c r="K14" s="16">
        <v>25</v>
      </c>
      <c r="L14" s="16">
        <v>2</v>
      </c>
      <c r="M14" s="82">
        <v>12.03125</v>
      </c>
      <c r="N14" s="73">
        <v>12</v>
      </c>
      <c r="O14" s="65">
        <v>7000</v>
      </c>
      <c r="P14" s="66">
        <f>Table2245789101123456789101112131415161718192021222324252627282930313233[[#This Row],[PEMBULATAN]]*O14</f>
        <v>84000</v>
      </c>
    </row>
    <row r="15" spans="1:16" ht="26.25" customHeight="1" x14ac:dyDescent="0.2">
      <c r="A15" s="14"/>
      <c r="B15" s="14"/>
      <c r="C15" s="74" t="s">
        <v>814</v>
      </c>
      <c r="D15" s="79" t="s">
        <v>90</v>
      </c>
      <c r="E15" s="13">
        <v>44467</v>
      </c>
      <c r="F15" s="77" t="s">
        <v>355</v>
      </c>
      <c r="G15" s="13">
        <v>44470.916666666664</v>
      </c>
      <c r="H15" s="78" t="s">
        <v>832</v>
      </c>
      <c r="I15" s="16">
        <v>45</v>
      </c>
      <c r="J15" s="16">
        <v>35</v>
      </c>
      <c r="K15" s="16">
        <v>20</v>
      </c>
      <c r="L15" s="16">
        <v>7</v>
      </c>
      <c r="M15" s="82">
        <v>7.875</v>
      </c>
      <c r="N15" s="73">
        <v>8</v>
      </c>
      <c r="O15" s="65">
        <v>7000</v>
      </c>
      <c r="P15" s="66">
        <f>Table2245789101123456789101112131415161718192021222324252627282930313233[[#This Row],[PEMBULATAN]]*O15</f>
        <v>56000</v>
      </c>
    </row>
    <row r="16" spans="1:16" ht="26.25" customHeight="1" x14ac:dyDescent="0.2">
      <c r="A16" s="14"/>
      <c r="B16" s="14"/>
      <c r="C16" s="74" t="s">
        <v>815</v>
      </c>
      <c r="D16" s="79" t="s">
        <v>90</v>
      </c>
      <c r="E16" s="13">
        <v>44467</v>
      </c>
      <c r="F16" s="77" t="s">
        <v>355</v>
      </c>
      <c r="G16" s="13">
        <v>44470.916666666664</v>
      </c>
      <c r="H16" s="78" t="s">
        <v>832</v>
      </c>
      <c r="I16" s="16">
        <v>44</v>
      </c>
      <c r="J16" s="16">
        <v>32</v>
      </c>
      <c r="K16" s="16">
        <v>18</v>
      </c>
      <c r="L16" s="16">
        <v>10</v>
      </c>
      <c r="M16" s="82">
        <v>6.3360000000000003</v>
      </c>
      <c r="N16" s="73">
        <v>10</v>
      </c>
      <c r="O16" s="65">
        <v>7000</v>
      </c>
      <c r="P16" s="66">
        <f>Table2245789101123456789101112131415161718192021222324252627282930313233[[#This Row],[PEMBULATAN]]*O16</f>
        <v>70000</v>
      </c>
    </row>
    <row r="17" spans="1:16" ht="26.25" customHeight="1" x14ac:dyDescent="0.2">
      <c r="A17" s="14"/>
      <c r="B17" s="14"/>
      <c r="C17" s="74" t="s">
        <v>816</v>
      </c>
      <c r="D17" s="79" t="s">
        <v>90</v>
      </c>
      <c r="E17" s="13">
        <v>44467</v>
      </c>
      <c r="F17" s="77" t="s">
        <v>355</v>
      </c>
      <c r="G17" s="13">
        <v>44470.916666666664</v>
      </c>
      <c r="H17" s="78" t="s">
        <v>832</v>
      </c>
      <c r="I17" s="16">
        <v>65</v>
      </c>
      <c r="J17" s="16">
        <v>33</v>
      </c>
      <c r="K17" s="16">
        <v>21</v>
      </c>
      <c r="L17" s="16">
        <v>7</v>
      </c>
      <c r="M17" s="82">
        <v>11.26125</v>
      </c>
      <c r="N17" s="73">
        <v>11</v>
      </c>
      <c r="O17" s="65">
        <v>7000</v>
      </c>
      <c r="P17" s="66">
        <f>Table2245789101123456789101112131415161718192021222324252627282930313233[[#This Row],[PEMBULATAN]]*O17</f>
        <v>77000</v>
      </c>
    </row>
    <row r="18" spans="1:16" ht="26.25" customHeight="1" x14ac:dyDescent="0.2">
      <c r="A18" s="14"/>
      <c r="B18" s="14"/>
      <c r="C18" s="74" t="s">
        <v>817</v>
      </c>
      <c r="D18" s="79" t="s">
        <v>90</v>
      </c>
      <c r="E18" s="13">
        <v>44467</v>
      </c>
      <c r="F18" s="77" t="s">
        <v>355</v>
      </c>
      <c r="G18" s="13">
        <v>44470.916666666664</v>
      </c>
      <c r="H18" s="78" t="s">
        <v>832</v>
      </c>
      <c r="I18" s="16">
        <v>110</v>
      </c>
      <c r="J18" s="16">
        <v>55</v>
      </c>
      <c r="K18" s="16">
        <v>17</v>
      </c>
      <c r="L18" s="16">
        <v>10</v>
      </c>
      <c r="M18" s="82">
        <v>25.712499999999999</v>
      </c>
      <c r="N18" s="73">
        <v>26</v>
      </c>
      <c r="O18" s="65">
        <v>7000</v>
      </c>
      <c r="P18" s="66">
        <f>Table2245789101123456789101112131415161718192021222324252627282930313233[[#This Row],[PEMBULATAN]]*O18</f>
        <v>182000</v>
      </c>
    </row>
    <row r="19" spans="1:16" ht="26.25" customHeight="1" x14ac:dyDescent="0.2">
      <c r="A19" s="14"/>
      <c r="B19" s="14"/>
      <c r="C19" s="74" t="s">
        <v>818</v>
      </c>
      <c r="D19" s="79" t="s">
        <v>90</v>
      </c>
      <c r="E19" s="13">
        <v>44467</v>
      </c>
      <c r="F19" s="77" t="s">
        <v>355</v>
      </c>
      <c r="G19" s="13">
        <v>44470.916666666664</v>
      </c>
      <c r="H19" s="78" t="s">
        <v>832</v>
      </c>
      <c r="I19" s="16">
        <v>45</v>
      </c>
      <c r="J19" s="16">
        <v>28</v>
      </c>
      <c r="K19" s="16">
        <v>19</v>
      </c>
      <c r="L19" s="16">
        <v>8</v>
      </c>
      <c r="M19" s="82">
        <v>5.9850000000000003</v>
      </c>
      <c r="N19" s="73">
        <v>8</v>
      </c>
      <c r="O19" s="65">
        <v>7000</v>
      </c>
      <c r="P19" s="66">
        <f>Table2245789101123456789101112131415161718192021222324252627282930313233[[#This Row],[PEMBULATAN]]*O19</f>
        <v>56000</v>
      </c>
    </row>
    <row r="20" spans="1:16" ht="26.25" customHeight="1" x14ac:dyDescent="0.2">
      <c r="A20" s="14"/>
      <c r="B20" s="14"/>
      <c r="C20" s="74" t="s">
        <v>819</v>
      </c>
      <c r="D20" s="79" t="s">
        <v>90</v>
      </c>
      <c r="E20" s="13">
        <v>44467</v>
      </c>
      <c r="F20" s="77" t="s">
        <v>355</v>
      </c>
      <c r="G20" s="13">
        <v>44470.916666666664</v>
      </c>
      <c r="H20" s="78" t="s">
        <v>832</v>
      </c>
      <c r="I20" s="16">
        <v>45</v>
      </c>
      <c r="J20" s="16">
        <v>25</v>
      </c>
      <c r="K20" s="16">
        <v>16</v>
      </c>
      <c r="L20" s="16">
        <v>6</v>
      </c>
      <c r="M20" s="82">
        <v>4.5</v>
      </c>
      <c r="N20" s="73">
        <v>6</v>
      </c>
      <c r="O20" s="65">
        <v>7000</v>
      </c>
      <c r="P20" s="66">
        <f>Table2245789101123456789101112131415161718192021222324252627282930313233[[#This Row],[PEMBULATAN]]*O20</f>
        <v>42000</v>
      </c>
    </row>
    <row r="21" spans="1:16" ht="26.25" customHeight="1" x14ac:dyDescent="0.2">
      <c r="A21" s="14"/>
      <c r="B21" s="104"/>
      <c r="C21" s="74" t="s">
        <v>820</v>
      </c>
      <c r="D21" s="79" t="s">
        <v>90</v>
      </c>
      <c r="E21" s="13">
        <v>44467</v>
      </c>
      <c r="F21" s="77" t="s">
        <v>355</v>
      </c>
      <c r="G21" s="13">
        <v>44470.916666666664</v>
      </c>
      <c r="H21" s="78" t="s">
        <v>832</v>
      </c>
      <c r="I21" s="16">
        <v>75</v>
      </c>
      <c r="J21" s="16">
        <v>45</v>
      </c>
      <c r="K21" s="16">
        <v>21</v>
      </c>
      <c r="L21" s="16">
        <v>5</v>
      </c>
      <c r="M21" s="82">
        <v>17.71875</v>
      </c>
      <c r="N21" s="73">
        <v>18</v>
      </c>
      <c r="O21" s="65">
        <v>7000</v>
      </c>
      <c r="P21" s="66">
        <f>Table2245789101123456789101112131415161718192021222324252627282930313233[[#This Row],[PEMBULATAN]]*O21</f>
        <v>126000</v>
      </c>
    </row>
    <row r="22" spans="1:16" ht="26.25" customHeight="1" x14ac:dyDescent="0.2">
      <c r="A22" s="14"/>
      <c r="B22" s="14" t="s">
        <v>821</v>
      </c>
      <c r="C22" s="74" t="s">
        <v>822</v>
      </c>
      <c r="D22" s="79" t="s">
        <v>90</v>
      </c>
      <c r="E22" s="13">
        <v>44467</v>
      </c>
      <c r="F22" s="77" t="s">
        <v>355</v>
      </c>
      <c r="G22" s="13">
        <v>44470.916666666664</v>
      </c>
      <c r="H22" s="78" t="s">
        <v>832</v>
      </c>
      <c r="I22" s="16">
        <v>42</v>
      </c>
      <c r="J22" s="16">
        <v>31</v>
      </c>
      <c r="K22" s="16">
        <v>23</v>
      </c>
      <c r="L22" s="16">
        <v>10</v>
      </c>
      <c r="M22" s="82">
        <v>7.4865000000000004</v>
      </c>
      <c r="N22" s="73">
        <v>10</v>
      </c>
      <c r="O22" s="65">
        <v>7000</v>
      </c>
      <c r="P22" s="66">
        <f>Table2245789101123456789101112131415161718192021222324252627282930313233[[#This Row],[PEMBULATAN]]*O22</f>
        <v>70000</v>
      </c>
    </row>
    <row r="23" spans="1:16" ht="26.25" customHeight="1" x14ac:dyDescent="0.2">
      <c r="A23" s="14"/>
      <c r="B23" s="104"/>
      <c r="C23" s="74" t="s">
        <v>823</v>
      </c>
      <c r="D23" s="79" t="s">
        <v>90</v>
      </c>
      <c r="E23" s="13">
        <v>44467</v>
      </c>
      <c r="F23" s="77" t="s">
        <v>355</v>
      </c>
      <c r="G23" s="13">
        <v>44470.916666666664</v>
      </c>
      <c r="H23" s="78" t="s">
        <v>832</v>
      </c>
      <c r="I23" s="16">
        <v>52</v>
      </c>
      <c r="J23" s="16">
        <v>41</v>
      </c>
      <c r="K23" s="16">
        <v>23</v>
      </c>
      <c r="L23" s="16">
        <v>36</v>
      </c>
      <c r="M23" s="82">
        <v>12.259</v>
      </c>
      <c r="N23" s="73">
        <v>36</v>
      </c>
      <c r="O23" s="65">
        <v>7000</v>
      </c>
      <c r="P23" s="66">
        <f>Table2245789101123456789101112131415161718192021222324252627282930313233[[#This Row],[PEMBULATAN]]*O23</f>
        <v>252000</v>
      </c>
    </row>
    <row r="24" spans="1:16" ht="26.25" customHeight="1" x14ac:dyDescent="0.2">
      <c r="A24" s="14"/>
      <c r="B24" s="14" t="s">
        <v>824</v>
      </c>
      <c r="C24" s="74" t="s">
        <v>825</v>
      </c>
      <c r="D24" s="79" t="s">
        <v>90</v>
      </c>
      <c r="E24" s="13">
        <v>44467</v>
      </c>
      <c r="F24" s="77" t="s">
        <v>355</v>
      </c>
      <c r="G24" s="13">
        <v>44470.916666666664</v>
      </c>
      <c r="H24" s="78" t="s">
        <v>832</v>
      </c>
      <c r="I24" s="16">
        <v>65</v>
      </c>
      <c r="J24" s="16">
        <v>57</v>
      </c>
      <c r="K24" s="16">
        <v>22</v>
      </c>
      <c r="L24" s="16">
        <v>14</v>
      </c>
      <c r="M24" s="82">
        <v>20.377500000000001</v>
      </c>
      <c r="N24" s="73">
        <v>20</v>
      </c>
      <c r="O24" s="65">
        <v>7000</v>
      </c>
      <c r="P24" s="66">
        <f>Table2245789101123456789101112131415161718192021222324252627282930313233[[#This Row],[PEMBULATAN]]*O24</f>
        <v>140000</v>
      </c>
    </row>
    <row r="25" spans="1:16" ht="26.25" customHeight="1" x14ac:dyDescent="0.2">
      <c r="A25" s="14"/>
      <c r="B25" s="14"/>
      <c r="C25" s="74" t="s">
        <v>826</v>
      </c>
      <c r="D25" s="79" t="s">
        <v>90</v>
      </c>
      <c r="E25" s="13">
        <v>44467</v>
      </c>
      <c r="F25" s="77" t="s">
        <v>355</v>
      </c>
      <c r="G25" s="13">
        <v>44470.916666666664</v>
      </c>
      <c r="H25" s="78" t="s">
        <v>832</v>
      </c>
      <c r="I25" s="16">
        <v>65</v>
      </c>
      <c r="J25" s="16">
        <v>57</v>
      </c>
      <c r="K25" s="16">
        <v>22</v>
      </c>
      <c r="L25" s="16">
        <v>14</v>
      </c>
      <c r="M25" s="82">
        <v>20.377500000000001</v>
      </c>
      <c r="N25" s="73">
        <v>20</v>
      </c>
      <c r="O25" s="65">
        <v>7000</v>
      </c>
      <c r="P25" s="66">
        <f>Table2245789101123456789101112131415161718192021222324252627282930313233[[#This Row],[PEMBULATAN]]*O25</f>
        <v>140000</v>
      </c>
    </row>
    <row r="26" spans="1:16" ht="26.25" customHeight="1" x14ac:dyDescent="0.2">
      <c r="A26" s="14"/>
      <c r="B26" s="14"/>
      <c r="C26" s="74" t="s">
        <v>827</v>
      </c>
      <c r="D26" s="79" t="s">
        <v>90</v>
      </c>
      <c r="E26" s="13">
        <v>44467</v>
      </c>
      <c r="F26" s="77" t="s">
        <v>355</v>
      </c>
      <c r="G26" s="13">
        <v>44470.916666666664</v>
      </c>
      <c r="H26" s="78" t="s">
        <v>832</v>
      </c>
      <c r="I26" s="16">
        <v>65</v>
      </c>
      <c r="J26" s="16">
        <v>57</v>
      </c>
      <c r="K26" s="16">
        <v>22</v>
      </c>
      <c r="L26" s="16">
        <v>14</v>
      </c>
      <c r="M26" s="82">
        <v>20.377500000000001</v>
      </c>
      <c r="N26" s="73">
        <v>20</v>
      </c>
      <c r="O26" s="65">
        <v>7000</v>
      </c>
      <c r="P26" s="66">
        <f>Table2245789101123456789101112131415161718192021222324252627282930313233[[#This Row],[PEMBULATAN]]*O26</f>
        <v>140000</v>
      </c>
    </row>
    <row r="27" spans="1:16" ht="26.25" customHeight="1" x14ac:dyDescent="0.2">
      <c r="A27" s="14"/>
      <c r="B27" s="14"/>
      <c r="C27" s="74" t="s">
        <v>828</v>
      </c>
      <c r="D27" s="79" t="s">
        <v>90</v>
      </c>
      <c r="E27" s="13">
        <v>44467</v>
      </c>
      <c r="F27" s="77" t="s">
        <v>355</v>
      </c>
      <c r="G27" s="13">
        <v>44470.916666666664</v>
      </c>
      <c r="H27" s="78" t="s">
        <v>832</v>
      </c>
      <c r="I27" s="16">
        <v>65</v>
      </c>
      <c r="J27" s="16">
        <v>57</v>
      </c>
      <c r="K27" s="16">
        <v>22</v>
      </c>
      <c r="L27" s="16">
        <v>14</v>
      </c>
      <c r="M27" s="82">
        <v>20.377500000000001</v>
      </c>
      <c r="N27" s="73">
        <v>20</v>
      </c>
      <c r="O27" s="65">
        <v>7000</v>
      </c>
      <c r="P27" s="66">
        <f>Table2245789101123456789101112131415161718192021222324252627282930313233[[#This Row],[PEMBULATAN]]*O27</f>
        <v>140000</v>
      </c>
    </row>
    <row r="28" spans="1:16" ht="26.25" customHeight="1" x14ac:dyDescent="0.2">
      <c r="A28" s="14"/>
      <c r="B28" s="14"/>
      <c r="C28" s="74" t="s">
        <v>829</v>
      </c>
      <c r="D28" s="79" t="s">
        <v>90</v>
      </c>
      <c r="E28" s="13">
        <v>44467</v>
      </c>
      <c r="F28" s="77" t="s">
        <v>355</v>
      </c>
      <c r="G28" s="13">
        <v>44470.916666666664</v>
      </c>
      <c r="H28" s="78" t="s">
        <v>832</v>
      </c>
      <c r="I28" s="16">
        <v>65</v>
      </c>
      <c r="J28" s="16">
        <v>57</v>
      </c>
      <c r="K28" s="16">
        <v>22</v>
      </c>
      <c r="L28" s="16">
        <v>14</v>
      </c>
      <c r="M28" s="82">
        <v>20.377500000000001</v>
      </c>
      <c r="N28" s="73">
        <v>20</v>
      </c>
      <c r="O28" s="65">
        <v>7000</v>
      </c>
      <c r="P28" s="66">
        <f>Table2245789101123456789101112131415161718192021222324252627282930313233[[#This Row],[PEMBULATAN]]*O28</f>
        <v>140000</v>
      </c>
    </row>
    <row r="29" spans="1:16" ht="26.25" customHeight="1" x14ac:dyDescent="0.2">
      <c r="A29" s="14"/>
      <c r="B29" s="14"/>
      <c r="C29" s="74" t="s">
        <v>830</v>
      </c>
      <c r="D29" s="79" t="s">
        <v>90</v>
      </c>
      <c r="E29" s="13">
        <v>44467</v>
      </c>
      <c r="F29" s="77" t="s">
        <v>355</v>
      </c>
      <c r="G29" s="13">
        <v>44470.916666666664</v>
      </c>
      <c r="H29" s="78" t="s">
        <v>832</v>
      </c>
      <c r="I29" s="16">
        <v>65</v>
      </c>
      <c r="J29" s="16">
        <v>57</v>
      </c>
      <c r="K29" s="16">
        <v>22</v>
      </c>
      <c r="L29" s="16">
        <v>14</v>
      </c>
      <c r="M29" s="82">
        <v>20.377500000000001</v>
      </c>
      <c r="N29" s="73">
        <v>20</v>
      </c>
      <c r="O29" s="65">
        <v>7000</v>
      </c>
      <c r="P29" s="66">
        <f>Table2245789101123456789101112131415161718192021222324252627282930313233[[#This Row],[PEMBULATAN]]*O29</f>
        <v>140000</v>
      </c>
    </row>
    <row r="30" spans="1:16" ht="26.25" customHeight="1" x14ac:dyDescent="0.2">
      <c r="A30" s="14"/>
      <c r="B30" s="14"/>
      <c r="C30" s="74" t="s">
        <v>831</v>
      </c>
      <c r="D30" s="79" t="s">
        <v>90</v>
      </c>
      <c r="E30" s="13">
        <v>44467</v>
      </c>
      <c r="F30" s="77" t="s">
        <v>355</v>
      </c>
      <c r="G30" s="13">
        <v>44470.916666666664</v>
      </c>
      <c r="H30" s="78" t="s">
        <v>832</v>
      </c>
      <c r="I30" s="16">
        <v>65</v>
      </c>
      <c r="J30" s="16">
        <v>57</v>
      </c>
      <c r="K30" s="16">
        <v>22</v>
      </c>
      <c r="L30" s="16">
        <v>14</v>
      </c>
      <c r="M30" s="82">
        <v>20.377500000000001</v>
      </c>
      <c r="N30" s="73">
        <v>20</v>
      </c>
      <c r="O30" s="65">
        <v>7000</v>
      </c>
      <c r="P30" s="66">
        <f>Table2245789101123456789101112131415161718192021222324252627282930313233[[#This Row],[PEMBULATAN]]*O30</f>
        <v>140000</v>
      </c>
    </row>
    <row r="31" spans="1:16" ht="22.5" customHeight="1" x14ac:dyDescent="0.2">
      <c r="A31" s="136" t="s">
        <v>30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8"/>
      <c r="M31" s="80">
        <f>SUBTOTAL(109,Table2245789101123456789101112131415161718192021222324252627282930313233[KG VOLUME])</f>
        <v>477.75024999999999</v>
      </c>
      <c r="N31" s="69">
        <f>SUM(N3:N30)</f>
        <v>526</v>
      </c>
      <c r="O31" s="139">
        <f>SUM(P3:P30)</f>
        <v>3682000</v>
      </c>
      <c r="P31" s="140"/>
    </row>
    <row r="32" spans="1:16" ht="18" customHeight="1" x14ac:dyDescent="0.2">
      <c r="A32" s="87"/>
      <c r="B32" s="57" t="s">
        <v>42</v>
      </c>
      <c r="C32" s="56"/>
      <c r="D32" s="58" t="s">
        <v>43</v>
      </c>
      <c r="E32" s="87"/>
      <c r="F32" s="87"/>
      <c r="G32" s="87"/>
      <c r="H32" s="87"/>
      <c r="I32" s="87"/>
      <c r="J32" s="87"/>
      <c r="K32" s="87"/>
      <c r="L32" s="87"/>
      <c r="M32" s="88"/>
      <c r="N32" s="89" t="s">
        <v>52</v>
      </c>
      <c r="O32" s="90"/>
      <c r="P32" s="90">
        <v>0</v>
      </c>
    </row>
    <row r="33" spans="1:16" ht="18" customHeight="1" thickBot="1" x14ac:dyDescent="0.25">
      <c r="A33" s="87"/>
      <c r="B33" s="57"/>
      <c r="C33" s="56"/>
      <c r="D33" s="58"/>
      <c r="E33" s="87"/>
      <c r="F33" s="87"/>
      <c r="G33" s="87"/>
      <c r="H33" s="87"/>
      <c r="I33" s="87"/>
      <c r="J33" s="87"/>
      <c r="K33" s="87"/>
      <c r="L33" s="87"/>
      <c r="M33" s="88"/>
      <c r="N33" s="91" t="s">
        <v>53</v>
      </c>
      <c r="O33" s="92"/>
      <c r="P33" s="92">
        <f>O31-P32</f>
        <v>3682000</v>
      </c>
    </row>
    <row r="34" spans="1:16" ht="18" customHeight="1" x14ac:dyDescent="0.2">
      <c r="A34" s="11"/>
      <c r="H34" s="64"/>
      <c r="N34" s="63" t="s">
        <v>31</v>
      </c>
      <c r="P34" s="70">
        <f>P33*1%</f>
        <v>36820</v>
      </c>
    </row>
    <row r="35" spans="1:16" ht="18" customHeight="1" thickBot="1" x14ac:dyDescent="0.25">
      <c r="A35" s="11"/>
      <c r="H35" s="64"/>
      <c r="N35" s="63" t="s">
        <v>54</v>
      </c>
      <c r="P35" s="72">
        <f>P33*2%</f>
        <v>73640</v>
      </c>
    </row>
    <row r="36" spans="1:16" ht="18" customHeight="1" x14ac:dyDescent="0.2">
      <c r="A36" s="11"/>
      <c r="H36" s="64"/>
      <c r="N36" s="67" t="s">
        <v>32</v>
      </c>
      <c r="O36" s="68"/>
      <c r="P36" s="71">
        <f>P33+P34-P35</f>
        <v>3645180</v>
      </c>
    </row>
    <row r="38" spans="1:16" x14ac:dyDescent="0.2">
      <c r="A38" s="11"/>
      <c r="H38" s="64"/>
      <c r="P38" s="72"/>
    </row>
    <row r="39" spans="1:16" x14ac:dyDescent="0.2">
      <c r="A39" s="11"/>
      <c r="H39" s="64"/>
      <c r="O39" s="59"/>
      <c r="P39" s="72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70" priority="2"/>
  </conditionalFormatting>
  <conditionalFormatting sqref="B4">
    <cfRule type="duplicateValues" dxfId="69" priority="1"/>
  </conditionalFormatting>
  <conditionalFormatting sqref="B5:B30">
    <cfRule type="duplicateValues" dxfId="68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K17" sqref="K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931</v>
      </c>
      <c r="B3" s="120" t="s">
        <v>833</v>
      </c>
      <c r="C3" s="9" t="s">
        <v>834</v>
      </c>
      <c r="D3" s="77" t="s">
        <v>90</v>
      </c>
      <c r="E3" s="13">
        <v>44468</v>
      </c>
      <c r="F3" s="77" t="s">
        <v>355</v>
      </c>
      <c r="G3" s="13">
        <v>44470.916666666664</v>
      </c>
      <c r="H3" s="10" t="s">
        <v>832</v>
      </c>
      <c r="I3" s="1">
        <v>54</v>
      </c>
      <c r="J3" s="1">
        <v>34</v>
      </c>
      <c r="K3" s="1">
        <v>21</v>
      </c>
      <c r="L3" s="1">
        <v>8</v>
      </c>
      <c r="M3" s="81">
        <v>9.6389999999999993</v>
      </c>
      <c r="N3" s="8">
        <v>10</v>
      </c>
      <c r="O3" s="65">
        <v>7000</v>
      </c>
      <c r="P3" s="66">
        <f>Table224578910112345678910111213141516171819202122232425262728293031323334[[#This Row],[PEMBULATAN]]*O3</f>
        <v>70000</v>
      </c>
    </row>
    <row r="4" spans="1:16" ht="26.25" customHeight="1" x14ac:dyDescent="0.2">
      <c r="A4" s="14"/>
      <c r="B4" s="76" t="s">
        <v>835</v>
      </c>
      <c r="C4" s="9" t="s">
        <v>836</v>
      </c>
      <c r="D4" s="77" t="s">
        <v>90</v>
      </c>
      <c r="E4" s="13">
        <v>44468</v>
      </c>
      <c r="F4" s="77" t="s">
        <v>355</v>
      </c>
      <c r="G4" s="13">
        <v>44470.916666666664</v>
      </c>
      <c r="H4" s="10" t="s">
        <v>832</v>
      </c>
      <c r="I4" s="1">
        <v>48</v>
      </c>
      <c r="J4" s="1">
        <v>40</v>
      </c>
      <c r="K4" s="1">
        <v>33</v>
      </c>
      <c r="L4" s="1">
        <v>9</v>
      </c>
      <c r="M4" s="81">
        <v>15.84</v>
      </c>
      <c r="N4" s="8">
        <v>16</v>
      </c>
      <c r="O4" s="65">
        <v>7000</v>
      </c>
      <c r="P4" s="66">
        <f>Table224578910112345678910111213141516171819202122232425262728293031323334[[#This Row],[PEMBULATAN]]*O4</f>
        <v>112000</v>
      </c>
    </row>
    <row r="5" spans="1:16" ht="26.25" customHeight="1" x14ac:dyDescent="0.2">
      <c r="A5" s="14"/>
      <c r="B5" s="14"/>
      <c r="C5" s="9" t="s">
        <v>837</v>
      </c>
      <c r="D5" s="77" t="s">
        <v>90</v>
      </c>
      <c r="E5" s="13">
        <v>44468</v>
      </c>
      <c r="F5" s="77" t="s">
        <v>355</v>
      </c>
      <c r="G5" s="13">
        <v>44470.916666666664</v>
      </c>
      <c r="H5" s="10" t="s">
        <v>832</v>
      </c>
      <c r="I5" s="1">
        <v>38</v>
      </c>
      <c r="J5" s="1">
        <v>32</v>
      </c>
      <c r="K5" s="1">
        <v>32</v>
      </c>
      <c r="L5" s="1">
        <v>8</v>
      </c>
      <c r="M5" s="81">
        <v>9.7279999999999998</v>
      </c>
      <c r="N5" s="8">
        <v>10</v>
      </c>
      <c r="O5" s="65">
        <v>7000</v>
      </c>
      <c r="P5" s="66">
        <f>Table224578910112345678910111213141516171819202122232425262728293031323334[[#This Row],[PEMBULATAN]]*O5</f>
        <v>70000</v>
      </c>
    </row>
    <row r="6" spans="1:16" ht="26.25" customHeight="1" x14ac:dyDescent="0.2">
      <c r="A6" s="14"/>
      <c r="B6" s="14"/>
      <c r="C6" s="74" t="s">
        <v>838</v>
      </c>
      <c r="D6" s="79" t="s">
        <v>90</v>
      </c>
      <c r="E6" s="13">
        <v>44468</v>
      </c>
      <c r="F6" s="77" t="s">
        <v>355</v>
      </c>
      <c r="G6" s="13">
        <v>44470.916666666664</v>
      </c>
      <c r="H6" s="78" t="s">
        <v>832</v>
      </c>
      <c r="I6" s="16">
        <v>60</v>
      </c>
      <c r="J6" s="16">
        <v>25</v>
      </c>
      <c r="K6" s="16">
        <v>36</v>
      </c>
      <c r="L6" s="16">
        <v>30</v>
      </c>
      <c r="M6" s="82">
        <v>13.5</v>
      </c>
      <c r="N6" s="73">
        <v>30</v>
      </c>
      <c r="O6" s="65">
        <v>7000</v>
      </c>
      <c r="P6" s="66">
        <f>Table224578910112345678910111213141516171819202122232425262728293031323334[[#This Row],[PEMBULATAN]]*O6</f>
        <v>210000</v>
      </c>
    </row>
    <row r="7" spans="1:16" ht="26.25" customHeight="1" x14ac:dyDescent="0.2">
      <c r="A7" s="14"/>
      <c r="B7" s="14"/>
      <c r="C7" s="74" t="s">
        <v>839</v>
      </c>
      <c r="D7" s="79" t="s">
        <v>90</v>
      </c>
      <c r="E7" s="13">
        <v>44468</v>
      </c>
      <c r="F7" s="77" t="s">
        <v>355</v>
      </c>
      <c r="G7" s="13">
        <v>44470.916666666664</v>
      </c>
      <c r="H7" s="78" t="s">
        <v>832</v>
      </c>
      <c r="I7" s="16">
        <v>31</v>
      </c>
      <c r="J7" s="16">
        <v>23</v>
      </c>
      <c r="K7" s="16">
        <v>17</v>
      </c>
      <c r="L7" s="16">
        <v>8</v>
      </c>
      <c r="M7" s="82">
        <v>3.0302500000000001</v>
      </c>
      <c r="N7" s="73">
        <v>8</v>
      </c>
      <c r="O7" s="65">
        <v>7000</v>
      </c>
      <c r="P7" s="66">
        <f>Table224578910112345678910111213141516171819202122232425262728293031323334[[#This Row],[PEMBULATAN]]*O7</f>
        <v>56000</v>
      </c>
    </row>
    <row r="8" spans="1:16" ht="26.25" customHeight="1" x14ac:dyDescent="0.2">
      <c r="A8" s="14"/>
      <c r="B8" s="14"/>
      <c r="C8" s="74" t="s">
        <v>840</v>
      </c>
      <c r="D8" s="79" t="s">
        <v>90</v>
      </c>
      <c r="E8" s="13">
        <v>44468</v>
      </c>
      <c r="F8" s="77" t="s">
        <v>355</v>
      </c>
      <c r="G8" s="13">
        <v>44470.916666666664</v>
      </c>
      <c r="H8" s="78" t="s">
        <v>832</v>
      </c>
      <c r="I8" s="16">
        <v>103</v>
      </c>
      <c r="J8" s="16">
        <v>12</v>
      </c>
      <c r="K8" s="16">
        <v>10</v>
      </c>
      <c r="L8" s="16">
        <v>10</v>
      </c>
      <c r="M8" s="82">
        <v>3.09</v>
      </c>
      <c r="N8" s="73">
        <v>10</v>
      </c>
      <c r="O8" s="65">
        <v>7000</v>
      </c>
      <c r="P8" s="66">
        <f>Table224578910112345678910111213141516171819202122232425262728293031323334[[#This Row],[PEMBULATAN]]*O8</f>
        <v>70000</v>
      </c>
    </row>
    <row r="9" spans="1:16" ht="26.25" customHeight="1" x14ac:dyDescent="0.2">
      <c r="A9" s="14"/>
      <c r="B9" s="14"/>
      <c r="C9" s="74" t="s">
        <v>841</v>
      </c>
      <c r="D9" s="79" t="s">
        <v>90</v>
      </c>
      <c r="E9" s="13">
        <v>44468</v>
      </c>
      <c r="F9" s="77" t="s">
        <v>355</v>
      </c>
      <c r="G9" s="13">
        <v>44470.916666666664</v>
      </c>
      <c r="H9" s="78" t="s">
        <v>832</v>
      </c>
      <c r="I9" s="16">
        <v>62</v>
      </c>
      <c r="J9" s="16">
        <v>45</v>
      </c>
      <c r="K9" s="16">
        <v>30</v>
      </c>
      <c r="L9" s="16">
        <v>9</v>
      </c>
      <c r="M9" s="82">
        <v>20.925000000000001</v>
      </c>
      <c r="N9" s="73">
        <v>21</v>
      </c>
      <c r="O9" s="65">
        <v>7000</v>
      </c>
      <c r="P9" s="66">
        <f>Table224578910112345678910111213141516171819202122232425262728293031323334[[#This Row],[PEMBULATAN]]*O9</f>
        <v>147000</v>
      </c>
    </row>
    <row r="10" spans="1:16" ht="26.25" customHeight="1" x14ac:dyDescent="0.2">
      <c r="A10" s="14"/>
      <c r="B10" s="14"/>
      <c r="C10" s="74" t="s">
        <v>842</v>
      </c>
      <c r="D10" s="79" t="s">
        <v>90</v>
      </c>
      <c r="E10" s="13">
        <v>44468</v>
      </c>
      <c r="F10" s="77" t="s">
        <v>355</v>
      </c>
      <c r="G10" s="13">
        <v>44470.916666666664</v>
      </c>
      <c r="H10" s="78" t="s">
        <v>832</v>
      </c>
      <c r="I10" s="16">
        <v>88</v>
      </c>
      <c r="J10" s="16">
        <v>64</v>
      </c>
      <c r="K10" s="16">
        <v>22</v>
      </c>
      <c r="L10" s="16">
        <v>18</v>
      </c>
      <c r="M10" s="82">
        <v>30.975999999999999</v>
      </c>
      <c r="N10" s="73">
        <v>31</v>
      </c>
      <c r="O10" s="65">
        <v>7000</v>
      </c>
      <c r="P10" s="66">
        <f>Table224578910112345678910111213141516171819202122232425262728293031323334[[#This Row],[PEMBULATAN]]*O10</f>
        <v>217000</v>
      </c>
    </row>
    <row r="11" spans="1:16" ht="26.25" customHeight="1" x14ac:dyDescent="0.2">
      <c r="A11" s="14"/>
      <c r="B11" s="14"/>
      <c r="C11" s="74" t="s">
        <v>843</v>
      </c>
      <c r="D11" s="79" t="s">
        <v>90</v>
      </c>
      <c r="E11" s="13">
        <v>44468</v>
      </c>
      <c r="F11" s="77" t="s">
        <v>355</v>
      </c>
      <c r="G11" s="13">
        <v>44470.916666666664</v>
      </c>
      <c r="H11" s="78" t="s">
        <v>832</v>
      </c>
      <c r="I11" s="16">
        <v>40</v>
      </c>
      <c r="J11" s="16">
        <v>35</v>
      </c>
      <c r="K11" s="16">
        <v>22</v>
      </c>
      <c r="L11" s="16">
        <v>12</v>
      </c>
      <c r="M11" s="82">
        <v>7.7</v>
      </c>
      <c r="N11" s="73">
        <v>12</v>
      </c>
      <c r="O11" s="65">
        <v>7000</v>
      </c>
      <c r="P11" s="66">
        <f>Table224578910112345678910111213141516171819202122232425262728293031323334[[#This Row],[PEMBULATAN]]*O11</f>
        <v>84000</v>
      </c>
    </row>
    <row r="12" spans="1:16" ht="26.25" customHeight="1" x14ac:dyDescent="0.2">
      <c r="A12" s="14"/>
      <c r="B12" s="14"/>
      <c r="C12" s="74" t="s">
        <v>844</v>
      </c>
      <c r="D12" s="79" t="s">
        <v>90</v>
      </c>
      <c r="E12" s="13">
        <v>44468</v>
      </c>
      <c r="F12" s="77" t="s">
        <v>355</v>
      </c>
      <c r="G12" s="13">
        <v>44470.916666666664</v>
      </c>
      <c r="H12" s="78" t="s">
        <v>832</v>
      </c>
      <c r="I12" s="16">
        <v>33</v>
      </c>
      <c r="J12" s="16">
        <v>18</v>
      </c>
      <c r="K12" s="16">
        <v>12</v>
      </c>
      <c r="L12" s="16">
        <v>6</v>
      </c>
      <c r="M12" s="82">
        <v>1.782</v>
      </c>
      <c r="N12" s="73">
        <v>6</v>
      </c>
      <c r="O12" s="65">
        <v>7000</v>
      </c>
      <c r="P12" s="66">
        <f>Table224578910112345678910111213141516171819202122232425262728293031323334[[#This Row],[PEMBULATAN]]*O12</f>
        <v>42000</v>
      </c>
    </row>
    <row r="13" spans="1:16" ht="26.25" customHeight="1" x14ac:dyDescent="0.2">
      <c r="A13" s="14"/>
      <c r="B13" s="14"/>
      <c r="C13" s="74" t="s">
        <v>845</v>
      </c>
      <c r="D13" s="79" t="s">
        <v>90</v>
      </c>
      <c r="E13" s="13">
        <v>44468</v>
      </c>
      <c r="F13" s="77" t="s">
        <v>355</v>
      </c>
      <c r="G13" s="13">
        <v>44470.916666666664</v>
      </c>
      <c r="H13" s="78" t="s">
        <v>832</v>
      </c>
      <c r="I13" s="16">
        <v>78</v>
      </c>
      <c r="J13" s="16">
        <v>57</v>
      </c>
      <c r="K13" s="16">
        <v>33</v>
      </c>
      <c r="L13" s="16">
        <v>16</v>
      </c>
      <c r="M13" s="82">
        <v>36.679499999999997</v>
      </c>
      <c r="N13" s="73">
        <v>37</v>
      </c>
      <c r="O13" s="65">
        <v>7000</v>
      </c>
      <c r="P13" s="66">
        <f>Table224578910112345678910111213141516171819202122232425262728293031323334[[#This Row],[PEMBULATAN]]*O13</f>
        <v>259000</v>
      </c>
    </row>
    <row r="14" spans="1:16" ht="26.25" customHeight="1" x14ac:dyDescent="0.2">
      <c r="A14" s="14"/>
      <c r="B14" s="104"/>
      <c r="C14" s="74" t="s">
        <v>846</v>
      </c>
      <c r="D14" s="79" t="s">
        <v>90</v>
      </c>
      <c r="E14" s="13">
        <v>44468</v>
      </c>
      <c r="F14" s="77" t="s">
        <v>355</v>
      </c>
      <c r="G14" s="13">
        <v>44470.916666666664</v>
      </c>
      <c r="H14" s="78" t="s">
        <v>832</v>
      </c>
      <c r="I14" s="16">
        <v>60</v>
      </c>
      <c r="J14" s="16">
        <v>35</v>
      </c>
      <c r="K14" s="16">
        <v>68</v>
      </c>
      <c r="L14" s="16">
        <v>18</v>
      </c>
      <c r="M14" s="82">
        <v>35.700000000000003</v>
      </c>
      <c r="N14" s="73">
        <v>36</v>
      </c>
      <c r="O14" s="65">
        <v>7000</v>
      </c>
      <c r="P14" s="66">
        <f>Table224578910112345678910111213141516171819202122232425262728293031323334[[#This Row],[PEMBULATAN]]*O14</f>
        <v>252000</v>
      </c>
    </row>
    <row r="15" spans="1:16" ht="26.25" customHeight="1" x14ac:dyDescent="0.2">
      <c r="A15" s="14"/>
      <c r="B15" s="14" t="s">
        <v>847</v>
      </c>
      <c r="C15" s="74" t="s">
        <v>848</v>
      </c>
      <c r="D15" s="79" t="s">
        <v>90</v>
      </c>
      <c r="E15" s="13">
        <v>44468</v>
      </c>
      <c r="F15" s="77" t="s">
        <v>355</v>
      </c>
      <c r="G15" s="13">
        <v>44470.916666666664</v>
      </c>
      <c r="H15" s="78" t="s">
        <v>832</v>
      </c>
      <c r="I15" s="16">
        <v>50</v>
      </c>
      <c r="J15" s="16">
        <v>37</v>
      </c>
      <c r="K15" s="16">
        <v>26</v>
      </c>
      <c r="L15" s="16">
        <v>13</v>
      </c>
      <c r="M15" s="82">
        <v>12.025</v>
      </c>
      <c r="N15" s="73">
        <v>13</v>
      </c>
      <c r="O15" s="65">
        <v>7000</v>
      </c>
      <c r="P15" s="66">
        <f>Table224578910112345678910111213141516171819202122232425262728293031323334[[#This Row],[PEMBULATAN]]*O15</f>
        <v>91000</v>
      </c>
    </row>
    <row r="16" spans="1:16" ht="26.25" customHeight="1" x14ac:dyDescent="0.2">
      <c r="A16" s="14"/>
      <c r="B16" s="104"/>
      <c r="C16" s="74" t="s">
        <v>849</v>
      </c>
      <c r="D16" s="79" t="s">
        <v>90</v>
      </c>
      <c r="E16" s="13">
        <v>44468</v>
      </c>
      <c r="F16" s="77" t="s">
        <v>355</v>
      </c>
      <c r="G16" s="13">
        <v>44470.916666666664</v>
      </c>
      <c r="H16" s="78" t="s">
        <v>832</v>
      </c>
      <c r="I16" s="16">
        <v>26</v>
      </c>
      <c r="J16" s="16">
        <v>22</v>
      </c>
      <c r="K16" s="16">
        <v>10</v>
      </c>
      <c r="L16" s="16">
        <v>1</v>
      </c>
      <c r="M16" s="82">
        <v>1.43</v>
      </c>
      <c r="N16" s="73">
        <v>1</v>
      </c>
      <c r="O16" s="65">
        <v>7000</v>
      </c>
      <c r="P16" s="66">
        <f>Table224578910112345678910111213141516171819202122232425262728293031323334[[#This Row],[PEMBULATAN]]*O16</f>
        <v>7000</v>
      </c>
    </row>
    <row r="17" spans="1:16" ht="26.25" customHeight="1" x14ac:dyDescent="0.2">
      <c r="A17" s="14"/>
      <c r="B17" s="119" t="s">
        <v>850</v>
      </c>
      <c r="C17" s="74" t="s">
        <v>851</v>
      </c>
      <c r="D17" s="79" t="s">
        <v>90</v>
      </c>
      <c r="E17" s="13">
        <v>44468</v>
      </c>
      <c r="F17" s="77" t="s">
        <v>355</v>
      </c>
      <c r="G17" s="13">
        <v>44470.916666666664</v>
      </c>
      <c r="H17" s="78" t="s">
        <v>832</v>
      </c>
      <c r="I17" s="16">
        <v>46</v>
      </c>
      <c r="J17" s="16">
        <v>38</v>
      </c>
      <c r="K17" s="16">
        <v>23</v>
      </c>
      <c r="L17" s="16">
        <v>15</v>
      </c>
      <c r="M17" s="82">
        <v>10.051</v>
      </c>
      <c r="N17" s="73">
        <v>15</v>
      </c>
      <c r="O17" s="65">
        <v>7000</v>
      </c>
      <c r="P17" s="66">
        <f>Table224578910112345678910111213141516171819202122232425262728293031323334[[#This Row],[PEMBULATAN]]*O17</f>
        <v>105000</v>
      </c>
    </row>
    <row r="18" spans="1:16" ht="26.25" customHeight="1" x14ac:dyDescent="0.2">
      <c r="A18" s="14"/>
      <c r="B18" s="14" t="s">
        <v>852</v>
      </c>
      <c r="C18" s="106" t="s">
        <v>853</v>
      </c>
      <c r="D18" s="107" t="s">
        <v>90</v>
      </c>
      <c r="E18" s="108">
        <v>44468</v>
      </c>
      <c r="F18" s="109" t="s">
        <v>355</v>
      </c>
      <c r="G18" s="108">
        <v>44470.916666666664</v>
      </c>
      <c r="H18" s="110" t="s">
        <v>832</v>
      </c>
      <c r="I18" s="111">
        <v>60</v>
      </c>
      <c r="J18" s="111">
        <v>47</v>
      </c>
      <c r="K18" s="111">
        <v>30</v>
      </c>
      <c r="L18" s="111">
        <v>9</v>
      </c>
      <c r="M18" s="112">
        <v>21.15</v>
      </c>
      <c r="N18" s="113">
        <v>21</v>
      </c>
      <c r="O18" s="114">
        <v>7000</v>
      </c>
      <c r="P18" s="115">
        <f>Table224578910112345678910111213141516171819202122232425262728293031323334[[#This Row],[PEMBULATAN]]*O18</f>
        <v>147000</v>
      </c>
    </row>
    <row r="19" spans="1:16" ht="22.5" customHeight="1" x14ac:dyDescent="0.2">
      <c r="A19" s="136" t="s">
        <v>30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8"/>
      <c r="M19" s="80">
        <f>SUBTOTAL(109,Table224578910112345678910111213141516171819202122232425262728293031323334[KG VOLUME])</f>
        <v>233.24574999999999</v>
      </c>
      <c r="N19" s="69">
        <f>SUM(N3:N18)</f>
        <v>277</v>
      </c>
      <c r="O19" s="139">
        <f>SUM(P3:P18)</f>
        <v>1939000</v>
      </c>
      <c r="P19" s="140"/>
    </row>
    <row r="20" spans="1:16" ht="18" customHeight="1" x14ac:dyDescent="0.2">
      <c r="A20" s="87"/>
      <c r="B20" s="57" t="s">
        <v>42</v>
      </c>
      <c r="C20" s="56"/>
      <c r="D20" s="58" t="s">
        <v>43</v>
      </c>
      <c r="E20" s="87"/>
      <c r="F20" s="87"/>
      <c r="G20" s="87"/>
      <c r="H20" s="87"/>
      <c r="I20" s="87"/>
      <c r="J20" s="87"/>
      <c r="K20" s="87"/>
      <c r="L20" s="87"/>
      <c r="M20" s="88"/>
      <c r="N20" s="89" t="s">
        <v>52</v>
      </c>
      <c r="O20" s="90"/>
      <c r="P20" s="90">
        <v>0</v>
      </c>
    </row>
    <row r="21" spans="1:16" ht="18" customHeight="1" thickBot="1" x14ac:dyDescent="0.25">
      <c r="A21" s="87"/>
      <c r="B21" s="57"/>
      <c r="C21" s="56"/>
      <c r="D21" s="58"/>
      <c r="E21" s="87"/>
      <c r="F21" s="87"/>
      <c r="G21" s="87"/>
      <c r="H21" s="87"/>
      <c r="I21" s="87"/>
      <c r="J21" s="87"/>
      <c r="K21" s="87"/>
      <c r="L21" s="87"/>
      <c r="M21" s="88"/>
      <c r="N21" s="91" t="s">
        <v>53</v>
      </c>
      <c r="O21" s="92"/>
      <c r="P21" s="92">
        <f>O19-P20</f>
        <v>1939000</v>
      </c>
    </row>
    <row r="22" spans="1:16" ht="18" customHeight="1" x14ac:dyDescent="0.2">
      <c r="A22" s="11"/>
      <c r="H22" s="64"/>
      <c r="N22" s="63" t="s">
        <v>31</v>
      </c>
      <c r="P22" s="70">
        <f>P21*1%</f>
        <v>19390</v>
      </c>
    </row>
    <row r="23" spans="1:16" ht="18" customHeight="1" thickBot="1" x14ac:dyDescent="0.25">
      <c r="A23" s="11"/>
      <c r="H23" s="64"/>
      <c r="N23" s="63" t="s">
        <v>54</v>
      </c>
      <c r="P23" s="72">
        <f>P21*2%</f>
        <v>38780</v>
      </c>
    </row>
    <row r="24" spans="1:16" ht="18" customHeight="1" x14ac:dyDescent="0.2">
      <c r="A24" s="11"/>
      <c r="H24" s="64"/>
      <c r="N24" s="67" t="s">
        <v>32</v>
      </c>
      <c r="O24" s="68"/>
      <c r="P24" s="71">
        <f>P21+P22-P23</f>
        <v>1919610</v>
      </c>
    </row>
    <row r="26" spans="1:16" x14ac:dyDescent="0.2">
      <c r="A26" s="11"/>
      <c r="H26" s="64"/>
      <c r="P26" s="72"/>
    </row>
    <row r="27" spans="1:16" x14ac:dyDescent="0.2">
      <c r="A27" s="11"/>
      <c r="H27" s="64"/>
      <c r="O27" s="59"/>
      <c r="P27" s="72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</sheetData>
  <mergeCells count="2">
    <mergeCell ref="A19:L19"/>
    <mergeCell ref="O19:P19"/>
  </mergeCells>
  <conditionalFormatting sqref="B3">
    <cfRule type="duplicateValues" dxfId="52" priority="2"/>
  </conditionalFormatting>
  <conditionalFormatting sqref="B4">
    <cfRule type="duplicateValues" dxfId="51" priority="1"/>
  </conditionalFormatting>
  <conditionalFormatting sqref="B5:B18">
    <cfRule type="duplicateValues" dxfId="50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zoomScale="110" zoomScaleNormal="110" workbookViewId="0">
      <pane xSplit="3" ySplit="2" topLeftCell="D37" activePane="bottomRight" state="frozen"/>
      <selection pane="topRight" activeCell="B1" sqref="B1"/>
      <selection pane="bottomLeft" activeCell="A3" sqref="A3"/>
      <selection pane="bottomRight" activeCell="M39" sqref="M39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932</v>
      </c>
      <c r="B3" s="75" t="s">
        <v>854</v>
      </c>
      <c r="C3" s="9" t="s">
        <v>855</v>
      </c>
      <c r="D3" s="77" t="s">
        <v>90</v>
      </c>
      <c r="E3" s="13">
        <v>44469</v>
      </c>
      <c r="F3" s="77" t="s">
        <v>355</v>
      </c>
      <c r="G3" s="13">
        <v>44470.916666666664</v>
      </c>
      <c r="H3" s="10" t="s">
        <v>832</v>
      </c>
      <c r="I3" s="1">
        <v>50</v>
      </c>
      <c r="J3" s="1">
        <v>40</v>
      </c>
      <c r="K3" s="1">
        <v>14</v>
      </c>
      <c r="L3" s="1">
        <v>5</v>
      </c>
      <c r="M3" s="81">
        <v>7</v>
      </c>
      <c r="N3" s="8">
        <v>7</v>
      </c>
      <c r="O3" s="65">
        <v>7000</v>
      </c>
      <c r="P3" s="66">
        <f>Table22457891011234567891011121314151617181920212223242526272829303132333436[[#This Row],[PEMBULATAN]]*O3</f>
        <v>49000</v>
      </c>
    </row>
    <row r="4" spans="1:16" ht="26.25" customHeight="1" x14ac:dyDescent="0.2">
      <c r="A4" s="14"/>
      <c r="B4" s="76"/>
      <c r="C4" s="9" t="s">
        <v>856</v>
      </c>
      <c r="D4" s="77" t="s">
        <v>90</v>
      </c>
      <c r="E4" s="13">
        <v>44469</v>
      </c>
      <c r="F4" s="77" t="s">
        <v>355</v>
      </c>
      <c r="G4" s="13">
        <v>44470.916666666664</v>
      </c>
      <c r="H4" s="10" t="s">
        <v>832</v>
      </c>
      <c r="I4" s="1">
        <v>75</v>
      </c>
      <c r="J4" s="1">
        <v>53</v>
      </c>
      <c r="K4" s="1">
        <v>25</v>
      </c>
      <c r="L4" s="1">
        <v>13</v>
      </c>
      <c r="M4" s="81">
        <v>24.84375</v>
      </c>
      <c r="N4" s="8">
        <v>25</v>
      </c>
      <c r="O4" s="65">
        <v>7000</v>
      </c>
      <c r="P4" s="66">
        <f>Table22457891011234567891011121314151617181920212223242526272829303132333436[[#This Row],[PEMBULATAN]]*O4</f>
        <v>175000</v>
      </c>
    </row>
    <row r="5" spans="1:16" ht="26.25" customHeight="1" x14ac:dyDescent="0.2">
      <c r="A5" s="14"/>
      <c r="B5" s="14"/>
      <c r="C5" s="9" t="s">
        <v>857</v>
      </c>
      <c r="D5" s="77" t="s">
        <v>90</v>
      </c>
      <c r="E5" s="13">
        <v>44469</v>
      </c>
      <c r="F5" s="77" t="s">
        <v>355</v>
      </c>
      <c r="G5" s="13">
        <v>44470.916666666664</v>
      </c>
      <c r="H5" s="10" t="s">
        <v>832</v>
      </c>
      <c r="I5" s="1">
        <v>53</v>
      </c>
      <c r="J5" s="1">
        <v>38</v>
      </c>
      <c r="K5" s="1">
        <v>42</v>
      </c>
      <c r="L5" s="1">
        <v>19</v>
      </c>
      <c r="M5" s="81">
        <v>21.146999999999998</v>
      </c>
      <c r="N5" s="8">
        <v>21</v>
      </c>
      <c r="O5" s="65">
        <v>7000</v>
      </c>
      <c r="P5" s="66">
        <f>Table22457891011234567891011121314151617181920212223242526272829303132333436[[#This Row],[PEMBULATAN]]*O5</f>
        <v>147000</v>
      </c>
    </row>
    <row r="6" spans="1:16" ht="26.25" customHeight="1" x14ac:dyDescent="0.2">
      <c r="A6" s="14"/>
      <c r="B6" s="14"/>
      <c r="C6" s="74" t="s">
        <v>858</v>
      </c>
      <c r="D6" s="79" t="s">
        <v>90</v>
      </c>
      <c r="E6" s="13">
        <v>44469</v>
      </c>
      <c r="F6" s="77" t="s">
        <v>355</v>
      </c>
      <c r="G6" s="13">
        <v>44470.916666666664</v>
      </c>
      <c r="H6" s="78" t="s">
        <v>832</v>
      </c>
      <c r="I6" s="16">
        <v>60</v>
      </c>
      <c r="J6" s="16">
        <v>36</v>
      </c>
      <c r="K6" s="16">
        <v>43</v>
      </c>
      <c r="L6" s="16">
        <v>20</v>
      </c>
      <c r="M6" s="82">
        <v>23.22</v>
      </c>
      <c r="N6" s="73">
        <v>23</v>
      </c>
      <c r="O6" s="65">
        <v>7000</v>
      </c>
      <c r="P6" s="66">
        <f>Table22457891011234567891011121314151617181920212223242526272829303132333436[[#This Row],[PEMBULATAN]]*O6</f>
        <v>161000</v>
      </c>
    </row>
    <row r="7" spans="1:16" ht="26.25" customHeight="1" x14ac:dyDescent="0.2">
      <c r="A7" s="14"/>
      <c r="B7" s="14"/>
      <c r="C7" s="74" t="s">
        <v>859</v>
      </c>
      <c r="D7" s="79" t="s">
        <v>90</v>
      </c>
      <c r="E7" s="13">
        <v>44469</v>
      </c>
      <c r="F7" s="77" t="s">
        <v>355</v>
      </c>
      <c r="G7" s="13">
        <v>44470.916666666664</v>
      </c>
      <c r="H7" s="78" t="s">
        <v>832</v>
      </c>
      <c r="I7" s="16">
        <v>127</v>
      </c>
      <c r="J7" s="16">
        <v>28</v>
      </c>
      <c r="K7" s="16">
        <v>20</v>
      </c>
      <c r="L7" s="16">
        <v>6</v>
      </c>
      <c r="M7" s="82">
        <v>17.78</v>
      </c>
      <c r="N7" s="73">
        <v>18</v>
      </c>
      <c r="O7" s="65">
        <v>7000</v>
      </c>
      <c r="P7" s="66">
        <f>Table22457891011234567891011121314151617181920212223242526272829303132333436[[#This Row],[PEMBULATAN]]*O7</f>
        <v>126000</v>
      </c>
    </row>
    <row r="8" spans="1:16" ht="26.25" customHeight="1" x14ac:dyDescent="0.2">
      <c r="A8" s="14"/>
      <c r="B8" s="14"/>
      <c r="C8" s="74" t="s">
        <v>860</v>
      </c>
      <c r="D8" s="79" t="s">
        <v>90</v>
      </c>
      <c r="E8" s="13">
        <v>44469</v>
      </c>
      <c r="F8" s="77" t="s">
        <v>355</v>
      </c>
      <c r="G8" s="13">
        <v>44470.916666666664</v>
      </c>
      <c r="H8" s="78" t="s">
        <v>832</v>
      </c>
      <c r="I8" s="16">
        <v>40</v>
      </c>
      <c r="J8" s="16">
        <v>35</v>
      </c>
      <c r="K8" s="16">
        <v>28</v>
      </c>
      <c r="L8" s="16">
        <v>12</v>
      </c>
      <c r="M8" s="82">
        <v>9.8000000000000007</v>
      </c>
      <c r="N8" s="73">
        <v>12</v>
      </c>
      <c r="O8" s="65">
        <v>7000</v>
      </c>
      <c r="P8" s="66">
        <f>Table22457891011234567891011121314151617181920212223242526272829303132333436[[#This Row],[PEMBULATAN]]*O8</f>
        <v>84000</v>
      </c>
    </row>
    <row r="9" spans="1:16" ht="26.25" customHeight="1" x14ac:dyDescent="0.2">
      <c r="A9" s="14"/>
      <c r="B9" s="14"/>
      <c r="C9" s="74" t="s">
        <v>861</v>
      </c>
      <c r="D9" s="79" t="s">
        <v>90</v>
      </c>
      <c r="E9" s="13">
        <v>44469</v>
      </c>
      <c r="F9" s="77" t="s">
        <v>355</v>
      </c>
      <c r="G9" s="13">
        <v>44470.916666666664</v>
      </c>
      <c r="H9" s="78" t="s">
        <v>832</v>
      </c>
      <c r="I9" s="16">
        <v>51</v>
      </c>
      <c r="J9" s="16">
        <v>36</v>
      </c>
      <c r="K9" s="16">
        <v>21</v>
      </c>
      <c r="L9" s="16">
        <v>10</v>
      </c>
      <c r="M9" s="82">
        <v>9.6389999999999993</v>
      </c>
      <c r="N9" s="73">
        <v>10</v>
      </c>
      <c r="O9" s="65">
        <v>7000</v>
      </c>
      <c r="P9" s="66">
        <f>Table22457891011234567891011121314151617181920212223242526272829303132333436[[#This Row],[PEMBULATAN]]*O9</f>
        <v>70000</v>
      </c>
    </row>
    <row r="10" spans="1:16" ht="26.25" customHeight="1" x14ac:dyDescent="0.2">
      <c r="A10" s="14"/>
      <c r="B10" s="14"/>
      <c r="C10" s="74" t="s">
        <v>862</v>
      </c>
      <c r="D10" s="79" t="s">
        <v>90</v>
      </c>
      <c r="E10" s="13">
        <v>44469</v>
      </c>
      <c r="F10" s="77" t="s">
        <v>355</v>
      </c>
      <c r="G10" s="13">
        <v>44470.916666666664</v>
      </c>
      <c r="H10" s="78" t="s">
        <v>832</v>
      </c>
      <c r="I10" s="16">
        <v>51</v>
      </c>
      <c r="J10" s="16">
        <v>41</v>
      </c>
      <c r="K10" s="16">
        <v>38</v>
      </c>
      <c r="L10" s="16">
        <v>15</v>
      </c>
      <c r="M10" s="82">
        <v>19.8645</v>
      </c>
      <c r="N10" s="73">
        <v>20</v>
      </c>
      <c r="O10" s="65">
        <v>7000</v>
      </c>
      <c r="P10" s="66">
        <f>Table22457891011234567891011121314151617181920212223242526272829303132333436[[#This Row],[PEMBULATAN]]*O10</f>
        <v>140000</v>
      </c>
    </row>
    <row r="11" spans="1:16" ht="26.25" customHeight="1" x14ac:dyDescent="0.2">
      <c r="A11" s="14"/>
      <c r="B11" s="14"/>
      <c r="C11" s="74" t="s">
        <v>863</v>
      </c>
      <c r="D11" s="79" t="s">
        <v>90</v>
      </c>
      <c r="E11" s="13">
        <v>44469</v>
      </c>
      <c r="F11" s="77" t="s">
        <v>355</v>
      </c>
      <c r="G11" s="13">
        <v>44470.916666666664</v>
      </c>
      <c r="H11" s="78" t="s">
        <v>832</v>
      </c>
      <c r="I11" s="16">
        <v>110</v>
      </c>
      <c r="J11" s="16">
        <v>40</v>
      </c>
      <c r="K11" s="16">
        <v>13</v>
      </c>
      <c r="L11" s="16">
        <v>6</v>
      </c>
      <c r="M11" s="82">
        <v>14.3</v>
      </c>
      <c r="N11" s="73">
        <v>14</v>
      </c>
      <c r="O11" s="65">
        <v>7000</v>
      </c>
      <c r="P11" s="66">
        <f>Table22457891011234567891011121314151617181920212223242526272829303132333436[[#This Row],[PEMBULATAN]]*O11</f>
        <v>98000</v>
      </c>
    </row>
    <row r="12" spans="1:16" ht="26.25" customHeight="1" x14ac:dyDescent="0.2">
      <c r="A12" s="14"/>
      <c r="B12" s="14"/>
      <c r="C12" s="74" t="s">
        <v>864</v>
      </c>
      <c r="D12" s="79" t="s">
        <v>90</v>
      </c>
      <c r="E12" s="13">
        <v>44469</v>
      </c>
      <c r="F12" s="77" t="s">
        <v>355</v>
      </c>
      <c r="G12" s="13">
        <v>44470.916666666664</v>
      </c>
      <c r="H12" s="78" t="s">
        <v>832</v>
      </c>
      <c r="I12" s="16">
        <v>63</v>
      </c>
      <c r="J12" s="16">
        <v>38</v>
      </c>
      <c r="K12" s="16">
        <v>40</v>
      </c>
      <c r="L12" s="16">
        <v>24</v>
      </c>
      <c r="M12" s="82">
        <v>23.94</v>
      </c>
      <c r="N12" s="73">
        <v>24</v>
      </c>
      <c r="O12" s="65">
        <v>7000</v>
      </c>
      <c r="P12" s="66">
        <f>Table22457891011234567891011121314151617181920212223242526272829303132333436[[#This Row],[PEMBULATAN]]*O12</f>
        <v>168000</v>
      </c>
    </row>
    <row r="13" spans="1:16" ht="26.25" customHeight="1" x14ac:dyDescent="0.2">
      <c r="A13" s="14"/>
      <c r="B13" s="14"/>
      <c r="C13" s="74" t="s">
        <v>865</v>
      </c>
      <c r="D13" s="79" t="s">
        <v>90</v>
      </c>
      <c r="E13" s="13">
        <v>44469</v>
      </c>
      <c r="F13" s="77" t="s">
        <v>355</v>
      </c>
      <c r="G13" s="13">
        <v>44470.916666666664</v>
      </c>
      <c r="H13" s="78" t="s">
        <v>832</v>
      </c>
      <c r="I13" s="16">
        <v>57</v>
      </c>
      <c r="J13" s="16">
        <v>33</v>
      </c>
      <c r="K13" s="16">
        <v>30</v>
      </c>
      <c r="L13" s="16">
        <v>9</v>
      </c>
      <c r="M13" s="82">
        <v>14.1075</v>
      </c>
      <c r="N13" s="73">
        <v>14</v>
      </c>
      <c r="O13" s="65">
        <v>7000</v>
      </c>
      <c r="P13" s="66">
        <f>Table22457891011234567891011121314151617181920212223242526272829303132333436[[#This Row],[PEMBULATAN]]*O13</f>
        <v>98000</v>
      </c>
    </row>
    <row r="14" spans="1:16" ht="26.25" customHeight="1" x14ac:dyDescent="0.2">
      <c r="A14" s="14"/>
      <c r="B14" s="14"/>
      <c r="C14" s="74" t="s">
        <v>866</v>
      </c>
      <c r="D14" s="79" t="s">
        <v>90</v>
      </c>
      <c r="E14" s="13">
        <v>44469</v>
      </c>
      <c r="F14" s="77" t="s">
        <v>355</v>
      </c>
      <c r="G14" s="13">
        <v>44470.916666666664</v>
      </c>
      <c r="H14" s="78" t="s">
        <v>832</v>
      </c>
      <c r="I14" s="16">
        <v>45</v>
      </c>
      <c r="J14" s="16">
        <v>37</v>
      </c>
      <c r="K14" s="16">
        <v>26</v>
      </c>
      <c r="L14" s="16">
        <v>7</v>
      </c>
      <c r="M14" s="82">
        <v>10.8225</v>
      </c>
      <c r="N14" s="73">
        <v>11</v>
      </c>
      <c r="O14" s="65">
        <v>7000</v>
      </c>
      <c r="P14" s="66">
        <f>Table22457891011234567891011121314151617181920212223242526272829303132333436[[#This Row],[PEMBULATAN]]*O14</f>
        <v>77000</v>
      </c>
    </row>
    <row r="15" spans="1:16" ht="26.25" customHeight="1" x14ac:dyDescent="0.2">
      <c r="A15" s="14"/>
      <c r="B15" s="14"/>
      <c r="C15" s="74" t="s">
        <v>867</v>
      </c>
      <c r="D15" s="79" t="s">
        <v>90</v>
      </c>
      <c r="E15" s="13">
        <v>44469</v>
      </c>
      <c r="F15" s="77" t="s">
        <v>355</v>
      </c>
      <c r="G15" s="13">
        <v>44470.916666666664</v>
      </c>
      <c r="H15" s="78" t="s">
        <v>832</v>
      </c>
      <c r="I15" s="16">
        <v>40</v>
      </c>
      <c r="J15" s="16">
        <v>34</v>
      </c>
      <c r="K15" s="16">
        <v>20</v>
      </c>
      <c r="L15" s="16">
        <v>12</v>
      </c>
      <c r="M15" s="82">
        <v>6.8</v>
      </c>
      <c r="N15" s="73">
        <v>12</v>
      </c>
      <c r="O15" s="65">
        <v>7000</v>
      </c>
      <c r="P15" s="66">
        <f>Table22457891011234567891011121314151617181920212223242526272829303132333436[[#This Row],[PEMBULATAN]]*O15</f>
        <v>84000</v>
      </c>
    </row>
    <row r="16" spans="1:16" ht="26.25" customHeight="1" x14ac:dyDescent="0.2">
      <c r="A16" s="14"/>
      <c r="B16" s="14"/>
      <c r="C16" s="74" t="s">
        <v>868</v>
      </c>
      <c r="D16" s="79" t="s">
        <v>90</v>
      </c>
      <c r="E16" s="13">
        <v>44469</v>
      </c>
      <c r="F16" s="77" t="s">
        <v>355</v>
      </c>
      <c r="G16" s="13">
        <v>44470.916666666664</v>
      </c>
      <c r="H16" s="78" t="s">
        <v>832</v>
      </c>
      <c r="I16" s="16">
        <v>38</v>
      </c>
      <c r="J16" s="16">
        <v>33</v>
      </c>
      <c r="K16" s="16">
        <v>23</v>
      </c>
      <c r="L16" s="16">
        <v>8</v>
      </c>
      <c r="M16" s="82">
        <v>7.2104999999999997</v>
      </c>
      <c r="N16" s="73">
        <v>8</v>
      </c>
      <c r="O16" s="65">
        <v>7000</v>
      </c>
      <c r="P16" s="66">
        <f>Table22457891011234567891011121314151617181920212223242526272829303132333436[[#This Row],[PEMBULATAN]]*O16</f>
        <v>56000</v>
      </c>
    </row>
    <row r="17" spans="1:16" ht="26.25" customHeight="1" x14ac:dyDescent="0.2">
      <c r="A17" s="14"/>
      <c r="B17" s="14"/>
      <c r="C17" s="74" t="s">
        <v>869</v>
      </c>
      <c r="D17" s="79" t="s">
        <v>90</v>
      </c>
      <c r="E17" s="13">
        <v>44469</v>
      </c>
      <c r="F17" s="77" t="s">
        <v>355</v>
      </c>
      <c r="G17" s="13">
        <v>44470.916666666664</v>
      </c>
      <c r="H17" s="78" t="s">
        <v>832</v>
      </c>
      <c r="I17" s="16">
        <v>34</v>
      </c>
      <c r="J17" s="16">
        <v>33</v>
      </c>
      <c r="K17" s="16">
        <v>23</v>
      </c>
      <c r="L17" s="16">
        <v>5</v>
      </c>
      <c r="M17" s="82">
        <v>6.4515000000000002</v>
      </c>
      <c r="N17" s="73">
        <v>6</v>
      </c>
      <c r="O17" s="65">
        <v>7000</v>
      </c>
      <c r="P17" s="66">
        <f>Table22457891011234567891011121314151617181920212223242526272829303132333436[[#This Row],[PEMBULATAN]]*O17</f>
        <v>42000</v>
      </c>
    </row>
    <row r="18" spans="1:16" ht="26.25" customHeight="1" x14ac:dyDescent="0.2">
      <c r="A18" s="14"/>
      <c r="B18" s="14"/>
      <c r="C18" s="74" t="s">
        <v>870</v>
      </c>
      <c r="D18" s="79" t="s">
        <v>90</v>
      </c>
      <c r="E18" s="13">
        <v>44469</v>
      </c>
      <c r="F18" s="77" t="s">
        <v>355</v>
      </c>
      <c r="G18" s="13">
        <v>44470.916666666664</v>
      </c>
      <c r="H18" s="78" t="s">
        <v>832</v>
      </c>
      <c r="I18" s="16">
        <v>33</v>
      </c>
      <c r="J18" s="16">
        <v>32</v>
      </c>
      <c r="K18" s="16">
        <v>26</v>
      </c>
      <c r="L18" s="16">
        <v>15</v>
      </c>
      <c r="M18" s="82">
        <v>6.8639999999999999</v>
      </c>
      <c r="N18" s="73">
        <v>15</v>
      </c>
      <c r="O18" s="65">
        <v>7000</v>
      </c>
      <c r="P18" s="66">
        <f>Table22457891011234567891011121314151617181920212223242526272829303132333436[[#This Row],[PEMBULATAN]]*O18</f>
        <v>105000</v>
      </c>
    </row>
    <row r="19" spans="1:16" ht="26.25" customHeight="1" x14ac:dyDescent="0.2">
      <c r="A19" s="14"/>
      <c r="B19" s="14"/>
      <c r="C19" s="74" t="s">
        <v>871</v>
      </c>
      <c r="D19" s="79" t="s">
        <v>90</v>
      </c>
      <c r="E19" s="13">
        <v>44469</v>
      </c>
      <c r="F19" s="77" t="s">
        <v>355</v>
      </c>
      <c r="G19" s="13">
        <v>44470.916666666664</v>
      </c>
      <c r="H19" s="78" t="s">
        <v>832</v>
      </c>
      <c r="I19" s="16">
        <v>37</v>
      </c>
      <c r="J19" s="16">
        <v>32</v>
      </c>
      <c r="K19" s="16">
        <v>26</v>
      </c>
      <c r="L19" s="16">
        <v>5</v>
      </c>
      <c r="M19" s="82">
        <v>7.6959999999999997</v>
      </c>
      <c r="N19" s="73">
        <v>8</v>
      </c>
      <c r="O19" s="65">
        <v>7000</v>
      </c>
      <c r="P19" s="66">
        <f>Table22457891011234567891011121314151617181920212223242526272829303132333436[[#This Row],[PEMBULATAN]]*O19</f>
        <v>56000</v>
      </c>
    </row>
    <row r="20" spans="1:16" ht="26.25" customHeight="1" x14ac:dyDescent="0.2">
      <c r="A20" s="14"/>
      <c r="B20" s="14"/>
      <c r="C20" s="74" t="s">
        <v>872</v>
      </c>
      <c r="D20" s="79" t="s">
        <v>90</v>
      </c>
      <c r="E20" s="13">
        <v>44469</v>
      </c>
      <c r="F20" s="77" t="s">
        <v>355</v>
      </c>
      <c r="G20" s="13">
        <v>44470.916666666664</v>
      </c>
      <c r="H20" s="78" t="s">
        <v>832</v>
      </c>
      <c r="I20" s="16">
        <v>65</v>
      </c>
      <c r="J20" s="16">
        <v>57</v>
      </c>
      <c r="K20" s="16">
        <v>29</v>
      </c>
      <c r="L20" s="16">
        <v>9</v>
      </c>
      <c r="M20" s="82">
        <v>26.861249999999998</v>
      </c>
      <c r="N20" s="73">
        <v>27</v>
      </c>
      <c r="O20" s="65">
        <v>7000</v>
      </c>
      <c r="P20" s="66">
        <f>Table22457891011234567891011121314151617181920212223242526272829303132333436[[#This Row],[PEMBULATAN]]*O20</f>
        <v>189000</v>
      </c>
    </row>
    <row r="21" spans="1:16" ht="26.25" customHeight="1" x14ac:dyDescent="0.2">
      <c r="A21" s="14"/>
      <c r="B21" s="14"/>
      <c r="C21" s="74" t="s">
        <v>873</v>
      </c>
      <c r="D21" s="79" t="s">
        <v>90</v>
      </c>
      <c r="E21" s="13">
        <v>44469</v>
      </c>
      <c r="F21" s="77" t="s">
        <v>355</v>
      </c>
      <c r="G21" s="13">
        <v>44470.916666666664</v>
      </c>
      <c r="H21" s="78" t="s">
        <v>832</v>
      </c>
      <c r="I21" s="16">
        <v>104</v>
      </c>
      <c r="J21" s="16">
        <v>26</v>
      </c>
      <c r="K21" s="16">
        <v>26</v>
      </c>
      <c r="L21" s="16">
        <v>33</v>
      </c>
      <c r="M21" s="82">
        <v>17.576000000000001</v>
      </c>
      <c r="N21" s="73">
        <v>33</v>
      </c>
      <c r="O21" s="65">
        <v>7000</v>
      </c>
      <c r="P21" s="66">
        <f>Table22457891011234567891011121314151617181920212223242526272829303132333436[[#This Row],[PEMBULATAN]]*O21</f>
        <v>231000</v>
      </c>
    </row>
    <row r="22" spans="1:16" ht="26.25" customHeight="1" x14ac:dyDescent="0.2">
      <c r="A22" s="14"/>
      <c r="B22" s="14"/>
      <c r="C22" s="74" t="s">
        <v>874</v>
      </c>
      <c r="D22" s="79" t="s">
        <v>90</v>
      </c>
      <c r="E22" s="13">
        <v>44469</v>
      </c>
      <c r="F22" s="77" t="s">
        <v>355</v>
      </c>
      <c r="G22" s="13">
        <v>44470.916666666664</v>
      </c>
      <c r="H22" s="78" t="s">
        <v>832</v>
      </c>
      <c r="I22" s="16">
        <v>116</v>
      </c>
      <c r="J22" s="16">
        <v>17</v>
      </c>
      <c r="K22" s="16">
        <v>11</v>
      </c>
      <c r="L22" s="16">
        <v>10</v>
      </c>
      <c r="M22" s="82">
        <v>5.423</v>
      </c>
      <c r="N22" s="73">
        <v>10</v>
      </c>
      <c r="O22" s="65">
        <v>7000</v>
      </c>
      <c r="P22" s="66">
        <f>Table22457891011234567891011121314151617181920212223242526272829303132333436[[#This Row],[PEMBULATAN]]*O22</f>
        <v>70000</v>
      </c>
    </row>
    <row r="23" spans="1:16" ht="26.25" customHeight="1" x14ac:dyDescent="0.2">
      <c r="A23" s="14"/>
      <c r="B23" s="104"/>
      <c r="C23" s="74" t="s">
        <v>875</v>
      </c>
      <c r="D23" s="79" t="s">
        <v>90</v>
      </c>
      <c r="E23" s="13">
        <v>44469</v>
      </c>
      <c r="F23" s="77" t="s">
        <v>355</v>
      </c>
      <c r="G23" s="13">
        <v>44470.916666666664</v>
      </c>
      <c r="H23" s="78" t="s">
        <v>832</v>
      </c>
      <c r="I23" s="16">
        <v>64</v>
      </c>
      <c r="J23" s="16">
        <v>23</v>
      </c>
      <c r="K23" s="16">
        <v>7</v>
      </c>
      <c r="L23" s="16">
        <v>4</v>
      </c>
      <c r="M23" s="82">
        <v>2.5760000000000001</v>
      </c>
      <c r="N23" s="73">
        <v>4</v>
      </c>
      <c r="O23" s="65">
        <v>7000</v>
      </c>
      <c r="P23" s="66">
        <f>Table22457891011234567891011121314151617181920212223242526272829303132333436[[#This Row],[PEMBULATAN]]*O23</f>
        <v>28000</v>
      </c>
    </row>
    <row r="24" spans="1:16" ht="26.25" customHeight="1" x14ac:dyDescent="0.2">
      <c r="A24" s="14"/>
      <c r="B24" s="14" t="s">
        <v>876</v>
      </c>
      <c r="C24" s="74" t="s">
        <v>877</v>
      </c>
      <c r="D24" s="79" t="s">
        <v>90</v>
      </c>
      <c r="E24" s="13">
        <v>44469</v>
      </c>
      <c r="F24" s="77" t="s">
        <v>355</v>
      </c>
      <c r="G24" s="13">
        <v>44470.916666666664</v>
      </c>
      <c r="H24" s="78" t="s">
        <v>832</v>
      </c>
      <c r="I24" s="16">
        <v>65</v>
      </c>
      <c r="J24" s="16">
        <v>56</v>
      </c>
      <c r="K24" s="16">
        <v>21</v>
      </c>
      <c r="L24" s="16">
        <v>14</v>
      </c>
      <c r="M24" s="82">
        <v>19.11</v>
      </c>
      <c r="N24" s="73">
        <v>19</v>
      </c>
      <c r="O24" s="65">
        <v>7000</v>
      </c>
      <c r="P24" s="66">
        <f>Table22457891011234567891011121314151617181920212223242526272829303132333436[[#This Row],[PEMBULATAN]]*O24</f>
        <v>133000</v>
      </c>
    </row>
    <row r="25" spans="1:16" ht="26.25" customHeight="1" x14ac:dyDescent="0.2">
      <c r="A25" s="14"/>
      <c r="B25" s="14"/>
      <c r="C25" s="74" t="s">
        <v>878</v>
      </c>
      <c r="D25" s="79" t="s">
        <v>90</v>
      </c>
      <c r="E25" s="13">
        <v>44469</v>
      </c>
      <c r="F25" s="77" t="s">
        <v>355</v>
      </c>
      <c r="G25" s="13">
        <v>44470.916666666664</v>
      </c>
      <c r="H25" s="78" t="s">
        <v>832</v>
      </c>
      <c r="I25" s="16">
        <v>65</v>
      </c>
      <c r="J25" s="16">
        <v>56</v>
      </c>
      <c r="K25" s="16">
        <v>21</v>
      </c>
      <c r="L25" s="16">
        <v>14</v>
      </c>
      <c r="M25" s="82">
        <v>19.11</v>
      </c>
      <c r="N25" s="73">
        <v>19</v>
      </c>
      <c r="O25" s="65">
        <v>7000</v>
      </c>
      <c r="P25" s="66">
        <f>Table22457891011234567891011121314151617181920212223242526272829303132333436[[#This Row],[PEMBULATAN]]*O25</f>
        <v>133000</v>
      </c>
    </row>
    <row r="26" spans="1:16" ht="26.25" customHeight="1" x14ac:dyDescent="0.2">
      <c r="A26" s="14"/>
      <c r="B26" s="14"/>
      <c r="C26" s="74" t="s">
        <v>879</v>
      </c>
      <c r="D26" s="79" t="s">
        <v>90</v>
      </c>
      <c r="E26" s="13">
        <v>44469</v>
      </c>
      <c r="F26" s="77" t="s">
        <v>355</v>
      </c>
      <c r="G26" s="13">
        <v>44470.916666666664</v>
      </c>
      <c r="H26" s="78" t="s">
        <v>832</v>
      </c>
      <c r="I26" s="16">
        <v>65</v>
      </c>
      <c r="J26" s="16">
        <v>56</v>
      </c>
      <c r="K26" s="16">
        <v>21</v>
      </c>
      <c r="L26" s="16">
        <v>14</v>
      </c>
      <c r="M26" s="82">
        <v>19.11</v>
      </c>
      <c r="N26" s="73">
        <v>19</v>
      </c>
      <c r="O26" s="65">
        <v>7000</v>
      </c>
      <c r="P26" s="66">
        <f>Table22457891011234567891011121314151617181920212223242526272829303132333436[[#This Row],[PEMBULATAN]]*O26</f>
        <v>133000</v>
      </c>
    </row>
    <row r="27" spans="1:16" ht="26.25" customHeight="1" x14ac:dyDescent="0.2">
      <c r="A27" s="14"/>
      <c r="B27" s="14"/>
      <c r="C27" s="74" t="s">
        <v>880</v>
      </c>
      <c r="D27" s="79" t="s">
        <v>90</v>
      </c>
      <c r="E27" s="13">
        <v>44469</v>
      </c>
      <c r="F27" s="77" t="s">
        <v>355</v>
      </c>
      <c r="G27" s="13">
        <v>44470.916666666664</v>
      </c>
      <c r="H27" s="78" t="s">
        <v>832</v>
      </c>
      <c r="I27" s="16">
        <v>65</v>
      </c>
      <c r="J27" s="16">
        <v>56</v>
      </c>
      <c r="K27" s="16">
        <v>21</v>
      </c>
      <c r="L27" s="16">
        <v>14</v>
      </c>
      <c r="M27" s="82">
        <v>19.11</v>
      </c>
      <c r="N27" s="73">
        <v>19</v>
      </c>
      <c r="O27" s="65">
        <v>7000</v>
      </c>
      <c r="P27" s="66">
        <f>Table22457891011234567891011121314151617181920212223242526272829303132333436[[#This Row],[PEMBULATAN]]*O27</f>
        <v>133000</v>
      </c>
    </row>
    <row r="28" spans="1:16" ht="26.25" customHeight="1" x14ac:dyDescent="0.2">
      <c r="A28" s="14"/>
      <c r="B28" s="14"/>
      <c r="C28" s="74" t="s">
        <v>881</v>
      </c>
      <c r="D28" s="79" t="s">
        <v>90</v>
      </c>
      <c r="E28" s="13">
        <v>44469</v>
      </c>
      <c r="F28" s="77" t="s">
        <v>355</v>
      </c>
      <c r="G28" s="13">
        <v>44470.916666666664</v>
      </c>
      <c r="H28" s="78" t="s">
        <v>832</v>
      </c>
      <c r="I28" s="16">
        <v>32</v>
      </c>
      <c r="J28" s="16">
        <v>18</v>
      </c>
      <c r="K28" s="16">
        <v>21</v>
      </c>
      <c r="L28" s="16">
        <v>8</v>
      </c>
      <c r="M28" s="82">
        <v>3.024</v>
      </c>
      <c r="N28" s="73">
        <v>8</v>
      </c>
      <c r="O28" s="65">
        <v>7000</v>
      </c>
      <c r="P28" s="66">
        <f>Table22457891011234567891011121314151617181920212223242526272829303132333436[[#This Row],[PEMBULATAN]]*O28</f>
        <v>56000</v>
      </c>
    </row>
    <row r="29" spans="1:16" ht="26.25" customHeight="1" x14ac:dyDescent="0.2">
      <c r="A29" s="14"/>
      <c r="B29" s="14"/>
      <c r="C29" s="74" t="s">
        <v>882</v>
      </c>
      <c r="D29" s="79" t="s">
        <v>90</v>
      </c>
      <c r="E29" s="13">
        <v>44469</v>
      </c>
      <c r="F29" s="77" t="s">
        <v>355</v>
      </c>
      <c r="G29" s="13">
        <v>44470.916666666664</v>
      </c>
      <c r="H29" s="78" t="s">
        <v>832</v>
      </c>
      <c r="I29" s="16">
        <v>32</v>
      </c>
      <c r="J29" s="16">
        <v>18</v>
      </c>
      <c r="K29" s="16">
        <v>21</v>
      </c>
      <c r="L29" s="16">
        <v>8</v>
      </c>
      <c r="M29" s="82">
        <v>3.024</v>
      </c>
      <c r="N29" s="73">
        <v>8</v>
      </c>
      <c r="O29" s="65">
        <v>7000</v>
      </c>
      <c r="P29" s="66">
        <f>Table22457891011234567891011121314151617181920212223242526272829303132333436[[#This Row],[PEMBULATAN]]*O29</f>
        <v>56000</v>
      </c>
    </row>
    <row r="30" spans="1:16" ht="26.25" customHeight="1" x14ac:dyDescent="0.2">
      <c r="A30" s="14"/>
      <c r="B30" s="14"/>
      <c r="C30" s="74" t="s">
        <v>883</v>
      </c>
      <c r="D30" s="79" t="s">
        <v>90</v>
      </c>
      <c r="E30" s="13">
        <v>44469</v>
      </c>
      <c r="F30" s="77" t="s">
        <v>355</v>
      </c>
      <c r="G30" s="13">
        <v>44470.916666666664</v>
      </c>
      <c r="H30" s="78" t="s">
        <v>832</v>
      </c>
      <c r="I30" s="16">
        <v>35</v>
      </c>
      <c r="J30" s="16">
        <v>36</v>
      </c>
      <c r="K30" s="16">
        <v>18</v>
      </c>
      <c r="L30" s="16">
        <v>2</v>
      </c>
      <c r="M30" s="82">
        <v>5.67</v>
      </c>
      <c r="N30" s="73">
        <v>6</v>
      </c>
      <c r="O30" s="65">
        <v>7000</v>
      </c>
      <c r="P30" s="66">
        <f>Table22457891011234567891011121314151617181920212223242526272829303132333436[[#This Row],[PEMBULATAN]]*O30</f>
        <v>42000</v>
      </c>
    </row>
    <row r="31" spans="1:16" ht="26.25" customHeight="1" x14ac:dyDescent="0.2">
      <c r="A31" s="14"/>
      <c r="B31" s="14"/>
      <c r="C31" s="74" t="s">
        <v>884</v>
      </c>
      <c r="D31" s="79" t="s">
        <v>90</v>
      </c>
      <c r="E31" s="13">
        <v>44469</v>
      </c>
      <c r="F31" s="77" t="s">
        <v>355</v>
      </c>
      <c r="G31" s="13">
        <v>44470.916666666664</v>
      </c>
      <c r="H31" s="78" t="s">
        <v>832</v>
      </c>
      <c r="I31" s="16">
        <v>32</v>
      </c>
      <c r="J31" s="16">
        <v>18</v>
      </c>
      <c r="K31" s="16">
        <v>21</v>
      </c>
      <c r="L31" s="16">
        <v>8</v>
      </c>
      <c r="M31" s="82">
        <v>3.024</v>
      </c>
      <c r="N31" s="73">
        <v>8</v>
      </c>
      <c r="O31" s="65">
        <v>7000</v>
      </c>
      <c r="P31" s="66">
        <f>Table22457891011234567891011121314151617181920212223242526272829303132333436[[#This Row],[PEMBULATAN]]*O31</f>
        <v>56000</v>
      </c>
    </row>
    <row r="32" spans="1:16" ht="26.25" customHeight="1" x14ac:dyDescent="0.2">
      <c r="A32" s="14"/>
      <c r="B32" s="14"/>
      <c r="C32" s="74" t="s">
        <v>885</v>
      </c>
      <c r="D32" s="79" t="s">
        <v>90</v>
      </c>
      <c r="E32" s="13">
        <v>44469</v>
      </c>
      <c r="F32" s="77" t="s">
        <v>355</v>
      </c>
      <c r="G32" s="13">
        <v>44470.916666666664</v>
      </c>
      <c r="H32" s="78" t="s">
        <v>832</v>
      </c>
      <c r="I32" s="16">
        <v>47</v>
      </c>
      <c r="J32" s="16">
        <v>33</v>
      </c>
      <c r="K32" s="16">
        <v>29</v>
      </c>
      <c r="L32" s="16">
        <v>9</v>
      </c>
      <c r="M32" s="82">
        <v>11.24475</v>
      </c>
      <c r="N32" s="73">
        <v>11</v>
      </c>
      <c r="O32" s="65">
        <v>7000</v>
      </c>
      <c r="P32" s="66">
        <f>Table22457891011234567891011121314151617181920212223242526272829303132333436[[#This Row],[PEMBULATAN]]*O32</f>
        <v>77000</v>
      </c>
    </row>
    <row r="33" spans="1:16" ht="26.25" customHeight="1" x14ac:dyDescent="0.2">
      <c r="A33" s="14"/>
      <c r="B33" s="14"/>
      <c r="C33" s="74" t="s">
        <v>886</v>
      </c>
      <c r="D33" s="79" t="s">
        <v>90</v>
      </c>
      <c r="E33" s="13">
        <v>44469</v>
      </c>
      <c r="F33" s="77" t="s">
        <v>355</v>
      </c>
      <c r="G33" s="13">
        <v>44470.916666666664</v>
      </c>
      <c r="H33" s="78" t="s">
        <v>832</v>
      </c>
      <c r="I33" s="16">
        <v>47</v>
      </c>
      <c r="J33" s="16">
        <v>33</v>
      </c>
      <c r="K33" s="16">
        <v>29</v>
      </c>
      <c r="L33" s="16">
        <v>9</v>
      </c>
      <c r="M33" s="82">
        <v>11.24475</v>
      </c>
      <c r="N33" s="73">
        <v>11</v>
      </c>
      <c r="O33" s="65">
        <v>7000</v>
      </c>
      <c r="P33" s="66">
        <f>Table22457891011234567891011121314151617181920212223242526272829303132333436[[#This Row],[PEMBULATAN]]*O33</f>
        <v>77000</v>
      </c>
    </row>
    <row r="34" spans="1:16" ht="26.25" customHeight="1" x14ac:dyDescent="0.2">
      <c r="A34" s="14"/>
      <c r="B34" s="14"/>
      <c r="C34" s="74" t="s">
        <v>887</v>
      </c>
      <c r="D34" s="79" t="s">
        <v>90</v>
      </c>
      <c r="E34" s="13">
        <v>44469</v>
      </c>
      <c r="F34" s="77" t="s">
        <v>355</v>
      </c>
      <c r="G34" s="13">
        <v>44470.916666666664</v>
      </c>
      <c r="H34" s="78" t="s">
        <v>832</v>
      </c>
      <c r="I34" s="16">
        <v>35</v>
      </c>
      <c r="J34" s="16">
        <v>35</v>
      </c>
      <c r="K34" s="16">
        <v>18</v>
      </c>
      <c r="L34" s="16">
        <v>12</v>
      </c>
      <c r="M34" s="82">
        <v>5.5125000000000002</v>
      </c>
      <c r="N34" s="73">
        <v>12</v>
      </c>
      <c r="O34" s="65">
        <v>7000</v>
      </c>
      <c r="P34" s="66">
        <f>Table22457891011234567891011121314151617181920212223242526272829303132333436[[#This Row],[PEMBULATAN]]*O34</f>
        <v>84000</v>
      </c>
    </row>
    <row r="35" spans="1:16" ht="26.25" customHeight="1" x14ac:dyDescent="0.2">
      <c r="A35" s="14"/>
      <c r="B35" s="14"/>
      <c r="C35" s="74" t="s">
        <v>888</v>
      </c>
      <c r="D35" s="79" t="s">
        <v>90</v>
      </c>
      <c r="E35" s="13">
        <v>44469</v>
      </c>
      <c r="F35" s="77" t="s">
        <v>355</v>
      </c>
      <c r="G35" s="13">
        <v>44470.916666666664</v>
      </c>
      <c r="H35" s="78" t="s">
        <v>832</v>
      </c>
      <c r="I35" s="16">
        <v>35</v>
      </c>
      <c r="J35" s="16">
        <v>35</v>
      </c>
      <c r="K35" s="16">
        <v>18</v>
      </c>
      <c r="L35" s="16">
        <v>12</v>
      </c>
      <c r="M35" s="82">
        <v>5.5125000000000002</v>
      </c>
      <c r="N35" s="73">
        <v>12</v>
      </c>
      <c r="O35" s="65">
        <v>7000</v>
      </c>
      <c r="P35" s="66">
        <f>Table22457891011234567891011121314151617181920212223242526272829303132333436[[#This Row],[PEMBULATAN]]*O35</f>
        <v>84000</v>
      </c>
    </row>
    <row r="36" spans="1:16" ht="26.25" customHeight="1" x14ac:dyDescent="0.2">
      <c r="A36" s="14"/>
      <c r="B36" s="14"/>
      <c r="C36" s="74" t="s">
        <v>889</v>
      </c>
      <c r="D36" s="79" t="s">
        <v>90</v>
      </c>
      <c r="E36" s="13">
        <v>44469</v>
      </c>
      <c r="F36" s="77" t="s">
        <v>355</v>
      </c>
      <c r="G36" s="13">
        <v>44470.916666666664</v>
      </c>
      <c r="H36" s="78" t="s">
        <v>832</v>
      </c>
      <c r="I36" s="16">
        <v>35</v>
      </c>
      <c r="J36" s="16">
        <v>35</v>
      </c>
      <c r="K36" s="16">
        <v>18</v>
      </c>
      <c r="L36" s="16">
        <v>12</v>
      </c>
      <c r="M36" s="82">
        <v>5.5125000000000002</v>
      </c>
      <c r="N36" s="73">
        <v>12</v>
      </c>
      <c r="O36" s="65">
        <v>7000</v>
      </c>
      <c r="P36" s="66">
        <f>Table22457891011234567891011121314151617181920212223242526272829303132333436[[#This Row],[PEMBULATAN]]*O36</f>
        <v>84000</v>
      </c>
    </row>
    <row r="37" spans="1:16" ht="26.25" customHeight="1" x14ac:dyDescent="0.2">
      <c r="A37" s="14"/>
      <c r="B37" s="104"/>
      <c r="C37" s="74" t="s">
        <v>890</v>
      </c>
      <c r="D37" s="79" t="s">
        <v>90</v>
      </c>
      <c r="E37" s="13">
        <v>44469</v>
      </c>
      <c r="F37" s="77" t="s">
        <v>355</v>
      </c>
      <c r="G37" s="13">
        <v>44470.916666666664</v>
      </c>
      <c r="H37" s="78" t="s">
        <v>832</v>
      </c>
      <c r="I37" s="16">
        <v>47</v>
      </c>
      <c r="J37" s="16">
        <v>33</v>
      </c>
      <c r="K37" s="16">
        <v>29</v>
      </c>
      <c r="L37" s="16">
        <v>9</v>
      </c>
      <c r="M37" s="82">
        <v>11.24475</v>
      </c>
      <c r="N37" s="73">
        <v>11</v>
      </c>
      <c r="O37" s="65">
        <v>7000</v>
      </c>
      <c r="P37" s="66">
        <f>Table22457891011234567891011121314151617181920212223242526272829303132333436[[#This Row],[PEMBULATAN]]*O37</f>
        <v>77000</v>
      </c>
    </row>
    <row r="38" spans="1:16" ht="26.25" customHeight="1" x14ac:dyDescent="0.2">
      <c r="A38" s="14"/>
      <c r="B38" s="14" t="s">
        <v>891</v>
      </c>
      <c r="C38" s="74" t="s">
        <v>892</v>
      </c>
      <c r="D38" s="79" t="s">
        <v>90</v>
      </c>
      <c r="E38" s="13">
        <v>44469</v>
      </c>
      <c r="F38" s="77" t="s">
        <v>355</v>
      </c>
      <c r="G38" s="13">
        <v>44470.916666666664</v>
      </c>
      <c r="H38" s="78" t="s">
        <v>832</v>
      </c>
      <c r="I38" s="16">
        <v>40</v>
      </c>
      <c r="J38" s="16">
        <v>40</v>
      </c>
      <c r="K38" s="16">
        <v>45</v>
      </c>
      <c r="L38" s="16">
        <v>16</v>
      </c>
      <c r="M38" s="82">
        <v>18</v>
      </c>
      <c r="N38" s="73">
        <v>18</v>
      </c>
      <c r="O38" s="65">
        <v>7000</v>
      </c>
      <c r="P38" s="66">
        <f>Table22457891011234567891011121314151617181920212223242526272829303132333436[[#This Row],[PEMBULATAN]]*O38</f>
        <v>126000</v>
      </c>
    </row>
    <row r="39" spans="1:16" ht="26.25" customHeight="1" x14ac:dyDescent="0.2">
      <c r="A39" s="14"/>
      <c r="B39" s="14"/>
      <c r="C39" s="74" t="s">
        <v>893</v>
      </c>
      <c r="D39" s="79" t="s">
        <v>90</v>
      </c>
      <c r="E39" s="13">
        <v>44469</v>
      </c>
      <c r="F39" s="77" t="s">
        <v>355</v>
      </c>
      <c r="G39" s="13">
        <v>44470.916666666664</v>
      </c>
      <c r="H39" s="78" t="s">
        <v>832</v>
      </c>
      <c r="I39" s="16">
        <v>57</v>
      </c>
      <c r="J39" s="16">
        <v>46</v>
      </c>
      <c r="K39" s="16">
        <v>37</v>
      </c>
      <c r="L39" s="16">
        <v>14</v>
      </c>
      <c r="M39" s="82">
        <v>24.253499999999999</v>
      </c>
      <c r="N39" s="73">
        <v>24</v>
      </c>
      <c r="O39" s="65">
        <v>7000</v>
      </c>
      <c r="P39" s="66">
        <f>Table22457891011234567891011121314151617181920212223242526272829303132333436[[#This Row],[PEMBULATAN]]*O39</f>
        <v>168000</v>
      </c>
    </row>
    <row r="40" spans="1:16" ht="26.25" customHeight="1" x14ac:dyDescent="0.2">
      <c r="A40" s="14"/>
      <c r="B40" s="14"/>
      <c r="C40" s="74" t="s">
        <v>894</v>
      </c>
      <c r="D40" s="79" t="s">
        <v>90</v>
      </c>
      <c r="E40" s="13">
        <v>44469</v>
      </c>
      <c r="F40" s="77" t="s">
        <v>355</v>
      </c>
      <c r="G40" s="13">
        <v>44470.916666666664</v>
      </c>
      <c r="H40" s="78" t="s">
        <v>832</v>
      </c>
      <c r="I40" s="16">
        <v>60</v>
      </c>
      <c r="J40" s="16">
        <v>40</v>
      </c>
      <c r="K40" s="16">
        <v>40</v>
      </c>
      <c r="L40" s="16">
        <v>15</v>
      </c>
      <c r="M40" s="82">
        <v>24</v>
      </c>
      <c r="N40" s="73">
        <v>24</v>
      </c>
      <c r="O40" s="65">
        <v>7000</v>
      </c>
      <c r="P40" s="66">
        <f>Table22457891011234567891011121314151617181920212223242526272829303132333436[[#This Row],[PEMBULATAN]]*O40</f>
        <v>168000</v>
      </c>
    </row>
    <row r="41" spans="1:16" ht="22.5" customHeight="1" x14ac:dyDescent="0.2">
      <c r="A41" s="136" t="s">
        <v>30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  <c r="M41" s="80">
        <f>SUBTOTAL(109,Table22457891011234567891011121314151617181920212223242526272829303132333436[KG VOLUME])</f>
        <v>491.62975000000006</v>
      </c>
      <c r="N41" s="69">
        <f>SUM(N3:N40)</f>
        <v>563</v>
      </c>
      <c r="O41" s="139">
        <f>SUM(P3:P40)</f>
        <v>3941000</v>
      </c>
      <c r="P41" s="140"/>
    </row>
    <row r="42" spans="1:16" ht="18" customHeight="1" x14ac:dyDescent="0.2">
      <c r="A42" s="87"/>
      <c r="B42" s="57" t="s">
        <v>42</v>
      </c>
      <c r="C42" s="56"/>
      <c r="D42" s="58" t="s">
        <v>43</v>
      </c>
      <c r="E42" s="87"/>
      <c r="F42" s="87"/>
      <c r="G42" s="87"/>
      <c r="H42" s="87"/>
      <c r="I42" s="87"/>
      <c r="J42" s="87"/>
      <c r="K42" s="87"/>
      <c r="L42" s="87"/>
      <c r="M42" s="88"/>
      <c r="N42" s="89" t="s">
        <v>52</v>
      </c>
      <c r="O42" s="90"/>
      <c r="P42" s="90">
        <v>0</v>
      </c>
    </row>
    <row r="43" spans="1:16" ht="18" customHeight="1" thickBot="1" x14ac:dyDescent="0.25">
      <c r="A43" s="87"/>
      <c r="B43" s="57"/>
      <c r="C43" s="56"/>
      <c r="D43" s="58"/>
      <c r="E43" s="87"/>
      <c r="F43" s="87"/>
      <c r="G43" s="87"/>
      <c r="H43" s="87"/>
      <c r="I43" s="87"/>
      <c r="J43" s="87"/>
      <c r="K43" s="87"/>
      <c r="L43" s="87"/>
      <c r="M43" s="88"/>
      <c r="N43" s="91" t="s">
        <v>53</v>
      </c>
      <c r="O43" s="92"/>
      <c r="P43" s="92">
        <f>O41-P42</f>
        <v>3941000</v>
      </c>
    </row>
    <row r="44" spans="1:16" ht="18" customHeight="1" x14ac:dyDescent="0.2">
      <c r="A44" s="11"/>
      <c r="H44" s="64"/>
      <c r="N44" s="63" t="s">
        <v>31</v>
      </c>
      <c r="P44" s="70">
        <f>P43*1%</f>
        <v>39410</v>
      </c>
    </row>
    <row r="45" spans="1:16" ht="18" customHeight="1" thickBot="1" x14ac:dyDescent="0.25">
      <c r="A45" s="11"/>
      <c r="H45" s="64"/>
      <c r="N45" s="63" t="s">
        <v>54</v>
      </c>
      <c r="P45" s="72">
        <f>P43*2%</f>
        <v>78820</v>
      </c>
    </row>
    <row r="46" spans="1:16" ht="18" customHeight="1" x14ac:dyDescent="0.2">
      <c r="A46" s="11"/>
      <c r="H46" s="64"/>
      <c r="N46" s="67" t="s">
        <v>32</v>
      </c>
      <c r="O46" s="68"/>
      <c r="P46" s="71">
        <f>P43+P44-P45</f>
        <v>3901590</v>
      </c>
    </row>
    <row r="48" spans="1:16" x14ac:dyDescent="0.2">
      <c r="A48" s="11"/>
      <c r="H48" s="64"/>
      <c r="P48" s="72"/>
    </row>
    <row r="49" spans="1:16" x14ac:dyDescent="0.2">
      <c r="A49" s="11"/>
      <c r="H49" s="64"/>
      <c r="O49" s="59"/>
      <c r="P49" s="72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40">
    <cfRule type="duplicateValues" dxfId="32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4" sqref="N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938</v>
      </c>
      <c r="B3" s="75" t="s">
        <v>895</v>
      </c>
      <c r="C3" s="9" t="s">
        <v>896</v>
      </c>
      <c r="D3" s="77" t="s">
        <v>90</v>
      </c>
      <c r="E3" s="13">
        <v>44469</v>
      </c>
      <c r="F3" s="77" t="s">
        <v>355</v>
      </c>
      <c r="G3" s="13">
        <v>44470.916666666664</v>
      </c>
      <c r="H3" s="10" t="s">
        <v>832</v>
      </c>
      <c r="I3" s="1">
        <v>3</v>
      </c>
      <c r="J3" s="1">
        <v>47</v>
      </c>
      <c r="K3" s="1">
        <v>32</v>
      </c>
      <c r="L3" s="1">
        <v>32</v>
      </c>
      <c r="M3" s="81">
        <v>1.1279999999999999</v>
      </c>
      <c r="N3" s="8">
        <v>32</v>
      </c>
      <c r="O3" s="65">
        <v>7000</v>
      </c>
      <c r="P3" s="66">
        <f>Table2245789101123456789101112131415161718192021222324252627282930313233343637[[#This Row],[PEMBULATAN]]*O3</f>
        <v>224000</v>
      </c>
    </row>
    <row r="4" spans="1:16" ht="26.25" customHeight="1" x14ac:dyDescent="0.2">
      <c r="A4" s="14"/>
      <c r="B4" s="76"/>
      <c r="C4" s="9" t="s">
        <v>897</v>
      </c>
      <c r="D4" s="77" t="s">
        <v>90</v>
      </c>
      <c r="E4" s="13">
        <v>44469</v>
      </c>
      <c r="F4" s="77" t="s">
        <v>355</v>
      </c>
      <c r="G4" s="13">
        <v>44470.916666666664</v>
      </c>
      <c r="H4" s="10" t="s">
        <v>832</v>
      </c>
      <c r="I4" s="1">
        <v>15</v>
      </c>
      <c r="J4" s="1">
        <v>57</v>
      </c>
      <c r="K4" s="1">
        <v>17</v>
      </c>
      <c r="L4" s="1">
        <v>17</v>
      </c>
      <c r="M4" s="81">
        <v>3.63375</v>
      </c>
      <c r="N4" s="8">
        <v>17</v>
      </c>
      <c r="O4" s="65">
        <v>7000</v>
      </c>
      <c r="P4" s="66">
        <f>Table2245789101123456789101112131415161718192021222324252627282930313233343637[[#This Row],[PEMBULATAN]]*O4</f>
        <v>119000</v>
      </c>
    </row>
    <row r="5" spans="1:16" ht="22.5" customHeight="1" x14ac:dyDescent="0.2">
      <c r="A5" s="136" t="s">
        <v>30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8"/>
      <c r="M5" s="80">
        <f>SUBTOTAL(109,Table2245789101123456789101112131415161718192021222324252627282930313233343637[KG VOLUME])</f>
        <v>4.7617500000000001</v>
      </c>
      <c r="N5" s="69">
        <f>SUM(N3:N4)</f>
        <v>49</v>
      </c>
      <c r="O5" s="139">
        <f>SUM(P3:P4)</f>
        <v>343000</v>
      </c>
      <c r="P5" s="140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52</v>
      </c>
      <c r="O6" s="90"/>
      <c r="P6" s="90">
        <v>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53</v>
      </c>
      <c r="O7" s="92"/>
      <c r="P7" s="92">
        <f>O5-P6</f>
        <v>343000</v>
      </c>
    </row>
    <row r="8" spans="1:16" ht="18" customHeight="1" x14ac:dyDescent="0.2">
      <c r="A8" s="11"/>
      <c r="H8" s="64"/>
      <c r="N8" s="63" t="s">
        <v>31</v>
      </c>
      <c r="P8" s="70">
        <f>P7*1%</f>
        <v>3430</v>
      </c>
    </row>
    <row r="9" spans="1:16" ht="18" customHeight="1" thickBot="1" x14ac:dyDescent="0.25">
      <c r="A9" s="11"/>
      <c r="H9" s="64"/>
      <c r="N9" s="63" t="s">
        <v>54</v>
      </c>
      <c r="P9" s="72">
        <f>P7*2%</f>
        <v>6860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339570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F11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937</v>
      </c>
      <c r="B3" s="120" t="s">
        <v>102</v>
      </c>
      <c r="C3" s="9" t="s">
        <v>103</v>
      </c>
      <c r="D3" s="77" t="s">
        <v>90</v>
      </c>
      <c r="E3" s="13">
        <v>44441</v>
      </c>
      <c r="F3" s="77" t="s">
        <v>91</v>
      </c>
      <c r="G3" s="13">
        <v>44446</v>
      </c>
      <c r="H3" s="10" t="s">
        <v>101</v>
      </c>
      <c r="I3" s="1">
        <v>55</v>
      </c>
      <c r="J3" s="1">
        <v>41</v>
      </c>
      <c r="K3" s="1">
        <v>40</v>
      </c>
      <c r="L3" s="1">
        <v>16</v>
      </c>
      <c r="M3" s="81">
        <v>22.55</v>
      </c>
      <c r="N3" s="8">
        <v>23</v>
      </c>
      <c r="O3" s="65">
        <v>7000</v>
      </c>
      <c r="P3" s="66">
        <f>Table22457891011234[[#This Row],[PEMBULATAN]]*O3</f>
        <v>161000</v>
      </c>
    </row>
    <row r="4" spans="1:16" ht="26.25" customHeight="1" x14ac:dyDescent="0.2">
      <c r="A4" s="14"/>
      <c r="B4" s="76" t="s">
        <v>104</v>
      </c>
      <c r="C4" s="9" t="s">
        <v>105</v>
      </c>
      <c r="D4" s="77" t="s">
        <v>90</v>
      </c>
      <c r="E4" s="13">
        <v>44441</v>
      </c>
      <c r="F4" s="77" t="s">
        <v>91</v>
      </c>
      <c r="G4" s="13">
        <v>44446</v>
      </c>
      <c r="H4" s="10" t="s">
        <v>101</v>
      </c>
      <c r="I4" s="1">
        <v>120</v>
      </c>
      <c r="J4" s="1">
        <v>88</v>
      </c>
      <c r="K4" s="1">
        <v>20</v>
      </c>
      <c r="L4" s="1">
        <v>30</v>
      </c>
      <c r="M4" s="81">
        <v>52.8</v>
      </c>
      <c r="N4" s="8">
        <v>53</v>
      </c>
      <c r="O4" s="65">
        <v>7000</v>
      </c>
      <c r="P4" s="66">
        <f>Table22457891011234[[#This Row],[PEMBULATAN]]*O4</f>
        <v>371000</v>
      </c>
    </row>
    <row r="5" spans="1:16" ht="26.25" customHeight="1" x14ac:dyDescent="0.2">
      <c r="A5" s="14"/>
      <c r="B5" s="14"/>
      <c r="C5" s="9" t="s">
        <v>106</v>
      </c>
      <c r="D5" s="77" t="s">
        <v>90</v>
      </c>
      <c r="E5" s="13">
        <v>44441</v>
      </c>
      <c r="F5" s="77" t="s">
        <v>91</v>
      </c>
      <c r="G5" s="13">
        <v>44446</v>
      </c>
      <c r="H5" s="10" t="s">
        <v>101</v>
      </c>
      <c r="I5" s="1">
        <v>50</v>
      </c>
      <c r="J5" s="1">
        <v>34</v>
      </c>
      <c r="K5" s="1">
        <v>25</v>
      </c>
      <c r="L5" s="1">
        <v>7</v>
      </c>
      <c r="M5" s="81">
        <v>10.625</v>
      </c>
      <c r="N5" s="8">
        <v>11</v>
      </c>
      <c r="O5" s="65">
        <v>7000</v>
      </c>
      <c r="P5" s="66">
        <f>Table22457891011234[[#This Row],[PEMBULATAN]]*O5</f>
        <v>77000</v>
      </c>
    </row>
    <row r="6" spans="1:16" ht="26.25" customHeight="1" x14ac:dyDescent="0.2">
      <c r="A6" s="14"/>
      <c r="B6" s="14"/>
      <c r="C6" s="74" t="s">
        <v>107</v>
      </c>
      <c r="D6" s="79" t="s">
        <v>90</v>
      </c>
      <c r="E6" s="13">
        <v>44441</v>
      </c>
      <c r="F6" s="77" t="s">
        <v>91</v>
      </c>
      <c r="G6" s="13">
        <v>44446</v>
      </c>
      <c r="H6" s="78" t="s">
        <v>101</v>
      </c>
      <c r="I6" s="16">
        <v>60</v>
      </c>
      <c r="J6" s="16">
        <v>45</v>
      </c>
      <c r="K6" s="16">
        <v>45</v>
      </c>
      <c r="L6" s="16">
        <v>18</v>
      </c>
      <c r="M6" s="82">
        <v>30.375</v>
      </c>
      <c r="N6" s="73">
        <v>31</v>
      </c>
      <c r="O6" s="65">
        <v>7000</v>
      </c>
      <c r="P6" s="66">
        <f>Table22457891011234[[#This Row],[PEMBULATAN]]*O6</f>
        <v>217000</v>
      </c>
    </row>
    <row r="7" spans="1:16" ht="26.25" customHeight="1" x14ac:dyDescent="0.2">
      <c r="A7" s="14"/>
      <c r="B7" s="14"/>
      <c r="C7" s="74" t="s">
        <v>108</v>
      </c>
      <c r="D7" s="79" t="s">
        <v>90</v>
      </c>
      <c r="E7" s="13">
        <v>44441</v>
      </c>
      <c r="F7" s="77" t="s">
        <v>91</v>
      </c>
      <c r="G7" s="13">
        <v>44446</v>
      </c>
      <c r="H7" s="78" t="s">
        <v>101</v>
      </c>
      <c r="I7" s="16">
        <v>50</v>
      </c>
      <c r="J7" s="16">
        <v>36</v>
      </c>
      <c r="K7" s="16">
        <v>26</v>
      </c>
      <c r="L7" s="16">
        <v>11</v>
      </c>
      <c r="M7" s="82">
        <v>11.7</v>
      </c>
      <c r="N7" s="73">
        <v>12</v>
      </c>
      <c r="O7" s="65">
        <v>7000</v>
      </c>
      <c r="P7" s="66">
        <f>Table22457891011234[[#This Row],[PEMBULATAN]]*O7</f>
        <v>84000</v>
      </c>
    </row>
    <row r="8" spans="1:16" ht="26.25" customHeight="1" x14ac:dyDescent="0.2">
      <c r="A8" s="14"/>
      <c r="B8" s="14"/>
      <c r="C8" s="74" t="s">
        <v>109</v>
      </c>
      <c r="D8" s="79" t="s">
        <v>90</v>
      </c>
      <c r="E8" s="13">
        <v>44441</v>
      </c>
      <c r="F8" s="77" t="s">
        <v>91</v>
      </c>
      <c r="G8" s="13">
        <v>44446</v>
      </c>
      <c r="H8" s="78" t="s">
        <v>101</v>
      </c>
      <c r="I8" s="16">
        <v>45</v>
      </c>
      <c r="J8" s="16">
        <v>40</v>
      </c>
      <c r="K8" s="16">
        <v>20</v>
      </c>
      <c r="L8" s="16">
        <v>8</v>
      </c>
      <c r="M8" s="82">
        <v>9</v>
      </c>
      <c r="N8" s="73">
        <v>9</v>
      </c>
      <c r="O8" s="65">
        <v>7000</v>
      </c>
      <c r="P8" s="66">
        <f>Table22457891011234[[#This Row],[PEMBULATAN]]*O8</f>
        <v>63000</v>
      </c>
    </row>
    <row r="9" spans="1:16" ht="26.25" customHeight="1" x14ac:dyDescent="0.2">
      <c r="A9" s="14"/>
      <c r="B9" s="14"/>
      <c r="C9" s="74" t="s">
        <v>110</v>
      </c>
      <c r="D9" s="79" t="s">
        <v>90</v>
      </c>
      <c r="E9" s="13">
        <v>44441</v>
      </c>
      <c r="F9" s="77" t="s">
        <v>91</v>
      </c>
      <c r="G9" s="13">
        <v>44446</v>
      </c>
      <c r="H9" s="78" t="s">
        <v>101</v>
      </c>
      <c r="I9" s="16">
        <v>80</v>
      </c>
      <c r="J9" s="16">
        <v>40</v>
      </c>
      <c r="K9" s="16">
        <v>36</v>
      </c>
      <c r="L9" s="16">
        <v>23</v>
      </c>
      <c r="M9" s="82">
        <v>28.8</v>
      </c>
      <c r="N9" s="73">
        <v>29</v>
      </c>
      <c r="O9" s="65">
        <v>7000</v>
      </c>
      <c r="P9" s="66">
        <f>Table22457891011234[[#This Row],[PEMBULATAN]]*O9</f>
        <v>203000</v>
      </c>
    </row>
    <row r="10" spans="1:16" ht="26.25" customHeight="1" x14ac:dyDescent="0.2">
      <c r="A10" s="14"/>
      <c r="B10" s="14"/>
      <c r="C10" s="74" t="s">
        <v>111</v>
      </c>
      <c r="D10" s="79" t="s">
        <v>90</v>
      </c>
      <c r="E10" s="13">
        <v>44441</v>
      </c>
      <c r="F10" s="77" t="s">
        <v>91</v>
      </c>
      <c r="G10" s="13">
        <v>44446</v>
      </c>
      <c r="H10" s="78" t="s">
        <v>101</v>
      </c>
      <c r="I10" s="16">
        <v>45</v>
      </c>
      <c r="J10" s="16">
        <v>37</v>
      </c>
      <c r="K10" s="16">
        <v>20</v>
      </c>
      <c r="L10" s="16">
        <v>8</v>
      </c>
      <c r="M10" s="82">
        <v>8.3249999999999993</v>
      </c>
      <c r="N10" s="73">
        <v>9</v>
      </c>
      <c r="O10" s="65">
        <v>7000</v>
      </c>
      <c r="P10" s="66">
        <f>Table22457891011234[[#This Row],[PEMBULATAN]]*O10</f>
        <v>63000</v>
      </c>
    </row>
    <row r="11" spans="1:16" ht="26.25" customHeight="1" x14ac:dyDescent="0.2">
      <c r="A11" s="14"/>
      <c r="B11" s="14"/>
      <c r="C11" s="74" t="s">
        <v>112</v>
      </c>
      <c r="D11" s="79" t="s">
        <v>90</v>
      </c>
      <c r="E11" s="13">
        <v>44441</v>
      </c>
      <c r="F11" s="77" t="s">
        <v>91</v>
      </c>
      <c r="G11" s="13">
        <v>44446</v>
      </c>
      <c r="H11" s="78" t="s">
        <v>101</v>
      </c>
      <c r="I11" s="16">
        <v>60</v>
      </c>
      <c r="J11" s="16">
        <v>50</v>
      </c>
      <c r="K11" s="16">
        <v>30</v>
      </c>
      <c r="L11" s="16">
        <v>24</v>
      </c>
      <c r="M11" s="82">
        <v>22.5</v>
      </c>
      <c r="N11" s="73">
        <v>24</v>
      </c>
      <c r="O11" s="65">
        <v>7000</v>
      </c>
      <c r="P11" s="66">
        <f>Table22457891011234[[#This Row],[PEMBULATAN]]*O11</f>
        <v>168000</v>
      </c>
    </row>
    <row r="12" spans="1:16" ht="26.25" customHeight="1" x14ac:dyDescent="0.2">
      <c r="A12" s="14"/>
      <c r="B12" s="14"/>
      <c r="C12" s="74" t="s">
        <v>113</v>
      </c>
      <c r="D12" s="79" t="s">
        <v>90</v>
      </c>
      <c r="E12" s="13">
        <v>44441</v>
      </c>
      <c r="F12" s="77" t="s">
        <v>91</v>
      </c>
      <c r="G12" s="13">
        <v>44446</v>
      </c>
      <c r="H12" s="78" t="s">
        <v>101</v>
      </c>
      <c r="I12" s="16">
        <v>36</v>
      </c>
      <c r="J12" s="16">
        <v>26</v>
      </c>
      <c r="K12" s="16">
        <v>25</v>
      </c>
      <c r="L12" s="16">
        <v>5</v>
      </c>
      <c r="M12" s="82">
        <v>5.85</v>
      </c>
      <c r="N12" s="73">
        <v>6</v>
      </c>
      <c r="O12" s="65">
        <v>7000</v>
      </c>
      <c r="P12" s="66">
        <f>Table22457891011234[[#This Row],[PEMBULATAN]]*O12</f>
        <v>42000</v>
      </c>
    </row>
    <row r="13" spans="1:16" ht="26.25" customHeight="1" x14ac:dyDescent="0.2">
      <c r="A13" s="14"/>
      <c r="B13" s="14"/>
      <c r="C13" s="74" t="s">
        <v>114</v>
      </c>
      <c r="D13" s="79" t="s">
        <v>90</v>
      </c>
      <c r="E13" s="13">
        <v>44441</v>
      </c>
      <c r="F13" s="77" t="s">
        <v>91</v>
      </c>
      <c r="G13" s="13">
        <v>44446</v>
      </c>
      <c r="H13" s="78" t="s">
        <v>101</v>
      </c>
      <c r="I13" s="16">
        <v>49</v>
      </c>
      <c r="J13" s="16">
        <v>37</v>
      </c>
      <c r="K13" s="16">
        <v>30</v>
      </c>
      <c r="L13" s="16">
        <v>24</v>
      </c>
      <c r="M13" s="82">
        <v>13.5975</v>
      </c>
      <c r="N13" s="73">
        <v>24</v>
      </c>
      <c r="O13" s="65">
        <v>7000</v>
      </c>
      <c r="P13" s="66">
        <f>Table22457891011234[[#This Row],[PEMBULATAN]]*O13</f>
        <v>168000</v>
      </c>
    </row>
    <row r="14" spans="1:16" ht="26.25" customHeight="1" x14ac:dyDescent="0.2">
      <c r="A14" s="14"/>
      <c r="B14" s="14"/>
      <c r="C14" s="74" t="s">
        <v>115</v>
      </c>
      <c r="D14" s="79" t="s">
        <v>90</v>
      </c>
      <c r="E14" s="13">
        <v>44441</v>
      </c>
      <c r="F14" s="77" t="s">
        <v>91</v>
      </c>
      <c r="G14" s="13">
        <v>44446</v>
      </c>
      <c r="H14" s="78" t="s">
        <v>101</v>
      </c>
      <c r="I14" s="16">
        <v>60</v>
      </c>
      <c r="J14" s="16">
        <v>46</v>
      </c>
      <c r="K14" s="16">
        <v>41</v>
      </c>
      <c r="L14" s="16">
        <v>21</v>
      </c>
      <c r="M14" s="82">
        <v>28.29</v>
      </c>
      <c r="N14" s="73">
        <v>28</v>
      </c>
      <c r="O14" s="65">
        <v>7000</v>
      </c>
      <c r="P14" s="66">
        <f>Table22457891011234[[#This Row],[PEMBULATAN]]*O14</f>
        <v>196000</v>
      </c>
    </row>
    <row r="15" spans="1:16" ht="26.25" customHeight="1" x14ac:dyDescent="0.2">
      <c r="A15" s="14"/>
      <c r="B15" s="14"/>
      <c r="C15" s="74" t="s">
        <v>116</v>
      </c>
      <c r="D15" s="79" t="s">
        <v>90</v>
      </c>
      <c r="E15" s="13">
        <v>44441</v>
      </c>
      <c r="F15" s="77" t="s">
        <v>91</v>
      </c>
      <c r="G15" s="13">
        <v>44446</v>
      </c>
      <c r="H15" s="78" t="s">
        <v>101</v>
      </c>
      <c r="I15" s="16">
        <v>55</v>
      </c>
      <c r="J15" s="16">
        <v>36</v>
      </c>
      <c r="K15" s="16">
        <v>20</v>
      </c>
      <c r="L15" s="16">
        <v>7</v>
      </c>
      <c r="M15" s="82">
        <v>9.9</v>
      </c>
      <c r="N15" s="73">
        <v>10</v>
      </c>
      <c r="O15" s="65">
        <v>7000</v>
      </c>
      <c r="P15" s="66">
        <f>Table22457891011234[[#This Row],[PEMBULATAN]]*O15</f>
        <v>70000</v>
      </c>
    </row>
    <row r="16" spans="1:16" ht="26.25" customHeight="1" x14ac:dyDescent="0.2">
      <c r="A16" s="14"/>
      <c r="B16" s="14"/>
      <c r="C16" s="74" t="s">
        <v>117</v>
      </c>
      <c r="D16" s="79" t="s">
        <v>90</v>
      </c>
      <c r="E16" s="13">
        <v>44441</v>
      </c>
      <c r="F16" s="77" t="s">
        <v>91</v>
      </c>
      <c r="G16" s="13">
        <v>44446</v>
      </c>
      <c r="H16" s="78" t="s">
        <v>101</v>
      </c>
      <c r="I16" s="16">
        <v>46</v>
      </c>
      <c r="J16" s="16">
        <v>30</v>
      </c>
      <c r="K16" s="16">
        <v>28</v>
      </c>
      <c r="L16" s="16">
        <v>4</v>
      </c>
      <c r="M16" s="82">
        <v>9.66</v>
      </c>
      <c r="N16" s="73">
        <v>10</v>
      </c>
      <c r="O16" s="65">
        <v>7000</v>
      </c>
      <c r="P16" s="66">
        <f>Table22457891011234[[#This Row],[PEMBULATAN]]*O16</f>
        <v>70000</v>
      </c>
    </row>
    <row r="17" spans="1:16" ht="26.25" customHeight="1" x14ac:dyDescent="0.2">
      <c r="A17" s="14"/>
      <c r="B17" s="14"/>
      <c r="C17" s="74" t="s">
        <v>118</v>
      </c>
      <c r="D17" s="79" t="s">
        <v>90</v>
      </c>
      <c r="E17" s="13">
        <v>44441</v>
      </c>
      <c r="F17" s="77" t="s">
        <v>91</v>
      </c>
      <c r="G17" s="13">
        <v>44446</v>
      </c>
      <c r="H17" s="78" t="s">
        <v>101</v>
      </c>
      <c r="I17" s="16">
        <v>90</v>
      </c>
      <c r="J17" s="16">
        <v>60</v>
      </c>
      <c r="K17" s="16">
        <v>31</v>
      </c>
      <c r="L17" s="16">
        <v>50</v>
      </c>
      <c r="M17" s="82">
        <v>41.85</v>
      </c>
      <c r="N17" s="73">
        <v>50</v>
      </c>
      <c r="O17" s="65">
        <v>7000</v>
      </c>
      <c r="P17" s="66">
        <f>Table22457891011234[[#This Row],[PEMBULATAN]]*O17</f>
        <v>350000</v>
      </c>
    </row>
    <row r="18" spans="1:16" ht="22.5" customHeight="1" x14ac:dyDescent="0.2">
      <c r="A18" s="136" t="s">
        <v>30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8"/>
      <c r="M18" s="80">
        <f>SUBTOTAL(109,Table22457891011234[KG VOLUME])</f>
        <v>305.82249999999999</v>
      </c>
      <c r="N18" s="69">
        <f>SUM(N3:N17)</f>
        <v>329</v>
      </c>
      <c r="O18" s="139">
        <f>SUM(P3:P17)</f>
        <v>2303000</v>
      </c>
      <c r="P18" s="140"/>
    </row>
    <row r="19" spans="1:16" ht="18" customHeight="1" x14ac:dyDescent="0.2">
      <c r="A19" s="87"/>
      <c r="B19" s="57" t="s">
        <v>42</v>
      </c>
      <c r="C19" s="56"/>
      <c r="D19" s="58" t="s">
        <v>43</v>
      </c>
      <c r="E19" s="87"/>
      <c r="F19" s="87"/>
      <c r="G19" s="87"/>
      <c r="H19" s="87"/>
      <c r="I19" s="87"/>
      <c r="J19" s="87"/>
      <c r="K19" s="87"/>
      <c r="L19" s="87"/>
      <c r="M19" s="88"/>
      <c r="N19" s="89" t="s">
        <v>52</v>
      </c>
      <c r="O19" s="90"/>
      <c r="P19" s="90">
        <v>0</v>
      </c>
    </row>
    <row r="20" spans="1:16" ht="18" customHeight="1" thickBot="1" x14ac:dyDescent="0.25">
      <c r="A20" s="87"/>
      <c r="B20" s="57"/>
      <c r="C20" s="56"/>
      <c r="D20" s="58"/>
      <c r="E20" s="87"/>
      <c r="F20" s="87"/>
      <c r="G20" s="87"/>
      <c r="H20" s="87"/>
      <c r="I20" s="87"/>
      <c r="J20" s="87"/>
      <c r="K20" s="87"/>
      <c r="L20" s="87"/>
      <c r="M20" s="88"/>
      <c r="N20" s="91" t="s">
        <v>53</v>
      </c>
      <c r="O20" s="92"/>
      <c r="P20" s="92">
        <f>O18-P19</f>
        <v>2303000</v>
      </c>
    </row>
    <row r="21" spans="1:16" ht="18" customHeight="1" x14ac:dyDescent="0.2">
      <c r="A21" s="11"/>
      <c r="H21" s="64"/>
      <c r="N21" s="63" t="s">
        <v>31</v>
      </c>
      <c r="P21" s="70">
        <f>P20*1%</f>
        <v>23030</v>
      </c>
    </row>
    <row r="22" spans="1:16" ht="18" customHeight="1" thickBot="1" x14ac:dyDescent="0.25">
      <c r="A22" s="11"/>
      <c r="H22" s="64"/>
      <c r="N22" s="63" t="s">
        <v>54</v>
      </c>
      <c r="P22" s="72">
        <f>P20*2%</f>
        <v>46060</v>
      </c>
    </row>
    <row r="23" spans="1:16" ht="18" customHeight="1" x14ac:dyDescent="0.2">
      <c r="A23" s="11"/>
      <c r="H23" s="64"/>
      <c r="N23" s="67" t="s">
        <v>32</v>
      </c>
      <c r="O23" s="68"/>
      <c r="P23" s="71">
        <f>P20+P21-P22</f>
        <v>2279970</v>
      </c>
    </row>
    <row r="25" spans="1:16" x14ac:dyDescent="0.2">
      <c r="A25" s="11"/>
      <c r="H25" s="64"/>
      <c r="P25" s="72"/>
    </row>
    <row r="26" spans="1:16" x14ac:dyDescent="0.2">
      <c r="A26" s="11"/>
      <c r="H26" s="64"/>
      <c r="O26" s="59"/>
      <c r="P26" s="72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609" priority="2"/>
  </conditionalFormatting>
  <conditionalFormatting sqref="B4">
    <cfRule type="duplicateValues" dxfId="608" priority="1"/>
  </conditionalFormatting>
  <conditionalFormatting sqref="B5:B17">
    <cfRule type="duplicateValues" dxfId="607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902</v>
      </c>
      <c r="B3" s="118" t="s">
        <v>119</v>
      </c>
      <c r="C3" s="1" t="s">
        <v>120</v>
      </c>
      <c r="D3" s="77" t="s">
        <v>90</v>
      </c>
      <c r="E3" s="13">
        <v>44441</v>
      </c>
      <c r="F3" s="77" t="s">
        <v>91</v>
      </c>
      <c r="G3" s="13">
        <v>44446</v>
      </c>
      <c r="H3" s="99" t="s">
        <v>101</v>
      </c>
      <c r="I3" s="1">
        <v>229</v>
      </c>
      <c r="J3" s="1">
        <v>110</v>
      </c>
      <c r="K3" s="1">
        <v>20</v>
      </c>
      <c r="L3" s="1">
        <v>44</v>
      </c>
      <c r="M3" s="81">
        <v>125.95</v>
      </c>
      <c r="N3" s="8">
        <v>126</v>
      </c>
      <c r="O3" s="65">
        <v>7000</v>
      </c>
      <c r="P3" s="66">
        <f>Table224578910112345[[#This Row],[PEMBULATAN]]*O3</f>
        <v>882000</v>
      </c>
    </row>
    <row r="4" spans="1:16" ht="26.25" customHeight="1" x14ac:dyDescent="0.2">
      <c r="A4" s="100"/>
      <c r="B4" s="100" t="s">
        <v>121</v>
      </c>
      <c r="C4" s="1" t="s">
        <v>122</v>
      </c>
      <c r="D4" s="77" t="s">
        <v>90</v>
      </c>
      <c r="E4" s="13">
        <v>44441</v>
      </c>
      <c r="F4" s="77" t="s">
        <v>91</v>
      </c>
      <c r="G4" s="13">
        <v>44446</v>
      </c>
      <c r="H4" s="99" t="s">
        <v>101</v>
      </c>
      <c r="I4" s="1">
        <v>45</v>
      </c>
      <c r="J4" s="1">
        <v>33</v>
      </c>
      <c r="K4" s="1">
        <v>30</v>
      </c>
      <c r="L4" s="1">
        <v>10</v>
      </c>
      <c r="M4" s="81">
        <v>11.137499999999999</v>
      </c>
      <c r="N4" s="8">
        <v>11</v>
      </c>
      <c r="O4" s="65">
        <v>7000</v>
      </c>
      <c r="P4" s="66">
        <f>Table224578910112345[[#This Row],[PEMBULATAN]]*O4</f>
        <v>77000</v>
      </c>
    </row>
    <row r="5" spans="1:16" ht="26.25" customHeight="1" x14ac:dyDescent="0.2">
      <c r="A5" s="100"/>
      <c r="B5" s="100"/>
      <c r="C5" s="1" t="s">
        <v>123</v>
      </c>
      <c r="D5" s="77" t="s">
        <v>90</v>
      </c>
      <c r="E5" s="13">
        <v>44441</v>
      </c>
      <c r="F5" s="77" t="s">
        <v>91</v>
      </c>
      <c r="G5" s="13">
        <v>44446</v>
      </c>
      <c r="H5" s="99" t="s">
        <v>101</v>
      </c>
      <c r="I5" s="1">
        <v>46</v>
      </c>
      <c r="J5" s="1">
        <v>35</v>
      </c>
      <c r="K5" s="1">
        <v>30</v>
      </c>
      <c r="L5" s="1">
        <v>9</v>
      </c>
      <c r="M5" s="81">
        <v>12.074999999999999</v>
      </c>
      <c r="N5" s="8">
        <v>12</v>
      </c>
      <c r="O5" s="65">
        <v>7000</v>
      </c>
      <c r="P5" s="66">
        <f>Table224578910112345[[#This Row],[PEMBULATAN]]*O5</f>
        <v>84000</v>
      </c>
    </row>
    <row r="6" spans="1:16" ht="26.25" customHeight="1" x14ac:dyDescent="0.2">
      <c r="A6" s="100"/>
      <c r="B6" s="100"/>
      <c r="C6" s="16" t="s">
        <v>124</v>
      </c>
      <c r="D6" s="79" t="s">
        <v>90</v>
      </c>
      <c r="E6" s="13">
        <v>44441</v>
      </c>
      <c r="F6" s="77" t="s">
        <v>91</v>
      </c>
      <c r="G6" s="13">
        <v>44446</v>
      </c>
      <c r="H6" s="101" t="s">
        <v>101</v>
      </c>
      <c r="I6" s="16">
        <v>78</v>
      </c>
      <c r="J6" s="16">
        <v>39</v>
      </c>
      <c r="K6" s="16">
        <v>30</v>
      </c>
      <c r="L6" s="16">
        <v>1</v>
      </c>
      <c r="M6" s="82">
        <v>22.815000000000001</v>
      </c>
      <c r="N6" s="73">
        <v>23</v>
      </c>
      <c r="O6" s="65">
        <v>7000</v>
      </c>
      <c r="P6" s="66">
        <f>Table224578910112345[[#This Row],[PEMBULATAN]]*O6</f>
        <v>161000</v>
      </c>
    </row>
    <row r="7" spans="1:16" ht="26.25" customHeight="1" x14ac:dyDescent="0.2">
      <c r="A7" s="100"/>
      <c r="B7" s="100"/>
      <c r="C7" s="16" t="s">
        <v>125</v>
      </c>
      <c r="D7" s="79" t="s">
        <v>90</v>
      </c>
      <c r="E7" s="13">
        <v>44441</v>
      </c>
      <c r="F7" s="77" t="s">
        <v>91</v>
      </c>
      <c r="G7" s="13">
        <v>44446</v>
      </c>
      <c r="H7" s="101" t="s">
        <v>101</v>
      </c>
      <c r="I7" s="16">
        <v>35</v>
      </c>
      <c r="J7" s="16">
        <v>20</v>
      </c>
      <c r="K7" s="16">
        <v>35</v>
      </c>
      <c r="L7" s="16">
        <v>12</v>
      </c>
      <c r="M7" s="82">
        <v>6.125</v>
      </c>
      <c r="N7" s="73">
        <v>12</v>
      </c>
      <c r="O7" s="65">
        <v>7000</v>
      </c>
      <c r="P7" s="66">
        <f>Table224578910112345[[#This Row],[PEMBULATAN]]*O7</f>
        <v>84000</v>
      </c>
    </row>
    <row r="8" spans="1:16" ht="26.25" customHeight="1" x14ac:dyDescent="0.2">
      <c r="A8" s="100"/>
      <c r="B8" s="100"/>
      <c r="C8" s="16" t="s">
        <v>126</v>
      </c>
      <c r="D8" s="79" t="s">
        <v>90</v>
      </c>
      <c r="E8" s="13">
        <v>44441</v>
      </c>
      <c r="F8" s="77" t="s">
        <v>91</v>
      </c>
      <c r="G8" s="13">
        <v>44446</v>
      </c>
      <c r="H8" s="101" t="s">
        <v>101</v>
      </c>
      <c r="I8" s="16">
        <v>33</v>
      </c>
      <c r="J8" s="16">
        <v>33</v>
      </c>
      <c r="K8" s="16">
        <v>18</v>
      </c>
      <c r="L8" s="16">
        <v>8</v>
      </c>
      <c r="M8" s="82">
        <v>4.9005000000000001</v>
      </c>
      <c r="N8" s="73">
        <v>8</v>
      </c>
      <c r="O8" s="65">
        <v>7000</v>
      </c>
      <c r="P8" s="66">
        <f>Table224578910112345[[#This Row],[PEMBULATAN]]*O8</f>
        <v>56000</v>
      </c>
    </row>
    <row r="9" spans="1:16" ht="26.25" customHeight="1" x14ac:dyDescent="0.2">
      <c r="A9" s="100"/>
      <c r="B9" s="100"/>
      <c r="C9" s="16" t="s">
        <v>127</v>
      </c>
      <c r="D9" s="79" t="s">
        <v>90</v>
      </c>
      <c r="E9" s="13">
        <v>44441</v>
      </c>
      <c r="F9" s="77" t="s">
        <v>91</v>
      </c>
      <c r="G9" s="13">
        <v>44446</v>
      </c>
      <c r="H9" s="101" t="s">
        <v>101</v>
      </c>
      <c r="I9" s="16">
        <v>35</v>
      </c>
      <c r="J9" s="16">
        <v>35</v>
      </c>
      <c r="K9" s="16">
        <v>20</v>
      </c>
      <c r="L9" s="16">
        <v>12</v>
      </c>
      <c r="M9" s="82">
        <v>6.125</v>
      </c>
      <c r="N9" s="73">
        <v>12</v>
      </c>
      <c r="O9" s="65">
        <v>7000</v>
      </c>
      <c r="P9" s="66">
        <f>Table224578910112345[[#This Row],[PEMBULATAN]]*O9</f>
        <v>84000</v>
      </c>
    </row>
    <row r="10" spans="1:16" ht="26.25" customHeight="1" x14ac:dyDescent="0.2">
      <c r="A10" s="100"/>
      <c r="B10" s="100"/>
      <c r="C10" s="16" t="s">
        <v>128</v>
      </c>
      <c r="D10" s="79" t="s">
        <v>90</v>
      </c>
      <c r="E10" s="13">
        <v>44441</v>
      </c>
      <c r="F10" s="77" t="s">
        <v>91</v>
      </c>
      <c r="G10" s="13">
        <v>44446</v>
      </c>
      <c r="H10" s="101" t="s">
        <v>101</v>
      </c>
      <c r="I10" s="16">
        <v>33</v>
      </c>
      <c r="J10" s="16">
        <v>33</v>
      </c>
      <c r="K10" s="16">
        <v>18</v>
      </c>
      <c r="L10" s="16">
        <v>8</v>
      </c>
      <c r="M10" s="82">
        <v>4.9005000000000001</v>
      </c>
      <c r="N10" s="73">
        <v>8</v>
      </c>
      <c r="O10" s="65">
        <v>7000</v>
      </c>
      <c r="P10" s="66">
        <f>Table224578910112345[[#This Row],[PEMBULATAN]]*O10</f>
        <v>56000</v>
      </c>
    </row>
    <row r="11" spans="1:16" ht="26.25" customHeight="1" x14ac:dyDescent="0.2">
      <c r="A11" s="100"/>
      <c r="B11" s="100"/>
      <c r="C11" s="16" t="s">
        <v>129</v>
      </c>
      <c r="D11" s="79" t="s">
        <v>90</v>
      </c>
      <c r="E11" s="13">
        <v>44441</v>
      </c>
      <c r="F11" s="77" t="s">
        <v>91</v>
      </c>
      <c r="G11" s="13">
        <v>44446</v>
      </c>
      <c r="H11" s="101" t="s">
        <v>101</v>
      </c>
      <c r="I11" s="16">
        <v>42</v>
      </c>
      <c r="J11" s="16">
        <v>33</v>
      </c>
      <c r="K11" s="16">
        <v>29</v>
      </c>
      <c r="L11" s="16">
        <v>9</v>
      </c>
      <c r="M11" s="82">
        <v>10.048500000000001</v>
      </c>
      <c r="N11" s="73">
        <v>10</v>
      </c>
      <c r="O11" s="65">
        <v>7000</v>
      </c>
      <c r="P11" s="66">
        <f>Table224578910112345[[#This Row],[PEMBULATAN]]*O11</f>
        <v>70000</v>
      </c>
    </row>
    <row r="12" spans="1:16" ht="26.25" customHeight="1" x14ac:dyDescent="0.2">
      <c r="A12" s="100"/>
      <c r="B12" s="100"/>
      <c r="C12" s="16" t="s">
        <v>130</v>
      </c>
      <c r="D12" s="79" t="s">
        <v>90</v>
      </c>
      <c r="E12" s="13">
        <v>44441</v>
      </c>
      <c r="F12" s="77" t="s">
        <v>91</v>
      </c>
      <c r="G12" s="13">
        <v>44446</v>
      </c>
      <c r="H12" s="101" t="s">
        <v>101</v>
      </c>
      <c r="I12" s="16">
        <v>43</v>
      </c>
      <c r="J12" s="16">
        <v>33</v>
      </c>
      <c r="K12" s="16">
        <v>18</v>
      </c>
      <c r="L12" s="16">
        <v>10</v>
      </c>
      <c r="M12" s="82">
        <v>6.3855000000000004</v>
      </c>
      <c r="N12" s="73">
        <v>10</v>
      </c>
      <c r="O12" s="65">
        <v>7000</v>
      </c>
      <c r="P12" s="66">
        <f>Table224578910112345[[#This Row],[PEMBULATAN]]*O12</f>
        <v>70000</v>
      </c>
    </row>
    <row r="13" spans="1:16" ht="26.25" customHeight="1" x14ac:dyDescent="0.2">
      <c r="A13" s="100"/>
      <c r="B13" s="100"/>
      <c r="C13" s="16" t="s">
        <v>131</v>
      </c>
      <c r="D13" s="79" t="s">
        <v>90</v>
      </c>
      <c r="E13" s="13">
        <v>44441</v>
      </c>
      <c r="F13" s="77" t="s">
        <v>91</v>
      </c>
      <c r="G13" s="13">
        <v>44446</v>
      </c>
      <c r="H13" s="101" t="s">
        <v>101</v>
      </c>
      <c r="I13" s="16">
        <v>42</v>
      </c>
      <c r="J13" s="16">
        <v>33</v>
      </c>
      <c r="K13" s="16">
        <v>29</v>
      </c>
      <c r="L13" s="16">
        <v>9</v>
      </c>
      <c r="M13" s="82">
        <v>10.048500000000001</v>
      </c>
      <c r="N13" s="73">
        <v>10</v>
      </c>
      <c r="O13" s="65">
        <v>7000</v>
      </c>
      <c r="P13" s="66">
        <f>Table224578910112345[[#This Row],[PEMBULATAN]]*O13</f>
        <v>70000</v>
      </c>
    </row>
    <row r="14" spans="1:16" ht="26.25" customHeight="1" x14ac:dyDescent="0.2">
      <c r="A14" s="100"/>
      <c r="B14" s="100"/>
      <c r="C14" s="16" t="s">
        <v>132</v>
      </c>
      <c r="D14" s="79" t="s">
        <v>90</v>
      </c>
      <c r="E14" s="13">
        <v>44441</v>
      </c>
      <c r="F14" s="77" t="s">
        <v>91</v>
      </c>
      <c r="G14" s="13">
        <v>44446</v>
      </c>
      <c r="H14" s="101" t="s">
        <v>101</v>
      </c>
      <c r="I14" s="16">
        <v>33</v>
      </c>
      <c r="J14" s="16">
        <v>33</v>
      </c>
      <c r="K14" s="16">
        <v>18</v>
      </c>
      <c r="L14" s="16">
        <v>8</v>
      </c>
      <c r="M14" s="82">
        <v>4.9005000000000001</v>
      </c>
      <c r="N14" s="73">
        <v>8</v>
      </c>
      <c r="O14" s="65">
        <v>7000</v>
      </c>
      <c r="P14" s="66">
        <f>Table224578910112345[[#This Row],[PEMBULATAN]]*O14</f>
        <v>56000</v>
      </c>
    </row>
    <row r="15" spans="1:16" ht="26.25" customHeight="1" x14ac:dyDescent="0.2">
      <c r="A15" s="100"/>
      <c r="B15" s="100"/>
      <c r="C15" s="16" t="s">
        <v>133</v>
      </c>
      <c r="D15" s="79" t="s">
        <v>90</v>
      </c>
      <c r="E15" s="13">
        <v>44441</v>
      </c>
      <c r="F15" s="77" t="s">
        <v>91</v>
      </c>
      <c r="G15" s="13">
        <v>44446</v>
      </c>
      <c r="H15" s="101" t="s">
        <v>101</v>
      </c>
      <c r="I15" s="16">
        <v>33</v>
      </c>
      <c r="J15" s="16">
        <v>33</v>
      </c>
      <c r="K15" s="16">
        <v>17</v>
      </c>
      <c r="L15" s="16">
        <v>12</v>
      </c>
      <c r="M15" s="82">
        <v>4.6282500000000004</v>
      </c>
      <c r="N15" s="73">
        <v>12</v>
      </c>
      <c r="O15" s="65">
        <v>7000</v>
      </c>
      <c r="P15" s="66">
        <f>Table224578910112345[[#This Row],[PEMBULATAN]]*O15</f>
        <v>84000</v>
      </c>
    </row>
    <row r="16" spans="1:16" ht="26.25" customHeight="1" x14ac:dyDescent="0.2">
      <c r="A16" s="100"/>
      <c r="B16" s="100"/>
      <c r="C16" s="16" t="s">
        <v>134</v>
      </c>
      <c r="D16" s="79" t="s">
        <v>90</v>
      </c>
      <c r="E16" s="13">
        <v>44441</v>
      </c>
      <c r="F16" s="77" t="s">
        <v>91</v>
      </c>
      <c r="G16" s="13">
        <v>44446</v>
      </c>
      <c r="H16" s="101" t="s">
        <v>101</v>
      </c>
      <c r="I16" s="16">
        <v>33</v>
      </c>
      <c r="J16" s="16">
        <v>33</v>
      </c>
      <c r="K16" s="16">
        <v>18</v>
      </c>
      <c r="L16" s="16">
        <v>8</v>
      </c>
      <c r="M16" s="82">
        <v>4.9005000000000001</v>
      </c>
      <c r="N16" s="73">
        <v>8</v>
      </c>
      <c r="O16" s="65">
        <v>7000</v>
      </c>
      <c r="P16" s="66">
        <f>Table224578910112345[[#This Row],[PEMBULATAN]]*O16</f>
        <v>56000</v>
      </c>
    </row>
    <row r="17" spans="1:16" ht="26.25" customHeight="1" x14ac:dyDescent="0.2">
      <c r="A17" s="100"/>
      <c r="B17" s="100"/>
      <c r="C17" s="16" t="s">
        <v>135</v>
      </c>
      <c r="D17" s="79" t="s">
        <v>90</v>
      </c>
      <c r="E17" s="13">
        <v>44441</v>
      </c>
      <c r="F17" s="77" t="s">
        <v>91</v>
      </c>
      <c r="G17" s="13">
        <v>44446</v>
      </c>
      <c r="H17" s="101" t="s">
        <v>101</v>
      </c>
      <c r="I17" s="16">
        <v>33</v>
      </c>
      <c r="J17" s="16">
        <v>21</v>
      </c>
      <c r="K17" s="16">
        <v>18</v>
      </c>
      <c r="L17" s="16">
        <v>8</v>
      </c>
      <c r="M17" s="82">
        <v>3.1185</v>
      </c>
      <c r="N17" s="73">
        <v>8</v>
      </c>
      <c r="O17" s="65">
        <v>7000</v>
      </c>
      <c r="P17" s="66">
        <f>Table224578910112345[[#This Row],[PEMBULATAN]]*O17</f>
        <v>56000</v>
      </c>
    </row>
    <row r="18" spans="1:16" ht="26.25" customHeight="1" x14ac:dyDescent="0.2">
      <c r="A18" s="100"/>
      <c r="B18" s="100"/>
      <c r="C18" s="16" t="s">
        <v>136</v>
      </c>
      <c r="D18" s="79" t="s">
        <v>90</v>
      </c>
      <c r="E18" s="13">
        <v>44441</v>
      </c>
      <c r="F18" s="77" t="s">
        <v>91</v>
      </c>
      <c r="G18" s="13">
        <v>44446</v>
      </c>
      <c r="H18" s="101" t="s">
        <v>101</v>
      </c>
      <c r="I18" s="16">
        <v>32</v>
      </c>
      <c r="J18" s="16">
        <v>18</v>
      </c>
      <c r="K18" s="16">
        <v>21</v>
      </c>
      <c r="L18" s="16">
        <v>8</v>
      </c>
      <c r="M18" s="82">
        <v>3.024</v>
      </c>
      <c r="N18" s="73">
        <v>8</v>
      </c>
      <c r="O18" s="65">
        <v>7000</v>
      </c>
      <c r="P18" s="66">
        <f>Table224578910112345[[#This Row],[PEMBULATAN]]*O18</f>
        <v>56000</v>
      </c>
    </row>
    <row r="19" spans="1:16" ht="26.25" customHeight="1" x14ac:dyDescent="0.2">
      <c r="A19" s="100"/>
      <c r="B19" s="100"/>
      <c r="C19" s="16" t="s">
        <v>137</v>
      </c>
      <c r="D19" s="79" t="s">
        <v>90</v>
      </c>
      <c r="E19" s="13">
        <v>44441</v>
      </c>
      <c r="F19" s="77" t="s">
        <v>91</v>
      </c>
      <c r="G19" s="13">
        <v>44446</v>
      </c>
      <c r="H19" s="101" t="s">
        <v>101</v>
      </c>
      <c r="I19" s="16">
        <v>36</v>
      </c>
      <c r="J19" s="16">
        <v>31</v>
      </c>
      <c r="K19" s="16">
        <v>25</v>
      </c>
      <c r="L19" s="16">
        <v>16</v>
      </c>
      <c r="M19" s="82">
        <v>6.9749999999999996</v>
      </c>
      <c r="N19" s="73">
        <v>16</v>
      </c>
      <c r="O19" s="65">
        <v>7000</v>
      </c>
      <c r="P19" s="66">
        <f>Table224578910112345[[#This Row],[PEMBULATAN]]*O19</f>
        <v>112000</v>
      </c>
    </row>
    <row r="20" spans="1:16" ht="26.25" customHeight="1" x14ac:dyDescent="0.2">
      <c r="A20" s="100"/>
      <c r="B20" s="100"/>
      <c r="C20" s="16" t="s">
        <v>138</v>
      </c>
      <c r="D20" s="79" t="s">
        <v>90</v>
      </c>
      <c r="E20" s="13">
        <v>44441</v>
      </c>
      <c r="F20" s="77" t="s">
        <v>91</v>
      </c>
      <c r="G20" s="13">
        <v>44446</v>
      </c>
      <c r="H20" s="101" t="s">
        <v>101</v>
      </c>
      <c r="I20" s="16">
        <v>43</v>
      </c>
      <c r="J20" s="16">
        <v>33</v>
      </c>
      <c r="K20" s="16">
        <v>38</v>
      </c>
      <c r="L20" s="16">
        <v>10</v>
      </c>
      <c r="M20" s="82">
        <v>13.480499999999999</v>
      </c>
      <c r="N20" s="73">
        <v>14</v>
      </c>
      <c r="O20" s="65">
        <v>7000</v>
      </c>
      <c r="P20" s="66">
        <f>Table224578910112345[[#This Row],[PEMBULATAN]]*O20</f>
        <v>98000</v>
      </c>
    </row>
    <row r="21" spans="1:16" ht="26.25" customHeight="1" x14ac:dyDescent="0.2">
      <c r="A21" s="100"/>
      <c r="B21" s="100"/>
      <c r="C21" s="16" t="s">
        <v>139</v>
      </c>
      <c r="D21" s="79" t="s">
        <v>90</v>
      </c>
      <c r="E21" s="13">
        <v>44441</v>
      </c>
      <c r="F21" s="77" t="s">
        <v>91</v>
      </c>
      <c r="G21" s="13">
        <v>44446</v>
      </c>
      <c r="H21" s="101" t="s">
        <v>101</v>
      </c>
      <c r="I21" s="16">
        <v>35</v>
      </c>
      <c r="J21" s="16">
        <v>20</v>
      </c>
      <c r="K21" s="16">
        <v>35</v>
      </c>
      <c r="L21" s="16">
        <v>12</v>
      </c>
      <c r="M21" s="82">
        <v>6.125</v>
      </c>
      <c r="N21" s="73">
        <v>12</v>
      </c>
      <c r="O21" s="65">
        <v>7000</v>
      </c>
      <c r="P21" s="66">
        <f>Table224578910112345[[#This Row],[PEMBULATAN]]*O21</f>
        <v>84000</v>
      </c>
    </row>
    <row r="22" spans="1:16" ht="26.25" customHeight="1" x14ac:dyDescent="0.2">
      <c r="A22" s="100"/>
      <c r="B22" s="100"/>
      <c r="C22" s="16" t="s">
        <v>140</v>
      </c>
      <c r="D22" s="79" t="s">
        <v>90</v>
      </c>
      <c r="E22" s="13">
        <v>44441</v>
      </c>
      <c r="F22" s="77" t="s">
        <v>91</v>
      </c>
      <c r="G22" s="13">
        <v>44446</v>
      </c>
      <c r="H22" s="101" t="s">
        <v>101</v>
      </c>
      <c r="I22" s="16">
        <v>36</v>
      </c>
      <c r="J22" s="16">
        <v>35</v>
      </c>
      <c r="K22" s="16">
        <v>17</v>
      </c>
      <c r="L22" s="16">
        <v>12</v>
      </c>
      <c r="M22" s="82">
        <v>5.3550000000000004</v>
      </c>
      <c r="N22" s="73">
        <v>12</v>
      </c>
      <c r="O22" s="65">
        <v>7000</v>
      </c>
      <c r="P22" s="66">
        <f>Table224578910112345[[#This Row],[PEMBULATAN]]*O22</f>
        <v>84000</v>
      </c>
    </row>
    <row r="23" spans="1:16" ht="26.25" customHeight="1" x14ac:dyDescent="0.2">
      <c r="A23" s="100"/>
      <c r="B23" s="100"/>
      <c r="C23" s="16" t="s">
        <v>141</v>
      </c>
      <c r="D23" s="79" t="s">
        <v>90</v>
      </c>
      <c r="E23" s="13">
        <v>44441</v>
      </c>
      <c r="F23" s="77" t="s">
        <v>91</v>
      </c>
      <c r="G23" s="13">
        <v>44446</v>
      </c>
      <c r="H23" s="101" t="s">
        <v>101</v>
      </c>
      <c r="I23" s="16">
        <v>36</v>
      </c>
      <c r="J23" s="16">
        <v>37</v>
      </c>
      <c r="K23" s="16">
        <v>18</v>
      </c>
      <c r="L23" s="16">
        <v>12</v>
      </c>
      <c r="M23" s="82">
        <v>5.9939999999999998</v>
      </c>
      <c r="N23" s="73">
        <v>12</v>
      </c>
      <c r="O23" s="65">
        <v>7000</v>
      </c>
      <c r="P23" s="66">
        <f>Table224578910112345[[#This Row],[PEMBULATAN]]*O23</f>
        <v>84000</v>
      </c>
    </row>
    <row r="24" spans="1:16" ht="26.25" customHeight="1" x14ac:dyDescent="0.2">
      <c r="A24" s="100"/>
      <c r="B24" s="100"/>
      <c r="C24" s="16" t="s">
        <v>142</v>
      </c>
      <c r="D24" s="79" t="s">
        <v>90</v>
      </c>
      <c r="E24" s="13">
        <v>44441</v>
      </c>
      <c r="F24" s="77" t="s">
        <v>91</v>
      </c>
      <c r="G24" s="13">
        <v>44446</v>
      </c>
      <c r="H24" s="101" t="s">
        <v>101</v>
      </c>
      <c r="I24" s="16">
        <v>35</v>
      </c>
      <c r="J24" s="16">
        <v>20</v>
      </c>
      <c r="K24" s="16">
        <v>35</v>
      </c>
      <c r="L24" s="16">
        <v>12</v>
      </c>
      <c r="M24" s="82">
        <v>6.125</v>
      </c>
      <c r="N24" s="73">
        <v>12</v>
      </c>
      <c r="O24" s="65">
        <v>7000</v>
      </c>
      <c r="P24" s="66">
        <f>Table224578910112345[[#This Row],[PEMBULATAN]]*O24</f>
        <v>84000</v>
      </c>
    </row>
    <row r="25" spans="1:16" ht="26.25" customHeight="1" x14ac:dyDescent="0.2">
      <c r="A25" s="100"/>
      <c r="B25" s="100"/>
      <c r="C25" s="16" t="s">
        <v>143</v>
      </c>
      <c r="D25" s="79" t="s">
        <v>90</v>
      </c>
      <c r="E25" s="13">
        <v>44441</v>
      </c>
      <c r="F25" s="77" t="s">
        <v>91</v>
      </c>
      <c r="G25" s="13">
        <v>44446</v>
      </c>
      <c r="H25" s="101" t="s">
        <v>101</v>
      </c>
      <c r="I25" s="16">
        <v>33</v>
      </c>
      <c r="J25" s="16">
        <v>33</v>
      </c>
      <c r="K25" s="16">
        <v>17</v>
      </c>
      <c r="L25" s="16">
        <v>12</v>
      </c>
      <c r="M25" s="82">
        <v>4.6282500000000004</v>
      </c>
      <c r="N25" s="73">
        <v>12</v>
      </c>
      <c r="O25" s="65">
        <v>7000</v>
      </c>
      <c r="P25" s="66">
        <f>Table224578910112345[[#This Row],[PEMBULATAN]]*O25</f>
        <v>84000</v>
      </c>
    </row>
    <row r="26" spans="1:16" ht="26.25" customHeight="1" x14ac:dyDescent="0.2">
      <c r="A26" s="100"/>
      <c r="B26" s="100"/>
      <c r="C26" s="16" t="s">
        <v>144</v>
      </c>
      <c r="D26" s="79" t="s">
        <v>90</v>
      </c>
      <c r="E26" s="13">
        <v>44441</v>
      </c>
      <c r="F26" s="77" t="s">
        <v>91</v>
      </c>
      <c r="G26" s="13">
        <v>44446</v>
      </c>
      <c r="H26" s="101" t="s">
        <v>101</v>
      </c>
      <c r="I26" s="16">
        <v>51</v>
      </c>
      <c r="J26" s="16">
        <v>35</v>
      </c>
      <c r="K26" s="16">
        <v>33</v>
      </c>
      <c r="L26" s="16">
        <v>17</v>
      </c>
      <c r="M26" s="82">
        <v>14.72625</v>
      </c>
      <c r="N26" s="73">
        <v>17</v>
      </c>
      <c r="O26" s="65">
        <v>7000</v>
      </c>
      <c r="P26" s="66">
        <f>Table224578910112345[[#This Row],[PEMBULATAN]]*O26</f>
        <v>119000</v>
      </c>
    </row>
    <row r="27" spans="1:16" ht="26.25" customHeight="1" x14ac:dyDescent="0.2">
      <c r="A27" s="100"/>
      <c r="B27" s="100"/>
      <c r="C27" s="16" t="s">
        <v>145</v>
      </c>
      <c r="D27" s="79" t="s">
        <v>90</v>
      </c>
      <c r="E27" s="13">
        <v>44441</v>
      </c>
      <c r="F27" s="77" t="s">
        <v>91</v>
      </c>
      <c r="G27" s="13">
        <v>44446</v>
      </c>
      <c r="H27" s="101" t="s">
        <v>101</v>
      </c>
      <c r="I27" s="16">
        <v>35</v>
      </c>
      <c r="J27" s="16">
        <v>35</v>
      </c>
      <c r="K27" s="16">
        <v>20</v>
      </c>
      <c r="L27" s="16">
        <v>12</v>
      </c>
      <c r="M27" s="82">
        <v>6.125</v>
      </c>
      <c r="N27" s="73">
        <v>12</v>
      </c>
      <c r="O27" s="65">
        <v>7000</v>
      </c>
      <c r="P27" s="66">
        <f>Table224578910112345[[#This Row],[PEMBULATAN]]*O27</f>
        <v>84000</v>
      </c>
    </row>
    <row r="28" spans="1:16" ht="26.25" customHeight="1" x14ac:dyDescent="0.2">
      <c r="A28" s="100"/>
      <c r="B28" s="100"/>
      <c r="C28" s="16" t="s">
        <v>146</v>
      </c>
      <c r="D28" s="79" t="s">
        <v>90</v>
      </c>
      <c r="E28" s="13">
        <v>44441</v>
      </c>
      <c r="F28" s="77" t="s">
        <v>91</v>
      </c>
      <c r="G28" s="13">
        <v>44446</v>
      </c>
      <c r="H28" s="101" t="s">
        <v>101</v>
      </c>
      <c r="I28" s="16">
        <v>55</v>
      </c>
      <c r="J28" s="16">
        <v>31</v>
      </c>
      <c r="K28" s="16">
        <v>32</v>
      </c>
      <c r="L28" s="16">
        <v>11</v>
      </c>
      <c r="M28" s="82">
        <v>13.64</v>
      </c>
      <c r="N28" s="73">
        <v>14</v>
      </c>
      <c r="O28" s="65">
        <v>7000</v>
      </c>
      <c r="P28" s="66">
        <f>Table224578910112345[[#This Row],[PEMBULATAN]]*O28</f>
        <v>98000</v>
      </c>
    </row>
    <row r="29" spans="1:16" ht="26.25" customHeight="1" x14ac:dyDescent="0.2">
      <c r="A29" s="100"/>
      <c r="B29" s="100"/>
      <c r="C29" s="16" t="s">
        <v>147</v>
      </c>
      <c r="D29" s="79" t="s">
        <v>90</v>
      </c>
      <c r="E29" s="13">
        <v>44441</v>
      </c>
      <c r="F29" s="77" t="s">
        <v>91</v>
      </c>
      <c r="G29" s="13">
        <v>44446</v>
      </c>
      <c r="H29" s="101" t="s">
        <v>101</v>
      </c>
      <c r="I29" s="16">
        <v>42</v>
      </c>
      <c r="J29" s="16">
        <v>33</v>
      </c>
      <c r="K29" s="16">
        <v>29</v>
      </c>
      <c r="L29" s="16">
        <v>9</v>
      </c>
      <c r="M29" s="82">
        <v>10.048500000000001</v>
      </c>
      <c r="N29" s="73">
        <v>10</v>
      </c>
      <c r="O29" s="65">
        <v>7000</v>
      </c>
      <c r="P29" s="66">
        <f>Table224578910112345[[#This Row],[PEMBULATAN]]*O29</f>
        <v>70000</v>
      </c>
    </row>
    <row r="30" spans="1:16" ht="26.25" customHeight="1" x14ac:dyDescent="0.2">
      <c r="A30" s="100"/>
      <c r="B30" s="100"/>
      <c r="C30" s="16" t="s">
        <v>148</v>
      </c>
      <c r="D30" s="79" t="s">
        <v>90</v>
      </c>
      <c r="E30" s="13">
        <v>44441</v>
      </c>
      <c r="F30" s="77" t="s">
        <v>91</v>
      </c>
      <c r="G30" s="13">
        <v>44446</v>
      </c>
      <c r="H30" s="101" t="s">
        <v>101</v>
      </c>
      <c r="I30" s="16">
        <v>45</v>
      </c>
      <c r="J30" s="16">
        <v>30</v>
      </c>
      <c r="K30" s="16">
        <v>34</v>
      </c>
      <c r="L30" s="16">
        <v>9</v>
      </c>
      <c r="M30" s="82">
        <v>11.475</v>
      </c>
      <c r="N30" s="73">
        <v>12</v>
      </c>
      <c r="O30" s="65">
        <v>7000</v>
      </c>
      <c r="P30" s="66">
        <f>Table224578910112345[[#This Row],[PEMBULATAN]]*O30</f>
        <v>84000</v>
      </c>
    </row>
    <row r="31" spans="1:16" ht="22.5" customHeight="1" x14ac:dyDescent="0.2">
      <c r="A31" s="136" t="s">
        <v>30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8"/>
      <c r="M31" s="80">
        <f>SUBTOTAL(109,Table224578910112345[KG VOLUME])</f>
        <v>345.78024999999997</v>
      </c>
      <c r="N31" s="69">
        <f>SUM(N3:N30)</f>
        <v>441</v>
      </c>
      <c r="O31" s="139">
        <f>SUM(P3:P30)</f>
        <v>3087000</v>
      </c>
      <c r="P31" s="140"/>
    </row>
    <row r="32" spans="1:16" ht="18" customHeight="1" x14ac:dyDescent="0.2">
      <c r="A32" s="87"/>
      <c r="B32" s="57" t="s">
        <v>42</v>
      </c>
      <c r="C32" s="56"/>
      <c r="D32" s="58" t="s">
        <v>43</v>
      </c>
      <c r="E32" s="87"/>
      <c r="F32" s="87"/>
      <c r="G32" s="87"/>
      <c r="H32" s="87"/>
      <c r="I32" s="87"/>
      <c r="J32" s="87"/>
      <c r="K32" s="87"/>
      <c r="L32" s="87"/>
      <c r="M32" s="88"/>
      <c r="N32" s="89" t="s">
        <v>52</v>
      </c>
      <c r="O32" s="90"/>
      <c r="P32" s="90">
        <v>0</v>
      </c>
    </row>
    <row r="33" spans="1:16" ht="18" customHeight="1" thickBot="1" x14ac:dyDescent="0.25">
      <c r="A33" s="87"/>
      <c r="B33" s="57"/>
      <c r="C33" s="56"/>
      <c r="D33" s="58"/>
      <c r="E33" s="87"/>
      <c r="F33" s="87"/>
      <c r="G33" s="87"/>
      <c r="H33" s="87"/>
      <c r="I33" s="87"/>
      <c r="J33" s="87"/>
      <c r="K33" s="87"/>
      <c r="L33" s="87"/>
      <c r="M33" s="88"/>
      <c r="N33" s="91" t="s">
        <v>53</v>
      </c>
      <c r="O33" s="92"/>
      <c r="P33" s="92">
        <f>O31-P32</f>
        <v>3087000</v>
      </c>
    </row>
    <row r="34" spans="1:16" ht="18" customHeight="1" x14ac:dyDescent="0.2">
      <c r="A34" s="11"/>
      <c r="H34" s="64"/>
      <c r="N34" s="63" t="s">
        <v>31</v>
      </c>
      <c r="P34" s="70">
        <f>P33*1%</f>
        <v>30870</v>
      </c>
    </row>
    <row r="35" spans="1:16" ht="18" customHeight="1" thickBot="1" x14ac:dyDescent="0.25">
      <c r="A35" s="11"/>
      <c r="H35" s="64"/>
      <c r="N35" s="63" t="s">
        <v>54</v>
      </c>
      <c r="P35" s="72">
        <f>P33*2%</f>
        <v>61740</v>
      </c>
    </row>
    <row r="36" spans="1:16" ht="18" customHeight="1" x14ac:dyDescent="0.2">
      <c r="A36" s="11"/>
      <c r="H36" s="64"/>
      <c r="N36" s="67" t="s">
        <v>32</v>
      </c>
      <c r="O36" s="68"/>
      <c r="P36" s="71">
        <f>P33+P34-P35</f>
        <v>3056130</v>
      </c>
    </row>
    <row r="38" spans="1:16" x14ac:dyDescent="0.2">
      <c r="A38" s="11"/>
      <c r="H38" s="64"/>
      <c r="P38" s="72"/>
    </row>
    <row r="39" spans="1:16" x14ac:dyDescent="0.2">
      <c r="A39" s="11"/>
      <c r="H39" s="64"/>
      <c r="O39" s="59"/>
      <c r="P39" s="72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591" priority="2"/>
  </conditionalFormatting>
  <conditionalFormatting sqref="B4">
    <cfRule type="duplicateValues" dxfId="590" priority="1"/>
  </conditionalFormatting>
  <conditionalFormatting sqref="B5:B30">
    <cfRule type="duplicateValues" dxfId="589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6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903</v>
      </c>
      <c r="B3" s="118" t="s">
        <v>149</v>
      </c>
      <c r="C3" s="1" t="s">
        <v>150</v>
      </c>
      <c r="D3" s="77" t="s">
        <v>90</v>
      </c>
      <c r="E3" s="13">
        <v>44442</v>
      </c>
      <c r="F3" s="77" t="s">
        <v>91</v>
      </c>
      <c r="G3" s="13">
        <v>44446</v>
      </c>
      <c r="H3" s="99" t="s">
        <v>101</v>
      </c>
      <c r="I3" s="1">
        <v>30</v>
      </c>
      <c r="J3" s="1">
        <v>20</v>
      </c>
      <c r="K3" s="1">
        <v>23</v>
      </c>
      <c r="L3" s="1">
        <v>20</v>
      </c>
      <c r="M3" s="81">
        <v>3.45</v>
      </c>
      <c r="N3" s="8">
        <v>20</v>
      </c>
      <c r="O3" s="65">
        <v>7000</v>
      </c>
      <c r="P3" s="66">
        <f>Table2245789101123456[[#This Row],[PEMBULATAN]]*O3</f>
        <v>140000</v>
      </c>
    </row>
    <row r="4" spans="1:16" ht="26.25" customHeight="1" x14ac:dyDescent="0.2">
      <c r="A4" s="100"/>
      <c r="B4" s="118" t="s">
        <v>151</v>
      </c>
      <c r="C4" s="1" t="s">
        <v>152</v>
      </c>
      <c r="D4" s="77" t="s">
        <v>90</v>
      </c>
      <c r="E4" s="13">
        <v>44442</v>
      </c>
      <c r="F4" s="77" t="s">
        <v>91</v>
      </c>
      <c r="G4" s="13">
        <v>44446</v>
      </c>
      <c r="H4" s="99" t="s">
        <v>101</v>
      </c>
      <c r="I4" s="1">
        <v>48</v>
      </c>
      <c r="J4" s="1">
        <v>25</v>
      </c>
      <c r="K4" s="1">
        <v>10</v>
      </c>
      <c r="L4" s="1">
        <v>2</v>
      </c>
      <c r="M4" s="81">
        <v>3</v>
      </c>
      <c r="N4" s="8">
        <v>3</v>
      </c>
      <c r="O4" s="65">
        <v>7000</v>
      </c>
      <c r="P4" s="66">
        <f>Table2245789101123456[[#This Row],[PEMBULATAN]]*O4</f>
        <v>21000</v>
      </c>
    </row>
    <row r="5" spans="1:16" ht="26.25" customHeight="1" x14ac:dyDescent="0.2">
      <c r="A5" s="100"/>
      <c r="B5" s="100" t="s">
        <v>153</v>
      </c>
      <c r="C5" s="1" t="s">
        <v>154</v>
      </c>
      <c r="D5" s="77" t="s">
        <v>90</v>
      </c>
      <c r="E5" s="13">
        <v>44442</v>
      </c>
      <c r="F5" s="77" t="s">
        <v>91</v>
      </c>
      <c r="G5" s="13">
        <v>44446</v>
      </c>
      <c r="H5" s="99" t="s">
        <v>101</v>
      </c>
      <c r="I5" s="1">
        <v>38</v>
      </c>
      <c r="J5" s="1">
        <v>25</v>
      </c>
      <c r="K5" s="1">
        <v>19</v>
      </c>
      <c r="L5" s="1">
        <v>4</v>
      </c>
      <c r="M5" s="81">
        <v>4.5125000000000002</v>
      </c>
      <c r="N5" s="8">
        <v>5</v>
      </c>
      <c r="O5" s="65">
        <v>7000</v>
      </c>
      <c r="P5" s="66">
        <f>Table2245789101123456[[#This Row],[PEMBULATAN]]*O5</f>
        <v>35000</v>
      </c>
    </row>
    <row r="6" spans="1:16" ht="26.25" customHeight="1" x14ac:dyDescent="0.2">
      <c r="A6" s="100"/>
      <c r="B6" s="100"/>
      <c r="C6" s="16" t="s">
        <v>155</v>
      </c>
      <c r="D6" s="79" t="s">
        <v>90</v>
      </c>
      <c r="E6" s="13">
        <v>44442</v>
      </c>
      <c r="F6" s="77" t="s">
        <v>91</v>
      </c>
      <c r="G6" s="13">
        <v>44446</v>
      </c>
      <c r="H6" s="101" t="s">
        <v>101</v>
      </c>
      <c r="I6" s="16">
        <v>105</v>
      </c>
      <c r="J6" s="16">
        <v>40</v>
      </c>
      <c r="K6" s="16">
        <v>25</v>
      </c>
      <c r="L6" s="16">
        <v>10</v>
      </c>
      <c r="M6" s="82">
        <v>26.25</v>
      </c>
      <c r="N6" s="73">
        <v>26</v>
      </c>
      <c r="O6" s="65">
        <v>7000</v>
      </c>
      <c r="P6" s="66">
        <f>Table2245789101123456[[#This Row],[PEMBULATAN]]*O6</f>
        <v>182000</v>
      </c>
    </row>
    <row r="7" spans="1:16" ht="26.25" customHeight="1" x14ac:dyDescent="0.2">
      <c r="A7" s="100"/>
      <c r="B7" s="100"/>
      <c r="C7" s="16" t="s">
        <v>156</v>
      </c>
      <c r="D7" s="79" t="s">
        <v>90</v>
      </c>
      <c r="E7" s="13">
        <v>44442</v>
      </c>
      <c r="F7" s="77" t="s">
        <v>91</v>
      </c>
      <c r="G7" s="13">
        <v>44446</v>
      </c>
      <c r="H7" s="101" t="s">
        <v>101</v>
      </c>
      <c r="I7" s="16">
        <v>70</v>
      </c>
      <c r="J7" s="16">
        <v>42</v>
      </c>
      <c r="K7" s="16">
        <v>50</v>
      </c>
      <c r="L7" s="16">
        <v>23</v>
      </c>
      <c r="M7" s="82">
        <v>36.75</v>
      </c>
      <c r="N7" s="73">
        <v>37</v>
      </c>
      <c r="O7" s="65">
        <v>7000</v>
      </c>
      <c r="P7" s="66">
        <f>Table2245789101123456[[#This Row],[PEMBULATAN]]*O7</f>
        <v>259000</v>
      </c>
    </row>
    <row r="8" spans="1:16" ht="26.25" customHeight="1" x14ac:dyDescent="0.2">
      <c r="A8" s="100"/>
      <c r="B8" s="100"/>
      <c r="C8" s="16" t="s">
        <v>157</v>
      </c>
      <c r="D8" s="79" t="s">
        <v>90</v>
      </c>
      <c r="E8" s="13">
        <v>44442</v>
      </c>
      <c r="F8" s="77" t="s">
        <v>91</v>
      </c>
      <c r="G8" s="13">
        <v>44446</v>
      </c>
      <c r="H8" s="101" t="s">
        <v>101</v>
      </c>
      <c r="I8" s="16">
        <v>90</v>
      </c>
      <c r="J8" s="16">
        <v>55</v>
      </c>
      <c r="K8" s="16">
        <v>55</v>
      </c>
      <c r="L8" s="16">
        <v>31</v>
      </c>
      <c r="M8" s="82">
        <v>68.0625</v>
      </c>
      <c r="N8" s="73">
        <v>68</v>
      </c>
      <c r="O8" s="65">
        <v>7000</v>
      </c>
      <c r="P8" s="66">
        <f>Table2245789101123456[[#This Row],[PEMBULATAN]]*O8</f>
        <v>476000</v>
      </c>
    </row>
    <row r="9" spans="1:16" ht="26.25" customHeight="1" x14ac:dyDescent="0.2">
      <c r="A9" s="100"/>
      <c r="B9" s="100"/>
      <c r="C9" s="16" t="s">
        <v>158</v>
      </c>
      <c r="D9" s="79" t="s">
        <v>90</v>
      </c>
      <c r="E9" s="13">
        <v>44442</v>
      </c>
      <c r="F9" s="77" t="s">
        <v>91</v>
      </c>
      <c r="G9" s="13">
        <v>44446</v>
      </c>
      <c r="H9" s="101" t="s">
        <v>101</v>
      </c>
      <c r="I9" s="16">
        <v>60</v>
      </c>
      <c r="J9" s="16">
        <v>50</v>
      </c>
      <c r="K9" s="16">
        <v>50</v>
      </c>
      <c r="L9" s="16">
        <v>39</v>
      </c>
      <c r="M9" s="82">
        <v>37.5</v>
      </c>
      <c r="N9" s="73">
        <v>39</v>
      </c>
      <c r="O9" s="65">
        <v>7000</v>
      </c>
      <c r="P9" s="66">
        <f>Table2245789101123456[[#This Row],[PEMBULATAN]]*O9</f>
        <v>273000</v>
      </c>
    </row>
    <row r="10" spans="1:16" ht="26.25" customHeight="1" x14ac:dyDescent="0.2">
      <c r="A10" s="100"/>
      <c r="B10" s="100"/>
      <c r="C10" s="16" t="s">
        <v>159</v>
      </c>
      <c r="D10" s="79" t="s">
        <v>90</v>
      </c>
      <c r="E10" s="13">
        <v>44442</v>
      </c>
      <c r="F10" s="77" t="s">
        <v>91</v>
      </c>
      <c r="G10" s="13">
        <v>44446</v>
      </c>
      <c r="H10" s="101" t="s">
        <v>101</v>
      </c>
      <c r="I10" s="16">
        <v>80</v>
      </c>
      <c r="J10" s="16">
        <v>30</v>
      </c>
      <c r="K10" s="16">
        <v>15</v>
      </c>
      <c r="L10" s="16">
        <v>5</v>
      </c>
      <c r="M10" s="82">
        <v>9</v>
      </c>
      <c r="N10" s="73">
        <v>9</v>
      </c>
      <c r="O10" s="65">
        <v>7000</v>
      </c>
      <c r="P10" s="66">
        <f>Table2245789101123456[[#This Row],[PEMBULATAN]]*O10</f>
        <v>63000</v>
      </c>
    </row>
    <row r="11" spans="1:16" ht="26.25" customHeight="1" x14ac:dyDescent="0.2">
      <c r="A11" s="100"/>
      <c r="B11" s="100"/>
      <c r="C11" s="16" t="s">
        <v>160</v>
      </c>
      <c r="D11" s="79" t="s">
        <v>90</v>
      </c>
      <c r="E11" s="13">
        <v>44442</v>
      </c>
      <c r="F11" s="77" t="s">
        <v>91</v>
      </c>
      <c r="G11" s="13">
        <v>44446</v>
      </c>
      <c r="H11" s="101" t="s">
        <v>101</v>
      </c>
      <c r="I11" s="16">
        <v>46</v>
      </c>
      <c r="J11" s="16">
        <v>32</v>
      </c>
      <c r="K11" s="16">
        <v>26</v>
      </c>
      <c r="L11" s="16">
        <v>10</v>
      </c>
      <c r="M11" s="82">
        <v>9.5679999999999996</v>
      </c>
      <c r="N11" s="73">
        <v>10</v>
      </c>
      <c r="O11" s="65">
        <v>7000</v>
      </c>
      <c r="P11" s="66">
        <f>Table2245789101123456[[#This Row],[PEMBULATAN]]*O11</f>
        <v>70000</v>
      </c>
    </row>
    <row r="12" spans="1:16" ht="26.25" customHeight="1" x14ac:dyDescent="0.2">
      <c r="A12" s="100"/>
      <c r="B12" s="100"/>
      <c r="C12" s="16" t="s">
        <v>161</v>
      </c>
      <c r="D12" s="79" t="s">
        <v>90</v>
      </c>
      <c r="E12" s="13">
        <v>44442</v>
      </c>
      <c r="F12" s="77" t="s">
        <v>91</v>
      </c>
      <c r="G12" s="13">
        <v>44446</v>
      </c>
      <c r="H12" s="101" t="s">
        <v>101</v>
      </c>
      <c r="I12" s="16">
        <v>40</v>
      </c>
      <c r="J12" s="16">
        <v>40</v>
      </c>
      <c r="K12" s="16">
        <v>32</v>
      </c>
      <c r="L12" s="16">
        <v>8</v>
      </c>
      <c r="M12" s="82">
        <v>12.8</v>
      </c>
      <c r="N12" s="73">
        <v>13</v>
      </c>
      <c r="O12" s="65">
        <v>7000</v>
      </c>
      <c r="P12" s="66">
        <f>Table2245789101123456[[#This Row],[PEMBULATAN]]*O12</f>
        <v>91000</v>
      </c>
    </row>
    <row r="13" spans="1:16" ht="26.25" customHeight="1" x14ac:dyDescent="0.2">
      <c r="A13" s="100"/>
      <c r="B13" s="100"/>
      <c r="C13" s="16" t="s">
        <v>162</v>
      </c>
      <c r="D13" s="79" t="s">
        <v>90</v>
      </c>
      <c r="E13" s="13">
        <v>44442</v>
      </c>
      <c r="F13" s="77" t="s">
        <v>91</v>
      </c>
      <c r="G13" s="13">
        <v>44446</v>
      </c>
      <c r="H13" s="101" t="s">
        <v>101</v>
      </c>
      <c r="I13" s="16">
        <v>55</v>
      </c>
      <c r="J13" s="16">
        <v>30</v>
      </c>
      <c r="K13" s="16">
        <v>30</v>
      </c>
      <c r="L13" s="16">
        <v>10</v>
      </c>
      <c r="M13" s="82">
        <v>12.375</v>
      </c>
      <c r="N13" s="73">
        <v>13</v>
      </c>
      <c r="O13" s="65">
        <v>7000</v>
      </c>
      <c r="P13" s="66">
        <f>Table2245789101123456[[#This Row],[PEMBULATAN]]*O13</f>
        <v>91000</v>
      </c>
    </row>
    <row r="14" spans="1:16" ht="26.25" customHeight="1" x14ac:dyDescent="0.2">
      <c r="A14" s="100"/>
      <c r="B14" s="100"/>
      <c r="C14" s="16" t="s">
        <v>163</v>
      </c>
      <c r="D14" s="79" t="s">
        <v>90</v>
      </c>
      <c r="E14" s="13">
        <v>44442</v>
      </c>
      <c r="F14" s="77" t="s">
        <v>91</v>
      </c>
      <c r="G14" s="13">
        <v>44446</v>
      </c>
      <c r="H14" s="101" t="s">
        <v>101</v>
      </c>
      <c r="I14" s="16">
        <v>46</v>
      </c>
      <c r="J14" s="16">
        <v>40</v>
      </c>
      <c r="K14" s="16">
        <v>31</v>
      </c>
      <c r="L14" s="16">
        <v>15</v>
      </c>
      <c r="M14" s="82">
        <v>14.26</v>
      </c>
      <c r="N14" s="73">
        <v>15</v>
      </c>
      <c r="O14" s="65">
        <v>7000</v>
      </c>
      <c r="P14" s="66">
        <f>Table2245789101123456[[#This Row],[PEMBULATAN]]*O14</f>
        <v>105000</v>
      </c>
    </row>
    <row r="15" spans="1:16" ht="26.25" customHeight="1" x14ac:dyDescent="0.2">
      <c r="A15" s="100"/>
      <c r="B15" s="100"/>
      <c r="C15" s="16" t="s">
        <v>164</v>
      </c>
      <c r="D15" s="79" t="s">
        <v>90</v>
      </c>
      <c r="E15" s="13">
        <v>44442</v>
      </c>
      <c r="F15" s="77" t="s">
        <v>91</v>
      </c>
      <c r="G15" s="13">
        <v>44446</v>
      </c>
      <c r="H15" s="101" t="s">
        <v>101</v>
      </c>
      <c r="I15" s="16">
        <v>50</v>
      </c>
      <c r="J15" s="16">
        <v>40</v>
      </c>
      <c r="K15" s="16">
        <v>32</v>
      </c>
      <c r="L15" s="16">
        <v>16</v>
      </c>
      <c r="M15" s="82">
        <v>16</v>
      </c>
      <c r="N15" s="73">
        <v>16</v>
      </c>
      <c r="O15" s="65">
        <v>7000</v>
      </c>
      <c r="P15" s="66">
        <f>Table2245789101123456[[#This Row],[PEMBULATAN]]*O15</f>
        <v>112000</v>
      </c>
    </row>
    <row r="16" spans="1:16" ht="26.25" customHeight="1" x14ac:dyDescent="0.2">
      <c r="A16" s="100"/>
      <c r="B16" s="100"/>
      <c r="C16" s="16" t="s">
        <v>165</v>
      </c>
      <c r="D16" s="79" t="s">
        <v>90</v>
      </c>
      <c r="E16" s="13">
        <v>44442</v>
      </c>
      <c r="F16" s="77" t="s">
        <v>91</v>
      </c>
      <c r="G16" s="13">
        <v>44446</v>
      </c>
      <c r="H16" s="101" t="s">
        <v>101</v>
      </c>
      <c r="I16" s="16">
        <v>91</v>
      </c>
      <c r="J16" s="16">
        <v>32</v>
      </c>
      <c r="K16" s="16">
        <v>20</v>
      </c>
      <c r="L16" s="16">
        <v>5</v>
      </c>
      <c r="M16" s="82">
        <v>14.56</v>
      </c>
      <c r="N16" s="73">
        <v>15</v>
      </c>
      <c r="O16" s="65">
        <v>7000</v>
      </c>
      <c r="P16" s="66">
        <f>Table2245789101123456[[#This Row],[PEMBULATAN]]*O16</f>
        <v>105000</v>
      </c>
    </row>
    <row r="17" spans="1:16" ht="26.25" customHeight="1" x14ac:dyDescent="0.2">
      <c r="A17" s="100"/>
      <c r="B17" s="100"/>
      <c r="C17" s="16" t="s">
        <v>166</v>
      </c>
      <c r="D17" s="79" t="s">
        <v>90</v>
      </c>
      <c r="E17" s="13">
        <v>44442</v>
      </c>
      <c r="F17" s="77" t="s">
        <v>91</v>
      </c>
      <c r="G17" s="13">
        <v>44446</v>
      </c>
      <c r="H17" s="101" t="s">
        <v>101</v>
      </c>
      <c r="I17" s="16">
        <v>120</v>
      </c>
      <c r="J17" s="16">
        <v>20</v>
      </c>
      <c r="K17" s="16">
        <v>15</v>
      </c>
      <c r="L17" s="16">
        <v>8</v>
      </c>
      <c r="M17" s="82">
        <v>9</v>
      </c>
      <c r="N17" s="73">
        <v>9</v>
      </c>
      <c r="O17" s="65">
        <v>7000</v>
      </c>
      <c r="P17" s="66">
        <f>Table2245789101123456[[#This Row],[PEMBULATAN]]*O17</f>
        <v>63000</v>
      </c>
    </row>
    <row r="18" spans="1:16" ht="26.25" customHeight="1" x14ac:dyDescent="0.2">
      <c r="A18" s="100"/>
      <c r="B18" s="100"/>
      <c r="C18" s="16" t="s">
        <v>167</v>
      </c>
      <c r="D18" s="79" t="s">
        <v>90</v>
      </c>
      <c r="E18" s="13">
        <v>44442</v>
      </c>
      <c r="F18" s="77" t="s">
        <v>91</v>
      </c>
      <c r="G18" s="13">
        <v>44446</v>
      </c>
      <c r="H18" s="101" t="s">
        <v>101</v>
      </c>
      <c r="I18" s="16">
        <v>40</v>
      </c>
      <c r="J18" s="16">
        <v>32</v>
      </c>
      <c r="K18" s="16">
        <v>30</v>
      </c>
      <c r="L18" s="16">
        <v>2</v>
      </c>
      <c r="M18" s="82">
        <v>9.6</v>
      </c>
      <c r="N18" s="73">
        <v>10</v>
      </c>
      <c r="O18" s="65">
        <v>7000</v>
      </c>
      <c r="P18" s="66">
        <f>Table2245789101123456[[#This Row],[PEMBULATAN]]*O18</f>
        <v>70000</v>
      </c>
    </row>
    <row r="19" spans="1:16" ht="26.25" customHeight="1" x14ac:dyDescent="0.2">
      <c r="A19" s="100"/>
      <c r="B19" s="100"/>
      <c r="C19" s="16" t="s">
        <v>168</v>
      </c>
      <c r="D19" s="79" t="s">
        <v>90</v>
      </c>
      <c r="E19" s="13">
        <v>44442</v>
      </c>
      <c r="F19" s="77" t="s">
        <v>91</v>
      </c>
      <c r="G19" s="13">
        <v>44446</v>
      </c>
      <c r="H19" s="101" t="s">
        <v>101</v>
      </c>
      <c r="I19" s="16">
        <v>40</v>
      </c>
      <c r="J19" s="16">
        <v>30</v>
      </c>
      <c r="K19" s="16">
        <v>33</v>
      </c>
      <c r="L19" s="16">
        <v>11</v>
      </c>
      <c r="M19" s="82">
        <v>9.9</v>
      </c>
      <c r="N19" s="73">
        <v>11</v>
      </c>
      <c r="O19" s="65">
        <v>7000</v>
      </c>
      <c r="P19" s="66">
        <f>Table2245789101123456[[#This Row],[PEMBULATAN]]*O19</f>
        <v>77000</v>
      </c>
    </row>
    <row r="20" spans="1:16" ht="26.25" customHeight="1" x14ac:dyDescent="0.2">
      <c r="A20" s="100"/>
      <c r="B20" s="100"/>
      <c r="C20" s="16" t="s">
        <v>169</v>
      </c>
      <c r="D20" s="79" t="s">
        <v>90</v>
      </c>
      <c r="E20" s="13">
        <v>44442</v>
      </c>
      <c r="F20" s="77" t="s">
        <v>91</v>
      </c>
      <c r="G20" s="13">
        <v>44446</v>
      </c>
      <c r="H20" s="101" t="s">
        <v>101</v>
      </c>
      <c r="I20" s="16">
        <v>100</v>
      </c>
      <c r="J20" s="16">
        <v>80</v>
      </c>
      <c r="K20" s="16">
        <v>20</v>
      </c>
      <c r="L20" s="16">
        <v>13</v>
      </c>
      <c r="M20" s="82">
        <v>40</v>
      </c>
      <c r="N20" s="73">
        <v>40</v>
      </c>
      <c r="O20" s="65">
        <v>7000</v>
      </c>
      <c r="P20" s="66">
        <f>Table2245789101123456[[#This Row],[PEMBULATAN]]*O20</f>
        <v>280000</v>
      </c>
    </row>
    <row r="21" spans="1:16" ht="26.25" customHeight="1" x14ac:dyDescent="0.2">
      <c r="A21" s="100"/>
      <c r="B21" s="100"/>
      <c r="C21" s="16" t="s">
        <v>170</v>
      </c>
      <c r="D21" s="79" t="s">
        <v>90</v>
      </c>
      <c r="E21" s="13">
        <v>44442</v>
      </c>
      <c r="F21" s="77" t="s">
        <v>91</v>
      </c>
      <c r="G21" s="13">
        <v>44446</v>
      </c>
      <c r="H21" s="101" t="s">
        <v>101</v>
      </c>
      <c r="I21" s="16">
        <v>80</v>
      </c>
      <c r="J21" s="16">
        <v>62</v>
      </c>
      <c r="K21" s="16">
        <v>62</v>
      </c>
      <c r="L21" s="16">
        <v>10</v>
      </c>
      <c r="M21" s="82">
        <v>76.88</v>
      </c>
      <c r="N21" s="73">
        <v>77</v>
      </c>
      <c r="O21" s="65">
        <v>7000</v>
      </c>
      <c r="P21" s="66">
        <f>Table2245789101123456[[#This Row],[PEMBULATAN]]*O21</f>
        <v>539000</v>
      </c>
    </row>
    <row r="22" spans="1:16" ht="22.5" customHeight="1" x14ac:dyDescent="0.2">
      <c r="A22" s="136" t="s">
        <v>30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8"/>
      <c r="M22" s="80">
        <f>SUBTOTAL(109,Table2245789101123456[KG VOLUME])</f>
        <v>413.46800000000002</v>
      </c>
      <c r="N22" s="69">
        <f>SUM(N3:N21)</f>
        <v>436</v>
      </c>
      <c r="O22" s="139">
        <f>SUM(P3:P21)</f>
        <v>3052000</v>
      </c>
      <c r="P22" s="140"/>
    </row>
    <row r="23" spans="1:16" ht="18" customHeight="1" x14ac:dyDescent="0.2">
      <c r="A23" s="87"/>
      <c r="B23" s="57" t="s">
        <v>42</v>
      </c>
      <c r="C23" s="56"/>
      <c r="D23" s="58" t="s">
        <v>43</v>
      </c>
      <c r="E23" s="87"/>
      <c r="F23" s="87"/>
      <c r="G23" s="87"/>
      <c r="H23" s="87"/>
      <c r="I23" s="87"/>
      <c r="J23" s="87"/>
      <c r="K23" s="87"/>
      <c r="L23" s="87"/>
      <c r="M23" s="88"/>
      <c r="N23" s="89" t="s">
        <v>52</v>
      </c>
      <c r="O23" s="90"/>
      <c r="P23" s="90">
        <v>0</v>
      </c>
    </row>
    <row r="24" spans="1:16" ht="18" customHeight="1" thickBot="1" x14ac:dyDescent="0.25">
      <c r="A24" s="87"/>
      <c r="B24" s="57"/>
      <c r="C24" s="56"/>
      <c r="D24" s="58"/>
      <c r="E24" s="87"/>
      <c r="F24" s="87"/>
      <c r="G24" s="87"/>
      <c r="H24" s="87"/>
      <c r="I24" s="87"/>
      <c r="J24" s="87"/>
      <c r="K24" s="87"/>
      <c r="L24" s="87"/>
      <c r="M24" s="88"/>
      <c r="N24" s="91" t="s">
        <v>53</v>
      </c>
      <c r="O24" s="92"/>
      <c r="P24" s="92">
        <f>O22-P23</f>
        <v>3052000</v>
      </c>
    </row>
    <row r="25" spans="1:16" ht="18" customHeight="1" x14ac:dyDescent="0.2">
      <c r="A25" s="11"/>
      <c r="H25" s="64"/>
      <c r="N25" s="63" t="s">
        <v>31</v>
      </c>
      <c r="P25" s="70">
        <f>P24*1%</f>
        <v>30520</v>
      </c>
    </row>
    <row r="26" spans="1:16" ht="18" customHeight="1" thickBot="1" x14ac:dyDescent="0.25">
      <c r="A26" s="11"/>
      <c r="H26" s="64"/>
      <c r="N26" s="63" t="s">
        <v>54</v>
      </c>
      <c r="P26" s="72">
        <f>P24*2%</f>
        <v>61040</v>
      </c>
    </row>
    <row r="27" spans="1:16" ht="18" customHeight="1" x14ac:dyDescent="0.2">
      <c r="A27" s="11"/>
      <c r="H27" s="64"/>
      <c r="N27" s="67" t="s">
        <v>32</v>
      </c>
      <c r="O27" s="68"/>
      <c r="P27" s="71">
        <f>P24+P25-P26</f>
        <v>3021480</v>
      </c>
    </row>
    <row r="29" spans="1:16" x14ac:dyDescent="0.2">
      <c r="A29" s="11"/>
      <c r="H29" s="64"/>
      <c r="P29" s="72"/>
    </row>
    <row r="30" spans="1:16" x14ac:dyDescent="0.2">
      <c r="A30" s="11"/>
      <c r="H30" s="64"/>
      <c r="O30" s="59"/>
      <c r="P30" s="72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</sheetData>
  <mergeCells count="2">
    <mergeCell ref="A22:L22"/>
    <mergeCell ref="O22:P22"/>
  </mergeCells>
  <conditionalFormatting sqref="B3">
    <cfRule type="duplicateValues" dxfId="573" priority="2"/>
  </conditionalFormatting>
  <conditionalFormatting sqref="B4">
    <cfRule type="duplicateValues" dxfId="572" priority="1"/>
  </conditionalFormatting>
  <conditionalFormatting sqref="B5:B21">
    <cfRule type="duplicateValues" dxfId="571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1.75" customHeight="1" x14ac:dyDescent="0.2">
      <c r="A3" s="98" t="s">
        <v>906</v>
      </c>
      <c r="B3" s="98" t="s">
        <v>171</v>
      </c>
      <c r="C3" s="1" t="s">
        <v>172</v>
      </c>
      <c r="D3" s="77" t="s">
        <v>90</v>
      </c>
      <c r="E3" s="13">
        <v>44443</v>
      </c>
      <c r="F3" s="77" t="s">
        <v>91</v>
      </c>
      <c r="G3" s="13">
        <v>44446</v>
      </c>
      <c r="H3" s="99" t="s">
        <v>101</v>
      </c>
      <c r="I3" s="1">
        <v>46</v>
      </c>
      <c r="J3" s="1">
        <v>33</v>
      </c>
      <c r="K3" s="1">
        <v>22</v>
      </c>
      <c r="L3" s="1">
        <v>6</v>
      </c>
      <c r="M3" s="81">
        <v>8.3490000000000002</v>
      </c>
      <c r="N3" s="8">
        <v>9</v>
      </c>
      <c r="O3" s="65">
        <v>7000</v>
      </c>
      <c r="P3" s="66">
        <f>Table22457891011234567[[#This Row],[PEMBULATAN]]*O3</f>
        <v>63000</v>
      </c>
    </row>
    <row r="4" spans="1:16" ht="21.75" customHeight="1" x14ac:dyDescent="0.2">
      <c r="A4" s="100"/>
      <c r="B4" s="100"/>
      <c r="C4" s="1" t="s">
        <v>173</v>
      </c>
      <c r="D4" s="77" t="s">
        <v>90</v>
      </c>
      <c r="E4" s="13">
        <v>44443</v>
      </c>
      <c r="F4" s="77" t="s">
        <v>91</v>
      </c>
      <c r="G4" s="13">
        <v>44446</v>
      </c>
      <c r="H4" s="99" t="s">
        <v>101</v>
      </c>
      <c r="I4" s="1">
        <v>35</v>
      </c>
      <c r="J4" s="1">
        <v>25</v>
      </c>
      <c r="K4" s="1">
        <v>16</v>
      </c>
      <c r="L4" s="1">
        <v>10</v>
      </c>
      <c r="M4" s="81">
        <v>3.5</v>
      </c>
      <c r="N4" s="8">
        <v>10</v>
      </c>
      <c r="O4" s="65">
        <v>7000</v>
      </c>
      <c r="P4" s="66">
        <f>Table22457891011234567[[#This Row],[PEMBULATAN]]*O4</f>
        <v>70000</v>
      </c>
    </row>
    <row r="5" spans="1:16" ht="21.75" customHeight="1" x14ac:dyDescent="0.2">
      <c r="A5" s="100"/>
      <c r="B5" s="100"/>
      <c r="C5" s="1" t="s">
        <v>174</v>
      </c>
      <c r="D5" s="77" t="s">
        <v>90</v>
      </c>
      <c r="E5" s="13">
        <v>44443</v>
      </c>
      <c r="F5" s="77" t="s">
        <v>91</v>
      </c>
      <c r="G5" s="13">
        <v>44446</v>
      </c>
      <c r="H5" s="99" t="s">
        <v>101</v>
      </c>
      <c r="I5" s="1">
        <v>50</v>
      </c>
      <c r="J5" s="1">
        <v>30</v>
      </c>
      <c r="K5" s="1">
        <v>30</v>
      </c>
      <c r="L5" s="1">
        <v>10</v>
      </c>
      <c r="M5" s="81">
        <v>11.25</v>
      </c>
      <c r="N5" s="8">
        <v>11</v>
      </c>
      <c r="O5" s="65">
        <v>7000</v>
      </c>
      <c r="P5" s="66">
        <f>Table22457891011234567[[#This Row],[PEMBULATAN]]*O5</f>
        <v>77000</v>
      </c>
    </row>
    <row r="6" spans="1:16" ht="21.75" customHeight="1" x14ac:dyDescent="0.2">
      <c r="A6" s="100"/>
      <c r="B6" s="100"/>
      <c r="C6" s="16" t="s">
        <v>175</v>
      </c>
      <c r="D6" s="79" t="s">
        <v>90</v>
      </c>
      <c r="E6" s="13">
        <v>44443</v>
      </c>
      <c r="F6" s="77" t="s">
        <v>91</v>
      </c>
      <c r="G6" s="13">
        <v>44446</v>
      </c>
      <c r="H6" s="101" t="s">
        <v>101</v>
      </c>
      <c r="I6" s="16">
        <v>32</v>
      </c>
      <c r="J6" s="16">
        <v>25</v>
      </c>
      <c r="K6" s="16">
        <v>21</v>
      </c>
      <c r="L6" s="16">
        <v>9</v>
      </c>
      <c r="M6" s="82">
        <v>4.2</v>
      </c>
      <c r="N6" s="73">
        <v>9</v>
      </c>
      <c r="O6" s="65">
        <v>7000</v>
      </c>
      <c r="P6" s="66">
        <f>Table22457891011234567[[#This Row],[PEMBULATAN]]*O6</f>
        <v>63000</v>
      </c>
    </row>
    <row r="7" spans="1:16" ht="21.75" customHeight="1" x14ac:dyDescent="0.2">
      <c r="A7" s="100"/>
      <c r="B7" s="100"/>
      <c r="C7" s="16" t="s">
        <v>176</v>
      </c>
      <c r="D7" s="79" t="s">
        <v>90</v>
      </c>
      <c r="E7" s="13">
        <v>44443</v>
      </c>
      <c r="F7" s="77" t="s">
        <v>91</v>
      </c>
      <c r="G7" s="13">
        <v>44446</v>
      </c>
      <c r="H7" s="101" t="s">
        <v>101</v>
      </c>
      <c r="I7" s="16">
        <v>45</v>
      </c>
      <c r="J7" s="16">
        <v>37</v>
      </c>
      <c r="K7" s="16">
        <v>19</v>
      </c>
      <c r="L7" s="16">
        <v>11</v>
      </c>
      <c r="M7" s="82">
        <v>7.9087500000000004</v>
      </c>
      <c r="N7" s="73">
        <v>11</v>
      </c>
      <c r="O7" s="65">
        <v>7000</v>
      </c>
      <c r="P7" s="66">
        <f>Table22457891011234567[[#This Row],[PEMBULATAN]]*O7</f>
        <v>77000</v>
      </c>
    </row>
    <row r="8" spans="1:16" ht="21.75" customHeight="1" x14ac:dyDescent="0.2">
      <c r="A8" s="100"/>
      <c r="B8" s="100"/>
      <c r="C8" s="16" t="s">
        <v>177</v>
      </c>
      <c r="D8" s="79" t="s">
        <v>90</v>
      </c>
      <c r="E8" s="13">
        <v>44443</v>
      </c>
      <c r="F8" s="77" t="s">
        <v>91</v>
      </c>
      <c r="G8" s="13">
        <v>44446</v>
      </c>
      <c r="H8" s="101" t="s">
        <v>101</v>
      </c>
      <c r="I8" s="16">
        <v>44</v>
      </c>
      <c r="J8" s="16">
        <v>38</v>
      </c>
      <c r="K8" s="16">
        <v>24</v>
      </c>
      <c r="L8" s="16">
        <v>9</v>
      </c>
      <c r="M8" s="82">
        <v>10.032</v>
      </c>
      <c r="N8" s="73">
        <v>10</v>
      </c>
      <c r="O8" s="65">
        <v>7000</v>
      </c>
      <c r="P8" s="66">
        <f>Table22457891011234567[[#This Row],[PEMBULATAN]]*O8</f>
        <v>70000</v>
      </c>
    </row>
    <row r="9" spans="1:16" ht="21.75" customHeight="1" x14ac:dyDescent="0.2">
      <c r="A9" s="100"/>
      <c r="B9" s="100"/>
      <c r="C9" s="16" t="s">
        <v>178</v>
      </c>
      <c r="D9" s="79" t="s">
        <v>90</v>
      </c>
      <c r="E9" s="13">
        <v>44443</v>
      </c>
      <c r="F9" s="77" t="s">
        <v>91</v>
      </c>
      <c r="G9" s="13">
        <v>44446</v>
      </c>
      <c r="H9" s="101" t="s">
        <v>101</v>
      </c>
      <c r="I9" s="16">
        <v>45</v>
      </c>
      <c r="J9" s="16">
        <v>32</v>
      </c>
      <c r="K9" s="16">
        <v>35</v>
      </c>
      <c r="L9" s="16">
        <v>9</v>
      </c>
      <c r="M9" s="82">
        <v>12.6</v>
      </c>
      <c r="N9" s="73">
        <v>13</v>
      </c>
      <c r="O9" s="65">
        <v>7000</v>
      </c>
      <c r="P9" s="66">
        <f>Table22457891011234567[[#This Row],[PEMBULATAN]]*O9</f>
        <v>91000</v>
      </c>
    </row>
    <row r="10" spans="1:16" ht="21.75" customHeight="1" x14ac:dyDescent="0.2">
      <c r="A10" s="100"/>
      <c r="B10" s="100"/>
      <c r="C10" s="16" t="s">
        <v>179</v>
      </c>
      <c r="D10" s="79" t="s">
        <v>90</v>
      </c>
      <c r="E10" s="13">
        <v>44443</v>
      </c>
      <c r="F10" s="77" t="s">
        <v>91</v>
      </c>
      <c r="G10" s="13">
        <v>44446</v>
      </c>
      <c r="H10" s="101" t="s">
        <v>101</v>
      </c>
      <c r="I10" s="16">
        <v>120</v>
      </c>
      <c r="J10" s="16">
        <v>8</v>
      </c>
      <c r="K10" s="16">
        <v>12</v>
      </c>
      <c r="L10" s="16">
        <v>7</v>
      </c>
      <c r="M10" s="82">
        <v>2.88</v>
      </c>
      <c r="N10" s="73">
        <v>7</v>
      </c>
      <c r="O10" s="65">
        <v>7000</v>
      </c>
      <c r="P10" s="66">
        <f>Table22457891011234567[[#This Row],[PEMBULATAN]]*O10</f>
        <v>49000</v>
      </c>
    </row>
    <row r="11" spans="1:16" ht="21.75" customHeight="1" x14ac:dyDescent="0.2">
      <c r="A11" s="100"/>
      <c r="B11" s="100"/>
      <c r="C11" s="16" t="s">
        <v>180</v>
      </c>
      <c r="D11" s="79" t="s">
        <v>90</v>
      </c>
      <c r="E11" s="13">
        <v>44443</v>
      </c>
      <c r="F11" s="77" t="s">
        <v>91</v>
      </c>
      <c r="G11" s="13">
        <v>44446</v>
      </c>
      <c r="H11" s="101" t="s">
        <v>101</v>
      </c>
      <c r="I11" s="16">
        <v>30</v>
      </c>
      <c r="J11" s="16">
        <v>47</v>
      </c>
      <c r="K11" s="16">
        <v>40</v>
      </c>
      <c r="L11" s="16">
        <v>15</v>
      </c>
      <c r="M11" s="82">
        <v>14.1</v>
      </c>
      <c r="N11" s="73">
        <v>15</v>
      </c>
      <c r="O11" s="65">
        <v>7000</v>
      </c>
      <c r="P11" s="66">
        <f>Table22457891011234567[[#This Row],[PEMBULATAN]]*O11</f>
        <v>105000</v>
      </c>
    </row>
    <row r="12" spans="1:16" ht="21.75" customHeight="1" x14ac:dyDescent="0.2">
      <c r="A12" s="100"/>
      <c r="B12" s="100"/>
      <c r="C12" s="16" t="s">
        <v>181</v>
      </c>
      <c r="D12" s="79" t="s">
        <v>90</v>
      </c>
      <c r="E12" s="13">
        <v>44443</v>
      </c>
      <c r="F12" s="77" t="s">
        <v>91</v>
      </c>
      <c r="G12" s="13">
        <v>44446</v>
      </c>
      <c r="H12" s="101" t="s">
        <v>101</v>
      </c>
      <c r="I12" s="16">
        <v>63</v>
      </c>
      <c r="J12" s="16">
        <v>60</v>
      </c>
      <c r="K12" s="16">
        <v>25</v>
      </c>
      <c r="L12" s="16">
        <v>13</v>
      </c>
      <c r="M12" s="82">
        <v>23.625</v>
      </c>
      <c r="N12" s="73">
        <v>24</v>
      </c>
      <c r="O12" s="65">
        <v>7000</v>
      </c>
      <c r="P12" s="66">
        <f>Table22457891011234567[[#This Row],[PEMBULATAN]]*O12</f>
        <v>168000</v>
      </c>
    </row>
    <row r="13" spans="1:16" ht="21.75" customHeight="1" x14ac:dyDescent="0.2">
      <c r="A13" s="100"/>
      <c r="B13" s="100"/>
      <c r="C13" s="16" t="s">
        <v>182</v>
      </c>
      <c r="D13" s="79" t="s">
        <v>90</v>
      </c>
      <c r="E13" s="13">
        <v>44443</v>
      </c>
      <c r="F13" s="77" t="s">
        <v>91</v>
      </c>
      <c r="G13" s="13">
        <v>44446</v>
      </c>
      <c r="H13" s="101" t="s">
        <v>101</v>
      </c>
      <c r="I13" s="16">
        <v>50</v>
      </c>
      <c r="J13" s="16">
        <v>37</v>
      </c>
      <c r="K13" s="16">
        <v>22</v>
      </c>
      <c r="L13" s="16">
        <v>8</v>
      </c>
      <c r="M13" s="82">
        <v>10.175000000000001</v>
      </c>
      <c r="N13" s="73">
        <v>10</v>
      </c>
      <c r="O13" s="65">
        <v>7000</v>
      </c>
      <c r="P13" s="66">
        <f>Table22457891011234567[[#This Row],[PEMBULATAN]]*O13</f>
        <v>70000</v>
      </c>
    </row>
    <row r="14" spans="1:16" ht="21.75" customHeight="1" x14ac:dyDescent="0.2">
      <c r="A14" s="100"/>
      <c r="B14" s="100"/>
      <c r="C14" s="16" t="s">
        <v>183</v>
      </c>
      <c r="D14" s="79" t="s">
        <v>90</v>
      </c>
      <c r="E14" s="13">
        <v>44443</v>
      </c>
      <c r="F14" s="77" t="s">
        <v>91</v>
      </c>
      <c r="G14" s="13">
        <v>44446</v>
      </c>
      <c r="H14" s="101" t="s">
        <v>101</v>
      </c>
      <c r="I14" s="16">
        <v>47</v>
      </c>
      <c r="J14" s="16">
        <v>40</v>
      </c>
      <c r="K14" s="16">
        <v>51</v>
      </c>
      <c r="L14" s="16">
        <v>20</v>
      </c>
      <c r="M14" s="82">
        <v>23.97</v>
      </c>
      <c r="N14" s="73">
        <v>24</v>
      </c>
      <c r="O14" s="65">
        <v>7000</v>
      </c>
      <c r="P14" s="66">
        <f>Table22457891011234567[[#This Row],[PEMBULATAN]]*O14</f>
        <v>168000</v>
      </c>
    </row>
    <row r="15" spans="1:16" ht="21.75" customHeight="1" x14ac:dyDescent="0.2">
      <c r="A15" s="100"/>
      <c r="B15" s="100"/>
      <c r="C15" s="16" t="s">
        <v>184</v>
      </c>
      <c r="D15" s="79" t="s">
        <v>90</v>
      </c>
      <c r="E15" s="13">
        <v>44443</v>
      </c>
      <c r="F15" s="77" t="s">
        <v>91</v>
      </c>
      <c r="G15" s="13">
        <v>44446</v>
      </c>
      <c r="H15" s="101" t="s">
        <v>101</v>
      </c>
      <c r="I15" s="16">
        <v>47</v>
      </c>
      <c r="J15" s="16">
        <v>37</v>
      </c>
      <c r="K15" s="16">
        <v>44</v>
      </c>
      <c r="L15" s="16">
        <v>6</v>
      </c>
      <c r="M15" s="82">
        <v>19.129000000000001</v>
      </c>
      <c r="N15" s="73">
        <v>19</v>
      </c>
      <c r="O15" s="65">
        <v>7000</v>
      </c>
      <c r="P15" s="66">
        <f>Table22457891011234567[[#This Row],[PEMBULATAN]]*O15</f>
        <v>133000</v>
      </c>
    </row>
    <row r="16" spans="1:16" ht="21.75" customHeight="1" x14ac:dyDescent="0.2">
      <c r="A16" s="100"/>
      <c r="B16" s="100"/>
      <c r="C16" s="16" t="s">
        <v>185</v>
      </c>
      <c r="D16" s="79" t="s">
        <v>90</v>
      </c>
      <c r="E16" s="13">
        <v>44443</v>
      </c>
      <c r="F16" s="77" t="s">
        <v>91</v>
      </c>
      <c r="G16" s="13">
        <v>44446</v>
      </c>
      <c r="H16" s="101" t="s">
        <v>101</v>
      </c>
      <c r="I16" s="16">
        <v>51</v>
      </c>
      <c r="J16" s="16">
        <v>49</v>
      </c>
      <c r="K16" s="16">
        <v>23</v>
      </c>
      <c r="L16" s="16">
        <v>8</v>
      </c>
      <c r="M16" s="82">
        <v>14.369249999999999</v>
      </c>
      <c r="N16" s="73">
        <v>15</v>
      </c>
      <c r="O16" s="65">
        <v>7000</v>
      </c>
      <c r="P16" s="66">
        <f>Table22457891011234567[[#This Row],[PEMBULATAN]]*O16</f>
        <v>105000</v>
      </c>
    </row>
    <row r="17" spans="1:16" ht="21.75" customHeight="1" x14ac:dyDescent="0.2">
      <c r="A17" s="100"/>
      <c r="B17" s="100"/>
      <c r="C17" s="16" t="s">
        <v>186</v>
      </c>
      <c r="D17" s="79" t="s">
        <v>90</v>
      </c>
      <c r="E17" s="13">
        <v>44443</v>
      </c>
      <c r="F17" s="77" t="s">
        <v>91</v>
      </c>
      <c r="G17" s="13">
        <v>44446</v>
      </c>
      <c r="H17" s="101" t="s">
        <v>101</v>
      </c>
      <c r="I17" s="16">
        <v>66</v>
      </c>
      <c r="J17" s="16">
        <v>58</v>
      </c>
      <c r="K17" s="16">
        <v>28</v>
      </c>
      <c r="L17" s="16">
        <v>12</v>
      </c>
      <c r="M17" s="82">
        <v>26.795999999999999</v>
      </c>
      <c r="N17" s="73">
        <v>27</v>
      </c>
      <c r="O17" s="65">
        <v>7000</v>
      </c>
      <c r="P17" s="66">
        <f>Table22457891011234567[[#This Row],[PEMBULATAN]]*O17</f>
        <v>189000</v>
      </c>
    </row>
    <row r="18" spans="1:16" ht="21.75" customHeight="1" x14ac:dyDescent="0.2">
      <c r="A18" s="100"/>
      <c r="B18" s="100"/>
      <c r="C18" s="16" t="s">
        <v>187</v>
      </c>
      <c r="D18" s="79" t="s">
        <v>90</v>
      </c>
      <c r="E18" s="13">
        <v>44443</v>
      </c>
      <c r="F18" s="77" t="s">
        <v>91</v>
      </c>
      <c r="G18" s="13">
        <v>44446</v>
      </c>
      <c r="H18" s="101" t="s">
        <v>101</v>
      </c>
      <c r="I18" s="16">
        <v>45</v>
      </c>
      <c r="J18" s="16">
        <v>39</v>
      </c>
      <c r="K18" s="16">
        <v>42</v>
      </c>
      <c r="L18" s="16">
        <v>20</v>
      </c>
      <c r="M18" s="82">
        <v>18.427499999999998</v>
      </c>
      <c r="N18" s="73">
        <v>20</v>
      </c>
      <c r="O18" s="65">
        <v>7000</v>
      </c>
      <c r="P18" s="66">
        <f>Table22457891011234567[[#This Row],[PEMBULATAN]]*O18</f>
        <v>140000</v>
      </c>
    </row>
    <row r="19" spans="1:16" ht="21.75" customHeight="1" x14ac:dyDescent="0.2">
      <c r="A19" s="100"/>
      <c r="B19" s="100"/>
      <c r="C19" s="16" t="s">
        <v>188</v>
      </c>
      <c r="D19" s="79" t="s">
        <v>90</v>
      </c>
      <c r="E19" s="13">
        <v>44443</v>
      </c>
      <c r="F19" s="77" t="s">
        <v>91</v>
      </c>
      <c r="G19" s="13">
        <v>44446</v>
      </c>
      <c r="H19" s="101" t="s">
        <v>101</v>
      </c>
      <c r="I19" s="16">
        <v>118</v>
      </c>
      <c r="J19" s="16">
        <v>86</v>
      </c>
      <c r="K19" s="16">
        <v>21</v>
      </c>
      <c r="L19" s="16">
        <v>8</v>
      </c>
      <c r="M19" s="82">
        <v>53.277000000000001</v>
      </c>
      <c r="N19" s="73">
        <v>53</v>
      </c>
      <c r="O19" s="65">
        <v>7000</v>
      </c>
      <c r="P19" s="66">
        <f>Table22457891011234567[[#This Row],[PEMBULATAN]]*O19</f>
        <v>371000</v>
      </c>
    </row>
    <row r="20" spans="1:16" ht="21.75" customHeight="1" x14ac:dyDescent="0.2">
      <c r="A20" s="100"/>
      <c r="B20" s="100"/>
      <c r="C20" s="16" t="s">
        <v>189</v>
      </c>
      <c r="D20" s="79" t="s">
        <v>90</v>
      </c>
      <c r="E20" s="13">
        <v>44443</v>
      </c>
      <c r="F20" s="77" t="s">
        <v>91</v>
      </c>
      <c r="G20" s="13">
        <v>44446</v>
      </c>
      <c r="H20" s="101" t="s">
        <v>101</v>
      </c>
      <c r="I20" s="16">
        <v>80</v>
      </c>
      <c r="J20" s="16">
        <v>42</v>
      </c>
      <c r="K20" s="16">
        <v>58</v>
      </c>
      <c r="L20" s="16">
        <v>34</v>
      </c>
      <c r="M20" s="82">
        <v>48.72</v>
      </c>
      <c r="N20" s="73">
        <v>49</v>
      </c>
      <c r="O20" s="65">
        <v>7000</v>
      </c>
      <c r="P20" s="66">
        <f>Table22457891011234567[[#This Row],[PEMBULATAN]]*O20</f>
        <v>343000</v>
      </c>
    </row>
    <row r="21" spans="1:16" ht="21.75" customHeight="1" x14ac:dyDescent="0.2">
      <c r="A21" s="100"/>
      <c r="B21" s="100"/>
      <c r="C21" s="16" t="s">
        <v>190</v>
      </c>
      <c r="D21" s="79" t="s">
        <v>90</v>
      </c>
      <c r="E21" s="13">
        <v>44443</v>
      </c>
      <c r="F21" s="77" t="s">
        <v>91</v>
      </c>
      <c r="G21" s="13">
        <v>44446</v>
      </c>
      <c r="H21" s="101" t="s">
        <v>101</v>
      </c>
      <c r="I21" s="16">
        <v>25</v>
      </c>
      <c r="J21" s="16">
        <v>15</v>
      </c>
      <c r="K21" s="16">
        <v>8</v>
      </c>
      <c r="L21" s="16">
        <v>1</v>
      </c>
      <c r="M21" s="82">
        <v>0.75</v>
      </c>
      <c r="N21" s="73">
        <v>1</v>
      </c>
      <c r="O21" s="65">
        <v>7000</v>
      </c>
      <c r="P21" s="66">
        <f>Table22457891011234567[[#This Row],[PEMBULATAN]]*O21</f>
        <v>7000</v>
      </c>
    </row>
    <row r="22" spans="1:16" ht="21.75" customHeight="1" x14ac:dyDescent="0.2">
      <c r="A22" s="100"/>
      <c r="B22" s="103"/>
      <c r="C22" s="16" t="s">
        <v>191</v>
      </c>
      <c r="D22" s="79" t="s">
        <v>90</v>
      </c>
      <c r="E22" s="13">
        <v>44443</v>
      </c>
      <c r="F22" s="77" t="s">
        <v>91</v>
      </c>
      <c r="G22" s="13">
        <v>44446</v>
      </c>
      <c r="H22" s="101" t="s">
        <v>101</v>
      </c>
      <c r="I22" s="16">
        <v>47</v>
      </c>
      <c r="J22" s="16">
        <v>35</v>
      </c>
      <c r="K22" s="16">
        <v>27</v>
      </c>
      <c r="L22" s="16">
        <v>10</v>
      </c>
      <c r="M22" s="82">
        <v>11.10375</v>
      </c>
      <c r="N22" s="73">
        <v>11</v>
      </c>
      <c r="O22" s="65">
        <v>7000</v>
      </c>
      <c r="P22" s="66">
        <f>Table22457891011234567[[#This Row],[PEMBULATAN]]*O22</f>
        <v>77000</v>
      </c>
    </row>
    <row r="23" spans="1:16" ht="21.75" customHeight="1" x14ac:dyDescent="0.2">
      <c r="A23" s="100"/>
      <c r="B23" s="100" t="s">
        <v>192</v>
      </c>
      <c r="C23" s="16" t="s">
        <v>193</v>
      </c>
      <c r="D23" s="79" t="s">
        <v>90</v>
      </c>
      <c r="E23" s="13">
        <v>44443</v>
      </c>
      <c r="F23" s="77" t="s">
        <v>91</v>
      </c>
      <c r="G23" s="13">
        <v>44446</v>
      </c>
      <c r="H23" s="101" t="s">
        <v>101</v>
      </c>
      <c r="I23" s="16">
        <v>27</v>
      </c>
      <c r="J23" s="16">
        <v>20</v>
      </c>
      <c r="K23" s="16">
        <v>10</v>
      </c>
      <c r="L23" s="16">
        <v>2</v>
      </c>
      <c r="M23" s="82">
        <v>1.35</v>
      </c>
      <c r="N23" s="73">
        <v>2</v>
      </c>
      <c r="O23" s="65">
        <v>7000</v>
      </c>
      <c r="P23" s="66">
        <f>Table22457891011234567[[#This Row],[PEMBULATAN]]*O23</f>
        <v>14000</v>
      </c>
    </row>
    <row r="24" spans="1:16" ht="21.75" customHeight="1" x14ac:dyDescent="0.2">
      <c r="A24" s="100"/>
      <c r="B24" s="103"/>
      <c r="C24" s="16" t="s">
        <v>194</v>
      </c>
      <c r="D24" s="79" t="s">
        <v>90</v>
      </c>
      <c r="E24" s="13">
        <v>44443</v>
      </c>
      <c r="F24" s="77" t="s">
        <v>91</v>
      </c>
      <c r="G24" s="13">
        <v>44446</v>
      </c>
      <c r="H24" s="101" t="s">
        <v>101</v>
      </c>
      <c r="I24" s="16">
        <v>50</v>
      </c>
      <c r="J24" s="16">
        <v>37</v>
      </c>
      <c r="K24" s="16">
        <v>53</v>
      </c>
      <c r="L24" s="16">
        <v>17</v>
      </c>
      <c r="M24" s="82">
        <v>24.512499999999999</v>
      </c>
      <c r="N24" s="73">
        <v>25</v>
      </c>
      <c r="O24" s="65">
        <v>7000</v>
      </c>
      <c r="P24" s="66">
        <f>Table22457891011234567[[#This Row],[PEMBULATAN]]*O24</f>
        <v>175000</v>
      </c>
    </row>
    <row r="25" spans="1:16" ht="21.75" customHeight="1" x14ac:dyDescent="0.2">
      <c r="A25" s="100"/>
      <c r="B25" s="100" t="s">
        <v>195</v>
      </c>
      <c r="C25" s="16" t="s">
        <v>196</v>
      </c>
      <c r="D25" s="79" t="s">
        <v>90</v>
      </c>
      <c r="E25" s="13">
        <v>44443</v>
      </c>
      <c r="F25" s="77" t="s">
        <v>91</v>
      </c>
      <c r="G25" s="13">
        <v>44446</v>
      </c>
      <c r="H25" s="101" t="s">
        <v>101</v>
      </c>
      <c r="I25" s="16">
        <v>70</v>
      </c>
      <c r="J25" s="16">
        <v>65</v>
      </c>
      <c r="K25" s="16">
        <v>27</v>
      </c>
      <c r="L25" s="16">
        <v>24</v>
      </c>
      <c r="M25" s="82">
        <v>30.712499999999999</v>
      </c>
      <c r="N25" s="73">
        <v>31</v>
      </c>
      <c r="O25" s="65">
        <v>7000</v>
      </c>
      <c r="P25" s="66">
        <f>Table22457891011234567[[#This Row],[PEMBULATAN]]*O25</f>
        <v>217000</v>
      </c>
    </row>
    <row r="26" spans="1:16" ht="21.75" customHeight="1" x14ac:dyDescent="0.2">
      <c r="A26" s="100"/>
      <c r="B26" s="100"/>
      <c r="C26" s="16" t="s">
        <v>197</v>
      </c>
      <c r="D26" s="79" t="s">
        <v>90</v>
      </c>
      <c r="E26" s="13">
        <v>44443</v>
      </c>
      <c r="F26" s="77" t="s">
        <v>91</v>
      </c>
      <c r="G26" s="13">
        <v>44446</v>
      </c>
      <c r="H26" s="101" t="s">
        <v>101</v>
      </c>
      <c r="I26" s="16">
        <v>93</v>
      </c>
      <c r="J26" s="16">
        <v>54</v>
      </c>
      <c r="K26" s="16">
        <v>37</v>
      </c>
      <c r="L26" s="16">
        <v>12</v>
      </c>
      <c r="M26" s="82">
        <v>46.453499999999998</v>
      </c>
      <c r="N26" s="73">
        <v>47</v>
      </c>
      <c r="O26" s="65">
        <v>7000</v>
      </c>
      <c r="P26" s="66">
        <f>Table22457891011234567[[#This Row],[PEMBULATAN]]*O26</f>
        <v>329000</v>
      </c>
    </row>
    <row r="27" spans="1:16" ht="22.5" customHeight="1" x14ac:dyDescent="0.2">
      <c r="A27" s="136" t="s">
        <v>30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8"/>
      <c r="M27" s="80">
        <f>SUBTOTAL(109,Table22457891011234567[KG VOLUME])</f>
        <v>428.19074999999998</v>
      </c>
      <c r="N27" s="69">
        <f>SUM(N3:N26)</f>
        <v>453</v>
      </c>
      <c r="O27" s="139">
        <f>SUM(P3:P26)</f>
        <v>3171000</v>
      </c>
      <c r="P27" s="140"/>
    </row>
    <row r="28" spans="1:16" ht="18" customHeight="1" x14ac:dyDescent="0.2">
      <c r="A28" s="87"/>
      <c r="B28" s="57" t="s">
        <v>42</v>
      </c>
      <c r="C28" s="56"/>
      <c r="D28" s="58" t="s">
        <v>43</v>
      </c>
      <c r="E28" s="87"/>
      <c r="F28" s="87"/>
      <c r="G28" s="87"/>
      <c r="H28" s="87"/>
      <c r="I28" s="87"/>
      <c r="J28" s="87"/>
      <c r="K28" s="87"/>
      <c r="L28" s="87"/>
      <c r="M28" s="88"/>
      <c r="N28" s="89" t="s">
        <v>52</v>
      </c>
      <c r="O28" s="90"/>
      <c r="P28" s="90">
        <v>0</v>
      </c>
    </row>
    <row r="29" spans="1:16" ht="18" customHeight="1" thickBot="1" x14ac:dyDescent="0.25">
      <c r="A29" s="87"/>
      <c r="B29" s="57"/>
      <c r="C29" s="56"/>
      <c r="D29" s="58"/>
      <c r="E29" s="87"/>
      <c r="F29" s="87"/>
      <c r="G29" s="87"/>
      <c r="H29" s="87"/>
      <c r="I29" s="87"/>
      <c r="J29" s="87"/>
      <c r="K29" s="87"/>
      <c r="L29" s="87"/>
      <c r="M29" s="88"/>
      <c r="N29" s="91" t="s">
        <v>53</v>
      </c>
      <c r="O29" s="92"/>
      <c r="P29" s="92">
        <f>O27-P28</f>
        <v>3171000</v>
      </c>
    </row>
    <row r="30" spans="1:16" ht="18" customHeight="1" x14ac:dyDescent="0.2">
      <c r="A30" s="11"/>
      <c r="H30" s="64"/>
      <c r="N30" s="63" t="s">
        <v>31</v>
      </c>
      <c r="P30" s="70">
        <f>P29*1%</f>
        <v>31710</v>
      </c>
    </row>
    <row r="31" spans="1:16" ht="18" customHeight="1" thickBot="1" x14ac:dyDescent="0.25">
      <c r="A31" s="11"/>
      <c r="H31" s="64"/>
      <c r="N31" s="63" t="s">
        <v>54</v>
      </c>
      <c r="P31" s="72">
        <f>P29*2%</f>
        <v>63420</v>
      </c>
    </row>
    <row r="32" spans="1:16" ht="18" customHeight="1" x14ac:dyDescent="0.2">
      <c r="A32" s="11"/>
      <c r="H32" s="64"/>
      <c r="N32" s="67" t="s">
        <v>32</v>
      </c>
      <c r="O32" s="68"/>
      <c r="P32" s="71">
        <f>P29+P30-P31</f>
        <v>3139290</v>
      </c>
    </row>
    <row r="34" spans="1:16" x14ac:dyDescent="0.2">
      <c r="A34" s="11"/>
      <c r="H34" s="64"/>
      <c r="P34" s="72"/>
    </row>
    <row r="35" spans="1:16" x14ac:dyDescent="0.2">
      <c r="A35" s="11"/>
      <c r="H35" s="64"/>
      <c r="O35" s="59"/>
      <c r="P35" s="72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</sheetData>
  <mergeCells count="2">
    <mergeCell ref="A27:L27"/>
    <mergeCell ref="O27:P27"/>
  </mergeCells>
  <conditionalFormatting sqref="B3">
    <cfRule type="duplicateValues" dxfId="555" priority="2"/>
  </conditionalFormatting>
  <conditionalFormatting sqref="B4">
    <cfRule type="duplicateValues" dxfId="554" priority="1"/>
  </conditionalFormatting>
  <conditionalFormatting sqref="B5:B26">
    <cfRule type="duplicateValues" dxfId="553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0" activePane="bottomRight" state="frozen"/>
      <selection pane="topRight" activeCell="B1" sqref="B1"/>
      <selection pane="bottomLeft" activeCell="A3" sqref="A3"/>
      <selection pane="bottomRight" activeCell="M17" sqref="M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905</v>
      </c>
      <c r="B3" s="98" t="s">
        <v>198</v>
      </c>
      <c r="C3" s="1" t="s">
        <v>199</v>
      </c>
      <c r="D3" s="77" t="s">
        <v>90</v>
      </c>
      <c r="E3" s="13">
        <v>44444</v>
      </c>
      <c r="F3" s="77" t="s">
        <v>91</v>
      </c>
      <c r="G3" s="13">
        <v>44446</v>
      </c>
      <c r="H3" s="99" t="s">
        <v>101</v>
      </c>
      <c r="I3" s="1">
        <v>50</v>
      </c>
      <c r="J3" s="1">
        <v>29</v>
      </c>
      <c r="K3" s="1">
        <v>29</v>
      </c>
      <c r="L3" s="1">
        <v>12</v>
      </c>
      <c r="M3" s="81">
        <v>10.512499999999999</v>
      </c>
      <c r="N3" s="8">
        <v>12</v>
      </c>
      <c r="O3" s="65">
        <v>7000</v>
      </c>
      <c r="P3" s="66">
        <f>Table224578910112345678[[#This Row],[PEMBULATAN]]*O3</f>
        <v>84000</v>
      </c>
    </row>
    <row r="4" spans="1:16" ht="26.25" customHeight="1" x14ac:dyDescent="0.2">
      <c r="A4" s="100"/>
      <c r="B4" s="103"/>
      <c r="C4" s="1" t="s">
        <v>200</v>
      </c>
      <c r="D4" s="77" t="s">
        <v>90</v>
      </c>
      <c r="E4" s="13">
        <v>44444</v>
      </c>
      <c r="F4" s="77" t="s">
        <v>91</v>
      </c>
      <c r="G4" s="13">
        <v>44446</v>
      </c>
      <c r="H4" s="99" t="s">
        <v>101</v>
      </c>
      <c r="I4" s="1">
        <v>76</v>
      </c>
      <c r="J4" s="1">
        <v>47</v>
      </c>
      <c r="K4" s="1">
        <v>47</v>
      </c>
      <c r="L4" s="1">
        <v>10</v>
      </c>
      <c r="M4" s="81">
        <v>41.970999999999997</v>
      </c>
      <c r="N4" s="8">
        <v>42</v>
      </c>
      <c r="O4" s="65">
        <v>7000</v>
      </c>
      <c r="P4" s="66">
        <f>Table224578910112345678[[#This Row],[PEMBULATAN]]*O4</f>
        <v>294000</v>
      </c>
    </row>
    <row r="5" spans="1:16" ht="26.25" customHeight="1" x14ac:dyDescent="0.2">
      <c r="A5" s="100"/>
      <c r="B5" s="100" t="s">
        <v>201</v>
      </c>
      <c r="C5" s="1" t="s">
        <v>202</v>
      </c>
      <c r="D5" s="77" t="s">
        <v>90</v>
      </c>
      <c r="E5" s="13">
        <v>44444</v>
      </c>
      <c r="F5" s="77" t="s">
        <v>91</v>
      </c>
      <c r="G5" s="13">
        <v>44446</v>
      </c>
      <c r="H5" s="99" t="s">
        <v>101</v>
      </c>
      <c r="I5" s="1">
        <v>63</v>
      </c>
      <c r="J5" s="1">
        <v>65</v>
      </c>
      <c r="K5" s="1">
        <v>65</v>
      </c>
      <c r="L5" s="1">
        <v>13</v>
      </c>
      <c r="M5" s="81">
        <v>66.543750000000003</v>
      </c>
      <c r="N5" s="8">
        <v>67</v>
      </c>
      <c r="O5" s="65">
        <v>7000</v>
      </c>
      <c r="P5" s="66">
        <f>Table224578910112345678[[#This Row],[PEMBULATAN]]*O5</f>
        <v>469000</v>
      </c>
    </row>
    <row r="6" spans="1:16" ht="26.25" customHeight="1" x14ac:dyDescent="0.2">
      <c r="A6" s="100"/>
      <c r="B6" s="100"/>
      <c r="C6" s="16" t="s">
        <v>203</v>
      </c>
      <c r="D6" s="79" t="s">
        <v>90</v>
      </c>
      <c r="E6" s="13">
        <v>44444</v>
      </c>
      <c r="F6" s="77" t="s">
        <v>91</v>
      </c>
      <c r="G6" s="13">
        <v>44446</v>
      </c>
      <c r="H6" s="101" t="s">
        <v>101</v>
      </c>
      <c r="I6" s="16">
        <v>25</v>
      </c>
      <c r="J6" s="16">
        <v>21</v>
      </c>
      <c r="K6" s="16">
        <v>21</v>
      </c>
      <c r="L6" s="16">
        <v>1</v>
      </c>
      <c r="M6" s="82">
        <v>2.7562500000000001</v>
      </c>
      <c r="N6" s="73">
        <v>3</v>
      </c>
      <c r="O6" s="65">
        <v>7000</v>
      </c>
      <c r="P6" s="66">
        <f>Table224578910112345678[[#This Row],[PEMBULATAN]]*O6</f>
        <v>21000</v>
      </c>
    </row>
    <row r="7" spans="1:16" ht="26.25" customHeight="1" x14ac:dyDescent="0.2">
      <c r="A7" s="100"/>
      <c r="B7" s="103"/>
      <c r="C7" s="16" t="s">
        <v>204</v>
      </c>
      <c r="D7" s="79" t="s">
        <v>90</v>
      </c>
      <c r="E7" s="13">
        <v>44444</v>
      </c>
      <c r="F7" s="77" t="s">
        <v>91</v>
      </c>
      <c r="G7" s="13">
        <v>44446</v>
      </c>
      <c r="H7" s="101" t="s">
        <v>101</v>
      </c>
      <c r="I7" s="16">
        <v>50</v>
      </c>
      <c r="J7" s="16">
        <v>60</v>
      </c>
      <c r="K7" s="16">
        <v>60</v>
      </c>
      <c r="L7" s="16">
        <v>11</v>
      </c>
      <c r="M7" s="82">
        <v>45</v>
      </c>
      <c r="N7" s="73">
        <v>45</v>
      </c>
      <c r="O7" s="65">
        <v>7000</v>
      </c>
      <c r="P7" s="66">
        <f>Table224578910112345678[[#This Row],[PEMBULATAN]]*O7</f>
        <v>315000</v>
      </c>
    </row>
    <row r="8" spans="1:16" ht="26.25" customHeight="1" x14ac:dyDescent="0.2">
      <c r="A8" s="100"/>
      <c r="B8" s="100" t="s">
        <v>205</v>
      </c>
      <c r="C8" s="16" t="s">
        <v>206</v>
      </c>
      <c r="D8" s="79" t="s">
        <v>90</v>
      </c>
      <c r="E8" s="13">
        <v>44444</v>
      </c>
      <c r="F8" s="77" t="s">
        <v>91</v>
      </c>
      <c r="G8" s="13">
        <v>44446</v>
      </c>
      <c r="H8" s="101" t="s">
        <v>101</v>
      </c>
      <c r="I8" s="16">
        <v>74</v>
      </c>
      <c r="J8" s="16">
        <v>36</v>
      </c>
      <c r="K8" s="16">
        <v>36</v>
      </c>
      <c r="L8" s="16">
        <v>11</v>
      </c>
      <c r="M8" s="82">
        <v>23.975999999999999</v>
      </c>
      <c r="N8" s="73">
        <v>24</v>
      </c>
      <c r="O8" s="65">
        <v>7000</v>
      </c>
      <c r="P8" s="66">
        <f>Table224578910112345678[[#This Row],[PEMBULATAN]]*O8</f>
        <v>168000</v>
      </c>
    </row>
    <row r="9" spans="1:16" ht="26.25" customHeight="1" x14ac:dyDescent="0.2">
      <c r="A9" s="100"/>
      <c r="B9" s="100"/>
      <c r="C9" s="16" t="s">
        <v>207</v>
      </c>
      <c r="D9" s="79" t="s">
        <v>90</v>
      </c>
      <c r="E9" s="13">
        <v>44444</v>
      </c>
      <c r="F9" s="77" t="s">
        <v>91</v>
      </c>
      <c r="G9" s="13">
        <v>44446</v>
      </c>
      <c r="H9" s="101" t="s">
        <v>101</v>
      </c>
      <c r="I9" s="16">
        <v>70</v>
      </c>
      <c r="J9" s="16">
        <v>38</v>
      </c>
      <c r="K9" s="16">
        <v>38</v>
      </c>
      <c r="L9" s="16">
        <v>10</v>
      </c>
      <c r="M9" s="82">
        <v>25.27</v>
      </c>
      <c r="N9" s="73">
        <v>25</v>
      </c>
      <c r="O9" s="65">
        <v>7000</v>
      </c>
      <c r="P9" s="66">
        <f>Table224578910112345678[[#This Row],[PEMBULATAN]]*O9</f>
        <v>175000</v>
      </c>
    </row>
    <row r="10" spans="1:16" ht="26.25" customHeight="1" x14ac:dyDescent="0.2">
      <c r="A10" s="100"/>
      <c r="B10" s="100"/>
      <c r="C10" s="16" t="s">
        <v>208</v>
      </c>
      <c r="D10" s="79" t="s">
        <v>90</v>
      </c>
      <c r="E10" s="13">
        <v>44444</v>
      </c>
      <c r="F10" s="77" t="s">
        <v>91</v>
      </c>
      <c r="G10" s="13">
        <v>44446</v>
      </c>
      <c r="H10" s="101" t="s">
        <v>101</v>
      </c>
      <c r="I10" s="16">
        <v>42</v>
      </c>
      <c r="J10" s="16">
        <v>60</v>
      </c>
      <c r="K10" s="16">
        <v>60</v>
      </c>
      <c r="L10" s="16">
        <v>18</v>
      </c>
      <c r="M10" s="82">
        <v>37.799999999999997</v>
      </c>
      <c r="N10" s="73">
        <v>38</v>
      </c>
      <c r="O10" s="65">
        <v>7000</v>
      </c>
      <c r="P10" s="66">
        <f>Table224578910112345678[[#This Row],[PEMBULATAN]]*O10</f>
        <v>266000</v>
      </c>
    </row>
    <row r="11" spans="1:16" ht="26.25" customHeight="1" x14ac:dyDescent="0.2">
      <c r="A11" s="100"/>
      <c r="B11" s="100"/>
      <c r="C11" s="16" t="s">
        <v>209</v>
      </c>
      <c r="D11" s="79" t="s">
        <v>90</v>
      </c>
      <c r="E11" s="13">
        <v>44444</v>
      </c>
      <c r="F11" s="77" t="s">
        <v>91</v>
      </c>
      <c r="G11" s="13">
        <v>44446</v>
      </c>
      <c r="H11" s="101" t="s">
        <v>101</v>
      </c>
      <c r="I11" s="16">
        <v>52</v>
      </c>
      <c r="J11" s="16">
        <v>41</v>
      </c>
      <c r="K11" s="16">
        <v>41</v>
      </c>
      <c r="L11" s="16">
        <v>8</v>
      </c>
      <c r="M11" s="82">
        <v>21.853000000000002</v>
      </c>
      <c r="N11" s="73">
        <v>22</v>
      </c>
      <c r="O11" s="65">
        <v>7000</v>
      </c>
      <c r="P11" s="66">
        <f>Table224578910112345678[[#This Row],[PEMBULATAN]]*O11</f>
        <v>154000</v>
      </c>
    </row>
    <row r="12" spans="1:16" ht="26.25" customHeight="1" x14ac:dyDescent="0.2">
      <c r="A12" s="100"/>
      <c r="B12" s="100"/>
      <c r="C12" s="16" t="s">
        <v>210</v>
      </c>
      <c r="D12" s="79" t="s">
        <v>90</v>
      </c>
      <c r="E12" s="13">
        <v>44444</v>
      </c>
      <c r="F12" s="77" t="s">
        <v>91</v>
      </c>
      <c r="G12" s="13">
        <v>44446</v>
      </c>
      <c r="H12" s="101" t="s">
        <v>101</v>
      </c>
      <c r="I12" s="16">
        <v>87</v>
      </c>
      <c r="J12" s="16">
        <v>46</v>
      </c>
      <c r="K12" s="16">
        <v>46</v>
      </c>
      <c r="L12" s="16">
        <v>17</v>
      </c>
      <c r="M12" s="82">
        <v>46.023000000000003</v>
      </c>
      <c r="N12" s="73">
        <v>46</v>
      </c>
      <c r="O12" s="65">
        <v>7000</v>
      </c>
      <c r="P12" s="66">
        <f>Table224578910112345678[[#This Row],[PEMBULATAN]]*O12</f>
        <v>322000</v>
      </c>
    </row>
    <row r="13" spans="1:16" ht="26.25" customHeight="1" x14ac:dyDescent="0.2">
      <c r="A13" s="100"/>
      <c r="B13" s="100"/>
      <c r="C13" s="16" t="s">
        <v>211</v>
      </c>
      <c r="D13" s="79" t="s">
        <v>90</v>
      </c>
      <c r="E13" s="13">
        <v>44444</v>
      </c>
      <c r="F13" s="77" t="s">
        <v>91</v>
      </c>
      <c r="G13" s="13">
        <v>44446</v>
      </c>
      <c r="H13" s="101" t="s">
        <v>101</v>
      </c>
      <c r="I13" s="16">
        <v>40</v>
      </c>
      <c r="J13" s="16">
        <v>28</v>
      </c>
      <c r="K13" s="16">
        <v>28</v>
      </c>
      <c r="L13" s="16">
        <v>6</v>
      </c>
      <c r="M13" s="82">
        <v>7.84</v>
      </c>
      <c r="N13" s="73">
        <v>8</v>
      </c>
      <c r="O13" s="65">
        <v>7000</v>
      </c>
      <c r="P13" s="66">
        <f>Table224578910112345678[[#This Row],[PEMBULATAN]]*O13</f>
        <v>56000</v>
      </c>
    </row>
    <row r="14" spans="1:16" ht="26.25" customHeight="1" x14ac:dyDescent="0.2">
      <c r="A14" s="100"/>
      <c r="B14" s="100"/>
      <c r="C14" s="16" t="s">
        <v>212</v>
      </c>
      <c r="D14" s="79" t="s">
        <v>90</v>
      </c>
      <c r="E14" s="13">
        <v>44444</v>
      </c>
      <c r="F14" s="77" t="s">
        <v>91</v>
      </c>
      <c r="G14" s="13">
        <v>44446</v>
      </c>
      <c r="H14" s="101" t="s">
        <v>101</v>
      </c>
      <c r="I14" s="16">
        <v>140</v>
      </c>
      <c r="J14" s="16">
        <v>25</v>
      </c>
      <c r="K14" s="16">
        <v>25</v>
      </c>
      <c r="L14" s="16">
        <v>30</v>
      </c>
      <c r="M14" s="82">
        <v>21.875</v>
      </c>
      <c r="N14" s="73">
        <v>30</v>
      </c>
      <c r="O14" s="65">
        <v>7000</v>
      </c>
      <c r="P14" s="66">
        <f>Table224578910112345678[[#This Row],[PEMBULATAN]]*O14</f>
        <v>210000</v>
      </c>
    </row>
    <row r="15" spans="1:16" ht="26.25" customHeight="1" x14ac:dyDescent="0.2">
      <c r="A15" s="100"/>
      <c r="B15" s="100"/>
      <c r="C15" s="16" t="s">
        <v>213</v>
      </c>
      <c r="D15" s="79" t="s">
        <v>90</v>
      </c>
      <c r="E15" s="13">
        <v>44444</v>
      </c>
      <c r="F15" s="77" t="s">
        <v>91</v>
      </c>
      <c r="G15" s="13">
        <v>44446</v>
      </c>
      <c r="H15" s="101" t="s">
        <v>101</v>
      </c>
      <c r="I15" s="16">
        <v>188</v>
      </c>
      <c r="J15" s="16">
        <v>33</v>
      </c>
      <c r="K15" s="16">
        <v>33</v>
      </c>
      <c r="L15" s="16">
        <v>19</v>
      </c>
      <c r="M15" s="82">
        <v>51.183</v>
      </c>
      <c r="N15" s="73">
        <v>51</v>
      </c>
      <c r="O15" s="65">
        <v>7000</v>
      </c>
      <c r="P15" s="66">
        <f>Table224578910112345678[[#This Row],[PEMBULATAN]]*O15</f>
        <v>357000</v>
      </c>
    </row>
    <row r="16" spans="1:16" ht="26.25" customHeight="1" x14ac:dyDescent="0.2">
      <c r="A16" s="100"/>
      <c r="B16" s="100"/>
      <c r="C16" s="16" t="s">
        <v>214</v>
      </c>
      <c r="D16" s="79" t="s">
        <v>90</v>
      </c>
      <c r="E16" s="13">
        <v>44444</v>
      </c>
      <c r="F16" s="77" t="s">
        <v>91</v>
      </c>
      <c r="G16" s="13">
        <v>44446</v>
      </c>
      <c r="H16" s="101" t="s">
        <v>101</v>
      </c>
      <c r="I16" s="16">
        <v>50</v>
      </c>
      <c r="J16" s="16">
        <v>40</v>
      </c>
      <c r="K16" s="16">
        <v>40</v>
      </c>
      <c r="L16" s="16">
        <v>11</v>
      </c>
      <c r="M16" s="82">
        <v>20</v>
      </c>
      <c r="N16" s="73">
        <v>20</v>
      </c>
      <c r="O16" s="65">
        <v>7000</v>
      </c>
      <c r="P16" s="66">
        <f>Table224578910112345678[[#This Row],[PEMBULATAN]]*O16</f>
        <v>140000</v>
      </c>
    </row>
    <row r="17" spans="1:16" ht="22.5" customHeight="1" x14ac:dyDescent="0.2">
      <c r="A17" s="136" t="s">
        <v>30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8"/>
      <c r="M17" s="80">
        <f>SUBTOTAL(109,Table224578910112345678[KG VOLUME])</f>
        <v>422.6035</v>
      </c>
      <c r="N17" s="69">
        <f>SUM(N3:N16)</f>
        <v>433</v>
      </c>
      <c r="O17" s="139">
        <f>SUM(P3:P16)</f>
        <v>3031000</v>
      </c>
      <c r="P17" s="140"/>
    </row>
    <row r="18" spans="1:16" ht="18" customHeight="1" x14ac:dyDescent="0.2">
      <c r="A18" s="87"/>
      <c r="B18" s="57" t="s">
        <v>42</v>
      </c>
      <c r="C18" s="56"/>
      <c r="D18" s="58" t="s">
        <v>43</v>
      </c>
      <c r="E18" s="87"/>
      <c r="F18" s="87"/>
      <c r="G18" s="87"/>
      <c r="H18" s="87"/>
      <c r="I18" s="87"/>
      <c r="J18" s="87"/>
      <c r="K18" s="87"/>
      <c r="L18" s="87"/>
      <c r="M18" s="88"/>
      <c r="N18" s="89" t="s">
        <v>52</v>
      </c>
      <c r="O18" s="90"/>
      <c r="P18" s="90">
        <v>0</v>
      </c>
    </row>
    <row r="19" spans="1:16" ht="18" customHeight="1" thickBot="1" x14ac:dyDescent="0.25">
      <c r="A19" s="87"/>
      <c r="B19" s="57"/>
      <c r="C19" s="56"/>
      <c r="D19" s="58"/>
      <c r="E19" s="87"/>
      <c r="F19" s="87"/>
      <c r="G19" s="87"/>
      <c r="H19" s="87"/>
      <c r="I19" s="87"/>
      <c r="J19" s="87"/>
      <c r="K19" s="87"/>
      <c r="L19" s="87"/>
      <c r="M19" s="88"/>
      <c r="N19" s="91" t="s">
        <v>53</v>
      </c>
      <c r="O19" s="92"/>
      <c r="P19" s="92">
        <f>O17-P18</f>
        <v>3031000</v>
      </c>
    </row>
    <row r="20" spans="1:16" ht="18" customHeight="1" x14ac:dyDescent="0.2">
      <c r="A20" s="11"/>
      <c r="H20" s="64"/>
      <c r="N20" s="63" t="s">
        <v>31</v>
      </c>
      <c r="P20" s="70">
        <f>P19*1%</f>
        <v>30310</v>
      </c>
    </row>
    <row r="21" spans="1:16" ht="18" customHeight="1" thickBot="1" x14ac:dyDescent="0.25">
      <c r="A21" s="11"/>
      <c r="H21" s="64"/>
      <c r="N21" s="63" t="s">
        <v>54</v>
      </c>
      <c r="P21" s="72">
        <f>P19*2%</f>
        <v>60620</v>
      </c>
    </row>
    <row r="22" spans="1:16" ht="18" customHeight="1" x14ac:dyDescent="0.2">
      <c r="A22" s="11"/>
      <c r="H22" s="64"/>
      <c r="N22" s="67" t="s">
        <v>32</v>
      </c>
      <c r="O22" s="68"/>
      <c r="P22" s="71">
        <f>P19+P20-P21</f>
        <v>3000690</v>
      </c>
    </row>
    <row r="24" spans="1:16" x14ac:dyDescent="0.2">
      <c r="A24" s="11"/>
      <c r="H24" s="64"/>
      <c r="P24" s="72"/>
    </row>
    <row r="25" spans="1:16" x14ac:dyDescent="0.2">
      <c r="A25" s="11"/>
      <c r="H25" s="64"/>
      <c r="O25" s="59"/>
      <c r="P25" s="72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537" priority="2"/>
  </conditionalFormatting>
  <conditionalFormatting sqref="B4">
    <cfRule type="duplicateValues" dxfId="536" priority="1"/>
  </conditionalFormatting>
  <conditionalFormatting sqref="B5:B16">
    <cfRule type="duplicateValues" dxfId="535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9" style="3" customWidth="1"/>
    <col min="5" max="5" width="8" style="12" customWidth="1"/>
    <col min="6" max="6" width="12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904</v>
      </c>
      <c r="B3" s="118" t="s">
        <v>215</v>
      </c>
      <c r="C3" s="1" t="s">
        <v>216</v>
      </c>
      <c r="D3" s="77" t="s">
        <v>90</v>
      </c>
      <c r="E3" s="13">
        <v>44445</v>
      </c>
      <c r="F3" s="77" t="s">
        <v>91</v>
      </c>
      <c r="G3" s="13">
        <v>44450</v>
      </c>
      <c r="H3" s="99" t="s">
        <v>223</v>
      </c>
      <c r="I3" s="1">
        <v>50</v>
      </c>
      <c r="J3" s="1">
        <v>40</v>
      </c>
      <c r="K3" s="1">
        <v>20</v>
      </c>
      <c r="L3" s="1">
        <v>7</v>
      </c>
      <c r="M3" s="81">
        <v>10</v>
      </c>
      <c r="N3" s="8">
        <v>10</v>
      </c>
      <c r="O3" s="65">
        <v>7000</v>
      </c>
      <c r="P3" s="66">
        <f>Table2245789101123456789[[#This Row],[PEMBULATAN]]*O3</f>
        <v>70000</v>
      </c>
    </row>
    <row r="4" spans="1:16" ht="26.25" customHeight="1" x14ac:dyDescent="0.2">
      <c r="A4" s="100"/>
      <c r="B4" s="100" t="s">
        <v>217</v>
      </c>
      <c r="C4" s="1" t="s">
        <v>218</v>
      </c>
      <c r="D4" s="77" t="s">
        <v>90</v>
      </c>
      <c r="E4" s="13">
        <v>44445</v>
      </c>
      <c r="F4" s="77" t="s">
        <v>91</v>
      </c>
      <c r="G4" s="13">
        <v>44450</v>
      </c>
      <c r="H4" s="99" t="s">
        <v>223</v>
      </c>
      <c r="I4" s="1">
        <v>132</v>
      </c>
      <c r="J4" s="1">
        <v>70</v>
      </c>
      <c r="K4" s="1">
        <v>20</v>
      </c>
      <c r="L4" s="1">
        <v>40</v>
      </c>
      <c r="M4" s="81">
        <v>46.2</v>
      </c>
      <c r="N4" s="8">
        <v>46</v>
      </c>
      <c r="O4" s="65">
        <v>7000</v>
      </c>
      <c r="P4" s="66">
        <f>Table2245789101123456789[[#This Row],[PEMBULATAN]]*O4</f>
        <v>322000</v>
      </c>
    </row>
    <row r="5" spans="1:16" ht="26.25" customHeight="1" x14ac:dyDescent="0.2">
      <c r="A5" s="100"/>
      <c r="B5" s="100"/>
      <c r="C5" s="1" t="s">
        <v>219</v>
      </c>
      <c r="D5" s="77" t="s">
        <v>90</v>
      </c>
      <c r="E5" s="13">
        <v>44445</v>
      </c>
      <c r="F5" s="77" t="s">
        <v>91</v>
      </c>
      <c r="G5" s="13">
        <v>44450</v>
      </c>
      <c r="H5" s="99" t="s">
        <v>223</v>
      </c>
      <c r="I5" s="1">
        <v>98</v>
      </c>
      <c r="J5" s="1">
        <v>42</v>
      </c>
      <c r="K5" s="1">
        <v>10</v>
      </c>
      <c r="L5" s="1">
        <v>10</v>
      </c>
      <c r="M5" s="81">
        <v>10.29</v>
      </c>
      <c r="N5" s="8">
        <v>10</v>
      </c>
      <c r="O5" s="65">
        <v>7000</v>
      </c>
      <c r="P5" s="66">
        <f>Table2245789101123456789[[#This Row],[PEMBULATAN]]*O5</f>
        <v>70000</v>
      </c>
    </row>
    <row r="6" spans="1:16" ht="26.25" customHeight="1" x14ac:dyDescent="0.2">
      <c r="A6" s="100"/>
      <c r="B6" s="100"/>
      <c r="C6" s="16" t="s">
        <v>220</v>
      </c>
      <c r="D6" s="79" t="s">
        <v>90</v>
      </c>
      <c r="E6" s="13">
        <v>44445</v>
      </c>
      <c r="F6" s="77" t="s">
        <v>91</v>
      </c>
      <c r="G6" s="13">
        <v>44450</v>
      </c>
      <c r="H6" s="101" t="s">
        <v>223</v>
      </c>
      <c r="I6" s="16">
        <v>53</v>
      </c>
      <c r="J6" s="16">
        <v>26</v>
      </c>
      <c r="K6" s="16">
        <v>26</v>
      </c>
      <c r="L6" s="16">
        <v>7</v>
      </c>
      <c r="M6" s="82">
        <v>8.9570000000000007</v>
      </c>
      <c r="N6" s="73">
        <v>9</v>
      </c>
      <c r="O6" s="65">
        <v>7000</v>
      </c>
      <c r="P6" s="66">
        <f>Table2245789101123456789[[#This Row],[PEMBULATAN]]*O6</f>
        <v>63000</v>
      </c>
    </row>
    <row r="7" spans="1:16" ht="26.25" customHeight="1" x14ac:dyDescent="0.2">
      <c r="A7" s="100"/>
      <c r="B7" s="100"/>
      <c r="C7" s="16" t="s">
        <v>221</v>
      </c>
      <c r="D7" s="79" t="s">
        <v>90</v>
      </c>
      <c r="E7" s="13">
        <v>44445</v>
      </c>
      <c r="F7" s="77" t="s">
        <v>91</v>
      </c>
      <c r="G7" s="13">
        <v>44450</v>
      </c>
      <c r="H7" s="101" t="s">
        <v>223</v>
      </c>
      <c r="I7" s="16">
        <v>40</v>
      </c>
      <c r="J7" s="16">
        <v>40</v>
      </c>
      <c r="K7" s="16">
        <v>15</v>
      </c>
      <c r="L7" s="16">
        <v>9</v>
      </c>
      <c r="M7" s="82">
        <v>6</v>
      </c>
      <c r="N7" s="73">
        <v>9</v>
      </c>
      <c r="O7" s="65">
        <v>7000</v>
      </c>
      <c r="P7" s="66">
        <f>Table2245789101123456789[[#This Row],[PEMBULATAN]]*O7</f>
        <v>63000</v>
      </c>
    </row>
    <row r="8" spans="1:16" ht="26.25" customHeight="1" x14ac:dyDescent="0.2">
      <c r="A8" s="100"/>
      <c r="B8" s="100"/>
      <c r="C8" s="16" t="s">
        <v>222</v>
      </c>
      <c r="D8" s="79" t="s">
        <v>90</v>
      </c>
      <c r="E8" s="13">
        <v>44445</v>
      </c>
      <c r="F8" s="77" t="s">
        <v>91</v>
      </c>
      <c r="G8" s="13">
        <v>44450</v>
      </c>
      <c r="H8" s="101" t="s">
        <v>223</v>
      </c>
      <c r="I8" s="16">
        <v>43</v>
      </c>
      <c r="J8" s="16">
        <v>43</v>
      </c>
      <c r="K8" s="16">
        <v>43</v>
      </c>
      <c r="L8" s="16">
        <v>10</v>
      </c>
      <c r="M8" s="82">
        <v>19.876750000000001</v>
      </c>
      <c r="N8" s="73">
        <v>20</v>
      </c>
      <c r="O8" s="65">
        <v>7000</v>
      </c>
      <c r="P8" s="66">
        <f>Table2245789101123456789[[#This Row],[PEMBULATAN]]*O8</f>
        <v>140000</v>
      </c>
    </row>
    <row r="9" spans="1:16" ht="22.5" customHeight="1" x14ac:dyDescent="0.2">
      <c r="A9" s="136" t="s">
        <v>30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8"/>
      <c r="M9" s="80">
        <f>SUBTOTAL(109,Table2245789101123456789[KG VOLUME])</f>
        <v>101.32375</v>
      </c>
      <c r="N9" s="69">
        <f>SUM(N3:N8)</f>
        <v>104</v>
      </c>
      <c r="O9" s="139">
        <f>SUM(P3:P8)</f>
        <v>728000</v>
      </c>
      <c r="P9" s="140"/>
    </row>
    <row r="10" spans="1:16" ht="18" customHeight="1" x14ac:dyDescent="0.2">
      <c r="A10" s="87"/>
      <c r="B10" s="57" t="s">
        <v>42</v>
      </c>
      <c r="C10" s="56"/>
      <c r="D10" s="58" t="s">
        <v>43</v>
      </c>
      <c r="E10" s="87"/>
      <c r="F10" s="87"/>
      <c r="G10" s="87"/>
      <c r="H10" s="87"/>
      <c r="I10" s="87"/>
      <c r="J10" s="87"/>
      <c r="K10" s="87"/>
      <c r="L10" s="87"/>
      <c r="M10" s="88"/>
      <c r="N10" s="89" t="s">
        <v>52</v>
      </c>
      <c r="O10" s="90"/>
      <c r="P10" s="90">
        <v>0</v>
      </c>
    </row>
    <row r="11" spans="1:16" ht="18" customHeight="1" thickBot="1" x14ac:dyDescent="0.25">
      <c r="A11" s="87"/>
      <c r="B11" s="57"/>
      <c r="C11" s="56"/>
      <c r="D11" s="58"/>
      <c r="E11" s="87"/>
      <c r="F11" s="87"/>
      <c r="G11" s="87"/>
      <c r="H11" s="87"/>
      <c r="I11" s="87"/>
      <c r="J11" s="87"/>
      <c r="K11" s="87"/>
      <c r="L11" s="87"/>
      <c r="M11" s="88"/>
      <c r="N11" s="91" t="s">
        <v>53</v>
      </c>
      <c r="O11" s="92"/>
      <c r="P11" s="92">
        <f>O9-P10</f>
        <v>728000</v>
      </c>
    </row>
    <row r="12" spans="1:16" ht="18" customHeight="1" x14ac:dyDescent="0.2">
      <c r="A12" s="11"/>
      <c r="H12" s="64"/>
      <c r="N12" s="63" t="s">
        <v>31</v>
      </c>
      <c r="P12" s="70">
        <f>P11*1%</f>
        <v>7280</v>
      </c>
    </row>
    <row r="13" spans="1:16" ht="18" customHeight="1" thickBot="1" x14ac:dyDescent="0.25">
      <c r="A13" s="11"/>
      <c r="H13" s="64"/>
      <c r="N13" s="63" t="s">
        <v>54</v>
      </c>
      <c r="P13" s="72">
        <f>P11*2%</f>
        <v>14560</v>
      </c>
    </row>
    <row r="14" spans="1:16" ht="18" customHeight="1" x14ac:dyDescent="0.2">
      <c r="A14" s="11"/>
      <c r="H14" s="64"/>
      <c r="N14" s="67" t="s">
        <v>32</v>
      </c>
      <c r="O14" s="68"/>
      <c r="P14" s="71">
        <f>P11+P12-P13</f>
        <v>720720</v>
      </c>
    </row>
    <row r="16" spans="1:16" x14ac:dyDescent="0.2">
      <c r="A16" s="11"/>
      <c r="H16" s="64"/>
      <c r="P16" s="72"/>
    </row>
    <row r="17" spans="1:16" x14ac:dyDescent="0.2">
      <c r="A17" s="11"/>
      <c r="H17" s="64"/>
      <c r="O17" s="59"/>
      <c r="P17" s="72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519" priority="2"/>
  </conditionalFormatting>
  <conditionalFormatting sqref="B4">
    <cfRule type="duplicateValues" dxfId="518" priority="1"/>
  </conditionalFormatting>
  <conditionalFormatting sqref="B5:B8">
    <cfRule type="duplicateValues" dxfId="517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37</vt:i4>
      </vt:variant>
    </vt:vector>
  </HeadingPairs>
  <TitlesOfParts>
    <vt:vector size="74" baseType="lpstr">
      <vt:lpstr>022_Sicepat_Batam</vt:lpstr>
      <vt:lpstr>BKI032210036228</vt:lpstr>
      <vt:lpstr>BKI032210036236</vt:lpstr>
      <vt:lpstr>BKI032210036244</vt:lpstr>
      <vt:lpstr>BKI032210036251</vt:lpstr>
      <vt:lpstr>BKI032210036269</vt:lpstr>
      <vt:lpstr>BKI032210036277</vt:lpstr>
      <vt:lpstr>BKI032210036285</vt:lpstr>
      <vt:lpstr>BKI032210036293</vt:lpstr>
      <vt:lpstr>BKI032210036301</vt:lpstr>
      <vt:lpstr>BKI032210036319</vt:lpstr>
      <vt:lpstr>BKI032210036327</vt:lpstr>
      <vt:lpstr>BKI032210036335</vt:lpstr>
      <vt:lpstr>BKI032210036343</vt:lpstr>
      <vt:lpstr>BKI032210036350</vt:lpstr>
      <vt:lpstr>BKI032210036368</vt:lpstr>
      <vt:lpstr>BKI032210036376</vt:lpstr>
      <vt:lpstr>BKI032210036384</vt:lpstr>
      <vt:lpstr>BKI032210036392</vt:lpstr>
      <vt:lpstr>BKI032210036624</vt:lpstr>
      <vt:lpstr>BKI032210036426</vt:lpstr>
      <vt:lpstr>BKI032210036434</vt:lpstr>
      <vt:lpstr>BKI032210036400</vt:lpstr>
      <vt:lpstr>BKI032210036442</vt:lpstr>
      <vt:lpstr>BKI032210036459</vt:lpstr>
      <vt:lpstr>BKI032210036475</vt:lpstr>
      <vt:lpstr>BKI032210036483</vt:lpstr>
      <vt:lpstr>BKI032210036491</vt:lpstr>
      <vt:lpstr>BKI032210036517</vt:lpstr>
      <vt:lpstr>BKI032210036525</vt:lpstr>
      <vt:lpstr>BKI032210036541</vt:lpstr>
      <vt:lpstr>BKI032210036558</vt:lpstr>
      <vt:lpstr>BKI032210036566</vt:lpstr>
      <vt:lpstr>BKI032210036574</vt:lpstr>
      <vt:lpstr>BKI032210036582</vt:lpstr>
      <vt:lpstr>BKI032210036590</vt:lpstr>
      <vt:lpstr>BKI032210036608</vt:lpstr>
      <vt:lpstr>'022_Sicepat_Batam'!Print_Titles</vt:lpstr>
      <vt:lpstr>BKI032210036228!Print_Titles</vt:lpstr>
      <vt:lpstr>BKI032210036236!Print_Titles</vt:lpstr>
      <vt:lpstr>BKI032210036244!Print_Titles</vt:lpstr>
      <vt:lpstr>BKI032210036251!Print_Titles</vt:lpstr>
      <vt:lpstr>BKI032210036269!Print_Titles</vt:lpstr>
      <vt:lpstr>BKI032210036277!Print_Titles</vt:lpstr>
      <vt:lpstr>BKI032210036285!Print_Titles</vt:lpstr>
      <vt:lpstr>BKI032210036293!Print_Titles</vt:lpstr>
      <vt:lpstr>BKI032210036301!Print_Titles</vt:lpstr>
      <vt:lpstr>BKI032210036319!Print_Titles</vt:lpstr>
      <vt:lpstr>BKI032210036327!Print_Titles</vt:lpstr>
      <vt:lpstr>BKI032210036335!Print_Titles</vt:lpstr>
      <vt:lpstr>BKI032210036343!Print_Titles</vt:lpstr>
      <vt:lpstr>BKI032210036350!Print_Titles</vt:lpstr>
      <vt:lpstr>BKI032210036368!Print_Titles</vt:lpstr>
      <vt:lpstr>BKI032210036376!Print_Titles</vt:lpstr>
      <vt:lpstr>BKI032210036384!Print_Titles</vt:lpstr>
      <vt:lpstr>BKI032210036392!Print_Titles</vt:lpstr>
      <vt:lpstr>BKI032210036400!Print_Titles</vt:lpstr>
      <vt:lpstr>BKI032210036426!Print_Titles</vt:lpstr>
      <vt:lpstr>BKI032210036434!Print_Titles</vt:lpstr>
      <vt:lpstr>BKI032210036442!Print_Titles</vt:lpstr>
      <vt:lpstr>BKI032210036459!Print_Titles</vt:lpstr>
      <vt:lpstr>BKI032210036475!Print_Titles</vt:lpstr>
      <vt:lpstr>BKI032210036483!Print_Titles</vt:lpstr>
      <vt:lpstr>BKI032210036491!Print_Titles</vt:lpstr>
      <vt:lpstr>BKI032210036517!Print_Titles</vt:lpstr>
      <vt:lpstr>BKI032210036525!Print_Titles</vt:lpstr>
      <vt:lpstr>BKI032210036541!Print_Titles</vt:lpstr>
      <vt:lpstr>BKI032210036558!Print_Titles</vt:lpstr>
      <vt:lpstr>BKI032210036566!Print_Titles</vt:lpstr>
      <vt:lpstr>BKI032210036574!Print_Titles</vt:lpstr>
      <vt:lpstr>BKI032210036582!Print_Titles</vt:lpstr>
      <vt:lpstr>BKI032210036590!Print_Titles</vt:lpstr>
      <vt:lpstr>BKI032210036608!Print_Titles</vt:lpstr>
      <vt:lpstr>BKI032210036624!Print_Titles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2021-10-13T09:26:46Z</cp:lastPrinted>
  <dcterms:created xsi:type="dcterms:W3CDTF">2021-07-02T11:08:00Z</dcterms:created>
  <dcterms:modified xsi:type="dcterms:W3CDTF">2021-10-22T11:55:58Z</dcterms:modified>
</cp:coreProperties>
</file>